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samia\OneDrive\Desktop\1Qaala\Finance\"/>
    </mc:Choice>
  </mc:AlternateContent>
  <xr:revisionPtr revIDLastSave="0" documentId="13_ncr:1_{063C1FEF-6D1B-4E40-920B-3FF064062163}" xr6:coauthVersionLast="47" xr6:coauthVersionMax="47" xr10:uidLastSave="{00000000-0000-0000-0000-000000000000}"/>
  <bookViews>
    <workbookView xWindow="-108" yWindow="-108" windowWidth="23256" windowHeight="13896" tabRatio="692" xr2:uid="{00000000-000D-0000-FFFF-FFFF00000000}"/>
  </bookViews>
  <sheets>
    <sheet name="2024 Closing" sheetId="1" r:id="rId1"/>
    <sheet name="KSA IS" sheetId="16" r:id="rId2"/>
    <sheet name="Analysis Dec.23" sheetId="15" state="hidden" r:id="rId3"/>
    <sheet name="Analysis All" sheetId="14" state="hidden" r:id="rId4"/>
    <sheet name="IS Assumption" sheetId="8" state="hidden" r:id="rId5"/>
    <sheet name="B.U" sheetId="6" state="hidden" r:id="rId6"/>
    <sheet name="HC" sheetId="10" state="hidden" r:id="rId7"/>
    <sheet name="Tax Position" sheetId="12" state="hidden" r:id="rId8"/>
    <sheet name="Rev. 2022" sheetId="11" state="hidden" r:id="rId9"/>
    <sheet name="2022 Budget" sheetId="2" state="hidden" r:id="rId10"/>
    <sheet name="Financial Statements" sheetId="7" state="hidden" r:id="rId11"/>
    <sheet name="2020-2021 Closing 2022 Yearly" sheetId="13" state="hidden" r:id="rId12"/>
    <sheet name="2022 Budget V02" sheetId="4" state="hidden" r:id="rId13"/>
    <sheet name="2022 Budget Scenario 1" sheetId="3" state="hidden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</externalReferences>
  <definedNames>
    <definedName name="\A" localSheetId="11">#REF!</definedName>
    <definedName name="\A" localSheetId="9">#REF!</definedName>
    <definedName name="\A" localSheetId="13">#REF!</definedName>
    <definedName name="\A" localSheetId="12">#REF!</definedName>
    <definedName name="\A" localSheetId="0">#REF!</definedName>
    <definedName name="\A" localSheetId="5">#REF!</definedName>
    <definedName name="\A" localSheetId="10">#REF!</definedName>
    <definedName name="\A" localSheetId="4">#REF!</definedName>
    <definedName name="\A" localSheetId="8">#REF!</definedName>
    <definedName name="\A">#REF!</definedName>
    <definedName name="\B" localSheetId="11">#REF!</definedName>
    <definedName name="\B" localSheetId="9">#REF!</definedName>
    <definedName name="\B" localSheetId="13">#REF!</definedName>
    <definedName name="\B" localSheetId="12">#REF!</definedName>
    <definedName name="\B" localSheetId="0">#REF!</definedName>
    <definedName name="\B" localSheetId="5">#REF!</definedName>
    <definedName name="\B" localSheetId="10">#REF!</definedName>
    <definedName name="\B" localSheetId="4">#REF!</definedName>
    <definedName name="\B" localSheetId="8">#REF!</definedName>
    <definedName name="\B">#REF!</definedName>
    <definedName name="\E" localSheetId="11">#REF!</definedName>
    <definedName name="\E" localSheetId="9">#REF!</definedName>
    <definedName name="\E" localSheetId="13">#REF!</definedName>
    <definedName name="\E" localSheetId="12">#REF!</definedName>
    <definedName name="\E" localSheetId="0">#REF!</definedName>
    <definedName name="\E" localSheetId="5">#REF!</definedName>
    <definedName name="\E" localSheetId="10">#REF!</definedName>
    <definedName name="\E" localSheetId="4">#REF!</definedName>
    <definedName name="\E" localSheetId="8">#REF!</definedName>
    <definedName name="\E">#REF!</definedName>
    <definedName name="\p" localSheetId="11">#REF!</definedName>
    <definedName name="\p" localSheetId="9">#REF!</definedName>
    <definedName name="\p" localSheetId="13">#REF!</definedName>
    <definedName name="\p" localSheetId="12">#REF!</definedName>
    <definedName name="\p" localSheetId="0">#REF!</definedName>
    <definedName name="\p" localSheetId="5">#REF!</definedName>
    <definedName name="\p" localSheetId="10">#REF!</definedName>
    <definedName name="\p" localSheetId="4">#REF!</definedName>
    <definedName name="\p" localSheetId="8">#REF!</definedName>
    <definedName name="\p">#REF!</definedName>
    <definedName name="__________________________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_________________________EEN18">'[1]elimination entries'!$B$163:$L$167</definedName>
    <definedName name="________________________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________________________EEN6">'[1]elimination entries'!$B$53:$L$55</definedName>
    <definedName name="________________________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_______________________EEN17">'[1]elimination entries'!$B$149:$L$160</definedName>
    <definedName name="__________________________________________________________________________________________________________________________EEN18">'[1]elimination entries'!$B$163:$L$167</definedName>
    <definedName name="______________________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______________________EEN5">'[1]elimination entries'!$B$47:$L$50</definedName>
    <definedName name="__________________________________________________________________________________________________________________________EEN6">'[1]elimination entries'!$B$53:$L$55</definedName>
    <definedName name="______________________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_____________________een16">'[1]elimination entries'!$B$142:$L$145</definedName>
    <definedName name="________________________________________________________________________________________________________________________EEN17">'[1]elimination entries'!$B$149:$L$160</definedName>
    <definedName name="________________________________________________________________________________________________________________________EEN18">'[1]elimination entries'!$B$163:$L$167</definedName>
    <definedName name="____________________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____________________EEN4">'[1]elimination entries'!$B$42:$L$43</definedName>
    <definedName name="________________________________________________________________________________________________________________________EEN5">'[1]elimination entries'!$B$47:$L$50</definedName>
    <definedName name="________________________________________________________________________________________________________________________EEN6">'[1]elimination entries'!$B$53:$L$55</definedName>
    <definedName name="____________________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____________________EEN18">'[1]elimination entries'!$B$163:$L$167</definedName>
    <definedName name="___________________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___________________EEN6">'[1]elimination entries'!$B$53:$L$55</definedName>
    <definedName name="___________________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___________________een16">'[1]elimination entries'!$B$142:$L$145</definedName>
    <definedName name="______________________________________________________________________________________________________________________EEN17">'[1]elimination entries'!$B$149:$L$160</definedName>
    <definedName name="______________________________________________________________________________________________________________________EEN18">'[1]elimination entries'!$B$163:$L$167</definedName>
    <definedName name="__________________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__________________EEN30">'[1]elimination entries'!$B$262:$L$269</definedName>
    <definedName name="______________________________________________________________________________________________________________________EEN4">'[1]elimination entries'!$B$42:$L$43</definedName>
    <definedName name="______________________________________________________________________________________________________________________EEN5">'[1]elimination entries'!$B$47:$L$50</definedName>
    <definedName name="______________________________________________________________________________________________________________________EEN6">'[1]elimination entries'!$B$53:$L$55</definedName>
    <definedName name="__________________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__________________een15">'[1]elimination entries'!$B$136:$L$139</definedName>
    <definedName name="_____________________________________________________________________________________________________________________EEN17">'[1]elimination entries'!$B$149:$L$160</definedName>
    <definedName name="_____________________________________________________________________________________________________________________EEN18">'[1]elimination entries'!$B$163:$L$167</definedName>
    <definedName name="_________________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_________________EEN5">'[1]elimination entries'!$B$47:$L$50</definedName>
    <definedName name="_____________________________________________________________________________________________________________________EEN6">'[1]elimination entries'!$B$53:$L$55</definedName>
    <definedName name="_________________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_________________een16">'[2]elimination entries'!$B$142:$L$145</definedName>
    <definedName name="____________________________________________________________________________________________________________________EEN17">'[1]elimination entries'!$B$149:$L$160</definedName>
    <definedName name="____________________________________________________________________________________________________________________EEN18">'[1]elimination entries'!$B$163:$L$167</definedName>
    <definedName name="________________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________________EEN3">'[1]elimination entries'!$B$37:$L$38</definedName>
    <definedName name="____________________________________________________________________________________________________________________EEN30">'[1]elimination entries'!$B$262:$L$269</definedName>
    <definedName name="____________________________________________________________________________________________________________________EEN4">'[1]elimination entries'!$B$42:$L$43</definedName>
    <definedName name="____________________________________________________________________________________________________________________EEN5">'[1]elimination entries'!$B$47:$L$50</definedName>
    <definedName name="____________________________________________________________________________________________________________________EEN6">'[1]elimination entries'!$B$53:$L$55</definedName>
    <definedName name="________________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________________een15">'[1]elimination entries'!$B$136:$L$139</definedName>
    <definedName name="___________________________________________________________________________________________________________________een16">'[1]elimination entries'!$B$142:$L$145</definedName>
    <definedName name="___________________________________________________________________________________________________________________EEN17">'[1]elimination entries'!$B$149:$L$160</definedName>
    <definedName name="___________________________________________________________________________________________________________________EEN18">'[1]elimination entries'!$B$163:$L$167</definedName>
    <definedName name="_______________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_______________EEN4">'[1]elimination entries'!$B$42:$L$43</definedName>
    <definedName name="___________________________________________________________________________________________________________________EEN5">'[1]elimination entries'!$B$47:$L$50</definedName>
    <definedName name="___________________________________________________________________________________________________________________EEN6">'[1]elimination entries'!$B$53:$L$55</definedName>
    <definedName name="_______________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_______________EEN14">'[1]elimination entries'!$B$132:$L$133</definedName>
    <definedName name="__________________________________________________________________________________________________________________een16">'[1]elimination entries'!$B$142:$L$145</definedName>
    <definedName name="__________________________________________________________________________________________________________________EEN17">'[1]elimination entries'!$B$149:$L$160</definedName>
    <definedName name="__________________________________________________________________________________________________________________EEN18">'[1]elimination entries'!$B$163:$L$167</definedName>
    <definedName name="______________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______________EEN3">'[1]elimination entries'!$B$37:$L$38</definedName>
    <definedName name="__________________________________________________________________________________________________________________EEN30">'[1]elimination entries'!$B$262:$L$269</definedName>
    <definedName name="__________________________________________________________________________________________________________________EEN4">'[1]elimination entries'!$B$42:$L$43</definedName>
    <definedName name="__________________________________________________________________________________________________________________EEN5">'[1]elimination entries'!$B$47:$L$50</definedName>
    <definedName name="__________________________________________________________________________________________________________________EEN6">'[1]elimination entries'!$B$53:$L$55</definedName>
    <definedName name="______________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______________een15">'[1]elimination entries'!$B$136:$L$139</definedName>
    <definedName name="_________________________________________________________________________________________________________________een16">'[1]elimination entries'!$B$142:$L$145</definedName>
    <definedName name="_________________________________________________________________________________________________________________EEN17">'[1]elimination entries'!$B$149:$L$160</definedName>
    <definedName name="_________________________________________________________________________________________________________________EEN18">'[1]elimination entries'!$B$163:$L$167</definedName>
    <definedName name="_____________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_____________EEN30">'[1]elimination entries'!$B$262:$L$269</definedName>
    <definedName name="_________________________________________________________________________________________________________________EEN4">'[1]elimination entries'!$B$42:$L$43</definedName>
    <definedName name="_________________________________________________________________________________________________________________EEN5">'[1]elimination entries'!$B$47:$L$50</definedName>
    <definedName name="_________________________________________________________________________________________________________________EEN6">'[1]elimination entries'!$B$53:$L$55</definedName>
    <definedName name="_____________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_____________EEN14">'[1]elimination entries'!$B$132:$L$133</definedName>
    <definedName name="________________________________________________________________________________________________________________een15">'[1]elimination entries'!$B$136:$L$139</definedName>
    <definedName name="________________________________________________________________________________________________________________een16">'[1]elimination entries'!$B$142:$L$145</definedName>
    <definedName name="________________________________________________________________________________________________________________EEN17">'[1]elimination entries'!$B$149:$L$160</definedName>
    <definedName name="________________________________________________________________________________________________________________EEN18">'[1]elimination entries'!$B$163:$L$167</definedName>
    <definedName name="____________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____________EEN29">'[1]elimination entries'!$B$252:$L$259</definedName>
    <definedName name="________________________________________________________________________________________________________________EEN3">'[1]elimination entries'!$B$37:$L$38</definedName>
    <definedName name="________________________________________________________________________________________________________________EEN30">'[1]elimination entries'!$B$262:$L$269</definedName>
    <definedName name="________________________________________________________________________________________________________________EEN4">'[1]elimination entries'!$B$42:$L$43</definedName>
    <definedName name="________________________________________________________________________________________________________________EEN5">'[1]elimination entries'!$B$47:$L$50</definedName>
    <definedName name="________________________________________________________________________________________________________________EEN6">'[1]elimination entries'!$B$53:$L$55</definedName>
    <definedName name="____________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____________EEN1">'[1]elimination entries'!$B$8:$L$22</definedName>
    <definedName name="_______________________________________________________________________________________________________________EEN13">'[1]elimination entries'!$B$127:$L$128</definedName>
    <definedName name="_______________________________________________________________________________________________________________een15">'[1]elimination entries'!$B$136:$L$139</definedName>
    <definedName name="_______________________________________________________________________________________________________________een16">'[1]elimination entries'!$B$142:$L$145</definedName>
    <definedName name="_______________________________________________________________________________________________________________EEN17">'[1]elimination entries'!$B$149:$L$160</definedName>
    <definedName name="_______________________________________________________________________________________________________________EEN18">'[1]elimination entries'!$B$163:$L$167</definedName>
    <definedName name="___________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___________EEN3">'[1]elimination entries'!$B$37:$L$38</definedName>
    <definedName name="_______________________________________________________________________________________________________________EEN30">'[1]elimination entries'!$B$262:$L$269</definedName>
    <definedName name="_______________________________________________________________________________________________________________EEN4">'[1]elimination entries'!$B$42:$L$43</definedName>
    <definedName name="_______________________________________________________________________________________________________________EEN5">'[1]elimination entries'!$B$47:$L$50</definedName>
    <definedName name="_______________________________________________________________________________________________________________EEN6">'[1]elimination entries'!$B$53:$L$55</definedName>
    <definedName name="___________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___________EEN14">'[1]elimination entries'!$B$132:$L$133</definedName>
    <definedName name="______________________________________________________________________________________________________________een15">'[1]elimination entries'!$B$136:$L$139</definedName>
    <definedName name="______________________________________________________________________________________________________________een16">'[1]elimination entries'!$B$142:$L$145</definedName>
    <definedName name="______________________________________________________________________________________________________________EEN17">'[1]elimination entries'!$B$149:$L$160</definedName>
    <definedName name="______________________________________________________________________________________________________________EEN18">'[1]elimination entries'!$B$163:$L$167</definedName>
    <definedName name="__________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__________EEN28">'[1]elimination entries'!$B$242:$L$249</definedName>
    <definedName name="______________________________________________________________________________________________________________EEN29">'[1]elimination entries'!$B$252:$L$259</definedName>
    <definedName name="______________________________________________________________________________________________________________EEN3">'[1]elimination entries'!$B$37:$L$38</definedName>
    <definedName name="______________________________________________________________________________________________________________EEN30">'[1]elimination entries'!$B$262:$L$269</definedName>
    <definedName name="______________________________________________________________________________________________________________EEN4">'[1]elimination entries'!$B$42:$L$43</definedName>
    <definedName name="______________________________________________________________________________________________________________EEN5">'[1]elimination entries'!$B$47:$L$50</definedName>
    <definedName name="______________________________________________________________________________________________________________EEN6">'[1]elimination entries'!$B$53:$L$55</definedName>
    <definedName name="__________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__________EEN1">'[1]elimination entries'!$B$8:$L$22</definedName>
    <definedName name="_____________________________________________________________________________________________________________een11">'[1]elimination entries'!$B$115:$L$116</definedName>
    <definedName name="_____________________________________________________________________________________________________________EEN13">'[1]elimination entries'!$B$127:$L$128</definedName>
    <definedName name="_____________________________________________________________________________________________________________EEN14">'[1]elimination entries'!$B$132:$L$133</definedName>
    <definedName name="_____________________________________________________________________________________________________________een15">'[1]elimination entries'!$B$136:$L$139</definedName>
    <definedName name="_____________________________________________________________________________________________________________een16">'[1]elimination entries'!$B$142:$L$145</definedName>
    <definedName name="_____________________________________________________________________________________________________________EEN17">'[1]elimination entries'!$B$149:$L$160</definedName>
    <definedName name="_____________________________________________________________________________________________________________EEN18">'[1]elimination entries'!$B$163:$L$167</definedName>
    <definedName name="_________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_________EEN3">'[1]elimination entries'!$B$37:$L$38</definedName>
    <definedName name="_____________________________________________________________________________________________________________EEN30">'[1]elimination entries'!$B$262:$L$269</definedName>
    <definedName name="_____________________________________________________________________________________________________________EEN4">'[1]elimination entries'!$B$42:$L$43</definedName>
    <definedName name="_____________________________________________________________________________________________________________EEN5">'[1]elimination entries'!$B$47:$L$50</definedName>
    <definedName name="_____________________________________________________________________________________________________________EEN6">'[1]elimination entries'!$B$53:$L$55</definedName>
    <definedName name="_________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_________EEN14">'[1]elimination entries'!$B$132:$L$133</definedName>
    <definedName name="____________________________________________________________________________________________________________een15">'[1]elimination entries'!$B$136:$L$139</definedName>
    <definedName name="____________________________________________________________________________________________________________een16">'[1]elimination entries'!$B$142:$L$145</definedName>
    <definedName name="____________________________________________________________________________________________________________EEN17">'[1]elimination entries'!$B$149:$L$160</definedName>
    <definedName name="____________________________________________________________________________________________________________EEN18">'[1]elimination entries'!$B$163:$L$167</definedName>
    <definedName name="________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________EEN28">'[1]elimination entries'!$B$242:$L$249</definedName>
    <definedName name="____________________________________________________________________________________________________________EEN29">'[1]elimination entries'!$B$252:$L$259</definedName>
    <definedName name="____________________________________________________________________________________________________________EEN3">'[1]elimination entries'!$B$37:$L$38</definedName>
    <definedName name="____________________________________________________________________________________________________________EEN30">'[1]elimination entries'!$B$262:$L$269</definedName>
    <definedName name="____________________________________________________________________________________________________________EEN4">'[1]elimination entries'!$B$42:$L$43</definedName>
    <definedName name="____________________________________________________________________________________________________________EEN5">'[1]elimination entries'!$B$47:$L$50</definedName>
    <definedName name="____________________________________________________________________________________________________________EEN6">'[1]elimination entries'!$B$53:$L$55</definedName>
    <definedName name="________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________EEN1">'[1]elimination entries'!$B$8:$L$22</definedName>
    <definedName name="___________________________________________________________________________________________________________een11">'[1]elimination entries'!$B$115:$L$116</definedName>
    <definedName name="___________________________________________________________________________________________________________EEN13">'[1]elimination entries'!$B$127:$L$128</definedName>
    <definedName name="___________________________________________________________________________________________________________EEN14">'[1]elimination entries'!$B$132:$L$133</definedName>
    <definedName name="___________________________________________________________________________________________________________een15">'[1]elimination entries'!$B$136:$L$139</definedName>
    <definedName name="___________________________________________________________________________________________________________een16">'[1]elimination entries'!$B$142:$L$145</definedName>
    <definedName name="___________________________________________________________________________________________________________EEN17">'[1]elimination entries'!$B$149:$L$160</definedName>
    <definedName name="___________________________________________________________________________________________________________EEN18">'[1]elimination entries'!$B$163:$L$167</definedName>
    <definedName name="_______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_______EEN29">'[1]elimination entries'!$B$252:$L$259</definedName>
    <definedName name="___________________________________________________________________________________________________________EEN3">'[1]elimination entries'!$B$37:$L$38</definedName>
    <definedName name="___________________________________________________________________________________________________________EEN30">'[1]elimination entries'!$B$262:$L$269</definedName>
    <definedName name="___________________________________________________________________________________________________________EEN4">'[1]elimination entries'!$B$42:$L$43</definedName>
    <definedName name="___________________________________________________________________________________________________________EEN5">'[1]elimination entries'!$B$47:$L$50</definedName>
    <definedName name="___________________________________________________________________________________________________________EEN6">'[1]elimination entries'!$B$53:$L$55</definedName>
    <definedName name="_______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_______EEN1">'[1]elimination entries'!$B$8:$L$22</definedName>
    <definedName name="__________________________________________________________________________________________________________EEN12">'[1]elimination entries'!$B$120:$L$123</definedName>
    <definedName name="__________________________________________________________________________________________________________EEN13">'[1]elimination entries'!$B$127:$L$128</definedName>
    <definedName name="__________________________________________________________________________________________________________EEN14">'[1]elimination entries'!$B$132:$L$133</definedName>
    <definedName name="__________________________________________________________________________________________________________een15">'[1]elimination entries'!$B$136:$L$139</definedName>
    <definedName name="__________________________________________________________________________________________________________een16">'[1]elimination entries'!$B$142:$L$145</definedName>
    <definedName name="__________________________________________________________________________________________________________EEN17">'[1]elimination entries'!$B$149:$L$160</definedName>
    <definedName name="__________________________________________________________________________________________________________EEN18">'[1]elimination entries'!$B$163:$L$167</definedName>
    <definedName name="______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______EEN27">'[1]elimination entries'!$B$232:$L$239</definedName>
    <definedName name="__________________________________________________________________________________________________________EEN28">'[1]elimination entries'!$B$242:$L$249</definedName>
    <definedName name="__________________________________________________________________________________________________________EEN29">'[1]elimination entries'!$B$252:$L$259</definedName>
    <definedName name="__________________________________________________________________________________________________________EEN3">'[1]elimination entries'!$B$37:$L$38</definedName>
    <definedName name="__________________________________________________________________________________________________________EEN30">'[1]elimination entries'!$B$262:$L$269</definedName>
    <definedName name="__________________________________________________________________________________________________________EEN4">'[1]elimination entries'!$B$42:$L$43</definedName>
    <definedName name="__________________________________________________________________________________________________________EEN5">'[1]elimination entries'!$B$47:$L$50</definedName>
    <definedName name="__________________________________________________________________________________________________________EEN6">'[1]elimination entries'!$B$53:$L$55</definedName>
    <definedName name="______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______EEN1">'[1]elimination entries'!$B$8:$L$22</definedName>
    <definedName name="_________________________________________________________________________________________________________een11">'[1]elimination entries'!$B$115:$L$116</definedName>
    <definedName name="_________________________________________________________________________________________________________EEN13">'[1]elimination entries'!$B$127:$L$128</definedName>
    <definedName name="_________________________________________________________________________________________________________EEN14">'[1]elimination entries'!$B$132:$L$133</definedName>
    <definedName name="_________________________________________________________________________________________________________een15">'[1]elimination entries'!$B$136:$L$139</definedName>
    <definedName name="_________________________________________________________________________________________________________een16">'[1]elimination entries'!$B$142:$L$145</definedName>
    <definedName name="_________________________________________________________________________________________________________EEN17">'[1]elimination entries'!$B$149:$L$160</definedName>
    <definedName name="_________________________________________________________________________________________________________EEN18">'[1]elimination entries'!$B$163:$L$167</definedName>
    <definedName name="_____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_____EEN28">'[1]elimination entries'!$B$242:$L$249</definedName>
    <definedName name="_________________________________________________________________________________________________________EEN29">'[1]elimination entries'!$B$252:$L$259</definedName>
    <definedName name="_________________________________________________________________________________________________________EEN3">'[1]elimination entries'!$B$37:$L$38</definedName>
    <definedName name="_________________________________________________________________________________________________________EEN30">'[1]elimination entries'!$B$262:$L$269</definedName>
    <definedName name="_________________________________________________________________________________________________________EEN4">'[1]elimination entries'!$B$42:$L$43</definedName>
    <definedName name="_________________________________________________________________________________________________________EEN5">'[1]elimination entries'!$B$47:$L$50</definedName>
    <definedName name="_________________________________________________________________________________________________________EEN6">'[1]elimination entries'!$B$53:$L$55</definedName>
    <definedName name="_____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_____EEN1">'[1]elimination entries'!$B$8:$L$22</definedName>
    <definedName name="________________________________________________________________________________________________________een11">'[1]elimination entries'!$B$115:$L$116</definedName>
    <definedName name="________________________________________________________________________________________________________EEN12">'[1]elimination entries'!$B$120:$L$123</definedName>
    <definedName name="________________________________________________________________________________________________________EEN13">'[1]elimination entries'!$B$127:$L$128</definedName>
    <definedName name="________________________________________________________________________________________________________EEN14">'[1]elimination entries'!$B$132:$L$133</definedName>
    <definedName name="________________________________________________________________________________________________________een15">'[1]elimination entries'!$B$136:$L$139</definedName>
    <definedName name="________________________________________________________________________________________________________een16">'[1]elimination entries'!$B$142:$L$145</definedName>
    <definedName name="________________________________________________________________________________________________________EEN17">'[1]elimination entries'!$B$149:$L$160</definedName>
    <definedName name="________________________________________________________________________________________________________EEN18">'[1]elimination entries'!$B$163:$L$167</definedName>
    <definedName name="____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____EEN27">'[1]elimination entries'!$B$232:$L$239</definedName>
    <definedName name="________________________________________________________________________________________________________EEN28">'[1]elimination entries'!$B$242:$L$249</definedName>
    <definedName name="________________________________________________________________________________________________________EEN29">'[1]elimination entries'!$B$252:$L$259</definedName>
    <definedName name="________________________________________________________________________________________________________EEN3">'[1]elimination entries'!$B$37:$L$38</definedName>
    <definedName name="________________________________________________________________________________________________________EEN30">'[1]elimination entries'!$B$262:$L$269</definedName>
    <definedName name="________________________________________________________________________________________________________EEN4">'[1]elimination entries'!$B$42:$L$43</definedName>
    <definedName name="________________________________________________________________________________________________________EEN5">'[1]elimination entries'!$B$47:$L$50</definedName>
    <definedName name="________________________________________________________________________________________________________EEN6">'[1]elimination entries'!$B$53:$L$55</definedName>
    <definedName name="____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____EEN1">'[1]elimination entries'!$B$8:$L$22</definedName>
    <definedName name="_______________________________________________________________________________________________________een11">'[1]elimination entries'!$B$115:$L$116</definedName>
    <definedName name="_______________________________________________________________________________________________________EEN12">'[1]elimination entries'!$B$120:$L$123</definedName>
    <definedName name="_______________________________________________________________________________________________________EEN13">'[1]elimination entries'!$B$127:$L$128</definedName>
    <definedName name="_______________________________________________________________________________________________________EEN14">'[1]elimination entries'!$B$132:$L$133</definedName>
    <definedName name="_______________________________________________________________________________________________________een15">'[1]elimination entries'!$B$136:$L$139</definedName>
    <definedName name="_______________________________________________________________________________________________________een16">'[1]elimination entries'!$B$142:$L$145</definedName>
    <definedName name="_______________________________________________________________________________________________________EEN17">'[1]elimination entries'!$B$149:$L$160</definedName>
    <definedName name="_______________________________________________________________________________________________________EEN18">'[1]elimination entries'!$B$163:$L$167</definedName>
    <definedName name="___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___EEN28">'[1]elimination entries'!$B$242:$L$249</definedName>
    <definedName name="_______________________________________________________________________________________________________EEN29">'[1]elimination entries'!$B$252:$L$259</definedName>
    <definedName name="_______________________________________________________________________________________________________EEN3">'[1]elimination entries'!$B$37:$L$38</definedName>
    <definedName name="_______________________________________________________________________________________________________EEN30">'[1]elimination entries'!$B$262:$L$269</definedName>
    <definedName name="_______________________________________________________________________________________________________EEN4">'[1]elimination entries'!$B$42:$L$43</definedName>
    <definedName name="_______________________________________________________________________________________________________EEN5">'[1]elimination entries'!$B$47:$L$50</definedName>
    <definedName name="_______________________________________________________________________________________________________EEN6">'[1]elimination entries'!$B$53:$L$55</definedName>
    <definedName name="___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___EEN1">'[1]elimination entries'!$B$8:$L$22</definedName>
    <definedName name="______________________________________________________________________________________________________een11">'[1]elimination entries'!$B$115:$L$116</definedName>
    <definedName name="______________________________________________________________________________________________________EEN13">'[1]elimination entries'!$B$127:$L$128</definedName>
    <definedName name="______________________________________________________________________________________________________EEN14">'[1]elimination entries'!$B$132:$L$133</definedName>
    <definedName name="______________________________________________________________________________________________________een15">'[1]elimination entries'!$B$136:$L$139</definedName>
    <definedName name="______________________________________________________________________________________________________een16">'[1]elimination entries'!$B$142:$L$145</definedName>
    <definedName name="______________________________________________________________________________________________________EEN17">'[1]elimination entries'!$B$149:$L$160</definedName>
    <definedName name="______________________________________________________________________________________________________EEN18">'[1]elimination entries'!$B$163:$L$167</definedName>
    <definedName name="__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__EEN27">'[1]elimination entries'!$B$232:$L$239</definedName>
    <definedName name="______________________________________________________________________________________________________EEN28">'[1]elimination entries'!$B$242:$L$249</definedName>
    <definedName name="______________________________________________________________________________________________________EEN29">'[1]elimination entries'!$B$252:$L$259</definedName>
    <definedName name="______________________________________________________________________________________________________EEN3">'[1]elimination entries'!$B$37:$L$38</definedName>
    <definedName name="______________________________________________________________________________________________________EEN30">'[1]elimination entries'!$B$262:$L$269</definedName>
    <definedName name="______________________________________________________________________________________________________EEN4">'[1]elimination entries'!$B$42:$L$43</definedName>
    <definedName name="______________________________________________________________________________________________________EEN5">'[1]elimination entries'!$B$47:$L$50</definedName>
    <definedName name="______________________________________________________________________________________________________EEN6">'[1]elimination entries'!$B$53:$L$55</definedName>
    <definedName name="__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__EEN1">'[1]elimination entries'!$B$8:$L$22</definedName>
    <definedName name="_____________________________________________________________________________________________________een11">'[1]elimination entries'!$B$115:$L$116</definedName>
    <definedName name="_____________________________________________________________________________________________________EEN12">'[1]elimination entries'!$B$120:$L$123</definedName>
    <definedName name="_____________________________________________________________________________________________________EEN13">'[1]elimination entries'!$B$127:$L$128</definedName>
    <definedName name="_____________________________________________________________________________________________________EEN14">'[1]elimination entries'!$B$132:$L$133</definedName>
    <definedName name="_____________________________________________________________________________________________________een15">'[1]elimination entries'!$B$136:$L$139</definedName>
    <definedName name="_____________________________________________________________________________________________________een16">'[1]elimination entries'!$B$142:$L$145</definedName>
    <definedName name="_____________________________________________________________________________________________________EEN17">'[1]elimination entries'!$B$149:$L$160</definedName>
    <definedName name="_____________________________________________________________________________________________________EEN18">'[1]elimination entries'!$B$163:$L$167</definedName>
    <definedName name="_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_EEN26">'[1]elimination entries'!$B$222:$L$229</definedName>
    <definedName name="_____________________________________________________________________________________________________EEN27">'[1]elimination entries'!$B$232:$L$239</definedName>
    <definedName name="_____________________________________________________________________________________________________EEN28">'[1]elimination entries'!$B$242:$L$249</definedName>
    <definedName name="_____________________________________________________________________________________________________EEN29">'[1]elimination entries'!$B$252:$L$259</definedName>
    <definedName name="_____________________________________________________________________________________________________EEN3">'[1]elimination entries'!$B$37:$L$38</definedName>
    <definedName name="_____________________________________________________________________________________________________EEN30">'[1]elimination entries'!$B$262:$L$269</definedName>
    <definedName name="_____________________________________________________________________________________________________EEN4">'[1]elimination entries'!$B$42:$L$43</definedName>
    <definedName name="_____________________________________________________________________________________________________EEN5">'[1]elimination entries'!$B$47:$L$50</definedName>
    <definedName name="_____________________________________________________________________________________________________EEN6">'[1]elimination entries'!$B$53:$L$55</definedName>
    <definedName name="_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_EEN1">'[1]elimination entries'!$B$8:$L$22</definedName>
    <definedName name="____________________________________________________________________________________________________een11">'[1]elimination entries'!$B$115:$L$116</definedName>
    <definedName name="____________________________________________________________________________________________________EEN12">'[1]elimination entries'!$B$120:$L$123</definedName>
    <definedName name="____________________________________________________________________________________________________EEN13">'[1]elimination entries'!$B$127:$L$128</definedName>
    <definedName name="____________________________________________________________________________________________________EEN14">'[1]elimination entries'!$B$132:$L$133</definedName>
    <definedName name="____________________________________________________________________________________________________een15">'[1]elimination entries'!$B$136:$L$139</definedName>
    <definedName name="____________________________________________________________________________________________________een16">'[1]elimination entries'!$B$142:$L$145</definedName>
    <definedName name="____________________________________________________________________________________________________EEN17">'[1]elimination entries'!$B$149:$L$160</definedName>
    <definedName name="____________________________________________________________________________________________________EEN18">'[1]elimination entries'!$B$163:$L$167</definedName>
    <definedName name="_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_EEN2">'[1]elimination entries'!$B$25:$L$33</definedName>
    <definedName name="_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_EEN25">'[1]elimination entries'!$B$212:$L$219</definedName>
    <definedName name="____________________________________________________________________________________________________EEN27">'[1]elimination entries'!$B$232:$L$239</definedName>
    <definedName name="____________________________________________________________________________________________________EEN28">'[1]elimination entries'!$B$242:$L$249</definedName>
    <definedName name="____________________________________________________________________________________________________EEN29">'[1]elimination entries'!$B$252:$L$259</definedName>
    <definedName name="____________________________________________________________________________________________________EEN3">'[1]elimination entries'!$B$37:$L$38</definedName>
    <definedName name="____________________________________________________________________________________________________EEN30">'[1]elimination entries'!$B$262:$L$269</definedName>
    <definedName name="____________________________________________________________________________________________________EEN4">'[1]elimination entries'!$B$42:$L$43</definedName>
    <definedName name="____________________________________________________________________________________________________EEN5">'[1]elimination entries'!$B$47:$L$50</definedName>
    <definedName name="____________________________________________________________________________________________________EEN6">'[1]elimination entries'!$B$53:$L$55</definedName>
    <definedName name="____________________________________________________________________________________________________EEN7">'[1]elimination entries'!$B$59:$L$61</definedName>
    <definedName name="____________________________________________________________________________________________________EEN8">'[1]elimination entries'!$B$65:$L$74</definedName>
    <definedName name="____________________________________________________________________________________________________EEN9">'[1]elimination entries'!$B$78:$L$94</definedName>
    <definedName name="_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_REN4">'[1]elimination entries'!$B$302:$L$309</definedName>
    <definedName name="___________________________________________________________________________________________________EEN1">'[1]elimination entries'!$B$8:$L$22</definedName>
    <definedName name="___________________________________________________________________________________________________EEN10">'[1]elimination entries'!$B$98:$L$111</definedName>
    <definedName name="___________________________________________________________________________________________________een11">'[1]elimination entries'!$B$115:$L$116</definedName>
    <definedName name="___________________________________________________________________________________________________EEN12">'[1]elimination entries'!$B$120:$L$123</definedName>
    <definedName name="___________________________________________________________________________________________________EEN13">'[1]elimination entries'!$B$127:$L$128</definedName>
    <definedName name="___________________________________________________________________________________________________EEN14">'[1]elimination entries'!$B$132:$L$133</definedName>
    <definedName name="___________________________________________________________________________________________________een15">'[1]elimination entries'!$B$136:$L$139</definedName>
    <definedName name="___________________________________________________________________________________________________een16">'[1]elimination entries'!$B$142:$L$145</definedName>
    <definedName name="___________________________________________________________________________________________________EEN17">'[1]elimination entries'!$B$149:$L$160</definedName>
    <definedName name="___________________________________________________________________________________________________EEN18">'[1]elimination entries'!$B$163:$L$167</definedName>
    <definedName name="___________________________________________________________________________________________________EEN19">'[1]elimination entries'!$B$170:$L$171</definedName>
    <definedName name="___________________________________________________________________________________________________EEN2">'[1]elimination entries'!$B$25:$L$33</definedName>
    <definedName name="___________________________________________________________________________________________________EEN20">'[1]elimination entries'!$B$174:$L$175</definedName>
    <definedName name="___________________________________________________________________________________________________EEN21">'[1]elimination entries'!$B$178:$L$179</definedName>
    <definedName name="___________________________________________________________________________________________________een22">'[1]elimination entries'!$B$182:$L$189</definedName>
    <definedName name="___________________________________________________________________________________________________een23">'[1]elimination entries'!$B$192:$L$199</definedName>
    <definedName name="___________________________________________________________________________________________________EEN24">'[1]elimination entries'!$B$202:$L$209</definedName>
    <definedName name="___________________________________________________________________________________________________EEN26">'[1]elimination entries'!$B$222:$L$229</definedName>
    <definedName name="___________________________________________________________________________________________________EEN27">'[1]elimination entries'!$B$232:$L$239</definedName>
    <definedName name="___________________________________________________________________________________________________EEN28">'[1]elimination entries'!$B$242:$L$249</definedName>
    <definedName name="___________________________________________________________________________________________________EEN29">'[1]elimination entries'!$B$252:$L$259</definedName>
    <definedName name="___________________________________________________________________________________________________EEN3">'[1]elimination entries'!$B$37:$L$38</definedName>
    <definedName name="___________________________________________________________________________________________________EEN30">'[1]elimination entries'!$B$262:$L$269</definedName>
    <definedName name="___________________________________________________________________________________________________EEN4">'[1]elimination entries'!$B$42:$L$43</definedName>
    <definedName name="___________________________________________________________________________________________________EEN5">'[1]elimination entries'!$B$47:$L$50</definedName>
    <definedName name="___________________________________________________________________________________________________EEN6">'[1]elimination entries'!$B$53:$L$55</definedName>
    <definedName name="___________________________________________________________________________________________________EEN7">'[1]elimination entries'!$B$59:$L$61</definedName>
    <definedName name="___________________________________________________________________________________________________EEN8">'[1]elimination entries'!$B$65:$L$74</definedName>
    <definedName name="___________________________________________________________________________________________________EEN9">'[1]elimination entries'!$B$78:$L$94</definedName>
    <definedName name="___________________________________________________________________________________________________REN1">'[1]elimination entries'!$B$277:$L$279</definedName>
    <definedName name="___________________________________________________________________________________________________REN2">'[1]elimination entries'!$B$282:$L$289</definedName>
    <definedName name="___________________________________________________________________________________________________REN3">'[1]elimination entries'!$B$292:$L$299</definedName>
    <definedName name="___________________________________________________________________________________________________REN4">'[1]elimination entries'!$B$302:$L$309</definedName>
    <definedName name="__________________________________________________________________________________________________EEN1">'[1]elimination entries'!$B$8:$L$22</definedName>
    <definedName name="__________________________________________________________________________________________________een11">'[1]elimination entries'!$B$115:$L$116</definedName>
    <definedName name="__________________________________________________________________________________________________EEN12">'[1]elimination entries'!$B$120:$L$123</definedName>
    <definedName name="__________________________________________________________________________________________________EEN13">'[1]elimination entries'!$B$127:$L$128</definedName>
    <definedName name="__________________________________________________________________________________________________EEN14">'[1]elimination entries'!$B$132:$L$133</definedName>
    <definedName name="__________________________________________________________________________________________________een15">'[1]elimination entries'!$B$136:$L$139</definedName>
    <definedName name="__________________________________________________________________________________________________een16">'[1]elimination entries'!$B$142:$L$145</definedName>
    <definedName name="__________________________________________________________________________________________________EEN17">'[1]elimination entries'!$B$149:$L$160</definedName>
    <definedName name="__________________________________________________________________________________________________EEN18">'[1]elimination entries'!$B$163:$L$167</definedName>
    <definedName name="__________________________________________________________________________________________________EEN19">'[1]elimination entries'!$B$170:$L$171</definedName>
    <definedName name="__________________________________________________________________________________________________EEN2">'[1]elimination entries'!$B$25:$L$33</definedName>
    <definedName name="__________________________________________________________________________________________________EEN20">'[1]elimination entries'!$B$174:$L$175</definedName>
    <definedName name="__________________________________________________________________________________________________EEN21">'[1]elimination entries'!$B$178:$L$179</definedName>
    <definedName name="__________________________________________________________________________________________________een22">'[1]elimination entries'!$B$182:$L$189</definedName>
    <definedName name="__________________________________________________________________________________________________een23">'[1]elimination entries'!$B$192:$L$199</definedName>
    <definedName name="__________________________________________________________________________________________________EEN24">'[1]elimination entries'!$B$202:$L$209</definedName>
    <definedName name="__________________________________________________________________________________________________EEN25">'[1]elimination entries'!$B$212:$L$219</definedName>
    <definedName name="__________________________________________________________________________________________________EEN27">'[1]elimination entries'!$B$232:$L$239</definedName>
    <definedName name="__________________________________________________________________________________________________EEN28">'[1]elimination entries'!$B$242:$L$249</definedName>
    <definedName name="__________________________________________________________________________________________________EEN29">'[1]elimination entries'!$B$252:$L$259</definedName>
    <definedName name="__________________________________________________________________________________________________EEN3">'[1]elimination entries'!$B$37:$L$38</definedName>
    <definedName name="__________________________________________________________________________________________________EEN30">'[1]elimination entries'!$B$262:$L$269</definedName>
    <definedName name="__________________________________________________________________________________________________EEN4">'[1]elimination entries'!$B$42:$L$43</definedName>
    <definedName name="__________________________________________________________________________________________________EEN5">'[1]elimination entries'!$B$47:$L$50</definedName>
    <definedName name="__________________________________________________________________________________________________EEN6">'[1]elimination entries'!$B$53:$L$55</definedName>
    <definedName name="__________________________________________________________________________________________________EEN7">'[1]elimination entries'!$B$59:$L$61</definedName>
    <definedName name="__________________________________________________________________________________________________EEN8">'[1]elimination entries'!$B$65:$L$74</definedName>
    <definedName name="__________________________________________________________________________________________________EEN9">'[1]elimination entries'!$B$78:$L$94</definedName>
    <definedName name="__________________________________________________________________________________________________REN1">'[1]elimination entries'!$B$277:$L$279</definedName>
    <definedName name="__________________________________________________________________________________________________REN2">'[1]elimination entries'!$B$282:$L$289</definedName>
    <definedName name="__________________________________________________________________________________________________REN3">'[1]elimination entries'!$B$292:$L$299</definedName>
    <definedName name="__________________________________________________________________________________________________REN4">'[1]elimination entries'!$B$302:$L$309</definedName>
    <definedName name="_________________________________________________________________________________________________EEN1">'[1]elimination entries'!$B$8:$L$22</definedName>
    <definedName name="_________________________________________________________________________________________________EEN10">'[1]elimination entries'!$B$98:$L$111</definedName>
    <definedName name="_________________________________________________________________________________________________een11">'[1]elimination entries'!$B$115:$L$116</definedName>
    <definedName name="_________________________________________________________________________________________________EEN12">'[1]elimination entries'!$B$120:$L$123</definedName>
    <definedName name="_________________________________________________________________________________________________EEN13">'[1]elimination entries'!$B$127:$L$128</definedName>
    <definedName name="_________________________________________________________________________________________________EEN14">'[1]elimination entries'!$B$132:$L$133</definedName>
    <definedName name="_________________________________________________________________________________________________een15">'[1]elimination entries'!$B$136:$L$139</definedName>
    <definedName name="_________________________________________________________________________________________________een16">'[1]elimination entries'!$B$142:$L$145</definedName>
    <definedName name="_________________________________________________________________________________________________EEN17">'[1]elimination entries'!$B$149:$L$160</definedName>
    <definedName name="_________________________________________________________________________________________________EEN18">'[1]elimination entries'!$B$163:$L$167</definedName>
    <definedName name="_________________________________________________________________________________________________EEN19">'[1]elimination entries'!$B$170:$L$171</definedName>
    <definedName name="_________________________________________________________________________________________________EEN2">'[1]elimination entries'!$B$25:$L$33</definedName>
    <definedName name="_________________________________________________________________________________________________EEN20">'[1]elimination entries'!$B$174:$L$175</definedName>
    <definedName name="_________________________________________________________________________________________________EEN21">'[1]elimination entries'!$B$178:$L$179</definedName>
    <definedName name="_________________________________________________________________________________________________een22">'[1]elimination entries'!$B$182:$L$189</definedName>
    <definedName name="_________________________________________________________________________________________________een23">'[1]elimination entries'!$B$192:$L$199</definedName>
    <definedName name="_________________________________________________________________________________________________EEN24">'[1]elimination entries'!$B$202:$L$209</definedName>
    <definedName name="_________________________________________________________________________________________________EEN26">'[1]elimination entries'!$B$222:$L$229</definedName>
    <definedName name="_________________________________________________________________________________________________EEN27">'[1]elimination entries'!$B$232:$L$239</definedName>
    <definedName name="_________________________________________________________________________________________________EEN28">'[1]elimination entries'!$B$242:$L$249</definedName>
    <definedName name="_________________________________________________________________________________________________EEN29">'[1]elimination entries'!$B$252:$L$259</definedName>
    <definedName name="_________________________________________________________________________________________________EEN3">'[1]elimination entries'!$B$37:$L$38</definedName>
    <definedName name="_________________________________________________________________________________________________EEN30">'[1]elimination entries'!$B$262:$L$269</definedName>
    <definedName name="_________________________________________________________________________________________________EEN4">'[1]elimination entries'!$B$42:$L$43</definedName>
    <definedName name="_________________________________________________________________________________________________EEN5">'[1]elimination entries'!$B$47:$L$50</definedName>
    <definedName name="_________________________________________________________________________________________________EEN6">'[1]elimination entries'!$B$53:$L$55</definedName>
    <definedName name="_________________________________________________________________________________________________EEN7">'[1]elimination entries'!$B$59:$L$61</definedName>
    <definedName name="_________________________________________________________________________________________________EEN8">'[1]elimination entries'!$B$65:$L$74</definedName>
    <definedName name="_________________________________________________________________________________________________EEN9">'[1]elimination entries'!$B$78:$L$94</definedName>
    <definedName name="_________________________________________________________________________________________________REN1">'[1]elimination entries'!$B$277:$L$279</definedName>
    <definedName name="_________________________________________________________________________________________________REN2">'[1]elimination entries'!$B$282:$L$289</definedName>
    <definedName name="_________________________________________________________________________________________________REN3">'[1]elimination entries'!$B$292:$L$299</definedName>
    <definedName name="_________________________________________________________________________________________________REN4">'[1]elimination entries'!$B$302:$L$309</definedName>
    <definedName name="________________________________________________________________________________________________EEN1">'[1]elimination entries'!$B$8:$L$22</definedName>
    <definedName name="________________________________________________________________________________________________een11">'[1]elimination entries'!$B$115:$L$116</definedName>
    <definedName name="________________________________________________________________________________________________EEN12">'[1]elimination entries'!$B$120:$L$123</definedName>
    <definedName name="________________________________________________________________________________________________EEN13">'[1]elimination entries'!$B$127:$L$128</definedName>
    <definedName name="________________________________________________________________________________________________EEN14">'[1]elimination entries'!$B$132:$L$133</definedName>
    <definedName name="________________________________________________________________________________________________een15">'[1]elimination entries'!$B$136:$L$139</definedName>
    <definedName name="________________________________________________________________________________________________een16">'[1]elimination entries'!$B$142:$L$145</definedName>
    <definedName name="________________________________________________________________________________________________EEN17">'[1]elimination entries'!$B$149:$L$160</definedName>
    <definedName name="________________________________________________________________________________________________EEN18">'[1]elimination entries'!$B$163:$L$167</definedName>
    <definedName name="________________________________________________________________________________________________EEN19">'[1]elimination entries'!$B$170:$L$171</definedName>
    <definedName name="________________________________________________________________________________________________EEN2">'[1]elimination entries'!$B$25:$L$33</definedName>
    <definedName name="________________________________________________________________________________________________EEN20">'[1]elimination entries'!$B$174:$L$175</definedName>
    <definedName name="________________________________________________________________________________________________EEN21">'[1]elimination entries'!$B$178:$L$179</definedName>
    <definedName name="________________________________________________________________________________________________een22">'[1]elimination entries'!$B$182:$L$189</definedName>
    <definedName name="________________________________________________________________________________________________een23">'[1]elimination entries'!$B$192:$L$199</definedName>
    <definedName name="________________________________________________________________________________________________EEN24">'[1]elimination entries'!$B$202:$L$209</definedName>
    <definedName name="________________________________________________________________________________________________EEN25">'[1]elimination entries'!$B$212:$L$219</definedName>
    <definedName name="________________________________________________________________________________________________EEN26">'[1]elimination entries'!$B$222:$L$229</definedName>
    <definedName name="________________________________________________________________________________________________EEN27">'[1]elimination entries'!$B$232:$L$239</definedName>
    <definedName name="________________________________________________________________________________________________EEN28">'[1]elimination entries'!$B$242:$L$249</definedName>
    <definedName name="________________________________________________________________________________________________EEN29">'[1]elimination entries'!$B$252:$L$259</definedName>
    <definedName name="________________________________________________________________________________________________EEN3">'[1]elimination entries'!$B$37:$L$38</definedName>
    <definedName name="________________________________________________________________________________________________EEN30">'[1]elimination entries'!$B$262:$L$269</definedName>
    <definedName name="________________________________________________________________________________________________EEN4">'[1]elimination entries'!$B$42:$L$43</definedName>
    <definedName name="________________________________________________________________________________________________EEN5">'[1]elimination entries'!$B$47:$L$50</definedName>
    <definedName name="________________________________________________________________________________________________EEN6">'[1]elimination entries'!$B$53:$L$55</definedName>
    <definedName name="________________________________________________________________________________________________EEN7">'[1]elimination entries'!$B$59:$L$61</definedName>
    <definedName name="________________________________________________________________________________________________EEN8">'[1]elimination entries'!$B$65:$L$74</definedName>
    <definedName name="________________________________________________________________________________________________EEN9">'[1]elimination entries'!$B$78:$L$94</definedName>
    <definedName name="________________________________________________________________________________________________REN1">'[1]elimination entries'!$B$277:$L$279</definedName>
    <definedName name="________________________________________________________________________________________________REN2">'[1]elimination entries'!$B$282:$L$289</definedName>
    <definedName name="________________________________________________________________________________________________REN3">'[1]elimination entries'!$B$292:$L$299</definedName>
    <definedName name="________________________________________________________________________________________________REN4">'[1]elimination entries'!$B$302:$L$309</definedName>
    <definedName name="_______________________________________________________________________________________________EEN1">'[1]elimination entries'!$B$8:$L$22</definedName>
    <definedName name="_______________________________________________________________________________________________EEN10">'[1]elimination entries'!$B$98:$L$111</definedName>
    <definedName name="_______________________________________________________________________________________________een11">'[1]elimination entries'!$B$115:$L$116</definedName>
    <definedName name="_______________________________________________________________________________________________EEN12">'[1]elimination entries'!$B$120:$L$123</definedName>
    <definedName name="_______________________________________________________________________________________________EEN13">'[1]elimination entries'!$B$127:$L$128</definedName>
    <definedName name="_______________________________________________________________________________________________EEN14">'[1]elimination entries'!$B$132:$L$133</definedName>
    <definedName name="_______________________________________________________________________________________________een15">'[1]elimination entries'!$B$136:$L$139</definedName>
    <definedName name="_______________________________________________________________________________________________een16">'[1]elimination entries'!$B$142:$L$145</definedName>
    <definedName name="_______________________________________________________________________________________________EEN17">'[1]elimination entries'!$B$149:$L$160</definedName>
    <definedName name="_______________________________________________________________________________________________EEN18">'[1]elimination entries'!$B$163:$L$167</definedName>
    <definedName name="_______________________________________________________________________________________________EEN19">'[1]elimination entries'!$B$170:$L$171</definedName>
    <definedName name="_______________________________________________________________________________________________EEN2">'[1]elimination entries'!$B$25:$L$33</definedName>
    <definedName name="_______________________________________________________________________________________________EEN20">'[1]elimination entries'!$B$174:$L$175</definedName>
    <definedName name="_______________________________________________________________________________________________EEN21">'[1]elimination entries'!$B$178:$L$179</definedName>
    <definedName name="_______________________________________________________________________________________________een22">'[1]elimination entries'!$B$182:$L$189</definedName>
    <definedName name="_______________________________________________________________________________________________een23">'[1]elimination entries'!$B$192:$L$199</definedName>
    <definedName name="_______________________________________________________________________________________________EEN24">'[1]elimination entries'!$B$202:$L$209</definedName>
    <definedName name="_______________________________________________________________________________________________EEN25">'[1]elimination entries'!$B$212:$L$219</definedName>
    <definedName name="_______________________________________________________________________________________________EEN26">'[1]elimination entries'!$B$222:$L$229</definedName>
    <definedName name="_______________________________________________________________________________________________EEN27">'[1]elimination entries'!$B$232:$L$239</definedName>
    <definedName name="_______________________________________________________________________________________________EEN28">'[1]elimination entries'!$B$242:$L$249</definedName>
    <definedName name="_______________________________________________________________________________________________EEN29">'[1]elimination entries'!$B$252:$L$259</definedName>
    <definedName name="_______________________________________________________________________________________________EEN3">'[1]elimination entries'!$B$37:$L$38</definedName>
    <definedName name="_______________________________________________________________________________________________EEN30">'[1]elimination entries'!$B$262:$L$269</definedName>
    <definedName name="_______________________________________________________________________________________________EEN4">'[1]elimination entries'!$B$42:$L$43</definedName>
    <definedName name="_______________________________________________________________________________________________EEN5">'[1]elimination entries'!$B$47:$L$50</definedName>
    <definedName name="_______________________________________________________________________________________________EEN6">'[1]elimination entries'!$B$53:$L$55</definedName>
    <definedName name="_______________________________________________________________________________________________EEN7">'[1]elimination entries'!$B$59:$L$61</definedName>
    <definedName name="_______________________________________________________________________________________________EEN8">'[1]elimination entries'!$B$65:$L$74</definedName>
    <definedName name="_______________________________________________________________________________________________EEN9">'[1]elimination entries'!$B$78:$L$94</definedName>
    <definedName name="_______________________________________________________________________________________________REN1">'[1]elimination entries'!$B$277:$L$279</definedName>
    <definedName name="_______________________________________________________________________________________________REN2">'[1]elimination entries'!$B$282:$L$289</definedName>
    <definedName name="_______________________________________________________________________________________________REN3">'[1]elimination entries'!$B$292:$L$299</definedName>
    <definedName name="_______________________________________________________________________________________________REN4">'[1]elimination entries'!$B$302:$L$309</definedName>
    <definedName name="______________________________________________________________________________________________EEN1">'[1]elimination entries'!$B$8:$L$22</definedName>
    <definedName name="______________________________________________________________________________________________EEN10">'[1]elimination entries'!$B$98:$L$111</definedName>
    <definedName name="______________________________________________________________________________________________een11">'[1]elimination entries'!$B$115:$L$116</definedName>
    <definedName name="______________________________________________________________________________________________EEN12">'[1]elimination entries'!$B$120:$L$123</definedName>
    <definedName name="______________________________________________________________________________________________EEN13">'[1]elimination entries'!$B$127:$L$128</definedName>
    <definedName name="______________________________________________________________________________________________EEN14">'[1]elimination entries'!$B$132:$L$133</definedName>
    <definedName name="______________________________________________________________________________________________een15">'[1]elimination entries'!$B$136:$L$139</definedName>
    <definedName name="______________________________________________________________________________________________een16">'[1]elimination entries'!$B$142:$L$145</definedName>
    <definedName name="______________________________________________________________________________________________EEN17">'[1]elimination entries'!$B$149:$L$160</definedName>
    <definedName name="______________________________________________________________________________________________EEN18">'[1]elimination entries'!$B$163:$L$167</definedName>
    <definedName name="______________________________________________________________________________________________EEN19">'[1]elimination entries'!$B$170:$L$171</definedName>
    <definedName name="______________________________________________________________________________________________EEN2">'[1]elimination entries'!$B$25:$L$33</definedName>
    <definedName name="______________________________________________________________________________________________EEN20">'[1]elimination entries'!$B$174:$L$175</definedName>
    <definedName name="______________________________________________________________________________________________EEN21">'[1]elimination entries'!$B$178:$L$179</definedName>
    <definedName name="______________________________________________________________________________________________een22">'[1]elimination entries'!$B$182:$L$189</definedName>
    <definedName name="______________________________________________________________________________________________een23">'[1]elimination entries'!$B$192:$L$199</definedName>
    <definedName name="______________________________________________________________________________________________EEN24">'[1]elimination entries'!$B$202:$L$209</definedName>
    <definedName name="______________________________________________________________________________________________EEN25">'[1]elimination entries'!$B$212:$L$219</definedName>
    <definedName name="______________________________________________________________________________________________EEN26">'[1]elimination entries'!$B$222:$L$229</definedName>
    <definedName name="______________________________________________________________________________________________EEN27">'[1]elimination entries'!$B$232:$L$239</definedName>
    <definedName name="______________________________________________________________________________________________EEN28">'[1]elimination entries'!$B$242:$L$249</definedName>
    <definedName name="______________________________________________________________________________________________EEN29">'[1]elimination entries'!$B$252:$L$259</definedName>
    <definedName name="______________________________________________________________________________________________EEN3">'[1]elimination entries'!$B$37:$L$38</definedName>
    <definedName name="______________________________________________________________________________________________EEN30">'[1]elimination entries'!$B$262:$L$269</definedName>
    <definedName name="______________________________________________________________________________________________EEN4">'[1]elimination entries'!$B$42:$L$43</definedName>
    <definedName name="______________________________________________________________________________________________EEN5">'[1]elimination entries'!$B$47:$L$50</definedName>
    <definedName name="______________________________________________________________________________________________EEN6">'[1]elimination entries'!$B$53:$L$55</definedName>
    <definedName name="______________________________________________________________________________________________EEN7">'[1]elimination entries'!$B$59:$L$61</definedName>
    <definedName name="______________________________________________________________________________________________EEN8">'[1]elimination entries'!$B$65:$L$74</definedName>
    <definedName name="______________________________________________________________________________________________EEN9">'[1]elimination entries'!$B$78:$L$94</definedName>
    <definedName name="______________________________________________________________________________________________REN1">'[1]elimination entries'!$B$277:$L$279</definedName>
    <definedName name="______________________________________________________________________________________________REN2">'[1]elimination entries'!$B$282:$L$289</definedName>
    <definedName name="______________________________________________________________________________________________REN3">'[1]elimination entries'!$B$292:$L$299</definedName>
    <definedName name="______________________________________________________________________________________________REN4">'[1]elimination entries'!$B$302:$L$309</definedName>
    <definedName name="_____________________________________________________________________________________________EEN1">'[1]elimination entries'!$B$8:$L$22</definedName>
    <definedName name="_____________________________________________________________________________________________EEN10">'[1]elimination entries'!$B$98:$L$111</definedName>
    <definedName name="_____________________________________________________________________________________________een11">'[1]elimination entries'!$B$115:$L$116</definedName>
    <definedName name="_____________________________________________________________________________________________EEN12">'[1]elimination entries'!$B$120:$L$123</definedName>
    <definedName name="_____________________________________________________________________________________________EEN13">'[1]elimination entries'!$B$127:$L$128</definedName>
    <definedName name="_____________________________________________________________________________________________EEN14">'[1]elimination entries'!$B$132:$L$133</definedName>
    <definedName name="_____________________________________________________________________________________________een15">'[1]elimination entries'!$B$136:$L$139</definedName>
    <definedName name="_____________________________________________________________________________________________een16">'[1]elimination entries'!$B$142:$L$145</definedName>
    <definedName name="_____________________________________________________________________________________________EEN17">'[1]elimination entries'!$B$149:$L$160</definedName>
    <definedName name="_____________________________________________________________________________________________EEN18">'[1]elimination entries'!$B$163:$L$167</definedName>
    <definedName name="_____________________________________________________________________________________________EEN19">'[1]elimination entries'!$B$170:$L$171</definedName>
    <definedName name="_____________________________________________________________________________________________EEN2">'[1]elimination entries'!$B$25:$L$33</definedName>
    <definedName name="_____________________________________________________________________________________________EEN20">'[1]elimination entries'!$B$174:$L$175</definedName>
    <definedName name="_____________________________________________________________________________________________EEN21">'[1]elimination entries'!$B$178:$L$179</definedName>
    <definedName name="_____________________________________________________________________________________________een22">'[1]elimination entries'!$B$182:$L$189</definedName>
    <definedName name="_____________________________________________________________________________________________een23">'[1]elimination entries'!$B$192:$L$199</definedName>
    <definedName name="_____________________________________________________________________________________________EEN24">'[1]elimination entries'!$B$202:$L$209</definedName>
    <definedName name="_____________________________________________________________________________________________EEN25">'[1]elimination entries'!$B$212:$L$219</definedName>
    <definedName name="_____________________________________________________________________________________________EEN26">'[1]elimination entries'!$B$222:$L$229</definedName>
    <definedName name="_____________________________________________________________________________________________EEN27">'[1]elimination entries'!$B$232:$L$239</definedName>
    <definedName name="_____________________________________________________________________________________________EEN28">'[1]elimination entries'!$B$242:$L$249</definedName>
    <definedName name="_____________________________________________________________________________________________EEN29">'[1]elimination entries'!$B$252:$L$259</definedName>
    <definedName name="_____________________________________________________________________________________________EEN3">'[1]elimination entries'!$B$37:$L$38</definedName>
    <definedName name="_____________________________________________________________________________________________EEN30">'[1]elimination entries'!$B$262:$L$269</definedName>
    <definedName name="_____________________________________________________________________________________________EEN4">'[1]elimination entries'!$B$42:$L$43</definedName>
    <definedName name="_____________________________________________________________________________________________EEN5">'[1]elimination entries'!$B$47:$L$50</definedName>
    <definedName name="_____________________________________________________________________________________________EEN6">'[1]elimination entries'!$B$53:$L$55</definedName>
    <definedName name="_____________________________________________________________________________________________EEN7">'[1]elimination entries'!$B$59:$L$61</definedName>
    <definedName name="_____________________________________________________________________________________________EEN8">'[1]elimination entries'!$B$65:$L$74</definedName>
    <definedName name="_____________________________________________________________________________________________EEN9">'[1]elimination entries'!$B$78:$L$94</definedName>
    <definedName name="_____________________________________________________________________________________________REN1">'[1]elimination entries'!$B$277:$L$279</definedName>
    <definedName name="_____________________________________________________________________________________________REN2">'[1]elimination entries'!$B$282:$L$289</definedName>
    <definedName name="_____________________________________________________________________________________________REN3">'[1]elimination entries'!$B$292:$L$299</definedName>
    <definedName name="_____________________________________________________________________________________________REN4">'[1]elimination entries'!$B$302:$L$309</definedName>
    <definedName name="____________________________________________________________________________________________EEN1">'[1]elimination entries'!$B$8:$L$22</definedName>
    <definedName name="____________________________________________________________________________________________EEN10">'[1]elimination entries'!$B$98:$L$111</definedName>
    <definedName name="____________________________________________________________________________________________een11">'[1]elimination entries'!$B$115:$L$116</definedName>
    <definedName name="____________________________________________________________________________________________EEN12">'[1]elimination entries'!$B$120:$L$123</definedName>
    <definedName name="____________________________________________________________________________________________EEN13">'[1]elimination entries'!$B$127:$L$128</definedName>
    <definedName name="____________________________________________________________________________________________EEN14">'[1]elimination entries'!$B$132:$L$133</definedName>
    <definedName name="____________________________________________________________________________________________een15">'[1]elimination entries'!$B$136:$L$139</definedName>
    <definedName name="____________________________________________________________________________________________een16">'[1]elimination entries'!$B$142:$L$145</definedName>
    <definedName name="____________________________________________________________________________________________EEN17">'[1]elimination entries'!$B$149:$L$160</definedName>
    <definedName name="____________________________________________________________________________________________EEN18">'[1]elimination entries'!$B$163:$L$167</definedName>
    <definedName name="____________________________________________________________________________________________EEN19">'[1]elimination entries'!$B$170:$L$171</definedName>
    <definedName name="____________________________________________________________________________________________EEN2">'[1]elimination entries'!$B$25:$L$33</definedName>
    <definedName name="____________________________________________________________________________________________EEN20">'[1]elimination entries'!$B$174:$L$175</definedName>
    <definedName name="____________________________________________________________________________________________EEN21">'[1]elimination entries'!$B$178:$L$179</definedName>
    <definedName name="____________________________________________________________________________________________een22">'[1]elimination entries'!$B$182:$L$189</definedName>
    <definedName name="____________________________________________________________________________________________een23">'[1]elimination entries'!$B$192:$L$199</definedName>
    <definedName name="____________________________________________________________________________________________EEN24">'[1]elimination entries'!$B$202:$L$209</definedName>
    <definedName name="____________________________________________________________________________________________EEN25">'[1]elimination entries'!$B$212:$L$219</definedName>
    <definedName name="____________________________________________________________________________________________EEN26">'[1]elimination entries'!$B$222:$L$229</definedName>
    <definedName name="____________________________________________________________________________________________EEN27">'[1]elimination entries'!$B$232:$L$239</definedName>
    <definedName name="____________________________________________________________________________________________EEN28">'[1]elimination entries'!$B$242:$L$249</definedName>
    <definedName name="____________________________________________________________________________________________EEN29">'[1]elimination entries'!$B$252:$L$259</definedName>
    <definedName name="____________________________________________________________________________________________EEN3">'[1]elimination entries'!$B$37:$L$38</definedName>
    <definedName name="____________________________________________________________________________________________EEN30">'[1]elimination entries'!$B$262:$L$269</definedName>
    <definedName name="____________________________________________________________________________________________EEN4">'[1]elimination entries'!$B$42:$L$43</definedName>
    <definedName name="____________________________________________________________________________________________EEN5">'[1]elimination entries'!$B$47:$L$50</definedName>
    <definedName name="____________________________________________________________________________________________EEN6">'[1]elimination entries'!$B$53:$L$55</definedName>
    <definedName name="____________________________________________________________________________________________EEN7">'[1]elimination entries'!$B$59:$L$61</definedName>
    <definedName name="____________________________________________________________________________________________EEN8">'[1]elimination entries'!$B$65:$L$74</definedName>
    <definedName name="____________________________________________________________________________________________EEN9">'[1]elimination entries'!$B$78:$L$94</definedName>
    <definedName name="____________________________________________________________________________________________REN1">'[1]elimination entries'!$B$277:$L$279</definedName>
    <definedName name="____________________________________________________________________________________________REN2">'[1]elimination entries'!$B$282:$L$289</definedName>
    <definedName name="____________________________________________________________________________________________REN3">'[1]elimination entries'!$B$292:$L$299</definedName>
    <definedName name="____________________________________________________________________________________________REN4">'[1]elimination entries'!$B$302:$L$309</definedName>
    <definedName name="___________________________________________________________________________________________EEN1">'[1]elimination entries'!$B$8:$L$22</definedName>
    <definedName name="___________________________________________________________________________________________EEN10">'[1]elimination entries'!$B$98:$L$111</definedName>
    <definedName name="___________________________________________________________________________________________een11">'[1]elimination entries'!$B$115:$L$116</definedName>
    <definedName name="___________________________________________________________________________________________EEN12">'[1]elimination entries'!$B$120:$L$123</definedName>
    <definedName name="___________________________________________________________________________________________EEN13">'[1]elimination entries'!$B$127:$L$128</definedName>
    <definedName name="___________________________________________________________________________________________EEN14">'[1]elimination entries'!$B$132:$L$133</definedName>
    <definedName name="___________________________________________________________________________________________een15">'[1]elimination entries'!$B$136:$L$139</definedName>
    <definedName name="___________________________________________________________________________________________een16">'[1]elimination entries'!$B$142:$L$145</definedName>
    <definedName name="___________________________________________________________________________________________EEN17">'[1]elimination entries'!$B$149:$L$160</definedName>
    <definedName name="___________________________________________________________________________________________EEN18">'[1]elimination entries'!$B$163:$L$167</definedName>
    <definedName name="___________________________________________________________________________________________EEN19">'[1]elimination entries'!$B$170:$L$171</definedName>
    <definedName name="___________________________________________________________________________________________EEN2">'[1]elimination entries'!$B$25:$L$33</definedName>
    <definedName name="___________________________________________________________________________________________EEN20">'[1]elimination entries'!$B$174:$L$175</definedName>
    <definedName name="___________________________________________________________________________________________EEN21">'[1]elimination entries'!$B$178:$L$179</definedName>
    <definedName name="___________________________________________________________________________________________een22">'[1]elimination entries'!$B$182:$L$189</definedName>
    <definedName name="___________________________________________________________________________________________een23">'[1]elimination entries'!$B$192:$L$199</definedName>
    <definedName name="___________________________________________________________________________________________EEN24">'[1]elimination entries'!$B$202:$L$209</definedName>
    <definedName name="___________________________________________________________________________________________EEN25">'[1]elimination entries'!$B$212:$L$219</definedName>
    <definedName name="___________________________________________________________________________________________EEN26">'[1]elimination entries'!$B$222:$L$229</definedName>
    <definedName name="___________________________________________________________________________________________EEN27">'[1]elimination entries'!$B$232:$L$239</definedName>
    <definedName name="___________________________________________________________________________________________EEN28">'[1]elimination entries'!$B$242:$L$249</definedName>
    <definedName name="___________________________________________________________________________________________EEN29">'[1]elimination entries'!$B$252:$L$259</definedName>
    <definedName name="___________________________________________________________________________________________EEN3">'[1]elimination entries'!$B$37:$L$38</definedName>
    <definedName name="___________________________________________________________________________________________EEN30">'[1]elimination entries'!$B$262:$L$269</definedName>
    <definedName name="___________________________________________________________________________________________EEN4">'[1]elimination entries'!$B$42:$L$43</definedName>
    <definedName name="___________________________________________________________________________________________EEN5">'[1]elimination entries'!$B$47:$L$50</definedName>
    <definedName name="___________________________________________________________________________________________EEN6">'[1]elimination entries'!$B$53:$L$55</definedName>
    <definedName name="___________________________________________________________________________________________EEN7">'[1]elimination entries'!$B$59:$L$61</definedName>
    <definedName name="___________________________________________________________________________________________EEN8">'[1]elimination entries'!$B$65:$L$74</definedName>
    <definedName name="___________________________________________________________________________________________EEN9">'[1]elimination entries'!$B$78:$L$94</definedName>
    <definedName name="___________________________________________________________________________________________REN1">'[1]elimination entries'!$B$277:$L$279</definedName>
    <definedName name="___________________________________________________________________________________________REN2">'[1]elimination entries'!$B$282:$L$289</definedName>
    <definedName name="___________________________________________________________________________________________REN3">'[1]elimination entries'!$B$292:$L$299</definedName>
    <definedName name="___________________________________________________________________________________________REN4">'[1]elimination entries'!$B$302:$L$309</definedName>
    <definedName name="__________________________________________________________________________________________EEN1">'[1]elimination entries'!$B$8:$L$22</definedName>
    <definedName name="__________________________________________________________________________________________EEN10">'[1]elimination entries'!$B$98:$L$111</definedName>
    <definedName name="__________________________________________________________________________________________een11">'[1]elimination entries'!$B$115:$L$116</definedName>
    <definedName name="__________________________________________________________________________________________EEN12">'[1]elimination entries'!$B$120:$L$123</definedName>
    <definedName name="__________________________________________________________________________________________EEN13">'[1]elimination entries'!$B$127:$L$128</definedName>
    <definedName name="__________________________________________________________________________________________EEN14">'[1]elimination entries'!$B$132:$L$133</definedName>
    <definedName name="__________________________________________________________________________________________een15">'[1]elimination entries'!$B$136:$L$139</definedName>
    <definedName name="__________________________________________________________________________________________een16">'[1]elimination entries'!$B$142:$L$145</definedName>
    <definedName name="__________________________________________________________________________________________EEN17">'[1]elimination entries'!$B$149:$L$160</definedName>
    <definedName name="__________________________________________________________________________________________EEN18">'[1]elimination entries'!$B$163:$L$167</definedName>
    <definedName name="__________________________________________________________________________________________EEN19">'[1]elimination entries'!$B$170:$L$171</definedName>
    <definedName name="__________________________________________________________________________________________EEN2">'[1]elimination entries'!$B$25:$L$33</definedName>
    <definedName name="__________________________________________________________________________________________EEN20">'[1]elimination entries'!$B$174:$L$175</definedName>
    <definedName name="__________________________________________________________________________________________EEN21">'[1]elimination entries'!$B$178:$L$179</definedName>
    <definedName name="__________________________________________________________________________________________een22">'[1]elimination entries'!$B$182:$L$189</definedName>
    <definedName name="__________________________________________________________________________________________een23">'[1]elimination entries'!$B$192:$L$199</definedName>
    <definedName name="__________________________________________________________________________________________EEN24">'[1]elimination entries'!$B$202:$L$209</definedName>
    <definedName name="__________________________________________________________________________________________EEN25">'[1]elimination entries'!$B$212:$L$219</definedName>
    <definedName name="__________________________________________________________________________________________EEN26">'[1]elimination entries'!$B$222:$L$229</definedName>
    <definedName name="__________________________________________________________________________________________EEN27">'[1]elimination entries'!$B$232:$L$239</definedName>
    <definedName name="__________________________________________________________________________________________EEN28">'[1]elimination entries'!$B$242:$L$249</definedName>
    <definedName name="__________________________________________________________________________________________EEN29">'[1]elimination entries'!$B$252:$L$259</definedName>
    <definedName name="__________________________________________________________________________________________EEN3">'[1]elimination entries'!$B$37:$L$38</definedName>
    <definedName name="__________________________________________________________________________________________EEN30">'[1]elimination entries'!$B$262:$L$269</definedName>
    <definedName name="__________________________________________________________________________________________EEN4">'[1]elimination entries'!$B$42:$L$43</definedName>
    <definedName name="__________________________________________________________________________________________EEN5">'[1]elimination entries'!$B$47:$L$50</definedName>
    <definedName name="__________________________________________________________________________________________EEN6">'[1]elimination entries'!$B$53:$L$55</definedName>
    <definedName name="__________________________________________________________________________________________EEN7">'[1]elimination entries'!$B$59:$L$61</definedName>
    <definedName name="__________________________________________________________________________________________EEN8">'[1]elimination entries'!$B$65:$L$74</definedName>
    <definedName name="__________________________________________________________________________________________EEN9">'[1]elimination entries'!$B$78:$L$94</definedName>
    <definedName name="__________________________________________________________________________________________REN1">'[1]elimination entries'!$B$277:$L$279</definedName>
    <definedName name="__________________________________________________________________________________________REN2">'[1]elimination entries'!$B$282:$L$289</definedName>
    <definedName name="__________________________________________________________________________________________REN3">'[1]elimination entries'!$B$292:$L$299</definedName>
    <definedName name="__________________________________________________________________________________________REN4">'[1]elimination entries'!$B$302:$L$309</definedName>
    <definedName name="_________________________________________________________________________________________EEN1">'[1]elimination entries'!$B$8:$L$22</definedName>
    <definedName name="_________________________________________________________________________________________EEN10">'[1]elimination entries'!$B$98:$L$111</definedName>
    <definedName name="_________________________________________________________________________________________een11">'[1]elimination entries'!$B$115:$L$116</definedName>
    <definedName name="_________________________________________________________________________________________EEN12">'[1]elimination entries'!$B$120:$L$123</definedName>
    <definedName name="_________________________________________________________________________________________EEN13">'[1]elimination entries'!$B$127:$L$128</definedName>
    <definedName name="_________________________________________________________________________________________EEN14">'[1]elimination entries'!$B$132:$L$133</definedName>
    <definedName name="_________________________________________________________________________________________een15">'[1]elimination entries'!$B$136:$L$139</definedName>
    <definedName name="_________________________________________________________________________________________een16">'[1]elimination entries'!$B$142:$L$145</definedName>
    <definedName name="_________________________________________________________________________________________EEN17">'[1]elimination entries'!$B$149:$L$160</definedName>
    <definedName name="_________________________________________________________________________________________EEN18">'[1]elimination entries'!$B$163:$L$167</definedName>
    <definedName name="_________________________________________________________________________________________EEN19">'[1]elimination entries'!$B$170:$L$171</definedName>
    <definedName name="_________________________________________________________________________________________EEN2">'[1]elimination entries'!$B$25:$L$33</definedName>
    <definedName name="_________________________________________________________________________________________EEN20">'[1]elimination entries'!$B$174:$L$175</definedName>
    <definedName name="_________________________________________________________________________________________EEN21">'[1]elimination entries'!$B$178:$L$179</definedName>
    <definedName name="_________________________________________________________________________________________een22">'[1]elimination entries'!$B$182:$L$189</definedName>
    <definedName name="_________________________________________________________________________________________een23">'[1]elimination entries'!$B$192:$L$199</definedName>
    <definedName name="_________________________________________________________________________________________EEN24">'[1]elimination entries'!$B$202:$L$209</definedName>
    <definedName name="_________________________________________________________________________________________EEN25">'[1]elimination entries'!$B$212:$L$219</definedName>
    <definedName name="_________________________________________________________________________________________EEN26">'[1]elimination entries'!$B$222:$L$229</definedName>
    <definedName name="_________________________________________________________________________________________EEN27">'[1]elimination entries'!$B$232:$L$239</definedName>
    <definedName name="_________________________________________________________________________________________EEN28">'[1]elimination entries'!$B$242:$L$249</definedName>
    <definedName name="_________________________________________________________________________________________EEN29">'[1]elimination entries'!$B$252:$L$259</definedName>
    <definedName name="_________________________________________________________________________________________EEN3">'[1]elimination entries'!$B$37:$L$38</definedName>
    <definedName name="_________________________________________________________________________________________EEN30">'[1]elimination entries'!$B$262:$L$269</definedName>
    <definedName name="_________________________________________________________________________________________EEN4">'[1]elimination entries'!$B$42:$L$43</definedName>
    <definedName name="_________________________________________________________________________________________EEN5">'[1]elimination entries'!$B$47:$L$50</definedName>
    <definedName name="_________________________________________________________________________________________EEN6">'[1]elimination entries'!$B$53:$L$55</definedName>
    <definedName name="_________________________________________________________________________________________EEN7">'[1]elimination entries'!$B$59:$L$61</definedName>
    <definedName name="_________________________________________________________________________________________EEN8">'[1]elimination entries'!$B$65:$L$74</definedName>
    <definedName name="_________________________________________________________________________________________EEN9">'[1]elimination entries'!$B$78:$L$94</definedName>
    <definedName name="_________________________________________________________________________________________REN1">'[1]elimination entries'!$B$277:$L$279</definedName>
    <definedName name="_________________________________________________________________________________________REN2">'[1]elimination entries'!$B$282:$L$289</definedName>
    <definedName name="_________________________________________________________________________________________REN3">'[1]elimination entries'!$B$292:$L$299</definedName>
    <definedName name="_________________________________________________________________________________________REN4">'[1]elimination entries'!$B$302:$L$309</definedName>
    <definedName name="________________________________________________________________________________________EEN1">'[1]elimination entries'!$B$8:$L$22</definedName>
    <definedName name="________________________________________________________________________________________EEN10">'[1]elimination entries'!$B$98:$L$111</definedName>
    <definedName name="________________________________________________________________________________________een11">'[1]elimination entries'!$B$115:$L$116</definedName>
    <definedName name="________________________________________________________________________________________EEN12">'[1]elimination entries'!$B$120:$L$123</definedName>
    <definedName name="________________________________________________________________________________________EEN13">'[1]elimination entries'!$B$127:$L$128</definedName>
    <definedName name="________________________________________________________________________________________EEN14">'[1]elimination entries'!$B$132:$L$133</definedName>
    <definedName name="________________________________________________________________________________________een15">'[1]elimination entries'!$B$136:$L$139</definedName>
    <definedName name="________________________________________________________________________________________een16">'[1]elimination entries'!$B$142:$L$145</definedName>
    <definedName name="________________________________________________________________________________________EEN17">'[1]elimination entries'!$B$149:$L$160</definedName>
    <definedName name="________________________________________________________________________________________EEN18">'[1]elimination entries'!$B$163:$L$167</definedName>
    <definedName name="________________________________________________________________________________________EEN19">'[1]elimination entries'!$B$170:$L$171</definedName>
    <definedName name="________________________________________________________________________________________EEN2">'[1]elimination entries'!$B$25:$L$33</definedName>
    <definedName name="________________________________________________________________________________________EEN20">'[1]elimination entries'!$B$174:$L$175</definedName>
    <definedName name="________________________________________________________________________________________EEN21">'[1]elimination entries'!$B$178:$L$179</definedName>
    <definedName name="________________________________________________________________________________________een22">'[1]elimination entries'!$B$182:$L$189</definedName>
    <definedName name="________________________________________________________________________________________een23">'[1]elimination entries'!$B$192:$L$199</definedName>
    <definedName name="________________________________________________________________________________________EEN24">'[1]elimination entries'!$B$202:$L$209</definedName>
    <definedName name="________________________________________________________________________________________EEN25">'[1]elimination entries'!$B$212:$L$219</definedName>
    <definedName name="________________________________________________________________________________________EEN26">'[1]elimination entries'!$B$222:$L$229</definedName>
    <definedName name="________________________________________________________________________________________EEN27">'[1]elimination entries'!$B$232:$L$239</definedName>
    <definedName name="________________________________________________________________________________________EEN28">'[1]elimination entries'!$B$242:$L$249</definedName>
    <definedName name="________________________________________________________________________________________EEN29">'[1]elimination entries'!$B$252:$L$259</definedName>
    <definedName name="________________________________________________________________________________________EEN3">'[1]elimination entries'!$B$37:$L$38</definedName>
    <definedName name="________________________________________________________________________________________EEN30">'[1]elimination entries'!$B$262:$L$269</definedName>
    <definedName name="________________________________________________________________________________________EEN4">'[1]elimination entries'!$B$42:$L$43</definedName>
    <definedName name="________________________________________________________________________________________EEN5">'[1]elimination entries'!$B$47:$L$50</definedName>
    <definedName name="________________________________________________________________________________________EEN6">'[1]elimination entries'!$B$53:$L$55</definedName>
    <definedName name="________________________________________________________________________________________EEN7">'[1]elimination entries'!$B$59:$L$61</definedName>
    <definedName name="________________________________________________________________________________________EEN8">'[1]elimination entries'!$B$65:$L$74</definedName>
    <definedName name="________________________________________________________________________________________EEN9">'[1]elimination entries'!$B$78:$L$94</definedName>
    <definedName name="________________________________________________________________________________________REN1">'[1]elimination entries'!$B$277:$L$279</definedName>
    <definedName name="________________________________________________________________________________________REN2">'[1]elimination entries'!$B$282:$L$289</definedName>
    <definedName name="________________________________________________________________________________________REN3">'[1]elimination entries'!$B$292:$L$299</definedName>
    <definedName name="________________________________________________________________________________________REN4">'[1]elimination entries'!$B$302:$L$309</definedName>
    <definedName name="_______________________________________________________________________________________EEN1">'[1]elimination entries'!$B$8:$L$22</definedName>
    <definedName name="_______________________________________________________________________________________EEN10">'[1]elimination entries'!$B$98:$L$111</definedName>
    <definedName name="_______________________________________________________________________________________een11">'[1]elimination entries'!$B$115:$L$116</definedName>
    <definedName name="_______________________________________________________________________________________EEN12">'[1]elimination entries'!$B$120:$L$123</definedName>
    <definedName name="_______________________________________________________________________________________EEN13">'[1]elimination entries'!$B$127:$L$128</definedName>
    <definedName name="_______________________________________________________________________________________EEN14">'[1]elimination entries'!$B$132:$L$133</definedName>
    <definedName name="_______________________________________________________________________________________een15">'[1]elimination entries'!$B$136:$L$139</definedName>
    <definedName name="_______________________________________________________________________________________een16">'[1]elimination entries'!$B$142:$L$145</definedName>
    <definedName name="_______________________________________________________________________________________EEN17">'[1]elimination entries'!$B$149:$L$160</definedName>
    <definedName name="_______________________________________________________________________________________EEN18">'[1]elimination entries'!$B$163:$L$167</definedName>
    <definedName name="_______________________________________________________________________________________EEN19">'[1]elimination entries'!$B$170:$L$171</definedName>
    <definedName name="_______________________________________________________________________________________EEN2">'[1]elimination entries'!$B$25:$L$33</definedName>
    <definedName name="_______________________________________________________________________________________EEN20">'[1]elimination entries'!$B$174:$L$175</definedName>
    <definedName name="_______________________________________________________________________________________EEN21">'[1]elimination entries'!$B$178:$L$179</definedName>
    <definedName name="_______________________________________________________________________________________een22">'[1]elimination entries'!$B$182:$L$189</definedName>
    <definedName name="_______________________________________________________________________________________een23">'[1]elimination entries'!$B$192:$L$199</definedName>
    <definedName name="_______________________________________________________________________________________EEN24">'[1]elimination entries'!$B$202:$L$209</definedName>
    <definedName name="_______________________________________________________________________________________EEN25">'[1]elimination entries'!$B$212:$L$219</definedName>
    <definedName name="_______________________________________________________________________________________EEN26">'[1]elimination entries'!$B$222:$L$229</definedName>
    <definedName name="_______________________________________________________________________________________EEN27">'[1]elimination entries'!$B$232:$L$239</definedName>
    <definedName name="_______________________________________________________________________________________EEN28">'[1]elimination entries'!$B$242:$L$249</definedName>
    <definedName name="_______________________________________________________________________________________EEN29">'[1]elimination entries'!$B$252:$L$259</definedName>
    <definedName name="_______________________________________________________________________________________EEN3">'[1]elimination entries'!$B$37:$L$38</definedName>
    <definedName name="_______________________________________________________________________________________EEN30">'[1]elimination entries'!$B$262:$L$269</definedName>
    <definedName name="_______________________________________________________________________________________EEN4">'[1]elimination entries'!$B$42:$L$43</definedName>
    <definedName name="_______________________________________________________________________________________EEN5">'[1]elimination entries'!$B$47:$L$50</definedName>
    <definedName name="_______________________________________________________________________________________EEN6">'[1]elimination entries'!$B$53:$L$55</definedName>
    <definedName name="_______________________________________________________________________________________EEN7">'[1]elimination entries'!$B$59:$L$61</definedName>
    <definedName name="_______________________________________________________________________________________EEN8">'[1]elimination entries'!$B$65:$L$74</definedName>
    <definedName name="_______________________________________________________________________________________EEN9">'[1]elimination entries'!$B$78:$L$94</definedName>
    <definedName name="_______________________________________________________________________________________REN1">'[1]elimination entries'!$B$277:$L$279</definedName>
    <definedName name="_______________________________________________________________________________________REN2">'[1]elimination entries'!$B$282:$L$289</definedName>
    <definedName name="_______________________________________________________________________________________REN3">'[1]elimination entries'!$B$292:$L$299</definedName>
    <definedName name="_______________________________________________________________________________________REN4">'[1]elimination entries'!$B$302:$L$309</definedName>
    <definedName name="______________________________________________________________________________________EEN1">'[1]elimination entries'!$B$8:$L$22</definedName>
    <definedName name="______________________________________________________________________________________EEN10">'[1]elimination entries'!$B$98:$L$111</definedName>
    <definedName name="______________________________________________________________________________________een11">'[1]elimination entries'!$B$115:$L$116</definedName>
    <definedName name="______________________________________________________________________________________EEN12">'[1]elimination entries'!$B$120:$L$123</definedName>
    <definedName name="______________________________________________________________________________________EEN13">'[1]elimination entries'!$B$127:$L$128</definedName>
    <definedName name="______________________________________________________________________________________EEN14">'[1]elimination entries'!$B$132:$L$133</definedName>
    <definedName name="______________________________________________________________________________________een15">'[1]elimination entries'!$B$136:$L$139</definedName>
    <definedName name="______________________________________________________________________________________een16">'[1]elimination entries'!$B$142:$L$145</definedName>
    <definedName name="______________________________________________________________________________________EEN17">'[3]elimination entries'!$B$149:$L$160</definedName>
    <definedName name="______________________________________________________________________________________EEN18">'[3]elimination entries'!$B$163:$L$167</definedName>
    <definedName name="______________________________________________________________________________________EEN19">'[3]elimination entries'!$B$170:$L$171</definedName>
    <definedName name="______________________________________________________________________________________EEN2">'[3]elimination entries'!$B$25:$L$33</definedName>
    <definedName name="______________________________________________________________________________________EEN20">'[3]elimination entries'!$B$174:$L$175</definedName>
    <definedName name="______________________________________________________________________________________EEN21">'[3]elimination entries'!$B$178:$L$179</definedName>
    <definedName name="______________________________________________________________________________________een22">'[3]elimination entries'!$B$182:$L$189</definedName>
    <definedName name="______________________________________________________________________________________een23">'[3]elimination entries'!$B$192:$L$199</definedName>
    <definedName name="______________________________________________________________________________________EEN24">'[3]elimination entries'!$B$202:$L$209</definedName>
    <definedName name="______________________________________________________________________________________EEN25">'[1]elimination entries'!$B$212:$L$219</definedName>
    <definedName name="______________________________________________________________________________________EEN26">'[1]elimination entries'!$B$222:$L$229</definedName>
    <definedName name="______________________________________________________________________________________EEN27">'[1]elimination entries'!$B$232:$L$239</definedName>
    <definedName name="______________________________________________________________________________________EEN28">'[1]elimination entries'!$B$242:$L$249</definedName>
    <definedName name="______________________________________________________________________________________EEN29">'[1]elimination entries'!$B$252:$L$259</definedName>
    <definedName name="______________________________________________________________________________________EEN3">'[1]elimination entries'!$B$37:$L$38</definedName>
    <definedName name="______________________________________________________________________________________EEN30">'[1]elimination entries'!$B$262:$L$269</definedName>
    <definedName name="______________________________________________________________________________________EEN4">'[1]elimination entries'!$B$42:$L$43</definedName>
    <definedName name="______________________________________________________________________________________EEN5">'[3]elimination entries'!$B$47:$L$50</definedName>
    <definedName name="______________________________________________________________________________________EEN6">'[3]elimination entries'!$B$53:$L$55</definedName>
    <definedName name="______________________________________________________________________________________EEN7">'[3]elimination entries'!$B$59:$L$61</definedName>
    <definedName name="______________________________________________________________________________________EEN8">'[3]elimination entries'!$B$65:$L$74</definedName>
    <definedName name="______________________________________________________________________________________EEN9">'[3]elimination entries'!$B$78:$L$94</definedName>
    <definedName name="______________________________________________________________________________________REN1">'[3]elimination entries'!$B$277:$L$279</definedName>
    <definedName name="______________________________________________________________________________________REN2">'[3]elimination entries'!$B$282:$L$289</definedName>
    <definedName name="______________________________________________________________________________________REN3">'[3]elimination entries'!$B$292:$L$299</definedName>
    <definedName name="______________________________________________________________________________________REN4">'[3]elimination entries'!$B$302:$L$309</definedName>
    <definedName name="_____________________________________________________________________________________EEN1">'[1]elimination entries'!$B$8:$L$22</definedName>
    <definedName name="_____________________________________________________________________________________EEN10">'[1]elimination entries'!$B$98:$L$111</definedName>
    <definedName name="_____________________________________________________________________________________een11">'[1]elimination entries'!$B$115:$L$116</definedName>
    <definedName name="_____________________________________________________________________________________EEN12">'[1]elimination entries'!$B$120:$L$123</definedName>
    <definedName name="_____________________________________________________________________________________EEN13">'[1]elimination entries'!$B$127:$L$128</definedName>
    <definedName name="_____________________________________________________________________________________EEN14">'[1]elimination entries'!$B$132:$L$133</definedName>
    <definedName name="_____________________________________________________________________________________een15">'[1]elimination entries'!$B$136:$L$139</definedName>
    <definedName name="_____________________________________________________________________________________een16">'[1]elimination entries'!$B$142:$L$145</definedName>
    <definedName name="_____________________________________________________________________________________EEN17">'[3]elimination entries'!$B$149:$L$160</definedName>
    <definedName name="_____________________________________________________________________________________EEN18">'[3]elimination entries'!$B$163:$L$167</definedName>
    <definedName name="_____________________________________________________________________________________EEN19">'[3]elimination entries'!$B$170:$L$171</definedName>
    <definedName name="_____________________________________________________________________________________EEN2">'[3]elimination entries'!$B$25:$L$33</definedName>
    <definedName name="_____________________________________________________________________________________EEN20">'[3]elimination entries'!$B$174:$L$175</definedName>
    <definedName name="_____________________________________________________________________________________EEN21">'[3]elimination entries'!$B$178:$L$179</definedName>
    <definedName name="_____________________________________________________________________________________een22">'[3]elimination entries'!$B$182:$L$189</definedName>
    <definedName name="_____________________________________________________________________________________een23">'[3]elimination entries'!$B$192:$L$199</definedName>
    <definedName name="_____________________________________________________________________________________EEN24">'[3]elimination entries'!$B$202:$L$209</definedName>
    <definedName name="_____________________________________________________________________________________EEN25">'[1]elimination entries'!$B$212:$L$219</definedName>
    <definedName name="_____________________________________________________________________________________EEN26">'[1]elimination entries'!$B$222:$L$229</definedName>
    <definedName name="_____________________________________________________________________________________EEN27">'[1]elimination entries'!$B$232:$L$239</definedName>
    <definedName name="_____________________________________________________________________________________EEN28">'[1]elimination entries'!$B$242:$L$249</definedName>
    <definedName name="_____________________________________________________________________________________EEN29">'[1]elimination entries'!$B$252:$L$259</definedName>
    <definedName name="_____________________________________________________________________________________EEN3">'[1]elimination entries'!$B$37:$L$38</definedName>
    <definedName name="_____________________________________________________________________________________EEN30">'[1]elimination entries'!$B$262:$L$269</definedName>
    <definedName name="_____________________________________________________________________________________EEN4">'[1]elimination entries'!$B$42:$L$43</definedName>
    <definedName name="_____________________________________________________________________________________EEN5">'[3]elimination entries'!$B$47:$L$50</definedName>
    <definedName name="_____________________________________________________________________________________EEN6">'[3]elimination entries'!$B$53:$L$55</definedName>
    <definedName name="_____________________________________________________________________________________EEN7">'[3]elimination entries'!$B$59:$L$61</definedName>
    <definedName name="_____________________________________________________________________________________EEN8">'[3]elimination entries'!$B$65:$L$74</definedName>
    <definedName name="_____________________________________________________________________________________EEN9">'[3]elimination entries'!$B$78:$L$94</definedName>
    <definedName name="_____________________________________________________________________________________REN1">'[3]elimination entries'!$B$277:$L$279</definedName>
    <definedName name="_____________________________________________________________________________________REN2">'[3]elimination entries'!$B$282:$L$289</definedName>
    <definedName name="_____________________________________________________________________________________REN3">'[3]elimination entries'!$B$292:$L$299</definedName>
    <definedName name="_____________________________________________________________________________________REN4">'[3]elimination entries'!$B$302:$L$309</definedName>
    <definedName name="____________________________________________________________________________________EEN1">'[1]elimination entries'!$B$8:$L$22</definedName>
    <definedName name="____________________________________________________________________________________EEN10">'[1]elimination entries'!$B$98:$L$111</definedName>
    <definedName name="____________________________________________________________________________________een11">'[1]elimination entries'!$B$115:$L$116</definedName>
    <definedName name="____________________________________________________________________________________EEN12">'[1]elimination entries'!$B$120:$L$123</definedName>
    <definedName name="____________________________________________________________________________________EEN13">'[1]elimination entries'!$B$127:$L$128</definedName>
    <definedName name="____________________________________________________________________________________EEN14">'[1]elimination entries'!$B$132:$L$133</definedName>
    <definedName name="____________________________________________________________________________________een15">'[1]elimination entries'!$B$136:$L$139</definedName>
    <definedName name="____________________________________________________________________________________een16">'[3]elimination entries'!$B$142:$L$145</definedName>
    <definedName name="____________________________________________________________________________________EEN17">'[1]elimination entries'!$B$149:$L$160</definedName>
    <definedName name="____________________________________________________________________________________EEN18">'[1]elimination entries'!$B$163:$L$167</definedName>
    <definedName name="____________________________________________________________________________________EEN19">'[1]elimination entries'!$B$170:$L$171</definedName>
    <definedName name="____________________________________________________________________________________EEN2">'[1]elimination entries'!$B$25:$L$33</definedName>
    <definedName name="____________________________________________________________________________________EEN20">'[1]elimination entries'!$B$174:$L$175</definedName>
    <definedName name="____________________________________________________________________________________EEN21">'[1]elimination entries'!$B$178:$L$179</definedName>
    <definedName name="____________________________________________________________________________________een22">'[1]elimination entries'!$B$182:$L$189</definedName>
    <definedName name="____________________________________________________________________________________een23">'[1]elimination entries'!$B$192:$L$199</definedName>
    <definedName name="____________________________________________________________________________________EEN24">'[1]elimination entries'!$B$202:$L$209</definedName>
    <definedName name="____________________________________________________________________________________EEN25">'[1]elimination entries'!$B$212:$L$219</definedName>
    <definedName name="____________________________________________________________________________________EEN26">'[1]elimination entries'!$B$222:$L$229</definedName>
    <definedName name="____________________________________________________________________________________EEN27">'[1]elimination entries'!$B$232:$L$239</definedName>
    <definedName name="____________________________________________________________________________________EEN28">'[1]elimination entries'!$B$242:$L$249</definedName>
    <definedName name="____________________________________________________________________________________EEN29">'[1]elimination entries'!$B$252:$L$259</definedName>
    <definedName name="____________________________________________________________________________________EEN3">'[1]elimination entries'!$B$37:$L$38</definedName>
    <definedName name="____________________________________________________________________________________EEN30">'[1]elimination entries'!$B$262:$L$269</definedName>
    <definedName name="____________________________________________________________________________________EEN4">'[3]elimination entries'!$B$42:$L$43</definedName>
    <definedName name="____________________________________________________________________________________EEN5">'[1]elimination entries'!$B$47:$L$50</definedName>
    <definedName name="____________________________________________________________________________________EEN6">'[1]elimination entries'!$B$53:$L$55</definedName>
    <definedName name="____________________________________________________________________________________EEN7">'[1]elimination entries'!$B$59:$L$61</definedName>
    <definedName name="____________________________________________________________________________________EEN8">'[1]elimination entries'!$B$65:$L$74</definedName>
    <definedName name="____________________________________________________________________________________EEN9">'[1]elimination entries'!$B$78:$L$94</definedName>
    <definedName name="____________________________________________________________________________________REN1">'[1]elimination entries'!$B$277:$L$279</definedName>
    <definedName name="____________________________________________________________________________________REN2">'[1]elimination entries'!$B$282:$L$289</definedName>
    <definedName name="____________________________________________________________________________________REN3">'[1]elimination entries'!$B$292:$L$299</definedName>
    <definedName name="____________________________________________________________________________________REN4">'[1]elimination entries'!$B$302:$L$309</definedName>
    <definedName name="___________________________________________________________________________________EEN1">'[1]elimination entries'!$B$8:$L$22</definedName>
    <definedName name="___________________________________________________________________________________EEN10">'[1]elimination entries'!$B$98:$L$111</definedName>
    <definedName name="___________________________________________________________________________________een11">'[1]elimination entries'!$B$115:$L$116</definedName>
    <definedName name="___________________________________________________________________________________EEN12">'[1]elimination entries'!$B$120:$L$123</definedName>
    <definedName name="___________________________________________________________________________________EEN13">'[1]elimination entries'!$B$127:$L$128</definedName>
    <definedName name="___________________________________________________________________________________EEN14">'[1]elimination entries'!$B$132:$L$133</definedName>
    <definedName name="___________________________________________________________________________________een15">'[1]elimination entries'!$B$136:$L$139</definedName>
    <definedName name="___________________________________________________________________________________een16">'[3]elimination entries'!$B$142:$L$145</definedName>
    <definedName name="___________________________________________________________________________________EEN17">'[1]elimination entries'!$B$149:$L$160</definedName>
    <definedName name="___________________________________________________________________________________EEN18">'[1]elimination entries'!$B$163:$L$167</definedName>
    <definedName name="___________________________________________________________________________________EEN19">'[1]elimination entries'!$B$170:$L$171</definedName>
    <definedName name="___________________________________________________________________________________EEN2">'[1]elimination entries'!$B$25:$L$33</definedName>
    <definedName name="___________________________________________________________________________________EEN20">'[1]elimination entries'!$B$174:$L$175</definedName>
    <definedName name="___________________________________________________________________________________EEN21">'[1]elimination entries'!$B$178:$L$179</definedName>
    <definedName name="___________________________________________________________________________________een22">'[1]elimination entries'!$B$182:$L$189</definedName>
    <definedName name="___________________________________________________________________________________een23">'[1]elimination entries'!$B$192:$L$199</definedName>
    <definedName name="___________________________________________________________________________________EEN24">'[1]elimination entries'!$B$202:$L$209</definedName>
    <definedName name="___________________________________________________________________________________EEN25">'[1]elimination entries'!$B$212:$L$219</definedName>
    <definedName name="___________________________________________________________________________________EEN26">'[1]elimination entries'!$B$222:$L$229</definedName>
    <definedName name="___________________________________________________________________________________EEN27">'[1]elimination entries'!$B$232:$L$239</definedName>
    <definedName name="___________________________________________________________________________________EEN28">'[1]elimination entries'!$B$242:$L$249</definedName>
    <definedName name="___________________________________________________________________________________EEN29">'[1]elimination entries'!$B$252:$L$259</definedName>
    <definedName name="___________________________________________________________________________________EEN3">'[1]elimination entries'!$B$37:$L$38</definedName>
    <definedName name="___________________________________________________________________________________EEN30">'[1]elimination entries'!$B$262:$L$269</definedName>
    <definedName name="___________________________________________________________________________________EEN4">'[3]elimination entries'!$B$42:$L$43</definedName>
    <definedName name="___________________________________________________________________________________EEN5">'[1]elimination entries'!$B$47:$L$50</definedName>
    <definedName name="___________________________________________________________________________________EEN6">'[1]elimination entries'!$B$53:$L$55</definedName>
    <definedName name="___________________________________________________________________________________EEN7">'[1]elimination entries'!$B$59:$L$61</definedName>
    <definedName name="___________________________________________________________________________________EEN8">'[1]elimination entries'!$B$65:$L$74</definedName>
    <definedName name="___________________________________________________________________________________EEN9">'[1]elimination entries'!$B$78:$L$94</definedName>
    <definedName name="___________________________________________________________________________________REN1">'[1]elimination entries'!$B$277:$L$279</definedName>
    <definedName name="___________________________________________________________________________________REN2">'[1]elimination entries'!$B$282:$L$289</definedName>
    <definedName name="___________________________________________________________________________________REN3">'[1]elimination entries'!$B$292:$L$299</definedName>
    <definedName name="___________________________________________________________________________________REN4">'[1]elimination entries'!$B$302:$L$309</definedName>
    <definedName name="__________________________________________________________________________________EEN1">'[1]elimination entries'!$B$8:$L$22</definedName>
    <definedName name="__________________________________________________________________________________EEN10">'[1]elimination entries'!$B$98:$L$111</definedName>
    <definedName name="__________________________________________________________________________________een11">'[1]elimination entries'!$B$115:$L$116</definedName>
    <definedName name="__________________________________________________________________________________EEN12">'[1]elimination entries'!$B$120:$L$123</definedName>
    <definedName name="__________________________________________________________________________________EEN13">'[1]elimination entries'!$B$127:$L$128</definedName>
    <definedName name="__________________________________________________________________________________EEN14">'[1]elimination entries'!$B$132:$L$133</definedName>
    <definedName name="__________________________________________________________________________________een15">'[1]elimination entries'!$B$136:$L$139</definedName>
    <definedName name="__________________________________________________________________________________een16">'[1]elimination entries'!$B$142:$L$145</definedName>
    <definedName name="__________________________________________________________________________________EEN17">'[1]elimination entries'!$B$149:$L$160</definedName>
    <definedName name="__________________________________________________________________________________EEN18">'[1]elimination entries'!$B$163:$L$167</definedName>
    <definedName name="__________________________________________________________________________________EEN19">'[1]elimination entries'!$B$170:$L$171</definedName>
    <definedName name="__________________________________________________________________________________EEN2">'[1]elimination entries'!$B$25:$L$33</definedName>
    <definedName name="__________________________________________________________________________________EEN20">'[1]elimination entries'!$B$174:$L$175</definedName>
    <definedName name="__________________________________________________________________________________EEN21">'[1]elimination entries'!$B$178:$L$179</definedName>
    <definedName name="__________________________________________________________________________________een22">'[1]elimination entries'!$B$182:$L$189</definedName>
    <definedName name="__________________________________________________________________________________een23">'[1]elimination entries'!$B$192:$L$199</definedName>
    <definedName name="__________________________________________________________________________________EEN24">'[1]elimination entries'!$B$202:$L$209</definedName>
    <definedName name="__________________________________________________________________________________EEN25">'[1]elimination entries'!$B$212:$L$219</definedName>
    <definedName name="__________________________________________________________________________________EEN26">'[1]elimination entries'!$B$222:$L$229</definedName>
    <definedName name="__________________________________________________________________________________EEN27">'[1]elimination entries'!$B$232:$L$239</definedName>
    <definedName name="__________________________________________________________________________________EEN28">'[1]elimination entries'!$B$242:$L$249</definedName>
    <definedName name="__________________________________________________________________________________EEN29">'[1]elimination entries'!$B$252:$L$259</definedName>
    <definedName name="__________________________________________________________________________________EEN3">'[1]elimination entries'!$B$37:$L$38</definedName>
    <definedName name="__________________________________________________________________________________EEN30">'[1]elimination entries'!$B$262:$L$269</definedName>
    <definedName name="__________________________________________________________________________________EEN4">'[1]elimination entries'!$B$42:$L$43</definedName>
    <definedName name="__________________________________________________________________________________EEN5">'[1]elimination entries'!$B$47:$L$50</definedName>
    <definedName name="__________________________________________________________________________________EEN6">'[1]elimination entries'!$B$53:$L$55</definedName>
    <definedName name="__________________________________________________________________________________EEN7">'[1]elimination entries'!$B$59:$L$61</definedName>
    <definedName name="__________________________________________________________________________________EEN8">'[1]elimination entries'!$B$65:$L$74</definedName>
    <definedName name="__________________________________________________________________________________EEN9">'[1]elimination entries'!$B$78:$L$94</definedName>
    <definedName name="__________________________________________________________________________________REN1">'[1]elimination entries'!$B$277:$L$279</definedName>
    <definedName name="__________________________________________________________________________________REN2">'[1]elimination entries'!$B$282:$L$289</definedName>
    <definedName name="__________________________________________________________________________________REN3">'[1]elimination entries'!$B$292:$L$299</definedName>
    <definedName name="__________________________________________________________________________________REN4">'[1]elimination entries'!$B$302:$L$309</definedName>
    <definedName name="_________________________________________________________________________________EEN1">'[1]elimination entries'!$B$8:$L$22</definedName>
    <definedName name="_________________________________________________________________________________EEN10">'[1]elimination entries'!$B$98:$L$111</definedName>
    <definedName name="_________________________________________________________________________________een11">'[1]elimination entries'!$B$115:$L$116</definedName>
    <definedName name="_________________________________________________________________________________EEN12">'[1]elimination entries'!$B$120:$L$123</definedName>
    <definedName name="_________________________________________________________________________________EEN13">'[1]elimination entries'!$B$127:$L$128</definedName>
    <definedName name="_________________________________________________________________________________EEN14">'[1]elimination entries'!$B$132:$L$133</definedName>
    <definedName name="_________________________________________________________________________________een15">'[3]elimination entries'!$B$136:$L$139</definedName>
    <definedName name="_________________________________________________________________________________een16">'[1]elimination entries'!$B$142:$L$145</definedName>
    <definedName name="_________________________________________________________________________________EEN17">'[1]elimination entries'!$B$149:$L$160</definedName>
    <definedName name="_________________________________________________________________________________EEN18">'[1]elimination entries'!$B$163:$L$167</definedName>
    <definedName name="_________________________________________________________________________________EEN19">'[1]elimination entries'!$B$170:$L$171</definedName>
    <definedName name="_________________________________________________________________________________EEN2">'[1]elimination entries'!$B$25:$L$33</definedName>
    <definedName name="_________________________________________________________________________________EEN20">'[1]elimination entries'!$B$174:$L$175</definedName>
    <definedName name="_________________________________________________________________________________EEN21">'[1]elimination entries'!$B$178:$L$179</definedName>
    <definedName name="_________________________________________________________________________________een22">'[1]elimination entries'!$B$182:$L$189</definedName>
    <definedName name="_________________________________________________________________________________een23">'[1]elimination entries'!$B$192:$L$199</definedName>
    <definedName name="_________________________________________________________________________________EEN24">'[1]elimination entries'!$B$202:$L$209</definedName>
    <definedName name="_________________________________________________________________________________EEN25">'[1]elimination entries'!$B$212:$L$219</definedName>
    <definedName name="_________________________________________________________________________________EEN26">'[1]elimination entries'!$B$222:$L$229</definedName>
    <definedName name="_________________________________________________________________________________EEN27">'[1]elimination entries'!$B$232:$L$239</definedName>
    <definedName name="_________________________________________________________________________________EEN28">'[1]elimination entries'!$B$242:$L$249</definedName>
    <definedName name="_________________________________________________________________________________EEN29">'[1]elimination entries'!$B$252:$L$259</definedName>
    <definedName name="_________________________________________________________________________________EEN3">'[1]elimination entries'!$B$37:$L$38</definedName>
    <definedName name="_________________________________________________________________________________EEN30">'[3]elimination entries'!$B$262:$L$269</definedName>
    <definedName name="_________________________________________________________________________________EEN4">'[1]elimination entries'!$B$42:$L$43</definedName>
    <definedName name="_________________________________________________________________________________EEN5">'[1]elimination entries'!$B$47:$L$50</definedName>
    <definedName name="_________________________________________________________________________________EEN6">'[1]elimination entries'!$B$53:$L$55</definedName>
    <definedName name="_________________________________________________________________________________EEN7">'[1]elimination entries'!$B$59:$L$61</definedName>
    <definedName name="_________________________________________________________________________________EEN8">'[1]elimination entries'!$B$65:$L$74</definedName>
    <definedName name="_________________________________________________________________________________EEN9">'[1]elimination entries'!$B$78:$L$94</definedName>
    <definedName name="_________________________________________________________________________________REN1">'[1]elimination entries'!$B$277:$L$279</definedName>
    <definedName name="_________________________________________________________________________________REN2">'[1]elimination entries'!$B$282:$L$289</definedName>
    <definedName name="_________________________________________________________________________________REN3">'[1]elimination entries'!$B$292:$L$299</definedName>
    <definedName name="_________________________________________________________________________________REN4">'[1]elimination entries'!$B$302:$L$309</definedName>
    <definedName name="________________________________________________________________________________EEN1">'[1]elimination entries'!$B$8:$L$22</definedName>
    <definedName name="________________________________________________________________________________EEN10">'[1]elimination entries'!$B$98:$L$111</definedName>
    <definedName name="________________________________________________________________________________een11">'[1]elimination entries'!$B$115:$L$116</definedName>
    <definedName name="________________________________________________________________________________EEN12">'[1]elimination entries'!$B$120:$L$123</definedName>
    <definedName name="________________________________________________________________________________EEN13">'[1]elimination entries'!$B$127:$L$128</definedName>
    <definedName name="________________________________________________________________________________EEN14">'[1]elimination entries'!$B$132:$L$133</definedName>
    <definedName name="________________________________________________________________________________een15">'[3]elimination entries'!$B$136:$L$139</definedName>
    <definedName name="________________________________________________________________________________een16">'[1]elimination entries'!$B$142:$L$145</definedName>
    <definedName name="________________________________________________________________________________EEN17">'[1]elimination entries'!$B$149:$L$160</definedName>
    <definedName name="________________________________________________________________________________EEN18">'[1]elimination entries'!$B$163:$L$167</definedName>
    <definedName name="________________________________________________________________________________EEN19">'[1]elimination entries'!$B$170:$L$171</definedName>
    <definedName name="________________________________________________________________________________EEN2">'[1]elimination entries'!$B$25:$L$33</definedName>
    <definedName name="________________________________________________________________________________EEN20">'[1]elimination entries'!$B$174:$L$175</definedName>
    <definedName name="________________________________________________________________________________EEN21">'[1]elimination entries'!$B$178:$L$179</definedName>
    <definedName name="________________________________________________________________________________een22">'[1]elimination entries'!$B$182:$L$189</definedName>
    <definedName name="________________________________________________________________________________een23">'[1]elimination entries'!$B$192:$L$199</definedName>
    <definedName name="________________________________________________________________________________EEN24">'[1]elimination entries'!$B$202:$L$209</definedName>
    <definedName name="________________________________________________________________________________EEN25">'[1]elimination entries'!$B$212:$L$219</definedName>
    <definedName name="________________________________________________________________________________EEN26">'[1]elimination entries'!$B$222:$L$229</definedName>
    <definedName name="________________________________________________________________________________EEN27">'[1]elimination entries'!$B$232:$L$239</definedName>
    <definedName name="________________________________________________________________________________EEN28">'[1]elimination entries'!$B$242:$L$249</definedName>
    <definedName name="________________________________________________________________________________EEN29">'[1]elimination entries'!$B$252:$L$259</definedName>
    <definedName name="________________________________________________________________________________EEN3">'[1]elimination entries'!$B$37:$L$38</definedName>
    <definedName name="________________________________________________________________________________EEN30">'[3]elimination entries'!$B$262:$L$269</definedName>
    <definedName name="________________________________________________________________________________EEN4">'[1]elimination entries'!$B$42:$L$43</definedName>
    <definedName name="________________________________________________________________________________EEN5">'[1]elimination entries'!$B$47:$L$50</definedName>
    <definedName name="________________________________________________________________________________EEN6">'[1]elimination entries'!$B$53:$L$55</definedName>
    <definedName name="________________________________________________________________________________EEN7">'[1]elimination entries'!$B$59:$L$61</definedName>
    <definedName name="________________________________________________________________________________EEN8">'[1]elimination entries'!$B$65:$L$74</definedName>
    <definedName name="________________________________________________________________________________EEN9">'[1]elimination entries'!$B$78:$L$94</definedName>
    <definedName name="________________________________________________________________________________REN1">'[1]elimination entries'!$B$277:$L$279</definedName>
    <definedName name="________________________________________________________________________________REN2">'[1]elimination entries'!$B$282:$L$289</definedName>
    <definedName name="________________________________________________________________________________REN3">'[1]elimination entries'!$B$292:$L$299</definedName>
    <definedName name="________________________________________________________________________________REN4">'[1]elimination entries'!$B$302:$L$309</definedName>
    <definedName name="_______________________________________________________________________________EEN1">'[1]elimination entries'!$B$8:$L$22</definedName>
    <definedName name="_______________________________________________________________________________EEN10">'[1]elimination entries'!$B$98:$L$111</definedName>
    <definedName name="_______________________________________________________________________________een11">'[1]elimination entries'!$B$115:$L$116</definedName>
    <definedName name="_______________________________________________________________________________EEN12">'[1]elimination entries'!$B$120:$L$123</definedName>
    <definedName name="_______________________________________________________________________________EEN13">'[1]elimination entries'!$B$127:$L$128</definedName>
    <definedName name="_______________________________________________________________________________EEN14">'[1]elimination entries'!$B$132:$L$133</definedName>
    <definedName name="_______________________________________________________________________________een15">'[1]elimination entries'!$B$136:$L$139</definedName>
    <definedName name="_______________________________________________________________________________een16">'[1]elimination entries'!$B$142:$L$145</definedName>
    <definedName name="_______________________________________________________________________________EEN17">'[1]elimination entries'!$B$149:$L$160</definedName>
    <definedName name="_______________________________________________________________________________EEN18">'[1]elimination entries'!$B$163:$L$167</definedName>
    <definedName name="_______________________________________________________________________________EEN19">'[1]elimination entries'!$B$170:$L$171</definedName>
    <definedName name="_______________________________________________________________________________EEN2">'[1]elimination entries'!$B$25:$L$33</definedName>
    <definedName name="_______________________________________________________________________________EEN20">'[1]elimination entries'!$B$174:$L$175</definedName>
    <definedName name="_______________________________________________________________________________EEN21">'[1]elimination entries'!$B$178:$L$179</definedName>
    <definedName name="_______________________________________________________________________________een22">'[1]elimination entries'!$B$182:$L$189</definedName>
    <definedName name="_______________________________________________________________________________een23">'[1]elimination entries'!$B$192:$L$199</definedName>
    <definedName name="_______________________________________________________________________________EEN24">'[1]elimination entries'!$B$202:$L$209</definedName>
    <definedName name="_______________________________________________________________________________EEN25">'[1]elimination entries'!$B$212:$L$219</definedName>
    <definedName name="_______________________________________________________________________________EEN26">'[1]elimination entries'!$B$222:$L$229</definedName>
    <definedName name="_______________________________________________________________________________EEN27">'[1]elimination entries'!$B$232:$L$239</definedName>
    <definedName name="_______________________________________________________________________________EEN28">'[1]elimination entries'!$B$242:$L$249</definedName>
    <definedName name="_______________________________________________________________________________EEN29">'[1]elimination entries'!$B$252:$L$259</definedName>
    <definedName name="_______________________________________________________________________________EEN3">'[1]elimination entries'!$B$37:$L$38</definedName>
    <definedName name="_______________________________________________________________________________EEN30">'[1]elimination entries'!$B$262:$L$269</definedName>
    <definedName name="_______________________________________________________________________________EEN4">'[1]elimination entries'!$B$42:$L$43</definedName>
    <definedName name="_______________________________________________________________________________EEN5">'[1]elimination entries'!$B$47:$L$50</definedName>
    <definedName name="_______________________________________________________________________________EEN6">'[1]elimination entries'!$B$53:$L$55</definedName>
    <definedName name="_______________________________________________________________________________EEN7">'[1]elimination entries'!$B$59:$L$61</definedName>
    <definedName name="_______________________________________________________________________________EEN8">'[1]elimination entries'!$B$65:$L$74</definedName>
    <definedName name="_______________________________________________________________________________EEN9">'[1]elimination entries'!$B$78:$L$94</definedName>
    <definedName name="_______________________________________________________________________________REN1">'[1]elimination entries'!$B$277:$L$279</definedName>
    <definedName name="_______________________________________________________________________________REN2">'[1]elimination entries'!$B$282:$L$289</definedName>
    <definedName name="_______________________________________________________________________________REN3">'[1]elimination entries'!$B$292:$L$299</definedName>
    <definedName name="_______________________________________________________________________________REN4">'[1]elimination entries'!$B$302:$L$309</definedName>
    <definedName name="______________________________________________________________________________EEN1">'[1]elimination entries'!$B$8:$L$22</definedName>
    <definedName name="______________________________________________________________________________EEN10">'[1]elimination entries'!$B$98:$L$111</definedName>
    <definedName name="______________________________________________________________________________een11">'[1]elimination entries'!$B$115:$L$116</definedName>
    <definedName name="______________________________________________________________________________EEN12">'[1]elimination entries'!$B$120:$L$123</definedName>
    <definedName name="______________________________________________________________________________EEN13">'[1]elimination entries'!$B$127:$L$128</definedName>
    <definedName name="______________________________________________________________________________EEN14">'[1]elimination entries'!$B$132:$L$133</definedName>
    <definedName name="______________________________________________________________________________een15">'[1]elimination entries'!$B$136:$L$139</definedName>
    <definedName name="______________________________________________________________________________een16">'[1]elimination entries'!$B$142:$L$145</definedName>
    <definedName name="______________________________________________________________________________EEN17">'[1]elimination entries'!$B$149:$L$160</definedName>
    <definedName name="______________________________________________________________________________EEN18">'[1]elimination entries'!$B$163:$L$167</definedName>
    <definedName name="______________________________________________________________________________EEN19">'[1]elimination entries'!$B$170:$L$171</definedName>
    <definedName name="______________________________________________________________________________EEN2">'[1]elimination entries'!$B$25:$L$33</definedName>
    <definedName name="______________________________________________________________________________EEN20">'[1]elimination entries'!$B$174:$L$175</definedName>
    <definedName name="______________________________________________________________________________EEN21">'[1]elimination entries'!$B$178:$L$179</definedName>
    <definedName name="______________________________________________________________________________een22">'[1]elimination entries'!$B$182:$L$189</definedName>
    <definedName name="______________________________________________________________________________een23">'[1]elimination entries'!$B$192:$L$199</definedName>
    <definedName name="______________________________________________________________________________EEN24">'[1]elimination entries'!$B$202:$L$209</definedName>
    <definedName name="______________________________________________________________________________EEN25">'[1]elimination entries'!$B$212:$L$219</definedName>
    <definedName name="______________________________________________________________________________EEN26">'[1]elimination entries'!$B$222:$L$229</definedName>
    <definedName name="______________________________________________________________________________EEN27">'[1]elimination entries'!$B$232:$L$239</definedName>
    <definedName name="______________________________________________________________________________EEN28">'[1]elimination entries'!$B$242:$L$249</definedName>
    <definedName name="______________________________________________________________________________EEN29">'[1]elimination entries'!$B$252:$L$259</definedName>
    <definedName name="______________________________________________________________________________EEN3">'[3]elimination entries'!$B$37:$L$38</definedName>
    <definedName name="______________________________________________________________________________EEN30">'[1]elimination entries'!$B$262:$L$269</definedName>
    <definedName name="______________________________________________________________________________EEN4">'[1]elimination entries'!$B$42:$L$43</definedName>
    <definedName name="______________________________________________________________________________EEN5">'[1]elimination entries'!$B$47:$L$50</definedName>
    <definedName name="______________________________________________________________________________EEN6">'[1]elimination entries'!$B$53:$L$55</definedName>
    <definedName name="______________________________________________________________________________EEN7">'[1]elimination entries'!$B$59:$L$61</definedName>
    <definedName name="______________________________________________________________________________EEN8">'[1]elimination entries'!$B$65:$L$74</definedName>
    <definedName name="______________________________________________________________________________EEN9">'[1]elimination entries'!$B$78:$L$94</definedName>
    <definedName name="______________________________________________________________________________REN1">'[1]elimination entries'!$B$277:$L$279</definedName>
    <definedName name="______________________________________________________________________________REN2">'[1]elimination entries'!$B$282:$L$289</definedName>
    <definedName name="______________________________________________________________________________REN3">'[1]elimination entries'!$B$292:$L$299</definedName>
    <definedName name="______________________________________________________________________________REN4">'[1]elimination entries'!$B$302:$L$309</definedName>
    <definedName name="_____________________________________________________________________________EEN1">'[1]elimination entries'!$B$8:$L$22</definedName>
    <definedName name="_____________________________________________________________________________EEN10">'[1]elimination entries'!$B$98:$L$111</definedName>
    <definedName name="_____________________________________________________________________________een11">'[1]elimination entries'!$B$115:$L$116</definedName>
    <definedName name="_____________________________________________________________________________EEN12">'[1]elimination entries'!$B$120:$L$123</definedName>
    <definedName name="_____________________________________________________________________________EEN13">'[1]elimination entries'!$B$127:$L$128</definedName>
    <definedName name="_____________________________________________________________________________EEN14">'[3]elimination entries'!$B$132:$L$133</definedName>
    <definedName name="_____________________________________________________________________________een15">'[1]elimination entries'!$B$136:$L$139</definedName>
    <definedName name="_____________________________________________________________________________een16">'[1]elimination entries'!$B$142:$L$145</definedName>
    <definedName name="_____________________________________________________________________________EEN17">'[1]elimination entries'!$B$149:$L$160</definedName>
    <definedName name="_____________________________________________________________________________EEN18">'[1]elimination entries'!$B$163:$L$167</definedName>
    <definedName name="_____________________________________________________________________________EEN19">'[1]elimination entries'!$B$170:$L$171</definedName>
    <definedName name="_____________________________________________________________________________EEN2">'[1]elimination entries'!$B$25:$L$33</definedName>
    <definedName name="_____________________________________________________________________________EEN20">'[1]elimination entries'!$B$174:$L$175</definedName>
    <definedName name="_____________________________________________________________________________EEN21">'[1]elimination entries'!$B$178:$L$179</definedName>
    <definedName name="_____________________________________________________________________________een22">'[1]elimination entries'!$B$182:$L$189</definedName>
    <definedName name="_____________________________________________________________________________een23">'[1]elimination entries'!$B$192:$L$199</definedName>
    <definedName name="_____________________________________________________________________________EEN24">'[1]elimination entries'!$B$202:$L$209</definedName>
    <definedName name="_____________________________________________________________________________EEN25">'[1]elimination entries'!$B$212:$L$219</definedName>
    <definedName name="_____________________________________________________________________________EEN26">'[1]elimination entries'!$B$222:$L$229</definedName>
    <definedName name="_____________________________________________________________________________EEN27">'[1]elimination entries'!$B$232:$L$239</definedName>
    <definedName name="_____________________________________________________________________________EEN28">'[1]elimination entries'!$B$242:$L$249</definedName>
    <definedName name="_____________________________________________________________________________EEN29">'[3]elimination entries'!$B$252:$L$259</definedName>
    <definedName name="_____________________________________________________________________________EEN3">'[3]elimination entries'!$B$37:$L$38</definedName>
    <definedName name="_____________________________________________________________________________EEN30">'[1]elimination entries'!$B$262:$L$269</definedName>
    <definedName name="_____________________________________________________________________________EEN4">'[1]elimination entries'!$B$42:$L$43</definedName>
    <definedName name="_____________________________________________________________________________EEN5">'[1]elimination entries'!$B$47:$L$50</definedName>
    <definedName name="_____________________________________________________________________________EEN6">'[1]elimination entries'!$B$53:$L$55</definedName>
    <definedName name="_____________________________________________________________________________EEN7">'[1]elimination entries'!$B$59:$L$61</definedName>
    <definedName name="_____________________________________________________________________________EEN8">'[1]elimination entries'!$B$65:$L$74</definedName>
    <definedName name="_____________________________________________________________________________EEN9">'[1]elimination entries'!$B$78:$L$94</definedName>
    <definedName name="_____________________________________________________________________________REN1">'[1]elimination entries'!$B$277:$L$279</definedName>
    <definedName name="_____________________________________________________________________________REN2">'[1]elimination entries'!$B$282:$L$289</definedName>
    <definedName name="_____________________________________________________________________________REN3">'[1]elimination entries'!$B$292:$L$299</definedName>
    <definedName name="_____________________________________________________________________________REN4">'[1]elimination entries'!$B$302:$L$309</definedName>
    <definedName name="____________________________________________________________________________EEN1">'[3]elimination entries'!$B$8:$L$22</definedName>
    <definedName name="____________________________________________________________________________EEN10">'[1]elimination entries'!$B$98:$L$111</definedName>
    <definedName name="____________________________________________________________________________een11">'[1]elimination entries'!$B$115:$L$116</definedName>
    <definedName name="____________________________________________________________________________EEN12">'[1]elimination entries'!$B$120:$L$123</definedName>
    <definedName name="____________________________________________________________________________EEN13">'[3]elimination entries'!$B$127:$L$128</definedName>
    <definedName name="____________________________________________________________________________EEN14">'[3]elimination entries'!$B$132:$L$133</definedName>
    <definedName name="____________________________________________________________________________een15">'[1]elimination entries'!$B$136:$L$139</definedName>
    <definedName name="____________________________________________________________________________een16">'[1]elimination entries'!$B$142:$L$145</definedName>
    <definedName name="____________________________________________________________________________EEN17">'[1]elimination entries'!$B$149:$L$160</definedName>
    <definedName name="____________________________________________________________________________EEN18">'[1]elimination entries'!$B$163:$L$167</definedName>
    <definedName name="____________________________________________________________________________EEN19">'[1]elimination entries'!$B$170:$L$171</definedName>
    <definedName name="____________________________________________________________________________EEN2">'[1]elimination entries'!$B$25:$L$33</definedName>
    <definedName name="____________________________________________________________________________EEN20">'[1]elimination entries'!$B$174:$L$175</definedName>
    <definedName name="____________________________________________________________________________EEN21">'[1]elimination entries'!$B$178:$L$179</definedName>
    <definedName name="____________________________________________________________________________een22">'[1]elimination entries'!$B$182:$L$189</definedName>
    <definedName name="____________________________________________________________________________een23">'[1]elimination entries'!$B$192:$L$199</definedName>
    <definedName name="____________________________________________________________________________EEN24">'[1]elimination entries'!$B$202:$L$209</definedName>
    <definedName name="____________________________________________________________________________EEN25">'[1]elimination entries'!$B$212:$L$219</definedName>
    <definedName name="____________________________________________________________________________EEN26">'[1]elimination entries'!$B$222:$L$229</definedName>
    <definedName name="____________________________________________________________________________EEN27">'[1]elimination entries'!$B$232:$L$239</definedName>
    <definedName name="____________________________________________________________________________EEN28">'[1]elimination entries'!$B$242:$L$249</definedName>
    <definedName name="____________________________________________________________________________EEN29">'[1]elimination entries'!$B$252:$L$259</definedName>
    <definedName name="____________________________________________________________________________EEN3">'[1]elimination entries'!$B$37:$L$38</definedName>
    <definedName name="____________________________________________________________________________EEN30">'[1]elimination entries'!$B$262:$L$269</definedName>
    <definedName name="____________________________________________________________________________EEN4">'[1]elimination entries'!$B$42:$L$43</definedName>
    <definedName name="____________________________________________________________________________EEN5">'[1]elimination entries'!$B$47:$L$50</definedName>
    <definedName name="____________________________________________________________________________EEN6">'[1]elimination entries'!$B$53:$L$55</definedName>
    <definedName name="____________________________________________________________________________EEN7">'[1]elimination entries'!$B$59:$L$61</definedName>
    <definedName name="____________________________________________________________________________EEN8">'[1]elimination entries'!$B$65:$L$74</definedName>
    <definedName name="____________________________________________________________________________EEN9">'[1]elimination entries'!$B$78:$L$94</definedName>
    <definedName name="____________________________________________________________________________REN1">'[1]elimination entries'!$B$277:$L$279</definedName>
    <definedName name="____________________________________________________________________________REN2">'[1]elimination entries'!$B$282:$L$289</definedName>
    <definedName name="____________________________________________________________________________REN3">'[1]elimination entries'!$B$292:$L$299</definedName>
    <definedName name="____________________________________________________________________________REN4">'[1]elimination entries'!$B$302:$L$309</definedName>
    <definedName name="___________________________________________________________________________EEN1">'[3]elimination entries'!$B$8:$L$22</definedName>
    <definedName name="___________________________________________________________________________EEN10">'[1]elimination entries'!$B$98:$L$111</definedName>
    <definedName name="___________________________________________________________________________een11">'[1]elimination entries'!$B$115:$L$116</definedName>
    <definedName name="___________________________________________________________________________EEN12">'[1]elimination entries'!$B$120:$L$123</definedName>
    <definedName name="___________________________________________________________________________EEN13">'[1]elimination entries'!$B$127:$L$128</definedName>
    <definedName name="___________________________________________________________________________EEN14">'[4]elimination entries'!$B$132:$L$133</definedName>
    <definedName name="___________________________________________________________________________een15">'[4]elimination entries'!$B$136:$L$139</definedName>
    <definedName name="___________________________________________________________________________een16">'[4]elimination entries'!$B$142:$L$145</definedName>
    <definedName name="___________________________________________________________________________EEN17">'[4]elimination entries'!$B$149:$L$160</definedName>
    <definedName name="___________________________________________________________________________EEN18">'[4]elimination entries'!$B$163:$L$167</definedName>
    <definedName name="___________________________________________________________________________EEN19">'[4]elimination entries'!$B$170:$L$171</definedName>
    <definedName name="___________________________________________________________________________EEN2">'[4]elimination entries'!$B$25:$L$33</definedName>
    <definedName name="___________________________________________________________________________EEN20">'[4]elimination entries'!$B$174:$L$175</definedName>
    <definedName name="___________________________________________________________________________EEN21">'[4]elimination entries'!$B$178:$L$179</definedName>
    <definedName name="___________________________________________________________________________een22">'[4]elimination entries'!$B$182:$L$189</definedName>
    <definedName name="___________________________________________________________________________een23">'[4]elimination entries'!$B$192:$L$199</definedName>
    <definedName name="___________________________________________________________________________EEN24">'[4]elimination entries'!$B$202:$L$209</definedName>
    <definedName name="___________________________________________________________________________EEN25">'[1]elimination entries'!$B$212:$L$219</definedName>
    <definedName name="___________________________________________________________________________EEN26">'[1]elimination entries'!$B$222:$L$229</definedName>
    <definedName name="___________________________________________________________________________EEN27">'[1]elimination entries'!$B$232:$L$239</definedName>
    <definedName name="___________________________________________________________________________EEN28">'[1]elimination entries'!$B$242:$L$249</definedName>
    <definedName name="___________________________________________________________________________EEN29">'[3]elimination entries'!$B$252:$L$259</definedName>
    <definedName name="___________________________________________________________________________EEN3">'[1]elimination entries'!$B$37:$L$38</definedName>
    <definedName name="___________________________________________________________________________EEN30">'[1]elimination entries'!$B$262:$L$269</definedName>
    <definedName name="___________________________________________________________________________EEN4">'[4]elimination entries'!$B$42:$L$43</definedName>
    <definedName name="___________________________________________________________________________EEN5">'[4]elimination entries'!$B$47:$L$50</definedName>
    <definedName name="___________________________________________________________________________EEN6">'[4]elimination entries'!$B$53:$L$55</definedName>
    <definedName name="___________________________________________________________________________EEN7">'[4]elimination entries'!$B$59:$L$61</definedName>
    <definedName name="___________________________________________________________________________EEN8">'[4]elimination entries'!$B$65:$L$74</definedName>
    <definedName name="___________________________________________________________________________EEN9">'[4]elimination entries'!$B$78:$L$94</definedName>
    <definedName name="___________________________________________________________________________REN1">'[4]elimination entries'!$B$277:$L$279</definedName>
    <definedName name="___________________________________________________________________________REN2">'[4]elimination entries'!$B$282:$L$289</definedName>
    <definedName name="___________________________________________________________________________REN3">'[4]elimination entries'!$B$292:$L$299</definedName>
    <definedName name="___________________________________________________________________________REN4">'[4]elimination entries'!$B$302:$L$309</definedName>
    <definedName name="__________________________________________________________________________EEN1">'[1]elimination entries'!$B$8:$L$22</definedName>
    <definedName name="__________________________________________________________________________EEN10">'[1]elimination entries'!$B$98:$L$111</definedName>
    <definedName name="__________________________________________________________________________een11">'[3]elimination entries'!$B$115:$L$116</definedName>
    <definedName name="__________________________________________________________________________EEN12">'[1]elimination entries'!$B$120:$L$123</definedName>
    <definedName name="__________________________________________________________________________EEN13">'[1]elimination entries'!$B$127:$L$128</definedName>
    <definedName name="__________________________________________________________________________EEN14">'[1]elimination entries'!$B$132:$L$133</definedName>
    <definedName name="__________________________________________________________________________een15">'[1]elimination entries'!$B$136:$L$139</definedName>
    <definedName name="__________________________________________________________________________een16">'[1]elimination entries'!$B$142:$L$145</definedName>
    <definedName name="__________________________________________________________________________EEN17">'[1]elimination entries'!$B$149:$L$160</definedName>
    <definedName name="__________________________________________________________________________EEN18">'[1]elimination entries'!$B$163:$L$167</definedName>
    <definedName name="__________________________________________________________________________EEN19">'[1]elimination entries'!$B$170:$L$171</definedName>
    <definedName name="__________________________________________________________________________EEN2">'[1]elimination entries'!$B$25:$L$33</definedName>
    <definedName name="__________________________________________________________________________EEN20">'[1]elimination entries'!$B$174:$L$175</definedName>
    <definedName name="__________________________________________________________________________EEN21">'[1]elimination entries'!$B$178:$L$179</definedName>
    <definedName name="__________________________________________________________________________een22">'[1]elimination entries'!$B$182:$L$189</definedName>
    <definedName name="__________________________________________________________________________een23">'[1]elimination entries'!$B$192:$L$199</definedName>
    <definedName name="__________________________________________________________________________EEN24">'[1]elimination entries'!$B$202:$L$209</definedName>
    <definedName name="__________________________________________________________________________EEN25">'[1]elimination entries'!$B$212:$L$219</definedName>
    <definedName name="__________________________________________________________________________EEN26">'[1]elimination entries'!$B$222:$L$229</definedName>
    <definedName name="__________________________________________________________________________EEN27">'[1]elimination entries'!$B$232:$L$239</definedName>
    <definedName name="__________________________________________________________________________EEN28">'[1]elimination entries'!$B$242:$L$249</definedName>
    <definedName name="__________________________________________________________________________EEN29">'[4]elimination entries'!$B$252:$L$259</definedName>
    <definedName name="__________________________________________________________________________EEN3">'[1]elimination entries'!$B$37:$L$38</definedName>
    <definedName name="__________________________________________________________________________EEN30">'[1]elimination entries'!$B$262:$L$269</definedName>
    <definedName name="__________________________________________________________________________EEN4">'[1]elimination entries'!$B$42:$L$43</definedName>
    <definedName name="__________________________________________________________________________EEN5">'[1]elimination entries'!$B$47:$L$50</definedName>
    <definedName name="__________________________________________________________________________EEN6">'[1]elimination entries'!$B$53:$L$55</definedName>
    <definedName name="__________________________________________________________________________EEN7">'[1]elimination entries'!$B$59:$L$61</definedName>
    <definedName name="__________________________________________________________________________EEN8">'[1]elimination entries'!$B$65:$L$74</definedName>
    <definedName name="__________________________________________________________________________EEN9">'[1]elimination entries'!$B$78:$L$94</definedName>
    <definedName name="__________________________________________________________________________REN1">'[1]elimination entries'!$B$277:$L$279</definedName>
    <definedName name="__________________________________________________________________________REN2">'[1]elimination entries'!$B$282:$L$289</definedName>
    <definedName name="__________________________________________________________________________REN3">'[1]elimination entries'!$B$292:$L$299</definedName>
    <definedName name="__________________________________________________________________________REN4">'[1]elimination entries'!$B$302:$L$309</definedName>
    <definedName name="_________________________________________________________________________EEN1">'[1]elimination entries'!$B$8:$L$22</definedName>
    <definedName name="_________________________________________________________________________EEN10">'[1]elimination entries'!$B$98:$L$111</definedName>
    <definedName name="_________________________________________________________________________een11">'[3]elimination entries'!$B$115:$L$116</definedName>
    <definedName name="_________________________________________________________________________EEN12">'[1]elimination entries'!$B$120:$L$123</definedName>
    <definedName name="_________________________________________________________________________EEN13">'[3]elimination entries'!$B$127:$L$128</definedName>
    <definedName name="_________________________________________________________________________EEN14">'[1]elimination entries'!$B$132:$L$133</definedName>
    <definedName name="_________________________________________________________________________een15">'[1]elimination entries'!$B$136:$L$139</definedName>
    <definedName name="_________________________________________________________________________een16">'[1]elimination entries'!$B$142:$L$145</definedName>
    <definedName name="_________________________________________________________________________EEN17">'[1]elimination entries'!$B$149:$L$160</definedName>
    <definedName name="_________________________________________________________________________EEN18">'[1]elimination entries'!$B$163:$L$167</definedName>
    <definedName name="_________________________________________________________________________EEN19">'[1]elimination entries'!$B$170:$L$171</definedName>
    <definedName name="_________________________________________________________________________EEN2">'[1]elimination entries'!$B$25:$L$33</definedName>
    <definedName name="_________________________________________________________________________EEN20">'[1]elimination entries'!$B$174:$L$175</definedName>
    <definedName name="_________________________________________________________________________EEN21">'[1]elimination entries'!$B$178:$L$179</definedName>
    <definedName name="_________________________________________________________________________een22">'[1]elimination entries'!$B$182:$L$189</definedName>
    <definedName name="_________________________________________________________________________een23">'[1]elimination entries'!$B$192:$L$199</definedName>
    <definedName name="_________________________________________________________________________EEN24">'[1]elimination entries'!$B$202:$L$209</definedName>
    <definedName name="_________________________________________________________________________EEN25">'[1]elimination entries'!$B$212:$L$219</definedName>
    <definedName name="_________________________________________________________________________EEN26">'[1]elimination entries'!$B$222:$L$229</definedName>
    <definedName name="_________________________________________________________________________EEN27">'[1]elimination entries'!$B$232:$L$239</definedName>
    <definedName name="_________________________________________________________________________EEN28">'[1]elimination entries'!$B$242:$L$249</definedName>
    <definedName name="_________________________________________________________________________EEN29">'[1]elimination entries'!$B$252:$L$259</definedName>
    <definedName name="_________________________________________________________________________EEN3">'[1]elimination entries'!$B$37:$L$38</definedName>
    <definedName name="_________________________________________________________________________EEN30">'[1]elimination entries'!$B$262:$L$269</definedName>
    <definedName name="_________________________________________________________________________EEN4">'[1]elimination entries'!$B$42:$L$43</definedName>
    <definedName name="_________________________________________________________________________EEN5">'[1]elimination entries'!$B$47:$L$50</definedName>
    <definedName name="_________________________________________________________________________EEN6">'[1]elimination entries'!$B$53:$L$55</definedName>
    <definedName name="_________________________________________________________________________EEN7">'[1]elimination entries'!$B$59:$L$61</definedName>
    <definedName name="_________________________________________________________________________EEN8">'[1]elimination entries'!$B$65:$L$74</definedName>
    <definedName name="_________________________________________________________________________EEN9">'[1]elimination entries'!$B$78:$L$94</definedName>
    <definedName name="_________________________________________________________________________REN1">'[1]elimination entries'!$B$277:$L$279</definedName>
    <definedName name="_________________________________________________________________________REN2">'[1]elimination entries'!$B$282:$L$289</definedName>
    <definedName name="_________________________________________________________________________REN3">'[1]elimination entries'!$B$292:$L$299</definedName>
    <definedName name="_________________________________________________________________________REN4">'[1]elimination entries'!$B$302:$L$309</definedName>
    <definedName name="________________________________________________________________________EEN1">'[1]elimination entries'!$B$8:$L$22</definedName>
    <definedName name="________________________________________________________________________EEN10">'[1]elimination entries'!$B$98:$L$111</definedName>
    <definedName name="________________________________________________________________________een11">'[1]elimination entries'!$B$115:$L$116</definedName>
    <definedName name="________________________________________________________________________EEN12">'[1]elimination entries'!$B$120:$L$123</definedName>
    <definedName name="________________________________________________________________________EEN13">'[1]elimination entries'!$B$127:$L$128</definedName>
    <definedName name="________________________________________________________________________EEN14">'[1]elimination entries'!$B$132:$L$133</definedName>
    <definedName name="________________________________________________________________________een15">'[1]elimination entries'!$B$136:$L$139</definedName>
    <definedName name="________________________________________________________________________een16">'[1]elimination entries'!$B$142:$L$145</definedName>
    <definedName name="________________________________________________________________________EEN17">'[1]elimination entries'!$B$149:$L$160</definedName>
    <definedName name="________________________________________________________________________EEN18">'[1]elimination entries'!$B$163:$L$167</definedName>
    <definedName name="________________________________________________________________________EEN19">'[1]elimination entries'!$B$170:$L$171</definedName>
    <definedName name="________________________________________________________________________EEN2">'[1]elimination entries'!$B$25:$L$33</definedName>
    <definedName name="________________________________________________________________________EEN20">'[1]elimination entries'!$B$174:$L$175</definedName>
    <definedName name="________________________________________________________________________EEN21">'[1]elimination entries'!$B$178:$L$179</definedName>
    <definedName name="________________________________________________________________________een22">'[1]elimination entries'!$B$182:$L$189</definedName>
    <definedName name="________________________________________________________________________een23">'[1]elimination entries'!$B$192:$L$199</definedName>
    <definedName name="________________________________________________________________________EEN24">'[1]elimination entries'!$B$202:$L$209</definedName>
    <definedName name="________________________________________________________________________EEN25">'[1]elimination entries'!$B$212:$L$219</definedName>
    <definedName name="________________________________________________________________________EEN26">'[1]elimination entries'!$B$222:$L$229</definedName>
    <definedName name="________________________________________________________________________EEN27">'[1]elimination entries'!$B$232:$L$239</definedName>
    <definedName name="________________________________________________________________________EEN28">'[4]elimination entries'!$B$242:$L$249</definedName>
    <definedName name="________________________________________________________________________EEN29">'[1]elimination entries'!$B$252:$L$259</definedName>
    <definedName name="________________________________________________________________________EEN3">'[1]elimination entries'!$B$37:$L$38</definedName>
    <definedName name="________________________________________________________________________EEN30">'[1]elimination entries'!$B$262:$L$269</definedName>
    <definedName name="________________________________________________________________________EEN4">'[1]elimination entries'!$B$42:$L$43</definedName>
    <definedName name="________________________________________________________________________EEN5">'[1]elimination entries'!$B$47:$L$50</definedName>
    <definedName name="________________________________________________________________________EEN6">'[1]elimination entries'!$B$53:$L$55</definedName>
    <definedName name="________________________________________________________________________EEN7">'[1]elimination entries'!$B$59:$L$61</definedName>
    <definedName name="________________________________________________________________________EEN8">'[1]elimination entries'!$B$65:$L$74</definedName>
    <definedName name="________________________________________________________________________EEN9">'[1]elimination entries'!$B$78:$L$94</definedName>
    <definedName name="________________________________________________________________________REN1">'[1]elimination entries'!$B$277:$L$279</definedName>
    <definedName name="________________________________________________________________________REN2">'[1]elimination entries'!$B$282:$L$289</definedName>
    <definedName name="________________________________________________________________________REN3">'[1]elimination entries'!$B$292:$L$299</definedName>
    <definedName name="________________________________________________________________________REN4">'[1]elimination entries'!$B$302:$L$309</definedName>
    <definedName name="_______________________________________________________________________EEN1">'[1]elimination entries'!$B$8:$L$22</definedName>
    <definedName name="_______________________________________________________________________EEN10">'[1]elimination entries'!$B$98:$L$111</definedName>
    <definedName name="_______________________________________________________________________een11">'[1]elimination entries'!$B$115:$L$116</definedName>
    <definedName name="_______________________________________________________________________EEN12">'[1]elimination entries'!$B$120:$L$123</definedName>
    <definedName name="_______________________________________________________________________EEN13">'[1]elimination entries'!$B$127:$L$128</definedName>
    <definedName name="_______________________________________________________________________EEN14">'[1]elimination entries'!$B$132:$L$133</definedName>
    <definedName name="_______________________________________________________________________een15">'[1]elimination entries'!$B$136:$L$139</definedName>
    <definedName name="_______________________________________________________________________een16">'[1]elimination entries'!$B$142:$L$145</definedName>
    <definedName name="_______________________________________________________________________EEN17">'[1]elimination entries'!$B$149:$L$160</definedName>
    <definedName name="_______________________________________________________________________EEN18">'[1]elimination entries'!$B$163:$L$167</definedName>
    <definedName name="_______________________________________________________________________EEN19">'[1]elimination entries'!$B$170:$L$171</definedName>
    <definedName name="_______________________________________________________________________EEN2">'[1]elimination entries'!$B$25:$L$33</definedName>
    <definedName name="_______________________________________________________________________EEN20">'[1]elimination entries'!$B$174:$L$175</definedName>
    <definedName name="_______________________________________________________________________EEN21">'[1]elimination entries'!$B$178:$L$179</definedName>
    <definedName name="_______________________________________________________________________een22">'[1]elimination entries'!$B$182:$L$189</definedName>
    <definedName name="_______________________________________________________________________een23">'[1]elimination entries'!$B$192:$L$199</definedName>
    <definedName name="_______________________________________________________________________EEN24">'[1]elimination entries'!$B$202:$L$209</definedName>
    <definedName name="_______________________________________________________________________EEN25">'[1]elimination entries'!$B$212:$L$219</definedName>
    <definedName name="_______________________________________________________________________EEN26">'[1]elimination entries'!$B$222:$L$229</definedName>
    <definedName name="_______________________________________________________________________EEN27">'[1]elimination entries'!$B$232:$L$239</definedName>
    <definedName name="_______________________________________________________________________EEN28">'[1]elimination entries'!$B$242:$L$249</definedName>
    <definedName name="_______________________________________________________________________EEN29">'[1]elimination entries'!$B$252:$L$259</definedName>
    <definedName name="_______________________________________________________________________EEN3">'[1]elimination entries'!$B$37:$L$38</definedName>
    <definedName name="_______________________________________________________________________EEN30">'[1]elimination entries'!$B$262:$L$269</definedName>
    <definedName name="_______________________________________________________________________EEN4">'[1]elimination entries'!$B$42:$L$43</definedName>
    <definedName name="_______________________________________________________________________EEN5">'[1]elimination entries'!$B$47:$L$50</definedName>
    <definedName name="_______________________________________________________________________EEN6">'[1]elimination entries'!$B$53:$L$55</definedName>
    <definedName name="_______________________________________________________________________EEN7">'[1]elimination entries'!$B$59:$L$61</definedName>
    <definedName name="_______________________________________________________________________EEN8">'[1]elimination entries'!$B$65:$L$74</definedName>
    <definedName name="_______________________________________________________________________EEN9">'[1]elimination entries'!$B$78:$L$94</definedName>
    <definedName name="_______________________________________________________________________REN1">'[1]elimination entries'!$B$277:$L$279</definedName>
    <definedName name="_______________________________________________________________________REN2">'[1]elimination entries'!$B$282:$L$289</definedName>
    <definedName name="_______________________________________________________________________REN3">'[1]elimination entries'!$B$292:$L$299</definedName>
    <definedName name="_______________________________________________________________________REN4">'[1]elimination entries'!$B$302:$L$309</definedName>
    <definedName name="______________________________________________________________________EEN1">'[1]elimination entries'!$B$8:$L$22</definedName>
    <definedName name="______________________________________________________________________EEN10">'[1]elimination entries'!$B$98:$L$111</definedName>
    <definedName name="______________________________________________________________________een11">'[1]elimination entries'!$B$115:$L$116</definedName>
    <definedName name="______________________________________________________________________EEN12">'[3]elimination entries'!$B$120:$L$123</definedName>
    <definedName name="______________________________________________________________________EEN13">'[1]elimination entries'!$B$127:$L$128</definedName>
    <definedName name="______________________________________________________________________EEN14">'[1]elimination entries'!$B$132:$L$133</definedName>
    <definedName name="______________________________________________________________________een15">'[1]elimination entries'!$B$136:$L$139</definedName>
    <definedName name="______________________________________________________________________een16">'[1]elimination entries'!$B$142:$L$145</definedName>
    <definedName name="______________________________________________________________________EEN17">'[1]elimination entries'!$B$149:$L$160</definedName>
    <definedName name="______________________________________________________________________EEN18">'[1]elimination entries'!$B$163:$L$167</definedName>
    <definedName name="______________________________________________________________________EEN19">'[1]elimination entries'!$B$170:$L$171</definedName>
    <definedName name="______________________________________________________________________EEN2">'[1]elimination entries'!$B$25:$L$33</definedName>
    <definedName name="______________________________________________________________________EEN20">'[1]elimination entries'!$B$174:$L$175</definedName>
    <definedName name="______________________________________________________________________EEN21">'[1]elimination entries'!$B$178:$L$179</definedName>
    <definedName name="______________________________________________________________________een22">'[1]elimination entries'!$B$182:$L$189</definedName>
    <definedName name="______________________________________________________________________een23">'[1]elimination entries'!$B$192:$L$199</definedName>
    <definedName name="______________________________________________________________________EEN24">'[1]elimination entries'!$B$202:$L$209</definedName>
    <definedName name="______________________________________________________________________EEN25">'[1]elimination entries'!$B$212:$L$219</definedName>
    <definedName name="______________________________________________________________________EEN26">'[1]elimination entries'!$B$222:$L$229</definedName>
    <definedName name="______________________________________________________________________EEN27">'[3]elimination entries'!$B$232:$L$239</definedName>
    <definedName name="______________________________________________________________________EEN28">'[3]elimination entries'!$B$242:$L$249</definedName>
    <definedName name="______________________________________________________________________EEN29">'[1]elimination entries'!$B$252:$L$259</definedName>
    <definedName name="______________________________________________________________________EEN3">'[1]elimination entries'!$B$37:$L$38</definedName>
    <definedName name="______________________________________________________________________EEN30">'[1]elimination entries'!$B$262:$L$269</definedName>
    <definedName name="______________________________________________________________________EEN4">'[1]elimination entries'!$B$42:$L$43</definedName>
    <definedName name="______________________________________________________________________EEN5">'[1]elimination entries'!$B$47:$L$50</definedName>
    <definedName name="______________________________________________________________________EEN6">'[1]elimination entries'!$B$53:$L$55</definedName>
    <definedName name="______________________________________________________________________EEN7">'[1]elimination entries'!$B$59:$L$61</definedName>
    <definedName name="______________________________________________________________________EEN8">'[1]elimination entries'!$B$65:$L$74</definedName>
    <definedName name="______________________________________________________________________EEN9">'[1]elimination entries'!$B$78:$L$94</definedName>
    <definedName name="______________________________________________________________________REN1">'[1]elimination entries'!$B$277:$L$279</definedName>
    <definedName name="______________________________________________________________________REN2">'[1]elimination entries'!$B$282:$L$289</definedName>
    <definedName name="______________________________________________________________________REN3">'[1]elimination entries'!$B$292:$L$299</definedName>
    <definedName name="______________________________________________________________________REN4">'[1]elimination entries'!$B$302:$L$309</definedName>
    <definedName name="_____________________________________________________________________EEN1">'[4]elimination entries'!$B$8:$L$22</definedName>
    <definedName name="_____________________________________________________________________EEN10">'[1]elimination entries'!$B$98:$L$111</definedName>
    <definedName name="_____________________________________________________________________een11">'[1]elimination entries'!$B$115:$L$116</definedName>
    <definedName name="_____________________________________________________________________EEN12">'[1]elimination entries'!$B$120:$L$123</definedName>
    <definedName name="_____________________________________________________________________EEN13">'[1]elimination entries'!$B$127:$L$128</definedName>
    <definedName name="_____________________________________________________________________EEN14">'[1]elimination entries'!$B$132:$L$133</definedName>
    <definedName name="_____________________________________________________________________een15">'[1]elimination entries'!$B$136:$L$139</definedName>
    <definedName name="_____________________________________________________________________een16">'[1]elimination entries'!$B$142:$L$145</definedName>
    <definedName name="_____________________________________________________________________EEN17">'[1]elimination entries'!$B$149:$L$160</definedName>
    <definedName name="_____________________________________________________________________EEN18">'[1]elimination entries'!$B$163:$L$167</definedName>
    <definedName name="_____________________________________________________________________EEN19">'[1]elimination entries'!$B$170:$L$171</definedName>
    <definedName name="_____________________________________________________________________EEN2">'[1]elimination entries'!$B$25:$L$33</definedName>
    <definedName name="_____________________________________________________________________EEN20">'[1]elimination entries'!$B$174:$L$175</definedName>
    <definedName name="_____________________________________________________________________EEN21">'[1]elimination entries'!$B$178:$L$179</definedName>
    <definedName name="_____________________________________________________________________een22">'[1]elimination entries'!$B$182:$L$189</definedName>
    <definedName name="_____________________________________________________________________een23">'[1]elimination entries'!$B$192:$L$199</definedName>
    <definedName name="_____________________________________________________________________EEN24">'[1]elimination entries'!$B$202:$L$209</definedName>
    <definedName name="_____________________________________________________________________EEN25">'[1]elimination entries'!$B$212:$L$219</definedName>
    <definedName name="_____________________________________________________________________EEN26">'[1]elimination entries'!$B$222:$L$229</definedName>
    <definedName name="_____________________________________________________________________EEN27">'[1]elimination entries'!$B$232:$L$239</definedName>
    <definedName name="_____________________________________________________________________EEN28">'[1]elimination entries'!$B$242:$L$249</definedName>
    <definedName name="_____________________________________________________________________EEN29">'[1]elimination entries'!$B$252:$L$259</definedName>
    <definedName name="_____________________________________________________________________EEN3">'[1]elimination entries'!$B$37:$L$38</definedName>
    <definedName name="_____________________________________________________________________EEN30">'[1]elimination entries'!$B$262:$L$269</definedName>
    <definedName name="_____________________________________________________________________EEN4">'[1]elimination entries'!$B$42:$L$43</definedName>
    <definedName name="_____________________________________________________________________EEN5">'[1]elimination entries'!$B$47:$L$50</definedName>
    <definedName name="_____________________________________________________________________EEN6">'[1]elimination entries'!$B$53:$L$55</definedName>
    <definedName name="_____________________________________________________________________EEN7">'[1]elimination entries'!$B$59:$L$61</definedName>
    <definedName name="_____________________________________________________________________EEN8">'[1]elimination entries'!$B$65:$L$74</definedName>
    <definedName name="_____________________________________________________________________EEN9">'[1]elimination entries'!$B$78:$L$94</definedName>
    <definedName name="_____________________________________________________________________REN1">'[1]elimination entries'!$B$277:$L$279</definedName>
    <definedName name="_____________________________________________________________________REN2">'[1]elimination entries'!$B$282:$L$289</definedName>
    <definedName name="_____________________________________________________________________REN3">'[1]elimination entries'!$B$292:$L$299</definedName>
    <definedName name="_____________________________________________________________________REN4">'[1]elimination entries'!$B$302:$L$309</definedName>
    <definedName name="____________________________________________________________________EEN1">'[1]elimination entries'!$B$8:$L$22</definedName>
    <definedName name="____________________________________________________________________EEN10">'[1]elimination entries'!$B$98:$L$111</definedName>
    <definedName name="____________________________________________________________________een11">'[1]elimination entries'!$B$115:$L$116</definedName>
    <definedName name="____________________________________________________________________EEN12">'[1]elimination entries'!$B$120:$L$123</definedName>
    <definedName name="____________________________________________________________________EEN13">'[1]elimination entries'!$B$127:$L$128</definedName>
    <definedName name="____________________________________________________________________EEN14">'[1]elimination entries'!$B$132:$L$133</definedName>
    <definedName name="____________________________________________________________________een15">'[1]elimination entries'!$B$136:$L$139</definedName>
    <definedName name="____________________________________________________________________een16">'[1]elimination entries'!$B$142:$L$145</definedName>
    <definedName name="____________________________________________________________________EEN17">'[1]elimination entries'!$B$149:$L$160</definedName>
    <definedName name="____________________________________________________________________EEN18">'[1]elimination entries'!$B$163:$L$167</definedName>
    <definedName name="____________________________________________________________________EEN19">'[1]elimination entries'!$B$170:$L$171</definedName>
    <definedName name="____________________________________________________________________EEN2">'[1]elimination entries'!$B$25:$L$33</definedName>
    <definedName name="____________________________________________________________________EEN20">'[1]elimination entries'!$B$174:$L$175</definedName>
    <definedName name="____________________________________________________________________EEN21">'[1]elimination entries'!$B$178:$L$179</definedName>
    <definedName name="____________________________________________________________________een22">'[1]elimination entries'!$B$182:$L$189</definedName>
    <definedName name="____________________________________________________________________een23">'[1]elimination entries'!$B$192:$L$199</definedName>
    <definedName name="____________________________________________________________________EEN24">'[1]elimination entries'!$B$202:$L$209</definedName>
    <definedName name="____________________________________________________________________EEN25">'[1]elimination entries'!$B$212:$L$219</definedName>
    <definedName name="____________________________________________________________________EEN26">'[1]elimination entries'!$B$222:$L$229</definedName>
    <definedName name="____________________________________________________________________EEN27">'[1]elimination entries'!$B$232:$L$239</definedName>
    <definedName name="____________________________________________________________________EEN28">'[3]elimination entries'!$B$242:$L$249</definedName>
    <definedName name="____________________________________________________________________EEN29">'[1]elimination entries'!$B$252:$L$259</definedName>
    <definedName name="____________________________________________________________________EEN3">'[1]elimination entries'!$B$37:$L$38</definedName>
    <definedName name="____________________________________________________________________EEN30">'[1]elimination entries'!$B$262:$L$269</definedName>
    <definedName name="____________________________________________________________________EEN4">'[1]elimination entries'!$B$42:$L$43</definedName>
    <definedName name="____________________________________________________________________EEN5">'[1]elimination entries'!$B$47:$L$50</definedName>
    <definedName name="____________________________________________________________________EEN6">'[1]elimination entries'!$B$53:$L$55</definedName>
    <definedName name="____________________________________________________________________EEN7">'[1]elimination entries'!$B$59:$L$61</definedName>
    <definedName name="____________________________________________________________________EEN8">'[1]elimination entries'!$B$65:$L$74</definedName>
    <definedName name="____________________________________________________________________EEN9">'[1]elimination entries'!$B$78:$L$94</definedName>
    <definedName name="____________________________________________________________________REN1">'[1]elimination entries'!$B$277:$L$279</definedName>
    <definedName name="____________________________________________________________________REN2">'[1]elimination entries'!$B$282:$L$289</definedName>
    <definedName name="____________________________________________________________________REN3">'[1]elimination entries'!$B$292:$L$299</definedName>
    <definedName name="____________________________________________________________________REN4">'[1]elimination entries'!$B$302:$L$309</definedName>
    <definedName name="___________________________________________________________________EEN1">'[1]elimination entries'!$B$8:$L$22</definedName>
    <definedName name="___________________________________________________________________EEN10">'[1]elimination entries'!$B$98:$L$111</definedName>
    <definedName name="___________________________________________________________________een11">'[4]elimination entries'!$B$115:$L$116</definedName>
    <definedName name="___________________________________________________________________EEN12">'[1]elimination entries'!$B$120:$L$123</definedName>
    <definedName name="___________________________________________________________________EEN13">'[1]elimination entries'!$B$127:$L$128</definedName>
    <definedName name="___________________________________________________________________EEN14">'[1]elimination entries'!$B$132:$L$133</definedName>
    <definedName name="___________________________________________________________________een15">'[1]elimination entries'!$B$136:$L$139</definedName>
    <definedName name="___________________________________________________________________een16">'[1]elimination entries'!$B$142:$L$145</definedName>
    <definedName name="___________________________________________________________________EEN17">'[1]elimination entries'!$B$149:$L$160</definedName>
    <definedName name="___________________________________________________________________EEN18">'[1]elimination entries'!$B$163:$L$167</definedName>
    <definedName name="___________________________________________________________________EEN19">'[1]elimination entries'!$B$170:$L$171</definedName>
    <definedName name="___________________________________________________________________EEN2">'[1]elimination entries'!$B$25:$L$33</definedName>
    <definedName name="___________________________________________________________________EEN20">'[1]elimination entries'!$B$174:$L$175</definedName>
    <definedName name="___________________________________________________________________EEN21">'[1]elimination entries'!$B$178:$L$179</definedName>
    <definedName name="___________________________________________________________________een22">'[1]elimination entries'!$B$182:$L$189</definedName>
    <definedName name="___________________________________________________________________een23">'[1]elimination entries'!$B$192:$L$199</definedName>
    <definedName name="___________________________________________________________________EEN24">'[1]elimination entries'!$B$202:$L$209</definedName>
    <definedName name="___________________________________________________________________EEN25">'[1]elimination entries'!$B$212:$L$219</definedName>
    <definedName name="___________________________________________________________________EEN26">'[1]elimination entries'!$B$222:$L$229</definedName>
    <definedName name="___________________________________________________________________EEN27">'[4]elimination entries'!$B$232:$L$239</definedName>
    <definedName name="___________________________________________________________________EEN28">'[1]elimination entries'!$B$242:$L$249</definedName>
    <definedName name="___________________________________________________________________EEN29">'[1]elimination entries'!$B$252:$L$259</definedName>
    <definedName name="___________________________________________________________________EEN3">'[1]elimination entries'!$B$37:$L$38</definedName>
    <definedName name="___________________________________________________________________EEN30">'[1]elimination entries'!$B$262:$L$269</definedName>
    <definedName name="___________________________________________________________________EEN4">'[1]elimination entries'!$B$42:$L$43</definedName>
    <definedName name="___________________________________________________________________EEN5">'[1]elimination entries'!$B$47:$L$50</definedName>
    <definedName name="___________________________________________________________________EEN6">'[1]elimination entries'!$B$53:$L$55</definedName>
    <definedName name="___________________________________________________________________EEN7">'[1]elimination entries'!$B$59:$L$61</definedName>
    <definedName name="___________________________________________________________________EEN8">'[1]elimination entries'!$B$65:$L$74</definedName>
    <definedName name="___________________________________________________________________EEN9">'[1]elimination entries'!$B$78:$L$94</definedName>
    <definedName name="___________________________________________________________________REN1">'[1]elimination entries'!$B$277:$L$279</definedName>
    <definedName name="___________________________________________________________________REN2">'[1]elimination entries'!$B$282:$L$289</definedName>
    <definedName name="___________________________________________________________________REN3">'[1]elimination entries'!$B$292:$L$299</definedName>
    <definedName name="___________________________________________________________________REN4">'[1]elimination entries'!$B$302:$L$309</definedName>
    <definedName name="__________________________________________________________________EEN1">'[1]elimination entries'!$B$8:$L$22</definedName>
    <definedName name="__________________________________________________________________EEN10">'[3]elimination entries'!$B$98:$L$111</definedName>
    <definedName name="__________________________________________________________________een11">'[1]elimination entries'!$B$115:$L$116</definedName>
    <definedName name="__________________________________________________________________EEN12">'[3]elimination entries'!$B$120:$L$123</definedName>
    <definedName name="__________________________________________________________________EEN13">'[1]elimination entries'!$B$127:$L$128</definedName>
    <definedName name="__________________________________________________________________EEN14">'[1]elimination entries'!$B$132:$L$133</definedName>
    <definedName name="__________________________________________________________________een15">'[1]elimination entries'!$B$136:$L$139</definedName>
    <definedName name="__________________________________________________________________een16">'[1]elimination entries'!$B$142:$L$145</definedName>
    <definedName name="__________________________________________________________________EEN17">'[1]elimination entries'!$B$149:$L$160</definedName>
    <definedName name="__________________________________________________________________EEN18">'[1]elimination entries'!$B$163:$L$167</definedName>
    <definedName name="__________________________________________________________________EEN19">'[1]elimination entries'!$B$170:$L$171</definedName>
    <definedName name="__________________________________________________________________EEN2">'[1]elimination entries'!$B$25:$L$33</definedName>
    <definedName name="__________________________________________________________________EEN20">'[1]elimination entries'!$B$174:$L$175</definedName>
    <definedName name="__________________________________________________________________EEN21">'[1]elimination entries'!$B$178:$L$179</definedName>
    <definedName name="__________________________________________________________________een22">'[1]elimination entries'!$B$182:$L$189</definedName>
    <definedName name="__________________________________________________________________een23">'[1]elimination entries'!$B$192:$L$199</definedName>
    <definedName name="__________________________________________________________________EEN24">'[1]elimination entries'!$B$202:$L$209</definedName>
    <definedName name="__________________________________________________________________EEN25">'[3]elimination entries'!$B$212:$L$219</definedName>
    <definedName name="__________________________________________________________________EEN26">'[3]elimination entries'!$B$222:$L$229</definedName>
    <definedName name="__________________________________________________________________EEN27">'[3]elimination entries'!$B$232:$L$239</definedName>
    <definedName name="__________________________________________________________________EEN28">'[1]elimination entries'!$B$242:$L$249</definedName>
    <definedName name="__________________________________________________________________EEN29">'[1]elimination entries'!$B$252:$L$259</definedName>
    <definedName name="__________________________________________________________________EEN3">'[1]elimination entries'!$B$37:$L$38</definedName>
    <definedName name="__________________________________________________________________EEN30">'[1]elimination entries'!$B$262:$L$269</definedName>
    <definedName name="__________________________________________________________________EEN4">'[1]elimination entries'!$B$42:$L$43</definedName>
    <definedName name="__________________________________________________________________EEN5">'[1]elimination entries'!$B$47:$L$50</definedName>
    <definedName name="__________________________________________________________________EEN6">'[1]elimination entries'!$B$53:$L$55</definedName>
    <definedName name="__________________________________________________________________EEN7">'[1]elimination entries'!$B$59:$L$61</definedName>
    <definedName name="__________________________________________________________________EEN8">'[1]elimination entries'!$B$65:$L$74</definedName>
    <definedName name="__________________________________________________________________EEN9">'[1]elimination entries'!$B$78:$L$94</definedName>
    <definedName name="__________________________________________________________________REN1">'[1]elimination entries'!$B$277:$L$279</definedName>
    <definedName name="__________________________________________________________________REN2">'[1]elimination entries'!$B$282:$L$289</definedName>
    <definedName name="__________________________________________________________________REN3">'[1]elimination entries'!$B$292:$L$299</definedName>
    <definedName name="__________________________________________________________________REN4">'[1]elimination entries'!$B$302:$L$309</definedName>
    <definedName name="_________________________________________________________________EEN1">'[1]elimination entries'!$B$8:$L$22</definedName>
    <definedName name="_________________________________________________________________EEN10">'[3]elimination entries'!$B$98:$L$111</definedName>
    <definedName name="_________________________________________________________________een11">'[1]elimination entries'!$B$115:$L$116</definedName>
    <definedName name="_________________________________________________________________EEN12">'[1]elimination entries'!$B$120:$L$123</definedName>
    <definedName name="_________________________________________________________________EEN13">'[1]elimination entries'!$B$127:$L$128</definedName>
    <definedName name="_________________________________________________________________EEN14">'[1]elimination entries'!$B$132:$L$133</definedName>
    <definedName name="_________________________________________________________________een15">'[1]elimination entries'!$B$136:$L$139</definedName>
    <definedName name="_________________________________________________________________een16">'[1]elimination entries'!$B$142:$L$145</definedName>
    <definedName name="_________________________________________________________________EEN17">'[1]elimination entries'!$B$149:$L$160</definedName>
    <definedName name="_________________________________________________________________EEN18">'[1]elimination entries'!$B$163:$L$167</definedName>
    <definedName name="_________________________________________________________________EEN19">'[1]elimination entries'!$B$170:$L$171</definedName>
    <definedName name="_________________________________________________________________EEN2">'[1]elimination entries'!$B$25:$L$33</definedName>
    <definedName name="_________________________________________________________________EEN20">'[1]elimination entries'!$B$174:$L$175</definedName>
    <definedName name="_________________________________________________________________EEN21">'[1]elimination entries'!$B$178:$L$179</definedName>
    <definedName name="_________________________________________________________________een22">'[1]elimination entries'!$B$182:$L$189</definedName>
    <definedName name="_________________________________________________________________een23">'[1]elimination entries'!$B$192:$L$199</definedName>
    <definedName name="_________________________________________________________________EEN24">'[1]elimination entries'!$B$202:$L$209</definedName>
    <definedName name="_________________________________________________________________EEN25">'[3]elimination entries'!$B$212:$L$219</definedName>
    <definedName name="_________________________________________________________________EEN26">'[3]elimination entries'!$B$222:$L$229</definedName>
    <definedName name="_________________________________________________________________EEN27">'[1]elimination entries'!$B$232:$L$239</definedName>
    <definedName name="_________________________________________________________________EEN28">'[1]elimination entries'!$B$242:$L$249</definedName>
    <definedName name="_________________________________________________________________EEN29">'[1]elimination entries'!$B$252:$L$259</definedName>
    <definedName name="_________________________________________________________________EEN3">'[1]elimination entries'!$B$37:$L$38</definedName>
    <definedName name="_________________________________________________________________EEN30">'[1]elimination entries'!$B$262:$L$269</definedName>
    <definedName name="_________________________________________________________________EEN4">'[1]elimination entries'!$B$42:$L$43</definedName>
    <definedName name="_________________________________________________________________EEN5">'[1]elimination entries'!$B$47:$L$50</definedName>
    <definedName name="_________________________________________________________________EEN6">'[1]elimination entries'!$B$53:$L$55</definedName>
    <definedName name="_________________________________________________________________EEN7">'[1]elimination entries'!$B$59:$L$61</definedName>
    <definedName name="_________________________________________________________________EEN8">'[1]elimination entries'!$B$65:$L$74</definedName>
    <definedName name="_________________________________________________________________EEN9">'[1]elimination entries'!$B$78:$L$94</definedName>
    <definedName name="_________________________________________________________________REN1">'[1]elimination entries'!$B$277:$L$279</definedName>
    <definedName name="_________________________________________________________________REN2">'[1]elimination entries'!$B$282:$L$289</definedName>
    <definedName name="_________________________________________________________________REN3">'[1]elimination entries'!$B$292:$L$299</definedName>
    <definedName name="_________________________________________________________________REN4">'[1]elimination entries'!$B$302:$L$309</definedName>
    <definedName name="________________________________________________________________EEN1">'[1]elimination entries'!$B$8:$L$22</definedName>
    <definedName name="________________________________________________________________EEN10">'[1]elimination entries'!$B$98:$L$111</definedName>
    <definedName name="________________________________________________________________een11">'[1]elimination entries'!$B$115:$L$116</definedName>
    <definedName name="________________________________________________________________EEN12">'[1]elimination entries'!$B$120:$L$123</definedName>
    <definedName name="________________________________________________________________EEN13">'[1]elimination entries'!$B$127:$L$128</definedName>
    <definedName name="________________________________________________________________EEN14">'[1]elimination entries'!$B$132:$L$133</definedName>
    <definedName name="________________________________________________________________een15">'[1]elimination entries'!$B$136:$L$139</definedName>
    <definedName name="________________________________________________________________een16">'[1]elimination entries'!$B$142:$L$145</definedName>
    <definedName name="________________________________________________________________EEN17">'[1]elimination entries'!$B$149:$L$160</definedName>
    <definedName name="________________________________________________________________EEN18">'[1]elimination entries'!$B$163:$L$167</definedName>
    <definedName name="________________________________________________________________EEN19">'[1]elimination entries'!$B$170:$L$171</definedName>
    <definedName name="________________________________________________________________EEN2">'[1]elimination entries'!$B$25:$L$33</definedName>
    <definedName name="________________________________________________________________EEN20">'[1]elimination entries'!$B$174:$L$175</definedName>
    <definedName name="________________________________________________________________EEN21">'[1]elimination entries'!$B$178:$L$179</definedName>
    <definedName name="________________________________________________________________een22">'[1]elimination entries'!$B$182:$L$189</definedName>
    <definedName name="________________________________________________________________een23">'[1]elimination entries'!$B$192:$L$199</definedName>
    <definedName name="________________________________________________________________EEN24">'[1]elimination entries'!$B$202:$L$209</definedName>
    <definedName name="________________________________________________________________EEN25">'[1]elimination entries'!$B$212:$L$219</definedName>
    <definedName name="________________________________________________________________EEN26">'[1]elimination entries'!$B$222:$L$229</definedName>
    <definedName name="________________________________________________________________EEN27">'[1]elimination entries'!$B$232:$L$239</definedName>
    <definedName name="________________________________________________________________EEN28">'[1]elimination entries'!$B$242:$L$249</definedName>
    <definedName name="________________________________________________________________EEN29">'[1]elimination entries'!$B$252:$L$259</definedName>
    <definedName name="________________________________________________________________EEN3">'[1]elimination entries'!$B$37:$L$38</definedName>
    <definedName name="________________________________________________________________EEN30">'[1]elimination entries'!$B$262:$L$269</definedName>
    <definedName name="________________________________________________________________EEN4">'[1]elimination entries'!$B$42:$L$43</definedName>
    <definedName name="________________________________________________________________EEN5">'[1]elimination entries'!$B$47:$L$50</definedName>
    <definedName name="________________________________________________________________EEN6">'[1]elimination entries'!$B$53:$L$55</definedName>
    <definedName name="________________________________________________________________EEN7">'[1]elimination entries'!$B$59:$L$61</definedName>
    <definedName name="________________________________________________________________EEN8">'[1]elimination entries'!$B$65:$L$74</definedName>
    <definedName name="________________________________________________________________EEN9">'[1]elimination entries'!$B$78:$L$94</definedName>
    <definedName name="________________________________________________________________REN1">'[1]elimination entries'!$B$277:$L$279</definedName>
    <definedName name="________________________________________________________________REN2">'[1]elimination entries'!$B$282:$L$289</definedName>
    <definedName name="________________________________________________________________REN3">'[1]elimination entries'!$B$292:$L$299</definedName>
    <definedName name="________________________________________________________________REN4">'[1]elimination entries'!$B$302:$L$309</definedName>
    <definedName name="_______________________________________________________________EEN1">'[1]elimination entries'!$B$8:$L$22</definedName>
    <definedName name="_______________________________________________________________EEN10">'[1]elimination entries'!$B$98:$L$111</definedName>
    <definedName name="_______________________________________________________________een11">'[1]elimination entries'!$B$115:$L$116</definedName>
    <definedName name="_______________________________________________________________EEN12">'[1]elimination entries'!$B$120:$L$123</definedName>
    <definedName name="_______________________________________________________________EEN13">'[1]elimination entries'!$B$127:$L$128</definedName>
    <definedName name="_______________________________________________________________EEN14">'[1]elimination entries'!$B$132:$L$133</definedName>
    <definedName name="_______________________________________________________________een15">'[1]elimination entries'!$B$136:$L$139</definedName>
    <definedName name="_______________________________________________________________een16">'[1]elimination entries'!$B$142:$L$145</definedName>
    <definedName name="_______________________________________________________________EEN17">'[1]elimination entries'!$B$149:$L$160</definedName>
    <definedName name="_______________________________________________________________EEN18">'[1]elimination entries'!$B$163:$L$167</definedName>
    <definedName name="_______________________________________________________________EEN19">'[1]elimination entries'!$B$170:$L$171</definedName>
    <definedName name="_______________________________________________________________EEN2">'[1]elimination entries'!$B$25:$L$33</definedName>
    <definedName name="_______________________________________________________________EEN20">'[1]elimination entries'!$B$174:$L$175</definedName>
    <definedName name="_______________________________________________________________EEN21">'[1]elimination entries'!$B$178:$L$179</definedName>
    <definedName name="_______________________________________________________________een22">'[1]elimination entries'!$B$182:$L$189</definedName>
    <definedName name="_______________________________________________________________een23">'[1]elimination entries'!$B$192:$L$199</definedName>
    <definedName name="_______________________________________________________________EEN24">'[1]elimination entries'!$B$202:$L$209</definedName>
    <definedName name="_______________________________________________________________EEN25">'[1]elimination entries'!$B$212:$L$219</definedName>
    <definedName name="_______________________________________________________________EEN26">'[4]elimination entries'!$B$222:$L$229</definedName>
    <definedName name="_______________________________________________________________EEN27">'[1]elimination entries'!$B$232:$L$239</definedName>
    <definedName name="_______________________________________________________________EEN28">'[1]elimination entries'!$B$242:$L$249</definedName>
    <definedName name="_______________________________________________________________EEN29">'[1]elimination entries'!$B$252:$L$259</definedName>
    <definedName name="_______________________________________________________________EEN3">'[1]elimination entries'!$B$37:$L$38</definedName>
    <definedName name="_______________________________________________________________EEN30">'[1]elimination entries'!$B$262:$L$269</definedName>
    <definedName name="_______________________________________________________________EEN4">'[1]elimination entries'!$B$42:$L$43</definedName>
    <definedName name="_______________________________________________________________EEN5">'[1]elimination entries'!$B$47:$L$50</definedName>
    <definedName name="_______________________________________________________________EEN6">'[1]elimination entries'!$B$53:$L$55</definedName>
    <definedName name="_______________________________________________________________EEN7">'[1]elimination entries'!$B$59:$L$61</definedName>
    <definedName name="_______________________________________________________________EEN8">'[1]elimination entries'!$B$65:$L$74</definedName>
    <definedName name="_______________________________________________________________EEN9">'[1]elimination entries'!$B$78:$L$94</definedName>
    <definedName name="_______________________________________________________________REN1">'[1]elimination entries'!$B$277:$L$279</definedName>
    <definedName name="_______________________________________________________________REN2">'[1]elimination entries'!$B$282:$L$289</definedName>
    <definedName name="_______________________________________________________________REN3">'[1]elimination entries'!$B$292:$L$299</definedName>
    <definedName name="_______________________________________________________________REN4">'[1]elimination entries'!$B$302:$L$309</definedName>
    <definedName name="______________________________________________________________EEN1">'[1]elimination entries'!$B$8:$L$22</definedName>
    <definedName name="______________________________________________________________EEN10">'[1]elimination entries'!$B$98:$L$111</definedName>
    <definedName name="______________________________________________________________een11">'[1]elimination entries'!$B$115:$L$116</definedName>
    <definedName name="______________________________________________________________EEN12">'[1]elimination entries'!$B$120:$L$123</definedName>
    <definedName name="______________________________________________________________EEN13">'[1]elimination entries'!$B$127:$L$128</definedName>
    <definedName name="______________________________________________________________EEN14">'[1]elimination entries'!$B$132:$L$133</definedName>
    <definedName name="______________________________________________________________een15">'[1]elimination entries'!$B$136:$L$139</definedName>
    <definedName name="______________________________________________________________een16">'[1]elimination entries'!$B$142:$L$145</definedName>
    <definedName name="______________________________________________________________EEN17">'[1]elimination entries'!$B$149:$L$160</definedName>
    <definedName name="______________________________________________________________EEN18">'[1]elimination entries'!$B$163:$L$167</definedName>
    <definedName name="______________________________________________________________EEN19">'[1]elimination entries'!$B$170:$L$171</definedName>
    <definedName name="______________________________________________________________EEN2">'[1]elimination entries'!$B$25:$L$33</definedName>
    <definedName name="______________________________________________________________EEN20">'[1]elimination entries'!$B$174:$L$175</definedName>
    <definedName name="______________________________________________________________EEN21">'[1]elimination entries'!$B$178:$L$179</definedName>
    <definedName name="______________________________________________________________een22">'[1]elimination entries'!$B$182:$L$189</definedName>
    <definedName name="______________________________________________________________een23">'[1]elimination entries'!$B$192:$L$199</definedName>
    <definedName name="______________________________________________________________EEN24">'[1]elimination entries'!$B$202:$L$209</definedName>
    <definedName name="______________________________________________________________EEN25">'[4]elimination entries'!$B$212:$L$219</definedName>
    <definedName name="______________________________________________________________EEN26">'[1]elimination entries'!$B$222:$L$229</definedName>
    <definedName name="______________________________________________________________EEN27">'[1]elimination entries'!$B$232:$L$239</definedName>
    <definedName name="______________________________________________________________EEN28">'[1]elimination entries'!$B$242:$L$249</definedName>
    <definedName name="______________________________________________________________EEN29">'[1]elimination entries'!$B$252:$L$259</definedName>
    <definedName name="______________________________________________________________EEN3">'[1]elimination entries'!$B$37:$L$38</definedName>
    <definedName name="______________________________________________________________EEN30">'[1]elimination entries'!$B$262:$L$269</definedName>
    <definedName name="______________________________________________________________EEN4">'[1]elimination entries'!$B$42:$L$43</definedName>
    <definedName name="______________________________________________________________EEN5">'[1]elimination entries'!$B$47:$L$50</definedName>
    <definedName name="______________________________________________________________EEN6">'[1]elimination entries'!$B$53:$L$55</definedName>
    <definedName name="______________________________________________________________EEN7">'[1]elimination entries'!$B$59:$L$61</definedName>
    <definedName name="______________________________________________________________EEN8">'[1]elimination entries'!$B$65:$L$74</definedName>
    <definedName name="______________________________________________________________EEN9">'[1]elimination entries'!$B$78:$L$94</definedName>
    <definedName name="______________________________________________________________REN1">'[1]elimination entries'!$B$277:$L$279</definedName>
    <definedName name="______________________________________________________________REN2">'[1]elimination entries'!$B$282:$L$289</definedName>
    <definedName name="______________________________________________________________REN3">'[1]elimination entries'!$B$292:$L$299</definedName>
    <definedName name="______________________________________________________________REN4">'[1]elimination entries'!$B$302:$L$309</definedName>
    <definedName name="_____________________________________________________________EEN1">'[1]elimination entries'!$B$8:$L$22</definedName>
    <definedName name="_____________________________________________________________EEN10">'[4]elimination entries'!$B$98:$L$111</definedName>
    <definedName name="_____________________________________________________________een11">'[1]elimination entries'!$B$115:$L$116</definedName>
    <definedName name="_____________________________________________________________EEN12">'[1]elimination entries'!$B$120:$L$123</definedName>
    <definedName name="_____________________________________________________________EEN13">'[1]elimination entries'!$B$127:$L$128</definedName>
    <definedName name="_____________________________________________________________EEN14">'[1]elimination entries'!$B$132:$L$133</definedName>
    <definedName name="_____________________________________________________________een15">'[1]elimination entries'!$B$136:$L$139</definedName>
    <definedName name="_____________________________________________________________een16">'[1]elimination entries'!$B$142:$L$145</definedName>
    <definedName name="_____________________________________________________________EEN17">'[1]elimination entries'!$B$149:$L$160</definedName>
    <definedName name="_____________________________________________________________EEN18">'[1]elimination entries'!$B$163:$L$167</definedName>
    <definedName name="_____________________________________________________________EEN19">'[1]elimination entries'!$B$170:$L$171</definedName>
    <definedName name="_____________________________________________________________EEN2">'[1]elimination entries'!$B$25:$L$33</definedName>
    <definedName name="_____________________________________________________________EEN20">'[1]elimination entries'!$B$174:$L$175</definedName>
    <definedName name="_____________________________________________________________EEN21">'[1]elimination entries'!$B$178:$L$179</definedName>
    <definedName name="_____________________________________________________________een22">'[1]elimination entries'!$B$182:$L$189</definedName>
    <definedName name="_____________________________________________________________een23">'[1]elimination entries'!$B$192:$L$199</definedName>
    <definedName name="_____________________________________________________________EEN24">'[1]elimination entries'!$B$202:$L$209</definedName>
    <definedName name="_____________________________________________________________EEN25">'[1]elimination entries'!$B$212:$L$219</definedName>
    <definedName name="_____________________________________________________________EEN26">'[1]elimination entries'!$B$222:$L$229</definedName>
    <definedName name="_____________________________________________________________EEN27">'[1]elimination entries'!$B$232:$L$239</definedName>
    <definedName name="_____________________________________________________________EEN28">'[1]elimination entries'!$B$242:$L$249</definedName>
    <definedName name="_____________________________________________________________EEN29">'[1]elimination entries'!$B$252:$L$259</definedName>
    <definedName name="_____________________________________________________________EEN3">'[1]elimination entries'!$B$37:$L$38</definedName>
    <definedName name="_____________________________________________________________EEN30">'[1]elimination entries'!$B$262:$L$269</definedName>
    <definedName name="_____________________________________________________________EEN4">'[1]elimination entries'!$B$42:$L$43</definedName>
    <definedName name="_____________________________________________________________EEN5">'[1]elimination entries'!$B$47:$L$50</definedName>
    <definedName name="_____________________________________________________________EEN6">'[1]elimination entries'!$B$53:$L$55</definedName>
    <definedName name="_____________________________________________________________EEN7">'[1]elimination entries'!$B$59:$L$61</definedName>
    <definedName name="_____________________________________________________________EEN8">'[1]elimination entries'!$B$65:$L$74</definedName>
    <definedName name="_____________________________________________________________EEN9">'[1]elimination entries'!$B$78:$L$94</definedName>
    <definedName name="_____________________________________________________________REN1">'[1]elimination entries'!$B$277:$L$279</definedName>
    <definedName name="_____________________________________________________________REN2">'[1]elimination entries'!$B$282:$L$289</definedName>
    <definedName name="_____________________________________________________________REN3">'[1]elimination entries'!$B$292:$L$299</definedName>
    <definedName name="_____________________________________________________________REN4">'[1]elimination entries'!$B$302:$L$309</definedName>
    <definedName name="____________________________________________________________EEN1">'[1]elimination entries'!$B$8:$L$22</definedName>
    <definedName name="____________________________________________________________EEN10">'[1]elimination entries'!$B$98:$L$111</definedName>
    <definedName name="____________________________________________________________een11">'[1]elimination entries'!$B$115:$L$116</definedName>
    <definedName name="____________________________________________________________EEN12">'[1]elimination entries'!$B$120:$L$123</definedName>
    <definedName name="____________________________________________________________EEN13">'[1]elimination entries'!$B$127:$L$128</definedName>
    <definedName name="____________________________________________________________EEN14">'[1]elimination entries'!$B$132:$L$133</definedName>
    <definedName name="____________________________________________________________een15">'[1]elimination entries'!$B$136:$L$139</definedName>
    <definedName name="____________________________________________________________een16">'[1]elimination entries'!$B$142:$L$145</definedName>
    <definedName name="____________________________________________________________EEN17">'[1]elimination entries'!$B$149:$L$160</definedName>
    <definedName name="____________________________________________________________EEN18">'[1]elimination entries'!$B$163:$L$167</definedName>
    <definedName name="____________________________________________________________EEN19">'[1]elimination entries'!$B$170:$L$171</definedName>
    <definedName name="____________________________________________________________EEN2">'[1]elimination entries'!$B$25:$L$33</definedName>
    <definedName name="____________________________________________________________EEN20">'[1]elimination entries'!$B$174:$L$175</definedName>
    <definedName name="____________________________________________________________EEN21">'[1]elimination entries'!$B$178:$L$179</definedName>
    <definedName name="____________________________________________________________een22">'[1]elimination entries'!$B$182:$L$189</definedName>
    <definedName name="____________________________________________________________een23">'[1]elimination entries'!$B$192:$L$199</definedName>
    <definedName name="____________________________________________________________EEN24">'[1]elimination entries'!$B$202:$L$209</definedName>
    <definedName name="____________________________________________________________EEN25">'[1]elimination entries'!$B$212:$L$219</definedName>
    <definedName name="____________________________________________________________EEN26">'[1]elimination entries'!$B$222:$L$229</definedName>
    <definedName name="____________________________________________________________EEN27">'[1]elimination entries'!$B$232:$L$239</definedName>
    <definedName name="____________________________________________________________EEN28">'[1]elimination entries'!$B$242:$L$249</definedName>
    <definedName name="____________________________________________________________EEN29">'[1]elimination entries'!$B$252:$L$259</definedName>
    <definedName name="____________________________________________________________EEN3">'[1]elimination entries'!$B$37:$L$38</definedName>
    <definedName name="____________________________________________________________EEN30">'[1]elimination entries'!$B$262:$L$269</definedName>
    <definedName name="____________________________________________________________EEN4">'[1]elimination entries'!$B$42:$L$43</definedName>
    <definedName name="____________________________________________________________EEN5">'[1]elimination entries'!$B$47:$L$50</definedName>
    <definedName name="____________________________________________________________EEN6">'[1]elimination entries'!$B$53:$L$55</definedName>
    <definedName name="____________________________________________________________EEN7">'[1]elimination entries'!$B$59:$L$61</definedName>
    <definedName name="____________________________________________________________EEN8">'[1]elimination entries'!$B$65:$L$74</definedName>
    <definedName name="____________________________________________________________EEN9">'[1]elimination entries'!$B$78:$L$94</definedName>
    <definedName name="____________________________________________________________REN1">'[1]elimination entries'!$B$277:$L$279</definedName>
    <definedName name="____________________________________________________________REN2">'[1]elimination entries'!$B$282:$L$289</definedName>
    <definedName name="____________________________________________________________REN3">'[1]elimination entries'!$B$292:$L$299</definedName>
    <definedName name="____________________________________________________________REN4">'[1]elimination entries'!$B$302:$L$309</definedName>
    <definedName name="___________________________________________________________EEN1">'[1]elimination entries'!$B$8:$L$22</definedName>
    <definedName name="___________________________________________________________EEN10">'[1]elimination entries'!$B$98:$L$111</definedName>
    <definedName name="___________________________________________________________een11">'[1]elimination entries'!$B$115:$L$116</definedName>
    <definedName name="___________________________________________________________EEN12">'[1]elimination entries'!$B$120:$L$123</definedName>
    <definedName name="___________________________________________________________EEN13">'[1]elimination entries'!$B$127:$L$128</definedName>
    <definedName name="___________________________________________________________EEN14">'[1]elimination entries'!$B$132:$L$133</definedName>
    <definedName name="___________________________________________________________een15">'[1]elimination entries'!$B$136:$L$139</definedName>
    <definedName name="___________________________________________________________een16">'[1]elimination entries'!$B$142:$L$145</definedName>
    <definedName name="___________________________________________________________EEN17">'[1]elimination entries'!$B$149:$L$160</definedName>
    <definedName name="___________________________________________________________EEN18">'[1]elimination entries'!$B$163:$L$167</definedName>
    <definedName name="___________________________________________________________EEN19">'[1]elimination entries'!$B$170:$L$171</definedName>
    <definedName name="___________________________________________________________EEN2">'[1]elimination entries'!$B$25:$L$33</definedName>
    <definedName name="___________________________________________________________EEN20">'[1]elimination entries'!$B$174:$L$175</definedName>
    <definedName name="___________________________________________________________EEN21">'[1]elimination entries'!$B$178:$L$179</definedName>
    <definedName name="___________________________________________________________een22">'[1]elimination entries'!$B$182:$L$189</definedName>
    <definedName name="___________________________________________________________een23">'[1]elimination entries'!$B$192:$L$199</definedName>
    <definedName name="___________________________________________________________EEN24">'[1]elimination entries'!$B$202:$L$209</definedName>
    <definedName name="___________________________________________________________EEN25">'[1]elimination entries'!$B$212:$L$219</definedName>
    <definedName name="___________________________________________________________EEN26">'[1]elimination entries'!$B$222:$L$229</definedName>
    <definedName name="___________________________________________________________EEN27">'[1]elimination entries'!$B$232:$L$239</definedName>
    <definedName name="___________________________________________________________EEN28">'[1]elimination entries'!$B$242:$L$249</definedName>
    <definedName name="___________________________________________________________EEN29">'[1]elimination entries'!$B$252:$L$259</definedName>
    <definedName name="___________________________________________________________EEN3">'[1]elimination entries'!$B$37:$L$38</definedName>
    <definedName name="___________________________________________________________EEN30">'[1]elimination entries'!$B$262:$L$269</definedName>
    <definedName name="___________________________________________________________EEN4">'[1]elimination entries'!$B$42:$L$43</definedName>
    <definedName name="___________________________________________________________EEN5">'[1]elimination entries'!$B$47:$L$50</definedName>
    <definedName name="___________________________________________________________EEN6">'[1]elimination entries'!$B$53:$L$55</definedName>
    <definedName name="___________________________________________________________EEN7">'[1]elimination entries'!$B$59:$L$61</definedName>
    <definedName name="___________________________________________________________EEN8">'[1]elimination entries'!$B$65:$L$74</definedName>
    <definedName name="___________________________________________________________EEN9">'[1]elimination entries'!$B$78:$L$94</definedName>
    <definedName name="___________________________________________________________REN1">'[1]elimination entries'!$B$277:$L$279</definedName>
    <definedName name="___________________________________________________________REN2">'[1]elimination entries'!$B$282:$L$289</definedName>
    <definedName name="___________________________________________________________REN3">'[1]elimination entries'!$B$292:$L$299</definedName>
    <definedName name="___________________________________________________________REN4">'[1]elimination entries'!$B$302:$L$309</definedName>
    <definedName name="__________________________________________________________EEN1">'[1]elimination entries'!$B$8:$L$22</definedName>
    <definedName name="__________________________________________________________EEN10">'[1]elimination entries'!$B$98:$L$111</definedName>
    <definedName name="__________________________________________________________een11">'[1]elimination entries'!$B$115:$L$116</definedName>
    <definedName name="__________________________________________________________EEN12">'[1]elimination entries'!$B$120:$L$123</definedName>
    <definedName name="__________________________________________________________EEN13">'[1]elimination entries'!$B$127:$L$128</definedName>
    <definedName name="__________________________________________________________EEN14">'[1]elimination entries'!$B$132:$L$133</definedName>
    <definedName name="__________________________________________________________een15">'[1]elimination entries'!$B$136:$L$139</definedName>
    <definedName name="__________________________________________________________een16">'[1]elimination entries'!$B$142:$L$145</definedName>
    <definedName name="__________________________________________________________EEN17">'[1]elimination entries'!$B$149:$L$160</definedName>
    <definedName name="__________________________________________________________EEN18">'[1]elimination entries'!$B$163:$L$167</definedName>
    <definedName name="__________________________________________________________EEN19">'[1]elimination entries'!$B$170:$L$171</definedName>
    <definedName name="__________________________________________________________EEN2">'[1]elimination entries'!$B$25:$L$33</definedName>
    <definedName name="__________________________________________________________EEN20">'[1]elimination entries'!$B$174:$L$175</definedName>
    <definedName name="__________________________________________________________EEN21">'[1]elimination entries'!$B$178:$L$179</definedName>
    <definedName name="__________________________________________________________een22">'[1]elimination entries'!$B$182:$L$189</definedName>
    <definedName name="__________________________________________________________een23">'[1]elimination entries'!$B$192:$L$199</definedName>
    <definedName name="__________________________________________________________EEN24">'[1]elimination entries'!$B$202:$L$209</definedName>
    <definedName name="__________________________________________________________EEN25">'[1]elimination entries'!$B$212:$L$219</definedName>
    <definedName name="__________________________________________________________EEN26">'[1]elimination entries'!$B$222:$L$229</definedName>
    <definedName name="__________________________________________________________EEN27">'[1]elimination entries'!$B$232:$L$239</definedName>
    <definedName name="__________________________________________________________EEN28">'[1]elimination entries'!$B$242:$L$249</definedName>
    <definedName name="__________________________________________________________EEN29">'[1]elimination entries'!$B$252:$L$259</definedName>
    <definedName name="__________________________________________________________EEN3">'[1]elimination entries'!$B$37:$L$38</definedName>
    <definedName name="__________________________________________________________EEN30">'[1]elimination entries'!$B$262:$L$269</definedName>
    <definedName name="__________________________________________________________EEN4">'[1]elimination entries'!$B$42:$L$43</definedName>
    <definedName name="__________________________________________________________EEN5">'[1]elimination entries'!$B$47:$L$50</definedName>
    <definedName name="__________________________________________________________EEN6">'[1]elimination entries'!$B$53:$L$55</definedName>
    <definedName name="__________________________________________________________EEN7">'[1]elimination entries'!$B$59:$L$61</definedName>
    <definedName name="__________________________________________________________EEN8">'[1]elimination entries'!$B$65:$L$74</definedName>
    <definedName name="__________________________________________________________EEN9">'[1]elimination entries'!$B$78:$L$94</definedName>
    <definedName name="__________________________________________________________REN1">'[1]elimination entries'!$B$277:$L$279</definedName>
    <definedName name="__________________________________________________________REN2">'[1]elimination entries'!$B$282:$L$289</definedName>
    <definedName name="__________________________________________________________REN3">'[1]elimination entries'!$B$292:$L$299</definedName>
    <definedName name="__________________________________________________________REN4">'[1]elimination entries'!$B$302:$L$309</definedName>
    <definedName name="_________________________________________________________EEN1">'[1]elimination entries'!$B$8:$L$22</definedName>
    <definedName name="_________________________________________________________EEN10">'[1]elimination entries'!$B$98:$L$111</definedName>
    <definedName name="_________________________________________________________een11">'[1]elimination entries'!$B$115:$L$116</definedName>
    <definedName name="_________________________________________________________EEN12">'[1]elimination entries'!$B$120:$L$123</definedName>
    <definedName name="_________________________________________________________EEN13">'[1]elimination entries'!$B$127:$L$128</definedName>
    <definedName name="_________________________________________________________EEN14">'[1]elimination entries'!$B$132:$L$133</definedName>
    <definedName name="_________________________________________________________een15">'[1]elimination entries'!$B$136:$L$139</definedName>
    <definedName name="_________________________________________________________een16">'[1]elimination entries'!$B$142:$L$145</definedName>
    <definedName name="_________________________________________________________EEN17">'[1]elimination entries'!$B$149:$L$160</definedName>
    <definedName name="_________________________________________________________EEN18">'[1]elimination entries'!$B$163:$L$167</definedName>
    <definedName name="_________________________________________________________EEN19">'[1]elimination entries'!$B$170:$L$171</definedName>
    <definedName name="_________________________________________________________EEN2">'[1]elimination entries'!$B$25:$L$33</definedName>
    <definedName name="_________________________________________________________EEN20">'[1]elimination entries'!$B$174:$L$175</definedName>
    <definedName name="_________________________________________________________EEN21">'[1]elimination entries'!$B$178:$L$179</definedName>
    <definedName name="_________________________________________________________een22">'[1]elimination entries'!$B$182:$L$189</definedName>
    <definedName name="_________________________________________________________een23">'[1]elimination entries'!$B$192:$L$199</definedName>
    <definedName name="_________________________________________________________EEN24">'[1]elimination entries'!$B$202:$L$209</definedName>
    <definedName name="_________________________________________________________EEN25">'[1]elimination entries'!$B$212:$L$219</definedName>
    <definedName name="_________________________________________________________EEN26">'[1]elimination entries'!$B$222:$L$229</definedName>
    <definedName name="_________________________________________________________EEN27">'[1]elimination entries'!$B$232:$L$239</definedName>
    <definedName name="_________________________________________________________EEN28">'[1]elimination entries'!$B$242:$L$249</definedName>
    <definedName name="_________________________________________________________EEN29">'[1]elimination entries'!$B$252:$L$259</definedName>
    <definedName name="_________________________________________________________EEN3">'[1]elimination entries'!$B$37:$L$38</definedName>
    <definedName name="_________________________________________________________EEN30">'[1]elimination entries'!$B$262:$L$269</definedName>
    <definedName name="_________________________________________________________EEN4">'[1]elimination entries'!$B$42:$L$43</definedName>
    <definedName name="_________________________________________________________EEN5">'[1]elimination entries'!$B$47:$L$50</definedName>
    <definedName name="_________________________________________________________EEN6">'[1]elimination entries'!$B$53:$L$55</definedName>
    <definedName name="_________________________________________________________EEN7">'[1]elimination entries'!$B$59:$L$61</definedName>
    <definedName name="_________________________________________________________EEN8">'[1]elimination entries'!$B$65:$L$74</definedName>
    <definedName name="_________________________________________________________EEN9">'[1]elimination entries'!$B$78:$L$94</definedName>
    <definedName name="_________________________________________________________REN1">'[1]elimination entries'!$B$277:$L$279</definedName>
    <definedName name="_________________________________________________________REN2">'[1]elimination entries'!$B$282:$L$289</definedName>
    <definedName name="_________________________________________________________REN3">'[1]elimination entries'!$B$292:$L$299</definedName>
    <definedName name="_________________________________________________________REN4">'[1]elimination entries'!$B$302:$L$309</definedName>
    <definedName name="________________________________________________________EEN1">'[1]elimination entries'!$B$8:$L$22</definedName>
    <definedName name="________________________________________________________EEN10">'[1]elimination entries'!$B$98:$L$111</definedName>
    <definedName name="________________________________________________________een11">'[1]elimination entries'!$B$115:$L$116</definedName>
    <definedName name="________________________________________________________EEN12">'[1]elimination entries'!$B$120:$L$123</definedName>
    <definedName name="________________________________________________________EEN13">'[1]elimination entries'!$B$127:$L$128</definedName>
    <definedName name="________________________________________________________EEN14">'[1]elimination entries'!$B$132:$L$133</definedName>
    <definedName name="________________________________________________________een15">'[1]elimination entries'!$B$136:$L$139</definedName>
    <definedName name="________________________________________________________een16">'[1]elimination entries'!$B$142:$L$145</definedName>
    <definedName name="________________________________________________________EEN17">'[1]elimination entries'!$B$149:$L$160</definedName>
    <definedName name="________________________________________________________EEN18">'[1]elimination entries'!$B$163:$L$167</definedName>
    <definedName name="________________________________________________________EEN19">'[1]elimination entries'!$B$170:$L$171</definedName>
    <definedName name="________________________________________________________EEN2">'[1]elimination entries'!$B$25:$L$33</definedName>
    <definedName name="________________________________________________________EEN20">'[1]elimination entries'!$B$174:$L$175</definedName>
    <definedName name="________________________________________________________EEN21">'[1]elimination entries'!$B$178:$L$179</definedName>
    <definedName name="________________________________________________________een22">'[1]elimination entries'!$B$182:$L$189</definedName>
    <definedName name="________________________________________________________een23">'[1]elimination entries'!$B$192:$L$199</definedName>
    <definedName name="________________________________________________________EEN24">'[1]elimination entries'!$B$202:$L$209</definedName>
    <definedName name="________________________________________________________EEN25">'[1]elimination entries'!$B$212:$L$219</definedName>
    <definedName name="________________________________________________________EEN26">'[1]elimination entries'!$B$222:$L$229</definedName>
    <definedName name="________________________________________________________EEN27">'[1]elimination entries'!$B$232:$L$239</definedName>
    <definedName name="________________________________________________________EEN28">'[1]elimination entries'!$B$242:$L$249</definedName>
    <definedName name="________________________________________________________EEN29">'[1]elimination entries'!$B$252:$L$259</definedName>
    <definedName name="________________________________________________________EEN3">'[1]elimination entries'!$B$37:$L$38</definedName>
    <definedName name="________________________________________________________EEN30">'[1]elimination entries'!$B$262:$L$269</definedName>
    <definedName name="________________________________________________________EEN4">'[1]elimination entries'!$B$42:$L$43</definedName>
    <definedName name="________________________________________________________EEN5">'[1]elimination entries'!$B$47:$L$50</definedName>
    <definedName name="________________________________________________________EEN6">'[1]elimination entries'!$B$53:$L$55</definedName>
    <definedName name="________________________________________________________EEN7">'[1]elimination entries'!$B$59:$L$61</definedName>
    <definedName name="________________________________________________________EEN8">'[1]elimination entries'!$B$65:$L$74</definedName>
    <definedName name="________________________________________________________EEN9">'[1]elimination entries'!$B$78:$L$94</definedName>
    <definedName name="________________________________________________________REN1">'[1]elimination entries'!$B$277:$L$279</definedName>
    <definedName name="________________________________________________________REN2">'[1]elimination entries'!$B$282:$L$289</definedName>
    <definedName name="________________________________________________________REN3">'[1]elimination entries'!$B$292:$L$299</definedName>
    <definedName name="________________________________________________________REN4">'[1]elimination entries'!$B$302:$L$309</definedName>
    <definedName name="_______________________________________________________EEN1">'[1]elimination entries'!$B$8:$L$22</definedName>
    <definedName name="_______________________________________________________EEN10">'[1]elimination entries'!$B$98:$L$111</definedName>
    <definedName name="_______________________________________________________een11">'[1]elimination entries'!$B$115:$L$116</definedName>
    <definedName name="_______________________________________________________EEN12">'[1]elimination entries'!$B$120:$L$123</definedName>
    <definedName name="_______________________________________________________EEN13">'[1]elimination entries'!$B$127:$L$128</definedName>
    <definedName name="_______________________________________________________EEN14">'[1]elimination entries'!$B$132:$L$133</definedName>
    <definedName name="_______________________________________________________een15">'[1]elimination entries'!$B$136:$L$139</definedName>
    <definedName name="_______________________________________________________een16">'[1]elimination entries'!$B$142:$L$145</definedName>
    <definedName name="_______________________________________________________EEN17">'[1]elimination entries'!$B$149:$L$160</definedName>
    <definedName name="_______________________________________________________EEN18">'[1]elimination entries'!$B$163:$L$167</definedName>
    <definedName name="_______________________________________________________EEN19">'[1]elimination entries'!$B$170:$L$171</definedName>
    <definedName name="_______________________________________________________EEN2">'[1]elimination entries'!$B$25:$L$33</definedName>
    <definedName name="_______________________________________________________EEN20">'[1]elimination entries'!$B$174:$L$175</definedName>
    <definedName name="_______________________________________________________EEN21">'[1]elimination entries'!$B$178:$L$179</definedName>
    <definedName name="_______________________________________________________een22">'[1]elimination entries'!$B$182:$L$189</definedName>
    <definedName name="_______________________________________________________een23">'[1]elimination entries'!$B$192:$L$199</definedName>
    <definedName name="_______________________________________________________EEN24">'[1]elimination entries'!$B$202:$L$209</definedName>
    <definedName name="_______________________________________________________EEN25">'[1]elimination entries'!$B$212:$L$219</definedName>
    <definedName name="_______________________________________________________EEN26">'[1]elimination entries'!$B$222:$L$229</definedName>
    <definedName name="_______________________________________________________EEN27">'[1]elimination entries'!$B$232:$L$239</definedName>
    <definedName name="_______________________________________________________EEN28">'[1]elimination entries'!$B$242:$L$249</definedName>
    <definedName name="_______________________________________________________EEN29">'[1]elimination entries'!$B$252:$L$259</definedName>
    <definedName name="_______________________________________________________EEN3">'[1]elimination entries'!$B$37:$L$38</definedName>
    <definedName name="_______________________________________________________EEN30">'[1]elimination entries'!$B$262:$L$269</definedName>
    <definedName name="_______________________________________________________EEN4">'[1]elimination entries'!$B$42:$L$43</definedName>
    <definedName name="_______________________________________________________EEN5">'[1]elimination entries'!$B$47:$L$50</definedName>
    <definedName name="_______________________________________________________EEN6">'[1]elimination entries'!$B$53:$L$55</definedName>
    <definedName name="_______________________________________________________EEN7">'[1]elimination entries'!$B$59:$L$61</definedName>
    <definedName name="_______________________________________________________EEN8">'[1]elimination entries'!$B$65:$L$74</definedName>
    <definedName name="_______________________________________________________EEN9">'[1]elimination entries'!$B$78:$L$94</definedName>
    <definedName name="_______________________________________________________REN1">'[1]elimination entries'!$B$277:$L$279</definedName>
    <definedName name="_______________________________________________________REN2">'[1]elimination entries'!$B$282:$L$289</definedName>
    <definedName name="_______________________________________________________REN3">'[1]elimination entries'!$B$292:$L$299</definedName>
    <definedName name="_______________________________________________________REN4">'[1]elimination entries'!$B$302:$L$309</definedName>
    <definedName name="______________________________________________________EEN1">'[1]elimination entries'!$B$8:$L$22</definedName>
    <definedName name="______________________________________________________EEN10">'[1]elimination entries'!$B$98:$L$111</definedName>
    <definedName name="______________________________________________________een11">'[1]elimination entries'!$B$115:$L$116</definedName>
    <definedName name="______________________________________________________EEN12">'[1]elimination entries'!$B$120:$L$123</definedName>
    <definedName name="______________________________________________________EEN13">'[1]elimination entries'!$B$127:$L$128</definedName>
    <definedName name="______________________________________________________EEN14">'[1]elimination entries'!$B$132:$L$133</definedName>
    <definedName name="______________________________________________________een15">'[1]elimination entries'!$B$136:$L$139</definedName>
    <definedName name="______________________________________________________een16">'[1]elimination entries'!$B$142:$L$145</definedName>
    <definedName name="______________________________________________________EEN17">'[1]elimination entries'!$B$149:$L$160</definedName>
    <definedName name="______________________________________________________EEN18">'[1]elimination entries'!$B$163:$L$167</definedName>
    <definedName name="______________________________________________________EEN19">'[1]elimination entries'!$B$170:$L$171</definedName>
    <definedName name="______________________________________________________EEN2">'[1]elimination entries'!$B$25:$L$33</definedName>
    <definedName name="______________________________________________________EEN20">'[1]elimination entries'!$B$174:$L$175</definedName>
    <definedName name="______________________________________________________EEN21">'[1]elimination entries'!$B$178:$L$179</definedName>
    <definedName name="______________________________________________________een22">'[1]elimination entries'!$B$182:$L$189</definedName>
    <definedName name="______________________________________________________een23">'[1]elimination entries'!$B$192:$L$199</definedName>
    <definedName name="______________________________________________________EEN24">'[1]elimination entries'!$B$202:$L$209</definedName>
    <definedName name="______________________________________________________EEN25">'[1]elimination entries'!$B$212:$L$219</definedName>
    <definedName name="______________________________________________________EEN26">'[1]elimination entries'!$B$222:$L$229</definedName>
    <definedName name="______________________________________________________EEN27">'[1]elimination entries'!$B$232:$L$239</definedName>
    <definedName name="______________________________________________________EEN28">'[1]elimination entries'!$B$242:$L$249</definedName>
    <definedName name="______________________________________________________EEN29">'[1]elimination entries'!$B$252:$L$259</definedName>
    <definedName name="______________________________________________________EEN3">'[1]elimination entries'!$B$37:$L$38</definedName>
    <definedName name="______________________________________________________EEN30">'[1]elimination entries'!$B$262:$L$269</definedName>
    <definedName name="______________________________________________________EEN4">'[1]elimination entries'!$B$42:$L$43</definedName>
    <definedName name="______________________________________________________EEN5">'[1]elimination entries'!$B$47:$L$50</definedName>
    <definedName name="______________________________________________________EEN6">'[1]elimination entries'!$B$53:$L$55</definedName>
    <definedName name="______________________________________________________EEN7">'[1]elimination entries'!$B$59:$L$61</definedName>
    <definedName name="______________________________________________________EEN8">'[1]elimination entries'!$B$65:$L$74</definedName>
    <definedName name="______________________________________________________EEN9">'[1]elimination entries'!$B$78:$L$94</definedName>
    <definedName name="______________________________________________________REN1">'[1]elimination entries'!$B$277:$L$279</definedName>
    <definedName name="______________________________________________________REN2">'[1]elimination entries'!$B$282:$L$289</definedName>
    <definedName name="______________________________________________________REN3">'[1]elimination entries'!$B$292:$L$299</definedName>
    <definedName name="______________________________________________________REN4">'[1]elimination entries'!$B$302:$L$309</definedName>
    <definedName name="_____________________________________________________EEN1">'[1]elimination entries'!$B$8:$L$22</definedName>
    <definedName name="_____________________________________________________EEN10">'[1]elimination entries'!$B$98:$L$111</definedName>
    <definedName name="_____________________________________________________een11">'[1]elimination entries'!$B$115:$L$116</definedName>
    <definedName name="_____________________________________________________EEN12">'[1]elimination entries'!$B$120:$L$123</definedName>
    <definedName name="_____________________________________________________EEN13">'[1]elimination entries'!$B$127:$L$128</definedName>
    <definedName name="_____________________________________________________EEN14">'[1]elimination entries'!$B$132:$L$133</definedName>
    <definedName name="_____________________________________________________een15">'[1]elimination entries'!$B$136:$L$139</definedName>
    <definedName name="_____________________________________________________een16">'[1]elimination entries'!$B$142:$L$145</definedName>
    <definedName name="_____________________________________________________EEN17">'[1]elimination entries'!$B$149:$L$160</definedName>
    <definedName name="_____________________________________________________EEN18">'[1]elimination entries'!$B$163:$L$167</definedName>
    <definedName name="_____________________________________________________EEN19">'[1]elimination entries'!$B$170:$L$171</definedName>
    <definedName name="_____________________________________________________EEN2">'[1]elimination entries'!$B$25:$L$33</definedName>
    <definedName name="_____________________________________________________EEN20">'[1]elimination entries'!$B$174:$L$175</definedName>
    <definedName name="_____________________________________________________EEN21">'[1]elimination entries'!$B$178:$L$179</definedName>
    <definedName name="_____________________________________________________een22">'[1]elimination entries'!$B$182:$L$189</definedName>
    <definedName name="_____________________________________________________een23">'[1]elimination entries'!$B$192:$L$199</definedName>
    <definedName name="_____________________________________________________EEN24">'[1]elimination entries'!$B$202:$L$209</definedName>
    <definedName name="_____________________________________________________EEN25">'[1]elimination entries'!$B$212:$L$219</definedName>
    <definedName name="_____________________________________________________EEN26">'[1]elimination entries'!$B$222:$L$229</definedName>
    <definedName name="_____________________________________________________EEN27">'[1]elimination entries'!$B$232:$L$239</definedName>
    <definedName name="_____________________________________________________EEN28">'[1]elimination entries'!$B$242:$L$249</definedName>
    <definedName name="_____________________________________________________EEN29">'[1]elimination entries'!$B$252:$L$259</definedName>
    <definedName name="_____________________________________________________EEN3">'[1]elimination entries'!$B$37:$L$38</definedName>
    <definedName name="_____________________________________________________EEN30">'[1]elimination entries'!$B$262:$L$269</definedName>
    <definedName name="_____________________________________________________EEN4">'[1]elimination entries'!$B$42:$L$43</definedName>
    <definedName name="_____________________________________________________EEN5">'[1]elimination entries'!$B$47:$L$50</definedName>
    <definedName name="_____________________________________________________EEN6">'[1]elimination entries'!$B$53:$L$55</definedName>
    <definedName name="_____________________________________________________EEN7">'[1]elimination entries'!$B$59:$L$61</definedName>
    <definedName name="_____________________________________________________EEN8">'[1]elimination entries'!$B$65:$L$74</definedName>
    <definedName name="_____________________________________________________EEN9">'[1]elimination entries'!$B$78:$L$94</definedName>
    <definedName name="_____________________________________________________REN1">'[1]elimination entries'!$B$277:$L$279</definedName>
    <definedName name="_____________________________________________________REN2">'[1]elimination entries'!$B$282:$L$289</definedName>
    <definedName name="_____________________________________________________REN3">'[1]elimination entries'!$B$292:$L$299</definedName>
    <definedName name="_____________________________________________________REN4">'[1]elimination entries'!$B$302:$L$309</definedName>
    <definedName name="____________________________________________________EEN1">'[1]elimination entries'!$B$8:$L$22</definedName>
    <definedName name="____________________________________________________EEN10">'[1]elimination entries'!$B$98:$L$111</definedName>
    <definedName name="____________________________________________________een11">'[1]elimination entries'!$B$115:$L$116</definedName>
    <definedName name="____________________________________________________EEN12">'[1]elimination entries'!$B$120:$L$123</definedName>
    <definedName name="____________________________________________________EEN13">'[1]elimination entries'!$B$127:$L$128</definedName>
    <definedName name="____________________________________________________EEN14">'[1]elimination entries'!$B$132:$L$133</definedName>
    <definedName name="____________________________________________________een15">'[1]elimination entries'!$B$136:$L$139</definedName>
    <definedName name="____________________________________________________een16">'[1]elimination entries'!$B$142:$L$145</definedName>
    <definedName name="____________________________________________________EEN17">'[1]elimination entries'!$B$149:$L$160</definedName>
    <definedName name="____________________________________________________EEN18">'[1]elimination entries'!$B$163:$L$167</definedName>
    <definedName name="____________________________________________________EEN19">'[1]elimination entries'!$B$170:$L$171</definedName>
    <definedName name="____________________________________________________EEN2">'[1]elimination entries'!$B$25:$L$33</definedName>
    <definedName name="____________________________________________________EEN20">'[1]elimination entries'!$B$174:$L$175</definedName>
    <definedName name="____________________________________________________EEN21">'[1]elimination entries'!$B$178:$L$179</definedName>
    <definedName name="____________________________________________________een22">'[1]elimination entries'!$B$182:$L$189</definedName>
    <definedName name="____________________________________________________een23">'[1]elimination entries'!$B$192:$L$199</definedName>
    <definedName name="____________________________________________________EEN24">'[1]elimination entries'!$B$202:$L$209</definedName>
    <definedName name="____________________________________________________EEN25">'[1]elimination entries'!$B$212:$L$219</definedName>
    <definedName name="____________________________________________________EEN26">'[1]elimination entries'!$B$222:$L$229</definedName>
    <definedName name="____________________________________________________EEN27">'[1]elimination entries'!$B$232:$L$239</definedName>
    <definedName name="____________________________________________________EEN28">'[1]elimination entries'!$B$242:$L$249</definedName>
    <definedName name="____________________________________________________EEN29">'[1]elimination entries'!$B$252:$L$259</definedName>
    <definedName name="____________________________________________________EEN3">'[1]elimination entries'!$B$37:$L$38</definedName>
    <definedName name="____________________________________________________EEN30">'[1]elimination entries'!$B$262:$L$269</definedName>
    <definedName name="____________________________________________________EEN4">'[1]elimination entries'!$B$42:$L$43</definedName>
    <definedName name="____________________________________________________EEN5">'[1]elimination entries'!$B$47:$L$50</definedName>
    <definedName name="____________________________________________________EEN6">'[1]elimination entries'!$B$53:$L$55</definedName>
    <definedName name="____________________________________________________EEN7">'[1]elimination entries'!$B$59:$L$61</definedName>
    <definedName name="____________________________________________________EEN8">'[1]elimination entries'!$B$65:$L$74</definedName>
    <definedName name="____________________________________________________EEN9">'[1]elimination entries'!$B$78:$L$94</definedName>
    <definedName name="____________________________________________________REN1">'[1]elimination entries'!$B$277:$L$279</definedName>
    <definedName name="____________________________________________________REN2">'[1]elimination entries'!$B$282:$L$289</definedName>
    <definedName name="____________________________________________________REN3">'[1]elimination entries'!$B$292:$L$299</definedName>
    <definedName name="____________________________________________________REN4">'[1]elimination entries'!$B$302:$L$309</definedName>
    <definedName name="___________________________________________________EEN1">'[1]elimination entries'!$B$8:$L$22</definedName>
    <definedName name="___________________________________________________EEN10">'[1]elimination entries'!$B$98:$L$111</definedName>
    <definedName name="___________________________________________________een11">'[1]elimination entries'!$B$115:$L$116</definedName>
    <definedName name="___________________________________________________EEN12">'[1]elimination entries'!$B$120:$L$123</definedName>
    <definedName name="___________________________________________________EEN13">'[1]elimination entries'!$B$127:$L$128</definedName>
    <definedName name="___________________________________________________EEN14">'[1]elimination entries'!$B$132:$L$133</definedName>
    <definedName name="___________________________________________________een15">'[1]elimination entries'!$B$136:$L$139</definedName>
    <definedName name="___________________________________________________een16">'[1]elimination entries'!$B$142:$L$145</definedName>
    <definedName name="___________________________________________________EEN17">'[1]elimination entries'!$B$149:$L$160</definedName>
    <definedName name="___________________________________________________EEN18">'[1]elimination entries'!$B$163:$L$167</definedName>
    <definedName name="___________________________________________________EEN19">'[1]elimination entries'!$B$170:$L$171</definedName>
    <definedName name="___________________________________________________EEN2">'[1]elimination entries'!$B$25:$L$33</definedName>
    <definedName name="___________________________________________________EEN20">'[1]elimination entries'!$B$174:$L$175</definedName>
    <definedName name="___________________________________________________EEN21">'[1]elimination entries'!$B$178:$L$179</definedName>
    <definedName name="___________________________________________________een22">'[1]elimination entries'!$B$182:$L$189</definedName>
    <definedName name="___________________________________________________een23">'[1]elimination entries'!$B$192:$L$199</definedName>
    <definedName name="___________________________________________________EEN24">'[1]elimination entries'!$B$202:$L$209</definedName>
    <definedName name="___________________________________________________EEN25">'[1]elimination entries'!$B$212:$L$219</definedName>
    <definedName name="___________________________________________________EEN26">'[1]elimination entries'!$B$222:$L$229</definedName>
    <definedName name="___________________________________________________EEN27">'[1]elimination entries'!$B$232:$L$239</definedName>
    <definedName name="___________________________________________________EEN28">'[1]elimination entries'!$B$242:$L$249</definedName>
    <definedName name="___________________________________________________EEN29">'[1]elimination entries'!$B$252:$L$259</definedName>
    <definedName name="___________________________________________________EEN3">'[1]elimination entries'!$B$37:$L$38</definedName>
    <definedName name="___________________________________________________EEN30">'[1]elimination entries'!$B$262:$L$269</definedName>
    <definedName name="___________________________________________________EEN4">'[1]elimination entries'!$B$42:$L$43</definedName>
    <definedName name="___________________________________________________EEN5">'[1]elimination entries'!$B$47:$L$50</definedName>
    <definedName name="___________________________________________________EEN6">'[1]elimination entries'!$B$53:$L$55</definedName>
    <definedName name="___________________________________________________EEN7">'[1]elimination entries'!$B$59:$L$61</definedName>
    <definedName name="___________________________________________________EEN8">'[1]elimination entries'!$B$65:$L$74</definedName>
    <definedName name="___________________________________________________EEN9">'[1]elimination entries'!$B$78:$L$94</definedName>
    <definedName name="___________________________________________________REN1">'[1]elimination entries'!$B$277:$L$279</definedName>
    <definedName name="___________________________________________________REN2">'[1]elimination entries'!$B$282:$L$289</definedName>
    <definedName name="___________________________________________________REN3">'[1]elimination entries'!$B$292:$L$299</definedName>
    <definedName name="___________________________________________________REN4">'[1]elimination entries'!$B$302:$L$309</definedName>
    <definedName name="__________________________________________________EEN1">'[1]elimination entries'!$B$8:$L$22</definedName>
    <definedName name="__________________________________________________EEN10">'[1]elimination entries'!$B$98:$L$111</definedName>
    <definedName name="__________________________________________________een11">'[1]elimination entries'!$B$115:$L$116</definedName>
    <definedName name="__________________________________________________EEN12">'[1]elimination entries'!$B$120:$L$123</definedName>
    <definedName name="__________________________________________________EEN13">'[1]elimination entries'!$B$127:$L$128</definedName>
    <definedName name="__________________________________________________EEN14">'[1]elimination entries'!$B$132:$L$133</definedName>
    <definedName name="__________________________________________________een15">'[1]elimination entries'!$B$136:$L$139</definedName>
    <definedName name="__________________________________________________een16">'[1]elimination entries'!$B$142:$L$145</definedName>
    <definedName name="__________________________________________________EEN17">'[1]elimination entries'!$B$149:$L$160</definedName>
    <definedName name="__________________________________________________EEN18">'[1]elimination entries'!$B$163:$L$167</definedName>
    <definedName name="__________________________________________________EEN19">'[1]elimination entries'!$B$170:$L$171</definedName>
    <definedName name="__________________________________________________EEN2">'[1]elimination entries'!$B$25:$L$33</definedName>
    <definedName name="__________________________________________________EEN20">'[1]elimination entries'!$B$174:$L$175</definedName>
    <definedName name="__________________________________________________EEN21">'[1]elimination entries'!$B$178:$L$179</definedName>
    <definedName name="__________________________________________________een22">'[1]elimination entries'!$B$182:$L$189</definedName>
    <definedName name="__________________________________________________een23">'[1]elimination entries'!$B$192:$L$199</definedName>
    <definedName name="__________________________________________________EEN24">'[1]elimination entries'!$B$202:$L$209</definedName>
    <definedName name="__________________________________________________EEN25">'[1]elimination entries'!$B$212:$L$219</definedName>
    <definedName name="__________________________________________________EEN26">'[1]elimination entries'!$B$222:$L$229</definedName>
    <definedName name="__________________________________________________EEN27">'[1]elimination entries'!$B$232:$L$239</definedName>
    <definedName name="__________________________________________________EEN28">'[1]elimination entries'!$B$242:$L$249</definedName>
    <definedName name="__________________________________________________EEN29">'[1]elimination entries'!$B$252:$L$259</definedName>
    <definedName name="__________________________________________________EEN3">'[1]elimination entries'!$B$37:$L$38</definedName>
    <definedName name="__________________________________________________EEN30">'[1]elimination entries'!$B$262:$L$269</definedName>
    <definedName name="__________________________________________________EEN4">'[1]elimination entries'!$B$42:$L$43</definedName>
    <definedName name="__________________________________________________EEN5">'[1]elimination entries'!$B$47:$L$50</definedName>
    <definedName name="__________________________________________________EEN6">'[1]elimination entries'!$B$53:$L$55</definedName>
    <definedName name="__________________________________________________EEN7">'[1]elimination entries'!$B$59:$L$61</definedName>
    <definedName name="__________________________________________________EEN8">'[1]elimination entries'!$B$65:$L$74</definedName>
    <definedName name="__________________________________________________EEN9">'[1]elimination entries'!$B$78:$L$94</definedName>
    <definedName name="__________________________________________________REN1">'[1]elimination entries'!$B$277:$L$279</definedName>
    <definedName name="__________________________________________________REN2">'[1]elimination entries'!$B$282:$L$289</definedName>
    <definedName name="__________________________________________________REN3">'[1]elimination entries'!$B$292:$L$299</definedName>
    <definedName name="__________________________________________________REN4">'[1]elimination entries'!$B$302:$L$309</definedName>
    <definedName name="_________________________________________________EEN1">'[1]elimination entries'!$B$8:$L$22</definedName>
    <definedName name="_________________________________________________EEN10">'[1]elimination entries'!$B$98:$L$111</definedName>
    <definedName name="_________________________________________________een11">'[1]elimination entries'!$B$115:$L$116</definedName>
    <definedName name="_________________________________________________EEN12">'[1]elimination entries'!$B$120:$L$123</definedName>
    <definedName name="_________________________________________________EEN13">'[1]elimination entries'!$B$127:$L$128</definedName>
    <definedName name="_________________________________________________EEN14">'[1]elimination entries'!$B$132:$L$133</definedName>
    <definedName name="_________________________________________________een15">'[1]elimination entries'!$B$136:$L$139</definedName>
    <definedName name="_________________________________________________een16">'[1]elimination entries'!$B$142:$L$145</definedName>
    <definedName name="_________________________________________________EEN17">'[1]elimination entries'!$B$149:$L$160</definedName>
    <definedName name="_________________________________________________EEN18">'[1]elimination entries'!$B$163:$L$167</definedName>
    <definedName name="_________________________________________________EEN19">'[1]elimination entries'!$B$170:$L$171</definedName>
    <definedName name="_________________________________________________EEN2">'[1]elimination entries'!$B$25:$L$33</definedName>
    <definedName name="_________________________________________________EEN20">'[1]elimination entries'!$B$174:$L$175</definedName>
    <definedName name="_________________________________________________EEN21">'[1]elimination entries'!$B$178:$L$179</definedName>
    <definedName name="_________________________________________________een22">'[1]elimination entries'!$B$182:$L$189</definedName>
    <definedName name="_________________________________________________een23">'[1]elimination entries'!$B$192:$L$199</definedName>
    <definedName name="_________________________________________________EEN24">'[1]elimination entries'!$B$202:$L$209</definedName>
    <definedName name="_________________________________________________EEN25">'[1]elimination entries'!$B$212:$L$219</definedName>
    <definedName name="_________________________________________________EEN26">'[1]elimination entries'!$B$222:$L$229</definedName>
    <definedName name="_________________________________________________EEN27">'[1]elimination entries'!$B$232:$L$239</definedName>
    <definedName name="_________________________________________________EEN28">'[1]elimination entries'!$B$242:$L$249</definedName>
    <definedName name="_________________________________________________EEN29">'[1]elimination entries'!$B$252:$L$259</definedName>
    <definedName name="_________________________________________________EEN3">'[1]elimination entries'!$B$37:$L$38</definedName>
    <definedName name="_________________________________________________EEN30">'[1]elimination entries'!$B$262:$L$269</definedName>
    <definedName name="_________________________________________________EEN4">'[1]elimination entries'!$B$42:$L$43</definedName>
    <definedName name="_________________________________________________EEN5">'[1]elimination entries'!$B$47:$L$50</definedName>
    <definedName name="_________________________________________________EEN6">'[1]elimination entries'!$B$53:$L$55</definedName>
    <definedName name="_________________________________________________EEN7">'[1]elimination entries'!$B$59:$L$61</definedName>
    <definedName name="_________________________________________________EEN8">'[1]elimination entries'!$B$65:$L$74</definedName>
    <definedName name="_________________________________________________EEN9">'[1]elimination entries'!$B$78:$L$94</definedName>
    <definedName name="_________________________________________________REN1">'[1]elimination entries'!$B$277:$L$279</definedName>
    <definedName name="_________________________________________________REN2">'[1]elimination entries'!$B$282:$L$289</definedName>
    <definedName name="_________________________________________________REN3">'[1]elimination entries'!$B$292:$L$299</definedName>
    <definedName name="_________________________________________________REN4">'[1]elimination entries'!$B$302:$L$309</definedName>
    <definedName name="________________________________________________EEN1">'[1]elimination entries'!$B$8:$L$22</definedName>
    <definedName name="________________________________________________EEN10">'[1]elimination entries'!$B$98:$L$111</definedName>
    <definedName name="________________________________________________een11">'[1]elimination entries'!$B$115:$L$116</definedName>
    <definedName name="________________________________________________EEN12">'[1]elimination entries'!$B$120:$L$123</definedName>
    <definedName name="________________________________________________EEN13">'[1]elimination entries'!$B$127:$L$128</definedName>
    <definedName name="________________________________________________EEN14">'[1]elimination entries'!$B$132:$L$133</definedName>
    <definedName name="________________________________________________een15">'[1]elimination entries'!$B$136:$L$139</definedName>
    <definedName name="________________________________________________een16">'[1]elimination entries'!$B$142:$L$145</definedName>
    <definedName name="________________________________________________EEN17">'[1]elimination entries'!$B$149:$L$160</definedName>
    <definedName name="________________________________________________EEN18">'[1]elimination entries'!$B$163:$L$167</definedName>
    <definedName name="________________________________________________EEN19">'[1]elimination entries'!$B$170:$L$171</definedName>
    <definedName name="________________________________________________EEN2">'[1]elimination entries'!$B$25:$L$33</definedName>
    <definedName name="________________________________________________EEN20">'[1]elimination entries'!$B$174:$L$175</definedName>
    <definedName name="________________________________________________EEN21">'[1]elimination entries'!$B$178:$L$179</definedName>
    <definedName name="________________________________________________een22">'[1]elimination entries'!$B$182:$L$189</definedName>
    <definedName name="________________________________________________een23">'[1]elimination entries'!$B$192:$L$199</definedName>
    <definedName name="________________________________________________EEN24">'[1]elimination entries'!$B$202:$L$209</definedName>
    <definedName name="________________________________________________EEN25">'[1]elimination entries'!$B$212:$L$219</definedName>
    <definedName name="________________________________________________EEN26">'[1]elimination entries'!$B$222:$L$229</definedName>
    <definedName name="________________________________________________EEN27">'[1]elimination entries'!$B$232:$L$239</definedName>
    <definedName name="________________________________________________EEN28">'[1]elimination entries'!$B$242:$L$249</definedName>
    <definedName name="________________________________________________EEN29">'[1]elimination entries'!$B$252:$L$259</definedName>
    <definedName name="________________________________________________EEN3">'[1]elimination entries'!$B$37:$L$38</definedName>
    <definedName name="________________________________________________EEN30">'[1]elimination entries'!$B$262:$L$269</definedName>
    <definedName name="________________________________________________EEN4">'[1]elimination entries'!$B$42:$L$43</definedName>
    <definedName name="________________________________________________EEN5">'[1]elimination entries'!$B$47:$L$50</definedName>
    <definedName name="________________________________________________EEN6">'[1]elimination entries'!$B$53:$L$55</definedName>
    <definedName name="________________________________________________EEN7">'[1]elimination entries'!$B$59:$L$61</definedName>
    <definedName name="________________________________________________EEN8">'[1]elimination entries'!$B$65:$L$74</definedName>
    <definedName name="________________________________________________EEN9">'[1]elimination entries'!$B$78:$L$94</definedName>
    <definedName name="________________________________________________REN1">'[1]elimination entries'!$B$277:$L$279</definedName>
    <definedName name="________________________________________________REN2">'[1]elimination entries'!$B$282:$L$289</definedName>
    <definedName name="________________________________________________REN3">'[1]elimination entries'!$B$292:$L$299</definedName>
    <definedName name="________________________________________________REN4">'[1]elimination entries'!$B$302:$L$309</definedName>
    <definedName name="_______________________________________________EEN1">'[1]elimination entries'!$B$8:$L$22</definedName>
    <definedName name="_______________________________________________EEN10">'[1]elimination entries'!$B$98:$L$111</definedName>
    <definedName name="_______________________________________________een11">'[1]elimination entries'!$B$115:$L$116</definedName>
    <definedName name="_______________________________________________EEN12">'[1]elimination entries'!$B$120:$L$123</definedName>
    <definedName name="_______________________________________________EEN13">'[1]elimination entries'!$B$127:$L$128</definedName>
    <definedName name="_______________________________________________EEN14">'[1]elimination entries'!$B$132:$L$133</definedName>
    <definedName name="_______________________________________________een15">'[1]elimination entries'!$B$136:$L$139</definedName>
    <definedName name="_______________________________________________een16">'[1]elimination entries'!$B$142:$L$145</definedName>
    <definedName name="_______________________________________________EEN17">'[1]elimination entries'!$B$149:$L$160</definedName>
    <definedName name="_______________________________________________EEN18">'[1]elimination entries'!$B$163:$L$167</definedName>
    <definedName name="_______________________________________________EEN19">'[1]elimination entries'!$B$170:$L$171</definedName>
    <definedName name="_______________________________________________EEN2">'[1]elimination entries'!$B$25:$L$33</definedName>
    <definedName name="_______________________________________________EEN20">'[1]elimination entries'!$B$174:$L$175</definedName>
    <definedName name="_______________________________________________EEN21">'[1]elimination entries'!$B$178:$L$179</definedName>
    <definedName name="_______________________________________________een22">'[1]elimination entries'!$B$182:$L$189</definedName>
    <definedName name="_______________________________________________een23">'[1]elimination entries'!$B$192:$L$199</definedName>
    <definedName name="_______________________________________________EEN24">'[1]elimination entries'!$B$202:$L$209</definedName>
    <definedName name="_______________________________________________EEN25">'[1]elimination entries'!$B$212:$L$219</definedName>
    <definedName name="_______________________________________________EEN26">'[1]elimination entries'!$B$222:$L$229</definedName>
    <definedName name="_______________________________________________EEN27">'[1]elimination entries'!$B$232:$L$239</definedName>
    <definedName name="_______________________________________________EEN28">'[1]elimination entries'!$B$242:$L$249</definedName>
    <definedName name="_______________________________________________EEN29">'[1]elimination entries'!$B$252:$L$259</definedName>
    <definedName name="_______________________________________________EEN3">'[1]elimination entries'!$B$37:$L$38</definedName>
    <definedName name="_______________________________________________EEN30">'[1]elimination entries'!$B$262:$L$269</definedName>
    <definedName name="_______________________________________________EEN4">'[1]elimination entries'!$B$42:$L$43</definedName>
    <definedName name="_______________________________________________EEN5">'[1]elimination entries'!$B$47:$L$50</definedName>
    <definedName name="_______________________________________________EEN6">'[1]elimination entries'!$B$53:$L$55</definedName>
    <definedName name="_______________________________________________EEN7">'[1]elimination entries'!$B$59:$L$61</definedName>
    <definedName name="_______________________________________________EEN8">'[1]elimination entries'!$B$65:$L$74</definedName>
    <definedName name="_______________________________________________EEN9">'[1]elimination entries'!$B$78:$L$94</definedName>
    <definedName name="_______________________________________________REN1">'[1]elimination entries'!$B$277:$L$279</definedName>
    <definedName name="_______________________________________________REN2">'[1]elimination entries'!$B$282:$L$289</definedName>
    <definedName name="_______________________________________________REN3">'[1]elimination entries'!$B$292:$L$299</definedName>
    <definedName name="_______________________________________________REN4">'[1]elimination entries'!$B$302:$L$309</definedName>
    <definedName name="______________________________________________EEN1">'[1]elimination entries'!$B$8:$L$22</definedName>
    <definedName name="______________________________________________EEN10">'[1]elimination entries'!$B$98:$L$111</definedName>
    <definedName name="______________________________________________een11">'[1]elimination entries'!$B$115:$L$116</definedName>
    <definedName name="______________________________________________EEN12">'[1]elimination entries'!$B$120:$L$123</definedName>
    <definedName name="______________________________________________EEN13">'[1]elimination entries'!$B$127:$L$128</definedName>
    <definedName name="______________________________________________EEN14">'[1]elimination entries'!$B$132:$L$133</definedName>
    <definedName name="______________________________________________een15">'[1]elimination entries'!$B$136:$L$139</definedName>
    <definedName name="______________________________________________een16">'[1]elimination entries'!$B$142:$L$145</definedName>
    <definedName name="______________________________________________EEN17">'[1]elimination entries'!$B$149:$L$160</definedName>
    <definedName name="______________________________________________EEN18">'[1]elimination entries'!$B$163:$L$167</definedName>
    <definedName name="______________________________________________EEN19">'[1]elimination entries'!$B$170:$L$171</definedName>
    <definedName name="______________________________________________EEN2">'[1]elimination entries'!$B$25:$L$33</definedName>
    <definedName name="______________________________________________EEN20">'[1]elimination entries'!$B$174:$L$175</definedName>
    <definedName name="______________________________________________EEN21">'[1]elimination entries'!$B$178:$L$179</definedName>
    <definedName name="______________________________________________een22">'[1]elimination entries'!$B$182:$L$189</definedName>
    <definedName name="______________________________________________een23">'[1]elimination entries'!$B$192:$L$199</definedName>
    <definedName name="______________________________________________EEN24">'[1]elimination entries'!$B$202:$L$209</definedName>
    <definedName name="______________________________________________EEN25">'[1]elimination entries'!$B$212:$L$219</definedName>
    <definedName name="______________________________________________EEN26">'[1]elimination entries'!$B$222:$L$229</definedName>
    <definedName name="______________________________________________EEN27">'[1]elimination entries'!$B$232:$L$239</definedName>
    <definedName name="______________________________________________EEN28">'[1]elimination entries'!$B$242:$L$249</definedName>
    <definedName name="______________________________________________EEN29">'[1]elimination entries'!$B$252:$L$259</definedName>
    <definedName name="______________________________________________EEN3">'[1]elimination entries'!$B$37:$L$38</definedName>
    <definedName name="______________________________________________EEN30">'[1]elimination entries'!$B$262:$L$269</definedName>
    <definedName name="______________________________________________EEN4">'[1]elimination entries'!$B$42:$L$43</definedName>
    <definedName name="______________________________________________EEN5">'[1]elimination entries'!$B$47:$L$50</definedName>
    <definedName name="______________________________________________EEN6">'[1]elimination entries'!$B$53:$L$55</definedName>
    <definedName name="______________________________________________EEN7">'[1]elimination entries'!$B$59:$L$61</definedName>
    <definedName name="______________________________________________EEN8">'[1]elimination entries'!$B$65:$L$74</definedName>
    <definedName name="______________________________________________EEN9">'[1]elimination entries'!$B$78:$L$94</definedName>
    <definedName name="______________________________________________REN1">'[1]elimination entries'!$B$277:$L$279</definedName>
    <definedName name="______________________________________________REN2">'[1]elimination entries'!$B$282:$L$289</definedName>
    <definedName name="______________________________________________REN3">'[1]elimination entries'!$B$292:$L$299</definedName>
    <definedName name="______________________________________________REN4">'[1]elimination entries'!$B$302:$L$309</definedName>
    <definedName name="_____________________________________________EEN1">'[1]elimination entries'!$B$8:$L$22</definedName>
    <definedName name="_____________________________________________EEN10">'[1]elimination entries'!$B$98:$L$111</definedName>
    <definedName name="_____________________________________________een11">'[1]elimination entries'!$B$115:$L$116</definedName>
    <definedName name="_____________________________________________EEN12">'[1]elimination entries'!$B$120:$L$123</definedName>
    <definedName name="_____________________________________________EEN13">'[1]elimination entries'!$B$127:$L$128</definedName>
    <definedName name="_____________________________________________EEN14">'[1]elimination entries'!$B$132:$L$133</definedName>
    <definedName name="_____________________________________________een15">'[1]elimination entries'!$B$136:$L$139</definedName>
    <definedName name="_____________________________________________een16">'[1]elimination entries'!$B$142:$L$145</definedName>
    <definedName name="_____________________________________________EEN17">'[1]elimination entries'!$B$149:$L$160</definedName>
    <definedName name="_____________________________________________EEN18">'[1]elimination entries'!$B$163:$L$167</definedName>
    <definedName name="_____________________________________________EEN19">'[1]elimination entries'!$B$170:$L$171</definedName>
    <definedName name="_____________________________________________EEN2">'[1]elimination entries'!$B$25:$L$33</definedName>
    <definedName name="_____________________________________________EEN20">'[1]elimination entries'!$B$174:$L$175</definedName>
    <definedName name="_____________________________________________EEN21">'[1]elimination entries'!$B$178:$L$179</definedName>
    <definedName name="_____________________________________________een22">'[1]elimination entries'!$B$182:$L$189</definedName>
    <definedName name="_____________________________________________een23">'[1]elimination entries'!$B$192:$L$199</definedName>
    <definedName name="_____________________________________________EEN24">'[1]elimination entries'!$B$202:$L$209</definedName>
    <definedName name="_____________________________________________EEN25">'[1]elimination entries'!$B$212:$L$219</definedName>
    <definedName name="_____________________________________________EEN26">'[1]elimination entries'!$B$222:$L$229</definedName>
    <definedName name="_____________________________________________EEN27">'[1]elimination entries'!$B$232:$L$239</definedName>
    <definedName name="_____________________________________________EEN28">'[1]elimination entries'!$B$242:$L$249</definedName>
    <definedName name="_____________________________________________EEN29">'[1]elimination entries'!$B$252:$L$259</definedName>
    <definedName name="_____________________________________________EEN3">'[1]elimination entries'!$B$37:$L$38</definedName>
    <definedName name="_____________________________________________EEN30">'[1]elimination entries'!$B$262:$L$269</definedName>
    <definedName name="_____________________________________________EEN4">'[1]elimination entries'!$B$42:$L$43</definedName>
    <definedName name="_____________________________________________EEN5">'[1]elimination entries'!$B$47:$L$50</definedName>
    <definedName name="_____________________________________________EEN6">'[1]elimination entries'!$B$53:$L$55</definedName>
    <definedName name="_____________________________________________EEN7">'[1]elimination entries'!$B$59:$L$61</definedName>
    <definedName name="_____________________________________________EEN8">'[1]elimination entries'!$B$65:$L$74</definedName>
    <definedName name="_____________________________________________EEN9">'[1]elimination entries'!$B$78:$L$94</definedName>
    <definedName name="_____________________________________________REN1">'[1]elimination entries'!$B$277:$L$279</definedName>
    <definedName name="_____________________________________________REN2">'[1]elimination entries'!$B$282:$L$289</definedName>
    <definedName name="_____________________________________________REN3">'[1]elimination entries'!$B$292:$L$299</definedName>
    <definedName name="_____________________________________________REN4">'[1]elimination entries'!$B$302:$L$309</definedName>
    <definedName name="____________________________________________EEN1">'[1]elimination entries'!$B$8:$L$22</definedName>
    <definedName name="____________________________________________EEN10">'[1]elimination entries'!$B$98:$L$111</definedName>
    <definedName name="____________________________________________een11">'[1]elimination entries'!$B$115:$L$116</definedName>
    <definedName name="____________________________________________EEN12">'[1]elimination entries'!$B$120:$L$123</definedName>
    <definedName name="____________________________________________EEN13">'[1]elimination entries'!$B$127:$L$128</definedName>
    <definedName name="____________________________________________EEN14">'[1]elimination entries'!$B$132:$L$133</definedName>
    <definedName name="____________________________________________een15">'[1]elimination entries'!$B$136:$L$139</definedName>
    <definedName name="____________________________________________een16">'[1]elimination entries'!$B$142:$L$145</definedName>
    <definedName name="____________________________________________EEN17">'[1]elimination entries'!$B$149:$L$160</definedName>
    <definedName name="____________________________________________EEN18">'[1]elimination entries'!$B$163:$L$167</definedName>
    <definedName name="____________________________________________EEN19">'[1]elimination entries'!$B$170:$L$171</definedName>
    <definedName name="____________________________________________EEN2">'[1]elimination entries'!$B$25:$L$33</definedName>
    <definedName name="____________________________________________EEN20">'[1]elimination entries'!$B$174:$L$175</definedName>
    <definedName name="____________________________________________EEN21">'[1]elimination entries'!$B$178:$L$179</definedName>
    <definedName name="____________________________________________een22">'[1]elimination entries'!$B$182:$L$189</definedName>
    <definedName name="____________________________________________een23">'[1]elimination entries'!$B$192:$L$199</definedName>
    <definedName name="____________________________________________EEN24">'[1]elimination entries'!$B$202:$L$209</definedName>
    <definedName name="____________________________________________EEN25">'[1]elimination entries'!$B$212:$L$219</definedName>
    <definedName name="____________________________________________EEN26">'[1]elimination entries'!$B$222:$L$229</definedName>
    <definedName name="____________________________________________EEN27">'[1]elimination entries'!$B$232:$L$239</definedName>
    <definedName name="____________________________________________EEN28">'[1]elimination entries'!$B$242:$L$249</definedName>
    <definedName name="____________________________________________EEN29">'[1]elimination entries'!$B$252:$L$259</definedName>
    <definedName name="____________________________________________EEN3">'[1]elimination entries'!$B$37:$L$38</definedName>
    <definedName name="____________________________________________EEN30">'[1]elimination entries'!$B$262:$L$269</definedName>
    <definedName name="____________________________________________EEN4">'[1]elimination entries'!$B$42:$L$43</definedName>
    <definedName name="____________________________________________EEN5">'[1]elimination entries'!$B$47:$L$50</definedName>
    <definedName name="____________________________________________EEN6">'[1]elimination entries'!$B$53:$L$55</definedName>
    <definedName name="____________________________________________EEN7">'[1]elimination entries'!$B$59:$L$61</definedName>
    <definedName name="____________________________________________EEN8">'[1]elimination entries'!$B$65:$L$74</definedName>
    <definedName name="____________________________________________EEN9">'[1]elimination entries'!$B$78:$L$94</definedName>
    <definedName name="____________________________________________REN1">'[1]elimination entries'!$B$277:$L$279</definedName>
    <definedName name="____________________________________________REN2">'[1]elimination entries'!$B$282:$L$289</definedName>
    <definedName name="____________________________________________REN3">'[1]elimination entries'!$B$292:$L$299</definedName>
    <definedName name="____________________________________________REN4">'[1]elimination entries'!$B$302:$L$309</definedName>
    <definedName name="___________________________________________EEN1">'[1]elimination entries'!$B$8:$L$22</definedName>
    <definedName name="___________________________________________EEN10">'[1]elimination entries'!$B$98:$L$111</definedName>
    <definedName name="___________________________________________een11">'[1]elimination entries'!$B$115:$L$116</definedName>
    <definedName name="___________________________________________EEN12">'[1]elimination entries'!$B$120:$L$123</definedName>
    <definedName name="___________________________________________EEN13">'[1]elimination entries'!$B$127:$L$128</definedName>
    <definedName name="___________________________________________EEN14">'[1]elimination entries'!$B$132:$L$133</definedName>
    <definedName name="___________________________________________een15">'[1]elimination entries'!$B$136:$L$139</definedName>
    <definedName name="___________________________________________een16">'[1]elimination entries'!$B$142:$L$145</definedName>
    <definedName name="___________________________________________EEN17">'[1]elimination entries'!$B$149:$L$160</definedName>
    <definedName name="___________________________________________EEN18">'[1]elimination entries'!$B$163:$L$167</definedName>
    <definedName name="___________________________________________EEN19">'[1]elimination entries'!$B$170:$L$171</definedName>
    <definedName name="___________________________________________EEN2">'[1]elimination entries'!$B$25:$L$33</definedName>
    <definedName name="___________________________________________EEN20">'[1]elimination entries'!$B$174:$L$175</definedName>
    <definedName name="___________________________________________EEN21">'[1]elimination entries'!$B$178:$L$179</definedName>
    <definedName name="___________________________________________een22">'[1]elimination entries'!$B$182:$L$189</definedName>
    <definedName name="___________________________________________een23">'[1]elimination entries'!$B$192:$L$199</definedName>
    <definedName name="___________________________________________EEN24">'[1]elimination entries'!$B$202:$L$209</definedName>
    <definedName name="___________________________________________EEN25">'[1]elimination entries'!$B$212:$L$219</definedName>
    <definedName name="___________________________________________EEN26">'[1]elimination entries'!$B$222:$L$229</definedName>
    <definedName name="___________________________________________EEN27">'[1]elimination entries'!$B$232:$L$239</definedName>
    <definedName name="___________________________________________EEN28">'[1]elimination entries'!$B$242:$L$249</definedName>
    <definedName name="___________________________________________EEN29">'[1]elimination entries'!$B$252:$L$259</definedName>
    <definedName name="___________________________________________EEN3">'[1]elimination entries'!$B$37:$L$38</definedName>
    <definedName name="___________________________________________EEN30">'[1]elimination entries'!$B$262:$L$269</definedName>
    <definedName name="___________________________________________EEN4">'[1]elimination entries'!$B$42:$L$43</definedName>
    <definedName name="___________________________________________EEN5">'[1]elimination entries'!$B$47:$L$50</definedName>
    <definedName name="___________________________________________EEN6">'[1]elimination entries'!$B$53:$L$55</definedName>
    <definedName name="___________________________________________EEN7">'[1]elimination entries'!$B$59:$L$61</definedName>
    <definedName name="___________________________________________EEN8">'[1]elimination entries'!$B$65:$L$74</definedName>
    <definedName name="___________________________________________EEN9">'[1]elimination entries'!$B$78:$L$94</definedName>
    <definedName name="___________________________________________REN1">'[1]elimination entries'!$B$277:$L$279</definedName>
    <definedName name="___________________________________________REN2">'[1]elimination entries'!$B$282:$L$289</definedName>
    <definedName name="___________________________________________REN3">'[1]elimination entries'!$B$292:$L$299</definedName>
    <definedName name="___________________________________________REN4">'[1]elimination entries'!$B$302:$L$309</definedName>
    <definedName name="__________________________________________EEN1">'[1]elimination entries'!$B$8:$L$22</definedName>
    <definedName name="__________________________________________EEN10">'[1]elimination entries'!$B$98:$L$111</definedName>
    <definedName name="__________________________________________een11">'[1]elimination entries'!$B$115:$L$116</definedName>
    <definedName name="__________________________________________EEN12">'[1]elimination entries'!$B$120:$L$123</definedName>
    <definedName name="__________________________________________EEN13">'[1]elimination entries'!$B$127:$L$128</definedName>
    <definedName name="__________________________________________EEN14">'[1]elimination entries'!$B$132:$L$133</definedName>
    <definedName name="__________________________________________een15">'[1]elimination entries'!$B$136:$L$139</definedName>
    <definedName name="__________________________________________een16">'[1]elimination entries'!$B$142:$L$145</definedName>
    <definedName name="__________________________________________EEN17">'[1]elimination entries'!$B$149:$L$160</definedName>
    <definedName name="__________________________________________EEN18">'[1]elimination entries'!$B$163:$L$167</definedName>
    <definedName name="__________________________________________EEN19">'[1]elimination entries'!$B$170:$L$171</definedName>
    <definedName name="__________________________________________EEN2">'[1]elimination entries'!$B$25:$L$33</definedName>
    <definedName name="__________________________________________EEN20">'[1]elimination entries'!$B$174:$L$175</definedName>
    <definedName name="__________________________________________EEN21">'[1]elimination entries'!$B$178:$L$179</definedName>
    <definedName name="__________________________________________een22">'[1]elimination entries'!$B$182:$L$189</definedName>
    <definedName name="__________________________________________een23">'[1]elimination entries'!$B$192:$L$199</definedName>
    <definedName name="__________________________________________EEN24">'[1]elimination entries'!$B$202:$L$209</definedName>
    <definedName name="__________________________________________EEN25">'[1]elimination entries'!$B$212:$L$219</definedName>
    <definedName name="__________________________________________EEN26">'[1]elimination entries'!$B$222:$L$229</definedName>
    <definedName name="__________________________________________EEN27">'[1]elimination entries'!$B$232:$L$239</definedName>
    <definedName name="__________________________________________EEN28">'[1]elimination entries'!$B$242:$L$249</definedName>
    <definedName name="__________________________________________EEN29">'[1]elimination entries'!$B$252:$L$259</definedName>
    <definedName name="__________________________________________EEN3">'[1]elimination entries'!$B$37:$L$38</definedName>
    <definedName name="__________________________________________EEN30">'[1]elimination entries'!$B$262:$L$269</definedName>
    <definedName name="__________________________________________EEN4">'[1]elimination entries'!$B$42:$L$43</definedName>
    <definedName name="__________________________________________EEN5">'[1]elimination entries'!$B$47:$L$50</definedName>
    <definedName name="__________________________________________EEN6">'[1]elimination entries'!$B$53:$L$55</definedName>
    <definedName name="__________________________________________EEN7">'[1]elimination entries'!$B$59:$L$61</definedName>
    <definedName name="__________________________________________EEN8">'[1]elimination entries'!$B$65:$L$74</definedName>
    <definedName name="__________________________________________EEN9">'[1]elimination entries'!$B$78:$L$94</definedName>
    <definedName name="__________________________________________REN1">'[1]elimination entries'!$B$277:$L$279</definedName>
    <definedName name="__________________________________________REN2">'[1]elimination entries'!$B$282:$L$289</definedName>
    <definedName name="__________________________________________REN3">'[1]elimination entries'!$B$292:$L$299</definedName>
    <definedName name="__________________________________________REN4">'[1]elimination entries'!$B$302:$L$309</definedName>
    <definedName name="_________________________________________EEN1">'[1]elimination entries'!$B$8:$L$22</definedName>
    <definedName name="_________________________________________EEN10">'[1]elimination entries'!$B$98:$L$111</definedName>
    <definedName name="_________________________________________een11">'[1]elimination entries'!$B$115:$L$116</definedName>
    <definedName name="_________________________________________EEN12">'[1]elimination entries'!$B$120:$L$123</definedName>
    <definedName name="_________________________________________EEN13">'[1]elimination entries'!$B$127:$L$128</definedName>
    <definedName name="_________________________________________EEN14">'[1]elimination entries'!$B$132:$L$133</definedName>
    <definedName name="_________________________________________een15">'[1]elimination entries'!$B$136:$L$139</definedName>
    <definedName name="_________________________________________een16">'[1]elimination entries'!$B$142:$L$145</definedName>
    <definedName name="_________________________________________EEN17">'[1]elimination entries'!$B$149:$L$160</definedName>
    <definedName name="_________________________________________EEN18">'[1]elimination entries'!$B$163:$L$167</definedName>
    <definedName name="_________________________________________EEN19">'[1]elimination entries'!$B$170:$L$171</definedName>
    <definedName name="_________________________________________EEN2">'[1]elimination entries'!$B$25:$L$33</definedName>
    <definedName name="_________________________________________EEN20">'[1]elimination entries'!$B$174:$L$175</definedName>
    <definedName name="_________________________________________EEN21">'[1]elimination entries'!$B$178:$L$179</definedName>
    <definedName name="_________________________________________een22">'[1]elimination entries'!$B$182:$L$189</definedName>
    <definedName name="_________________________________________een23">'[1]elimination entries'!$B$192:$L$199</definedName>
    <definedName name="_________________________________________EEN24">'[1]elimination entries'!$B$202:$L$209</definedName>
    <definedName name="_________________________________________EEN25">'[1]elimination entries'!$B$212:$L$219</definedName>
    <definedName name="_________________________________________EEN26">'[1]elimination entries'!$B$222:$L$229</definedName>
    <definedName name="_________________________________________EEN27">'[1]elimination entries'!$B$232:$L$239</definedName>
    <definedName name="_________________________________________EEN28">'[1]elimination entries'!$B$242:$L$249</definedName>
    <definedName name="_________________________________________EEN29">'[1]elimination entries'!$B$252:$L$259</definedName>
    <definedName name="_________________________________________EEN3">'[1]elimination entries'!$B$37:$L$38</definedName>
    <definedName name="_________________________________________EEN30">'[1]elimination entries'!$B$262:$L$269</definedName>
    <definedName name="_________________________________________EEN4">'[1]elimination entries'!$B$42:$L$43</definedName>
    <definedName name="_________________________________________EEN5">'[1]elimination entries'!$B$47:$L$50</definedName>
    <definedName name="_________________________________________EEN6">'[1]elimination entries'!$B$53:$L$55</definedName>
    <definedName name="_________________________________________EEN7">'[1]elimination entries'!$B$59:$L$61</definedName>
    <definedName name="_________________________________________EEN8">'[1]elimination entries'!$B$65:$L$74</definedName>
    <definedName name="_________________________________________EEN9">'[1]elimination entries'!$B$78:$L$94</definedName>
    <definedName name="_________________________________________REN1">'[1]elimination entries'!$B$277:$L$279</definedName>
    <definedName name="_________________________________________REN2">'[1]elimination entries'!$B$282:$L$289</definedName>
    <definedName name="_________________________________________REN3">'[1]elimination entries'!$B$292:$L$299</definedName>
    <definedName name="_________________________________________REN4">'[1]elimination entries'!$B$302:$L$309</definedName>
    <definedName name="________________________________________EEN1">'[1]elimination entries'!$B$8:$L$22</definedName>
    <definedName name="________________________________________EEN10">'[1]elimination entries'!$B$98:$L$111</definedName>
    <definedName name="________________________________________een11">'[1]elimination entries'!$B$115:$L$116</definedName>
    <definedName name="________________________________________EEN12">'[1]elimination entries'!$B$120:$L$123</definedName>
    <definedName name="________________________________________EEN13">'[1]elimination entries'!$B$127:$L$128</definedName>
    <definedName name="________________________________________EEN14">'[1]elimination entries'!$B$132:$L$133</definedName>
    <definedName name="________________________________________een15">'[1]elimination entries'!$B$136:$L$139</definedName>
    <definedName name="________________________________________een16">'[1]elimination entries'!$B$142:$L$145</definedName>
    <definedName name="________________________________________EEN17">'[1]elimination entries'!$B$149:$L$160</definedName>
    <definedName name="________________________________________EEN18">'[1]elimination entries'!$B$163:$L$167</definedName>
    <definedName name="________________________________________EEN19">'[1]elimination entries'!$B$170:$L$171</definedName>
    <definedName name="________________________________________EEN2">'[1]elimination entries'!$B$25:$L$33</definedName>
    <definedName name="________________________________________EEN20">'[1]elimination entries'!$B$174:$L$175</definedName>
    <definedName name="________________________________________EEN21">'[1]elimination entries'!$B$178:$L$179</definedName>
    <definedName name="________________________________________een22">'[1]elimination entries'!$B$182:$L$189</definedName>
    <definedName name="________________________________________een23">'[1]elimination entries'!$B$192:$L$199</definedName>
    <definedName name="________________________________________EEN24">'[1]elimination entries'!$B$202:$L$209</definedName>
    <definedName name="________________________________________EEN25">'[1]elimination entries'!$B$212:$L$219</definedName>
    <definedName name="________________________________________EEN26">'[1]elimination entries'!$B$222:$L$229</definedName>
    <definedName name="________________________________________EEN27">'[1]elimination entries'!$B$232:$L$239</definedName>
    <definedName name="________________________________________EEN28">'[1]elimination entries'!$B$242:$L$249</definedName>
    <definedName name="________________________________________EEN29">'[1]elimination entries'!$B$252:$L$259</definedName>
    <definedName name="________________________________________EEN3">'[1]elimination entries'!$B$37:$L$38</definedName>
    <definedName name="________________________________________EEN30">'[1]elimination entries'!$B$262:$L$269</definedName>
    <definedName name="________________________________________EEN4">'[1]elimination entries'!$B$42:$L$43</definedName>
    <definedName name="________________________________________EEN5">'[1]elimination entries'!$B$47:$L$50</definedName>
    <definedName name="________________________________________EEN6">'[1]elimination entries'!$B$53:$L$55</definedName>
    <definedName name="________________________________________EEN7">'[1]elimination entries'!$B$59:$L$61</definedName>
    <definedName name="________________________________________EEN8">'[1]elimination entries'!$B$65:$L$74</definedName>
    <definedName name="________________________________________EEN9">'[1]elimination entries'!$B$78:$L$94</definedName>
    <definedName name="________________________________________REN1">'[1]elimination entries'!$B$277:$L$279</definedName>
    <definedName name="________________________________________REN2">'[1]elimination entries'!$B$282:$L$289</definedName>
    <definedName name="________________________________________REN3">'[1]elimination entries'!$B$292:$L$299</definedName>
    <definedName name="________________________________________REN4">'[1]elimination entries'!$B$302:$L$309</definedName>
    <definedName name="_______________________________________EEN1">'[1]elimination entries'!$B$8:$L$22</definedName>
    <definedName name="_______________________________________EEN10">'[1]elimination entries'!$B$98:$L$111</definedName>
    <definedName name="_______________________________________een11">'[1]elimination entries'!$B$115:$L$116</definedName>
    <definedName name="_______________________________________EEN12">'[1]elimination entries'!$B$120:$L$123</definedName>
    <definedName name="_______________________________________EEN13">'[1]elimination entries'!$B$127:$L$128</definedName>
    <definedName name="_______________________________________EEN14">'[1]elimination entries'!$B$132:$L$133</definedName>
    <definedName name="_______________________________________een15">'[1]elimination entries'!$B$136:$L$139</definedName>
    <definedName name="_______________________________________een16">'[1]elimination entries'!$B$142:$L$145</definedName>
    <definedName name="_______________________________________EEN17">'[1]elimination entries'!$B$149:$L$160</definedName>
    <definedName name="_______________________________________EEN18">'[1]elimination entries'!$B$163:$L$167</definedName>
    <definedName name="_______________________________________EEN19">'[1]elimination entries'!$B$170:$L$171</definedName>
    <definedName name="_______________________________________EEN2">'[1]elimination entries'!$B$25:$L$33</definedName>
    <definedName name="_______________________________________EEN20">'[1]elimination entries'!$B$174:$L$175</definedName>
    <definedName name="_______________________________________EEN21">'[1]elimination entries'!$B$178:$L$179</definedName>
    <definedName name="_______________________________________een22">'[1]elimination entries'!$B$182:$L$189</definedName>
    <definedName name="_______________________________________een23">'[1]elimination entries'!$B$192:$L$199</definedName>
    <definedName name="_______________________________________EEN24">'[1]elimination entries'!$B$202:$L$209</definedName>
    <definedName name="_______________________________________EEN25">'[1]elimination entries'!$B$212:$L$219</definedName>
    <definedName name="_______________________________________EEN26">'[1]elimination entries'!$B$222:$L$229</definedName>
    <definedName name="_______________________________________EEN27">'[1]elimination entries'!$B$232:$L$239</definedName>
    <definedName name="_______________________________________EEN28">'[1]elimination entries'!$B$242:$L$249</definedName>
    <definedName name="_______________________________________EEN29">'[1]elimination entries'!$B$252:$L$259</definedName>
    <definedName name="_______________________________________EEN3">'[1]elimination entries'!$B$37:$L$38</definedName>
    <definedName name="_______________________________________EEN30">'[1]elimination entries'!$B$262:$L$269</definedName>
    <definedName name="_______________________________________EEN4">'[1]elimination entries'!$B$42:$L$43</definedName>
    <definedName name="_______________________________________EEN5">'[1]elimination entries'!$B$47:$L$50</definedName>
    <definedName name="_______________________________________EEN6">'[1]elimination entries'!$B$53:$L$55</definedName>
    <definedName name="_______________________________________EEN7">'[1]elimination entries'!$B$59:$L$61</definedName>
    <definedName name="_______________________________________EEN8">'[1]elimination entries'!$B$65:$L$74</definedName>
    <definedName name="_______________________________________EEN9">'[1]elimination entries'!$B$78:$L$94</definedName>
    <definedName name="_______________________________________REN1">'[1]elimination entries'!$B$277:$L$279</definedName>
    <definedName name="_______________________________________REN2">'[1]elimination entries'!$B$282:$L$289</definedName>
    <definedName name="_______________________________________REN3">'[1]elimination entries'!$B$292:$L$299</definedName>
    <definedName name="_______________________________________REN4">'[1]elimination entries'!$B$302:$L$309</definedName>
    <definedName name="______________________________________EEN1">'[1]elimination entries'!$B$8:$L$22</definedName>
    <definedName name="______________________________________EEN10">'[1]elimination entries'!$B$98:$L$111</definedName>
    <definedName name="______________________________________een11">'[1]elimination entries'!$B$115:$L$116</definedName>
    <definedName name="______________________________________EEN12">'[1]elimination entries'!$B$120:$L$123</definedName>
    <definedName name="______________________________________EEN13">'[1]elimination entries'!$B$127:$L$128</definedName>
    <definedName name="______________________________________EEN14">'[1]elimination entries'!$B$132:$L$133</definedName>
    <definedName name="______________________________________een15">'[1]elimination entries'!$B$136:$L$139</definedName>
    <definedName name="______________________________________een16">'[1]elimination entries'!$B$142:$L$145</definedName>
    <definedName name="______________________________________EEN17">'[1]elimination entries'!$B$149:$L$160</definedName>
    <definedName name="______________________________________EEN18">'[1]elimination entries'!$B$163:$L$167</definedName>
    <definedName name="______________________________________EEN19">'[1]elimination entries'!$B$170:$L$171</definedName>
    <definedName name="______________________________________EEN2">'[1]elimination entries'!$B$25:$L$33</definedName>
    <definedName name="______________________________________EEN20">'[1]elimination entries'!$B$174:$L$175</definedName>
    <definedName name="______________________________________EEN21">'[1]elimination entries'!$B$178:$L$179</definedName>
    <definedName name="______________________________________een22">'[1]elimination entries'!$B$182:$L$189</definedName>
    <definedName name="______________________________________een23">'[1]elimination entries'!$B$192:$L$199</definedName>
    <definedName name="______________________________________EEN24">'[1]elimination entries'!$B$202:$L$209</definedName>
    <definedName name="______________________________________EEN25">'[1]elimination entries'!$B$212:$L$219</definedName>
    <definedName name="______________________________________EEN26">'[1]elimination entries'!$B$222:$L$229</definedName>
    <definedName name="______________________________________EEN27">'[1]elimination entries'!$B$232:$L$239</definedName>
    <definedName name="______________________________________EEN28">'[1]elimination entries'!$B$242:$L$249</definedName>
    <definedName name="______________________________________EEN29">'[1]elimination entries'!$B$252:$L$259</definedName>
    <definedName name="______________________________________EEN3">'[1]elimination entries'!$B$37:$L$38</definedName>
    <definedName name="______________________________________EEN30">'[1]elimination entries'!$B$262:$L$269</definedName>
    <definedName name="______________________________________EEN4">'[1]elimination entries'!$B$42:$L$43</definedName>
    <definedName name="______________________________________EEN5">'[1]elimination entries'!$B$47:$L$50</definedName>
    <definedName name="______________________________________EEN6">'[1]elimination entries'!$B$53:$L$55</definedName>
    <definedName name="______________________________________EEN7">'[1]elimination entries'!$B$59:$L$61</definedName>
    <definedName name="______________________________________EEN8">'[1]elimination entries'!$B$65:$L$74</definedName>
    <definedName name="______________________________________EEN9">'[1]elimination entries'!$B$78:$L$94</definedName>
    <definedName name="______________________________________REN1">'[1]elimination entries'!$B$277:$L$279</definedName>
    <definedName name="______________________________________REN2">'[1]elimination entries'!$B$282:$L$289</definedName>
    <definedName name="______________________________________REN3">'[1]elimination entries'!$B$292:$L$299</definedName>
    <definedName name="______________________________________REN4">'[1]elimination entries'!$B$302:$L$309</definedName>
    <definedName name="_____________________________________EEN1">'[1]elimination entries'!$B$8:$L$22</definedName>
    <definedName name="_____________________________________EEN10">'[1]elimination entries'!$B$98:$L$111</definedName>
    <definedName name="_____________________________________een11">'[1]elimination entries'!$B$115:$L$116</definedName>
    <definedName name="_____________________________________EEN12">'[1]elimination entries'!$B$120:$L$123</definedName>
    <definedName name="_____________________________________EEN13">'[1]elimination entries'!$B$127:$L$128</definedName>
    <definedName name="_____________________________________EEN14">'[1]elimination entries'!$B$132:$L$133</definedName>
    <definedName name="_____________________________________een15">'[1]elimination entries'!$B$136:$L$139</definedName>
    <definedName name="_____________________________________een16">'[1]elimination entries'!$B$142:$L$145</definedName>
    <definedName name="_____________________________________EEN17">'[1]elimination entries'!$B$149:$L$160</definedName>
    <definedName name="_____________________________________EEN18">'[1]elimination entries'!$B$163:$L$167</definedName>
    <definedName name="_____________________________________EEN19">'[1]elimination entries'!$B$170:$L$171</definedName>
    <definedName name="_____________________________________EEN2">'[1]elimination entries'!$B$25:$L$33</definedName>
    <definedName name="_____________________________________EEN20">'[1]elimination entries'!$B$174:$L$175</definedName>
    <definedName name="_____________________________________EEN21">'[1]elimination entries'!$B$178:$L$179</definedName>
    <definedName name="_____________________________________een22">'[1]elimination entries'!$B$182:$L$189</definedName>
    <definedName name="_____________________________________een23">'[1]elimination entries'!$B$192:$L$199</definedName>
    <definedName name="_____________________________________EEN24">'[1]elimination entries'!$B$202:$L$209</definedName>
    <definedName name="_____________________________________EEN25">'[1]elimination entries'!$B$212:$L$219</definedName>
    <definedName name="_____________________________________EEN26">'[1]elimination entries'!$B$222:$L$229</definedName>
    <definedName name="_____________________________________EEN27">'[1]elimination entries'!$B$232:$L$239</definedName>
    <definedName name="_____________________________________EEN28">'[1]elimination entries'!$B$242:$L$249</definedName>
    <definedName name="_____________________________________EEN29">'[1]elimination entries'!$B$252:$L$259</definedName>
    <definedName name="_____________________________________EEN3">'[1]elimination entries'!$B$37:$L$38</definedName>
    <definedName name="_____________________________________EEN30">'[1]elimination entries'!$B$262:$L$269</definedName>
    <definedName name="_____________________________________EEN4">'[1]elimination entries'!$B$42:$L$43</definedName>
    <definedName name="_____________________________________EEN5">'[1]elimination entries'!$B$47:$L$50</definedName>
    <definedName name="_____________________________________EEN6">'[1]elimination entries'!$B$53:$L$55</definedName>
    <definedName name="_____________________________________EEN7">'[1]elimination entries'!$B$59:$L$61</definedName>
    <definedName name="_____________________________________EEN8">'[1]elimination entries'!$B$65:$L$74</definedName>
    <definedName name="_____________________________________EEN9">'[1]elimination entries'!$B$78:$L$94</definedName>
    <definedName name="_____________________________________REN1">'[1]elimination entries'!$B$277:$L$279</definedName>
    <definedName name="_____________________________________REN2">'[1]elimination entries'!$B$282:$L$289</definedName>
    <definedName name="_____________________________________REN3">'[1]elimination entries'!$B$292:$L$299</definedName>
    <definedName name="_____________________________________REN4">'[1]elimination entries'!$B$302:$L$309</definedName>
    <definedName name="____________________________________EEN1">'[1]elimination entries'!$B$8:$L$22</definedName>
    <definedName name="____________________________________EEN10">'[1]elimination entries'!$B$98:$L$111</definedName>
    <definedName name="____________________________________een11">'[1]elimination entries'!$B$115:$L$116</definedName>
    <definedName name="____________________________________EEN12">'[1]elimination entries'!$B$120:$L$123</definedName>
    <definedName name="____________________________________EEN13">'[1]elimination entries'!$B$127:$L$128</definedName>
    <definedName name="____________________________________EEN14">'[1]elimination entries'!$B$132:$L$133</definedName>
    <definedName name="____________________________________een15">'[1]elimination entries'!$B$136:$L$139</definedName>
    <definedName name="____________________________________een16">'[1]elimination entries'!$B$142:$L$145</definedName>
    <definedName name="____________________________________EEN17">'[1]elimination entries'!$B$149:$L$160</definedName>
    <definedName name="____________________________________EEN18">'[1]elimination entries'!$B$163:$L$167</definedName>
    <definedName name="____________________________________EEN19">'[1]elimination entries'!$B$170:$L$171</definedName>
    <definedName name="____________________________________EEN2">'[1]elimination entries'!$B$25:$L$33</definedName>
    <definedName name="____________________________________EEN20">'[1]elimination entries'!$B$174:$L$175</definedName>
    <definedName name="____________________________________EEN21">'[1]elimination entries'!$B$178:$L$179</definedName>
    <definedName name="____________________________________een22">'[1]elimination entries'!$B$182:$L$189</definedName>
    <definedName name="____________________________________een23">'[1]elimination entries'!$B$192:$L$199</definedName>
    <definedName name="____________________________________EEN24">'[1]elimination entries'!$B$202:$L$209</definedName>
    <definedName name="____________________________________EEN25">'[1]elimination entries'!$B$212:$L$219</definedName>
    <definedName name="____________________________________EEN26">'[1]elimination entries'!$B$222:$L$229</definedName>
    <definedName name="____________________________________EEN27">'[1]elimination entries'!$B$232:$L$239</definedName>
    <definedName name="____________________________________EEN28">'[1]elimination entries'!$B$242:$L$249</definedName>
    <definedName name="____________________________________EEN29">'[1]elimination entries'!$B$252:$L$259</definedName>
    <definedName name="____________________________________EEN3">'[1]elimination entries'!$B$37:$L$38</definedName>
    <definedName name="____________________________________EEN30">'[1]elimination entries'!$B$262:$L$269</definedName>
    <definedName name="____________________________________EEN4">'[1]elimination entries'!$B$42:$L$43</definedName>
    <definedName name="____________________________________EEN5">'[1]elimination entries'!$B$47:$L$50</definedName>
    <definedName name="____________________________________EEN6">'[1]elimination entries'!$B$53:$L$55</definedName>
    <definedName name="____________________________________EEN7">'[1]elimination entries'!$B$59:$L$61</definedName>
    <definedName name="____________________________________EEN8">'[1]elimination entries'!$B$65:$L$74</definedName>
    <definedName name="____________________________________EEN9">'[1]elimination entries'!$B$78:$L$94</definedName>
    <definedName name="____________________________________REN1">'[1]elimination entries'!$B$277:$L$279</definedName>
    <definedName name="____________________________________REN2">'[1]elimination entries'!$B$282:$L$289</definedName>
    <definedName name="____________________________________REN3">'[1]elimination entries'!$B$292:$L$299</definedName>
    <definedName name="____________________________________REN4">'[1]elimination entries'!$B$302:$L$309</definedName>
    <definedName name="___________________________________EEN1">'[1]elimination entries'!$B$8:$L$22</definedName>
    <definedName name="___________________________________EEN10">'[1]elimination entries'!$B$98:$L$111</definedName>
    <definedName name="___________________________________een11">'[1]elimination entries'!$B$115:$L$116</definedName>
    <definedName name="___________________________________EEN12">'[1]elimination entries'!$B$120:$L$123</definedName>
    <definedName name="___________________________________EEN13">'[1]elimination entries'!$B$127:$L$128</definedName>
    <definedName name="___________________________________EEN14">'[1]elimination entries'!$B$132:$L$133</definedName>
    <definedName name="___________________________________een15">'[1]elimination entries'!$B$136:$L$139</definedName>
    <definedName name="___________________________________een16">'[1]elimination entries'!$B$142:$L$145</definedName>
    <definedName name="___________________________________EEN17">'[1]elimination entries'!$B$149:$L$160</definedName>
    <definedName name="___________________________________EEN18">'[1]elimination entries'!$B$163:$L$167</definedName>
    <definedName name="___________________________________EEN19">'[1]elimination entries'!$B$170:$L$171</definedName>
    <definedName name="___________________________________EEN2">'[1]elimination entries'!$B$25:$L$33</definedName>
    <definedName name="___________________________________EEN20">'[1]elimination entries'!$B$174:$L$175</definedName>
    <definedName name="___________________________________EEN21">'[1]elimination entries'!$B$178:$L$179</definedName>
    <definedName name="___________________________________een22">'[1]elimination entries'!$B$182:$L$189</definedName>
    <definedName name="___________________________________een23">'[1]elimination entries'!$B$192:$L$199</definedName>
    <definedName name="___________________________________EEN24">'[1]elimination entries'!$B$202:$L$209</definedName>
    <definedName name="___________________________________EEN25">'[1]elimination entries'!$B$212:$L$219</definedName>
    <definedName name="___________________________________EEN26">'[1]elimination entries'!$B$222:$L$229</definedName>
    <definedName name="___________________________________EEN27">'[1]elimination entries'!$B$232:$L$239</definedName>
    <definedName name="___________________________________EEN28">'[1]elimination entries'!$B$242:$L$249</definedName>
    <definedName name="___________________________________EEN29">'[1]elimination entries'!$B$252:$L$259</definedName>
    <definedName name="___________________________________EEN3">'[1]elimination entries'!$B$37:$L$38</definedName>
    <definedName name="___________________________________EEN30">'[1]elimination entries'!$B$262:$L$269</definedName>
    <definedName name="___________________________________EEN4">'[1]elimination entries'!$B$42:$L$43</definedName>
    <definedName name="___________________________________EEN5">'[1]elimination entries'!$B$47:$L$50</definedName>
    <definedName name="___________________________________EEN6">'[1]elimination entries'!$B$53:$L$55</definedName>
    <definedName name="___________________________________EEN7">'[1]elimination entries'!$B$59:$L$61</definedName>
    <definedName name="___________________________________EEN8">'[1]elimination entries'!$B$65:$L$74</definedName>
    <definedName name="___________________________________EEN9">'[1]elimination entries'!$B$78:$L$94</definedName>
    <definedName name="___________________________________REN1">'[1]elimination entries'!$B$277:$L$279</definedName>
    <definedName name="___________________________________REN2">'[1]elimination entries'!$B$282:$L$289</definedName>
    <definedName name="___________________________________REN3">'[1]elimination entries'!$B$292:$L$299</definedName>
    <definedName name="___________________________________REN4">'[1]elimination entries'!$B$302:$L$309</definedName>
    <definedName name="__________________________________EEN1">'[1]elimination entries'!$B$8:$L$22</definedName>
    <definedName name="__________________________________EEN10">'[1]elimination entries'!$B$98:$L$111</definedName>
    <definedName name="__________________________________een11">'[1]elimination entries'!$B$115:$L$116</definedName>
    <definedName name="__________________________________EEN12">'[1]elimination entries'!$B$120:$L$123</definedName>
    <definedName name="__________________________________EEN13">'[1]elimination entries'!$B$127:$L$128</definedName>
    <definedName name="__________________________________EEN14">'[1]elimination entries'!$B$132:$L$133</definedName>
    <definedName name="__________________________________een15">'[1]elimination entries'!$B$136:$L$139</definedName>
    <definedName name="__________________________________een16">'[1]elimination entries'!$B$142:$L$145</definedName>
    <definedName name="__________________________________EEN17">'[1]elimination entries'!$B$149:$L$160</definedName>
    <definedName name="__________________________________EEN18">'[1]elimination entries'!$B$163:$L$167</definedName>
    <definedName name="__________________________________EEN19">'[1]elimination entries'!$B$170:$L$171</definedName>
    <definedName name="__________________________________EEN2">'[1]elimination entries'!$B$25:$L$33</definedName>
    <definedName name="__________________________________EEN20">'[1]elimination entries'!$B$174:$L$175</definedName>
    <definedName name="__________________________________EEN21">'[1]elimination entries'!$B$178:$L$179</definedName>
    <definedName name="__________________________________een22">'[1]elimination entries'!$B$182:$L$189</definedName>
    <definedName name="__________________________________een23">'[1]elimination entries'!$B$192:$L$199</definedName>
    <definedName name="__________________________________EEN24">'[1]elimination entries'!$B$202:$L$209</definedName>
    <definedName name="__________________________________EEN25">'[1]elimination entries'!$B$212:$L$219</definedName>
    <definedName name="__________________________________EEN26">'[1]elimination entries'!$B$222:$L$229</definedName>
    <definedName name="__________________________________EEN27">'[1]elimination entries'!$B$232:$L$239</definedName>
    <definedName name="__________________________________EEN28">'[1]elimination entries'!$B$242:$L$249</definedName>
    <definedName name="__________________________________EEN29">'[1]elimination entries'!$B$252:$L$259</definedName>
    <definedName name="__________________________________EEN3">'[1]elimination entries'!$B$37:$L$38</definedName>
    <definedName name="__________________________________EEN30">'[1]elimination entries'!$B$262:$L$269</definedName>
    <definedName name="__________________________________EEN4">'[1]elimination entries'!$B$42:$L$43</definedName>
    <definedName name="__________________________________EEN5">'[1]elimination entries'!$B$47:$L$50</definedName>
    <definedName name="__________________________________EEN6">'[1]elimination entries'!$B$53:$L$55</definedName>
    <definedName name="__________________________________EEN7">'[1]elimination entries'!$B$59:$L$61</definedName>
    <definedName name="__________________________________EEN8">'[1]elimination entries'!$B$65:$L$74</definedName>
    <definedName name="__________________________________EEN9">'[1]elimination entries'!$B$78:$L$94</definedName>
    <definedName name="__________________________________REN1">'[1]elimination entries'!$B$277:$L$279</definedName>
    <definedName name="__________________________________REN2">'[1]elimination entries'!$B$282:$L$289</definedName>
    <definedName name="__________________________________REN3">'[1]elimination entries'!$B$292:$L$299</definedName>
    <definedName name="__________________________________REN4">'[1]elimination entries'!$B$302:$L$309</definedName>
    <definedName name="_________________________________EEN1">'[1]elimination entries'!$B$8:$L$22</definedName>
    <definedName name="_________________________________EEN10">'[1]elimination entries'!$B$98:$L$111</definedName>
    <definedName name="_________________________________een11">'[1]elimination entries'!$B$115:$L$116</definedName>
    <definedName name="_________________________________EEN12">'[1]elimination entries'!$B$120:$L$123</definedName>
    <definedName name="_________________________________EEN13">'[1]elimination entries'!$B$127:$L$128</definedName>
    <definedName name="_________________________________EEN14">'[1]elimination entries'!$B$132:$L$133</definedName>
    <definedName name="_________________________________een15">'[1]elimination entries'!$B$136:$L$139</definedName>
    <definedName name="_________________________________een16">'[1]elimination entries'!$B$142:$L$145</definedName>
    <definedName name="_________________________________EEN17">'[1]elimination entries'!$B$149:$L$160</definedName>
    <definedName name="_________________________________EEN18">'[1]elimination entries'!$B$163:$L$167</definedName>
    <definedName name="_________________________________EEN19">'[1]elimination entries'!$B$170:$L$171</definedName>
    <definedName name="_________________________________EEN2">'[1]elimination entries'!$B$25:$L$33</definedName>
    <definedName name="_________________________________EEN20">'[1]elimination entries'!$B$174:$L$175</definedName>
    <definedName name="_________________________________EEN21">'[1]elimination entries'!$B$178:$L$179</definedName>
    <definedName name="_________________________________een22">'[1]elimination entries'!$B$182:$L$189</definedName>
    <definedName name="_________________________________een23">'[1]elimination entries'!$B$192:$L$199</definedName>
    <definedName name="_________________________________EEN24">'[1]elimination entries'!$B$202:$L$209</definedName>
    <definedName name="_________________________________EEN25">'[1]elimination entries'!$B$212:$L$219</definedName>
    <definedName name="_________________________________EEN26">'[1]elimination entries'!$B$222:$L$229</definedName>
    <definedName name="_________________________________EEN27">'[1]elimination entries'!$B$232:$L$239</definedName>
    <definedName name="_________________________________EEN28">'[1]elimination entries'!$B$242:$L$249</definedName>
    <definedName name="_________________________________EEN29">'[1]elimination entries'!$B$252:$L$259</definedName>
    <definedName name="_________________________________EEN3">'[1]elimination entries'!$B$37:$L$38</definedName>
    <definedName name="_________________________________EEN30">'[1]elimination entries'!$B$262:$L$269</definedName>
    <definedName name="_________________________________EEN4">'[1]elimination entries'!$B$42:$L$43</definedName>
    <definedName name="_________________________________EEN5">'[1]elimination entries'!$B$47:$L$50</definedName>
    <definedName name="_________________________________EEN6">'[1]elimination entries'!$B$53:$L$55</definedName>
    <definedName name="_________________________________EEN7">'[1]elimination entries'!$B$59:$L$61</definedName>
    <definedName name="_________________________________EEN8">'[1]elimination entries'!$B$65:$L$74</definedName>
    <definedName name="_________________________________EEN9">'[1]elimination entries'!$B$78:$L$94</definedName>
    <definedName name="_________________________________REN1">'[1]elimination entries'!$B$277:$L$279</definedName>
    <definedName name="_________________________________REN2">'[1]elimination entries'!$B$282:$L$289</definedName>
    <definedName name="_________________________________REN3">'[1]elimination entries'!$B$292:$L$299</definedName>
    <definedName name="_________________________________REN4">'[1]elimination entries'!$B$302:$L$309</definedName>
    <definedName name="________________________________EEN1">'[1]elimination entries'!$B$8:$L$22</definedName>
    <definedName name="________________________________EEN10">'[1]elimination entries'!$B$98:$L$111</definedName>
    <definedName name="________________________________een11">'[1]elimination entries'!$B$115:$L$116</definedName>
    <definedName name="________________________________EEN12">'[1]elimination entries'!$B$120:$L$123</definedName>
    <definedName name="________________________________EEN13">'[1]elimination entries'!$B$127:$L$128</definedName>
    <definedName name="________________________________EEN14">'[1]elimination entries'!$B$132:$L$133</definedName>
    <definedName name="________________________________een15">'[1]elimination entries'!$B$136:$L$139</definedName>
    <definedName name="________________________________een16">'[1]elimination entries'!$B$142:$L$145</definedName>
    <definedName name="________________________________EEN17">'[1]elimination entries'!$B$149:$L$160</definedName>
    <definedName name="________________________________EEN18">'[1]elimination entries'!$B$163:$L$167</definedName>
    <definedName name="________________________________EEN19">'[1]elimination entries'!$B$170:$L$171</definedName>
    <definedName name="________________________________EEN2">'[1]elimination entries'!$B$25:$L$33</definedName>
    <definedName name="________________________________EEN20">'[1]elimination entries'!$B$174:$L$175</definedName>
    <definedName name="________________________________EEN21">'[1]elimination entries'!$B$178:$L$179</definedName>
    <definedName name="________________________________een22">'[1]elimination entries'!$B$182:$L$189</definedName>
    <definedName name="________________________________een23">'[1]elimination entries'!$B$192:$L$199</definedName>
    <definedName name="________________________________EEN24">'[1]elimination entries'!$B$202:$L$209</definedName>
    <definedName name="________________________________EEN25">'[1]elimination entries'!$B$212:$L$219</definedName>
    <definedName name="________________________________EEN26">'[1]elimination entries'!$B$222:$L$229</definedName>
    <definedName name="________________________________EEN27">'[1]elimination entries'!$B$232:$L$239</definedName>
    <definedName name="________________________________EEN28">'[1]elimination entries'!$B$242:$L$249</definedName>
    <definedName name="________________________________EEN29">'[1]elimination entries'!$B$252:$L$259</definedName>
    <definedName name="________________________________EEN3">'[1]elimination entries'!$B$37:$L$38</definedName>
    <definedName name="________________________________EEN30">'[1]elimination entries'!$B$262:$L$269</definedName>
    <definedName name="________________________________EEN4">'[1]elimination entries'!$B$42:$L$43</definedName>
    <definedName name="________________________________EEN5">'[1]elimination entries'!$B$47:$L$50</definedName>
    <definedName name="________________________________EEN6">'[1]elimination entries'!$B$53:$L$55</definedName>
    <definedName name="________________________________EEN7">'[1]elimination entries'!$B$59:$L$61</definedName>
    <definedName name="________________________________EEN8">'[1]elimination entries'!$B$65:$L$74</definedName>
    <definedName name="________________________________EEN9">'[1]elimination entries'!$B$78:$L$94</definedName>
    <definedName name="________________________________REN1">'[1]elimination entries'!$B$277:$L$279</definedName>
    <definedName name="________________________________REN2">'[1]elimination entries'!$B$282:$L$289</definedName>
    <definedName name="________________________________REN3">'[1]elimination entries'!$B$292:$L$299</definedName>
    <definedName name="________________________________REN4">'[1]elimination entries'!$B$302:$L$309</definedName>
    <definedName name="_______________________________EEN1">'[1]elimination entries'!$B$8:$L$22</definedName>
    <definedName name="_______________________________EEN10">'[1]elimination entries'!$B$98:$L$111</definedName>
    <definedName name="_______________________________een11">'[1]elimination entries'!$B$115:$L$116</definedName>
    <definedName name="_______________________________EEN12">'[1]elimination entries'!$B$120:$L$123</definedName>
    <definedName name="_______________________________EEN13">'[1]elimination entries'!$B$127:$L$128</definedName>
    <definedName name="_______________________________EEN14">'[1]elimination entries'!$B$132:$L$133</definedName>
    <definedName name="_______________________________een15">'[1]elimination entries'!$B$136:$L$139</definedName>
    <definedName name="_______________________________een16">'[1]elimination entries'!$B$142:$L$145</definedName>
    <definedName name="_______________________________EEN17">'[1]elimination entries'!$B$149:$L$160</definedName>
    <definedName name="_______________________________EEN18">'[1]elimination entries'!$B$163:$L$167</definedName>
    <definedName name="_______________________________EEN19">'[1]elimination entries'!$B$170:$L$171</definedName>
    <definedName name="_______________________________EEN2">'[1]elimination entries'!$B$25:$L$33</definedName>
    <definedName name="_______________________________EEN20">'[1]elimination entries'!$B$174:$L$175</definedName>
    <definedName name="_______________________________EEN21">'[1]elimination entries'!$B$178:$L$179</definedName>
    <definedName name="_______________________________een22">'[1]elimination entries'!$B$182:$L$189</definedName>
    <definedName name="_______________________________een23">'[1]elimination entries'!$B$192:$L$199</definedName>
    <definedName name="_______________________________EEN24">'[1]elimination entries'!$B$202:$L$209</definedName>
    <definedName name="_______________________________EEN25">'[1]elimination entries'!$B$212:$L$219</definedName>
    <definedName name="_______________________________EEN26">'[1]elimination entries'!$B$222:$L$229</definedName>
    <definedName name="_______________________________EEN27">'[1]elimination entries'!$B$232:$L$239</definedName>
    <definedName name="_______________________________EEN28">'[1]elimination entries'!$B$242:$L$249</definedName>
    <definedName name="_______________________________EEN29">'[1]elimination entries'!$B$252:$L$259</definedName>
    <definedName name="_______________________________EEN3">'[1]elimination entries'!$B$37:$L$38</definedName>
    <definedName name="_______________________________EEN30">'[1]elimination entries'!$B$262:$L$269</definedName>
    <definedName name="_______________________________EEN4">'[1]elimination entries'!$B$42:$L$43</definedName>
    <definedName name="_______________________________EEN5">'[1]elimination entries'!$B$47:$L$50</definedName>
    <definedName name="_______________________________EEN6">'[1]elimination entries'!$B$53:$L$55</definedName>
    <definedName name="_______________________________EEN7">'[1]elimination entries'!$B$59:$L$61</definedName>
    <definedName name="_______________________________EEN8">'[1]elimination entries'!$B$65:$L$74</definedName>
    <definedName name="_______________________________EEN9">'[1]elimination entries'!$B$78:$L$94</definedName>
    <definedName name="_______________________________REN1">'[1]elimination entries'!$B$277:$L$279</definedName>
    <definedName name="_______________________________REN2">'[1]elimination entries'!$B$282:$L$289</definedName>
    <definedName name="_______________________________REN3">'[1]elimination entries'!$B$292:$L$299</definedName>
    <definedName name="_______________________________REN4">'[1]elimination entries'!$B$302:$L$309</definedName>
    <definedName name="______________________________EEN1">'[1]elimination entries'!$B$8:$L$22</definedName>
    <definedName name="______________________________EEN10">'[1]elimination entries'!$B$98:$L$111</definedName>
    <definedName name="______________________________een11">'[1]elimination entries'!$B$115:$L$116</definedName>
    <definedName name="______________________________EEN12">'[1]elimination entries'!$B$120:$L$123</definedName>
    <definedName name="______________________________EEN13">'[1]elimination entries'!$B$127:$L$128</definedName>
    <definedName name="______________________________EEN14">'[1]elimination entries'!$B$132:$L$133</definedName>
    <definedName name="______________________________een15">'[1]elimination entries'!$B$136:$L$139</definedName>
    <definedName name="______________________________een16">'[1]elimination entries'!$B$142:$L$145</definedName>
    <definedName name="______________________________EEN17">'[1]elimination entries'!$B$149:$L$160</definedName>
    <definedName name="______________________________EEN18">'[1]elimination entries'!$B$163:$L$167</definedName>
    <definedName name="______________________________EEN19">'[1]elimination entries'!$B$170:$L$171</definedName>
    <definedName name="______________________________EEN2">'[1]elimination entries'!$B$25:$L$33</definedName>
    <definedName name="______________________________EEN20">'[1]elimination entries'!$B$174:$L$175</definedName>
    <definedName name="______________________________EEN21">'[1]elimination entries'!$B$178:$L$179</definedName>
    <definedName name="______________________________een22">'[1]elimination entries'!$B$182:$L$189</definedName>
    <definedName name="______________________________een23">'[1]elimination entries'!$B$192:$L$199</definedName>
    <definedName name="______________________________EEN24">'[1]elimination entries'!$B$202:$L$209</definedName>
    <definedName name="______________________________EEN25">'[1]elimination entries'!$B$212:$L$219</definedName>
    <definedName name="______________________________EEN26">'[1]elimination entries'!$B$222:$L$229</definedName>
    <definedName name="______________________________EEN27">'[1]elimination entries'!$B$232:$L$239</definedName>
    <definedName name="______________________________EEN28">'[1]elimination entries'!$B$242:$L$249</definedName>
    <definedName name="______________________________EEN29">'[1]elimination entries'!$B$252:$L$259</definedName>
    <definedName name="______________________________EEN3">'[1]elimination entries'!$B$37:$L$38</definedName>
    <definedName name="______________________________EEN30">'[1]elimination entries'!$B$262:$L$269</definedName>
    <definedName name="______________________________EEN4">'[1]elimination entries'!$B$42:$L$43</definedName>
    <definedName name="______________________________EEN5">'[1]elimination entries'!$B$47:$L$50</definedName>
    <definedName name="______________________________EEN6">'[1]elimination entries'!$B$53:$L$55</definedName>
    <definedName name="______________________________EEN7">'[1]elimination entries'!$B$59:$L$61</definedName>
    <definedName name="______________________________EEN8">'[1]elimination entries'!$B$65:$L$74</definedName>
    <definedName name="______________________________EEN9">'[1]elimination entries'!$B$78:$L$94</definedName>
    <definedName name="______________________________REN1">'[1]elimination entries'!$B$277:$L$279</definedName>
    <definedName name="______________________________REN2">'[1]elimination entries'!$B$282:$L$289</definedName>
    <definedName name="______________________________REN3">'[1]elimination entries'!$B$292:$L$299</definedName>
    <definedName name="______________________________REN4">'[1]elimination entries'!$B$302:$L$309</definedName>
    <definedName name="_____________________________EEN1">'[1]elimination entries'!$B$8:$L$22</definedName>
    <definedName name="_____________________________EEN10">'[5]elimination entries'!$B$98:$L$111</definedName>
    <definedName name="_____________________________een11">'[5]elimination entries'!$B$115:$L$116</definedName>
    <definedName name="_____________________________EEN12">'[5]elimination entries'!$B$120:$L$123</definedName>
    <definedName name="_____________________________EEN13">'[5]elimination entries'!$B$127:$L$128</definedName>
    <definedName name="_____________________________EEN14">'[5]elimination entries'!$B$132:$L$133</definedName>
    <definedName name="_____________________________een15">'[5]elimination entries'!$B$136:$L$139</definedName>
    <definedName name="_____________________________een16">'[5]elimination entries'!$B$142:$L$145</definedName>
    <definedName name="_____________________________EEN17">'[5]elimination entries'!$B$149:$L$160</definedName>
    <definedName name="_____________________________EEN18">'[5]elimination entries'!$B$163:$L$167</definedName>
    <definedName name="_____________________________EEN19">'[5]elimination entries'!$B$170:$L$171</definedName>
    <definedName name="_____________________________EEN2">'[5]elimination entries'!$B$25:$L$33</definedName>
    <definedName name="_____________________________EEN20">'[5]elimination entries'!$B$174:$L$175</definedName>
    <definedName name="_____________________________EEN21">'[5]elimination entries'!$B$178:$L$179</definedName>
    <definedName name="_____________________________een22">'[5]elimination entries'!$B$182:$L$189</definedName>
    <definedName name="_____________________________een23">'[5]elimination entries'!$B$192:$L$199</definedName>
    <definedName name="_____________________________EEN24">'[5]elimination entries'!$B$202:$L$209</definedName>
    <definedName name="_____________________________EEN25">'[1]elimination entries'!$B$212:$L$219</definedName>
    <definedName name="_____________________________EEN26">'[5]elimination entries'!$B$222:$L$229</definedName>
    <definedName name="_____________________________EEN27">'[5]elimination entries'!$B$232:$L$239</definedName>
    <definedName name="_____________________________EEN28">'[5]elimination entries'!$B$242:$L$249</definedName>
    <definedName name="_____________________________EEN29">'[5]elimination entries'!$B$252:$L$259</definedName>
    <definedName name="_____________________________EEN3">'[5]elimination entries'!$B$37:$L$38</definedName>
    <definedName name="_____________________________EEN30">'[5]elimination entries'!$B$262:$L$269</definedName>
    <definedName name="_____________________________EEN4">'[5]elimination entries'!$B$42:$L$43</definedName>
    <definedName name="_____________________________EEN5">'[5]elimination entries'!$B$47:$L$50</definedName>
    <definedName name="_____________________________EEN6">'[5]elimination entries'!$B$53:$L$55</definedName>
    <definedName name="_____________________________EEN7">'[5]elimination entries'!$B$59:$L$61</definedName>
    <definedName name="_____________________________EEN8">'[5]elimination entries'!$B$65:$L$74</definedName>
    <definedName name="_____________________________EEN9">'[5]elimination entries'!$B$78:$L$94</definedName>
    <definedName name="_____________________________REN1">'[5]elimination entries'!$B$277:$L$279</definedName>
    <definedName name="_____________________________REN2">'[5]elimination entries'!$B$282:$L$289</definedName>
    <definedName name="_____________________________REN3">'[5]elimination entries'!$B$292:$L$299</definedName>
    <definedName name="_____________________________REN4">'[5]elimination entries'!$B$302:$L$309</definedName>
    <definedName name="____________________________EEN1">'[5]elimination entries'!$B$8:$L$22</definedName>
    <definedName name="____________________________EEN10">'[5]elimination entries'!$B$98:$L$111</definedName>
    <definedName name="____________________________een11">'[5]elimination entries'!$B$115:$L$116</definedName>
    <definedName name="____________________________EEN12">'[5]elimination entries'!$B$120:$L$123</definedName>
    <definedName name="____________________________EEN13">'[5]elimination entries'!$B$127:$L$128</definedName>
    <definedName name="____________________________EEN14">'[5]elimination entries'!$B$132:$L$133</definedName>
    <definedName name="____________________________een15">'[5]elimination entries'!$B$136:$L$139</definedName>
    <definedName name="____________________________een16">'[5]elimination entries'!$B$142:$L$145</definedName>
    <definedName name="____________________________EEN17">'[5]elimination entries'!$B$149:$L$160</definedName>
    <definedName name="____________________________EEN18">'[5]elimination entries'!$B$163:$L$167</definedName>
    <definedName name="____________________________EEN19">'[5]elimination entries'!$B$170:$L$171</definedName>
    <definedName name="____________________________EEN2">'[5]elimination entries'!$B$25:$L$33</definedName>
    <definedName name="____________________________EEN20">'[5]elimination entries'!$B$174:$L$175</definedName>
    <definedName name="____________________________EEN21">'[5]elimination entries'!$B$178:$L$179</definedName>
    <definedName name="____________________________een22">'[5]elimination entries'!$B$182:$L$189</definedName>
    <definedName name="____________________________een23">'[5]elimination entries'!$B$192:$L$199</definedName>
    <definedName name="____________________________EEN24">'[5]elimination entries'!$B$202:$L$209</definedName>
    <definedName name="____________________________EEN25">'[5]elimination entries'!$B$212:$L$219</definedName>
    <definedName name="____________________________EEN26">'[5]elimination entries'!$B$222:$L$229</definedName>
    <definedName name="____________________________EEN27">'[5]elimination entries'!$B$232:$L$239</definedName>
    <definedName name="____________________________EEN28">'[5]elimination entries'!$B$242:$L$249</definedName>
    <definedName name="____________________________EEN29">'[5]elimination entries'!$B$252:$L$259</definedName>
    <definedName name="____________________________EEN3">'[5]elimination entries'!$B$37:$L$38</definedName>
    <definedName name="____________________________EEN30">'[5]elimination entries'!$B$262:$L$269</definedName>
    <definedName name="____________________________EEN4">'[5]elimination entries'!$B$42:$L$43</definedName>
    <definedName name="____________________________EEN5">'[5]elimination entries'!$B$47:$L$50</definedName>
    <definedName name="____________________________EEN6">'[5]elimination entries'!$B$53:$L$55</definedName>
    <definedName name="____________________________EEN7">'[5]elimination entries'!$B$59:$L$61</definedName>
    <definedName name="____________________________EEN8">'[5]elimination entries'!$B$65:$L$74</definedName>
    <definedName name="____________________________EEN9">'[5]elimination entries'!$B$78:$L$94</definedName>
    <definedName name="____________________________REN1">'[5]elimination entries'!$B$277:$L$279</definedName>
    <definedName name="____________________________REN2">'[5]elimination entries'!$B$282:$L$289</definedName>
    <definedName name="____________________________REN3">'[5]elimination entries'!$B$292:$L$299</definedName>
    <definedName name="____________________________REN4">'[5]elimination entries'!$B$302:$L$309</definedName>
    <definedName name="___________________________EEN1">'[5]elimination entries'!$B$8:$L$22</definedName>
    <definedName name="___________________________EEN10">'[1]elimination entries'!$B$98:$L$111</definedName>
    <definedName name="___________________________een11">'[1]elimination entries'!$B$115:$L$116</definedName>
    <definedName name="___________________________EEN12">'[1]elimination entries'!$B$120:$L$123</definedName>
    <definedName name="___________________________EEN13">'[1]elimination entries'!$B$127:$L$128</definedName>
    <definedName name="___________________________EEN14">'[1]elimination entries'!$B$132:$L$133</definedName>
    <definedName name="___________________________een15">'[1]elimination entries'!$B$136:$L$139</definedName>
    <definedName name="___________________________een16">'[1]elimination entries'!$B$142:$L$145</definedName>
    <definedName name="___________________________EEN17">'[1]elimination entries'!$B$149:$L$160</definedName>
    <definedName name="___________________________EEN18">'[1]elimination entries'!$B$163:$L$167</definedName>
    <definedName name="___________________________EEN19">'[1]elimination entries'!$B$170:$L$171</definedName>
    <definedName name="___________________________EEN2">'[1]elimination entries'!$B$25:$L$33</definedName>
    <definedName name="___________________________EEN20">'[1]elimination entries'!$B$174:$L$175</definedName>
    <definedName name="___________________________EEN21">'[1]elimination entries'!$B$178:$L$179</definedName>
    <definedName name="___________________________een22">'[1]elimination entries'!$B$182:$L$189</definedName>
    <definedName name="___________________________een23">'[1]elimination entries'!$B$192:$L$199</definedName>
    <definedName name="___________________________EEN24">'[1]elimination entries'!$B$202:$L$209</definedName>
    <definedName name="___________________________EEN25">'[5]elimination entries'!$B$212:$L$219</definedName>
    <definedName name="___________________________EEN26">'[1]elimination entries'!$B$222:$L$229</definedName>
    <definedName name="___________________________EEN27">'[1]elimination entries'!$B$232:$L$239</definedName>
    <definedName name="___________________________EEN28">'[1]elimination entries'!$B$242:$L$249</definedName>
    <definedName name="___________________________EEN29">'[1]elimination entries'!$B$252:$L$259</definedName>
    <definedName name="___________________________EEN3">'[1]elimination entries'!$B$37:$L$38</definedName>
    <definedName name="___________________________EEN30">'[1]elimination entries'!$B$262:$L$269</definedName>
    <definedName name="___________________________EEN4">'[1]elimination entries'!$B$42:$L$43</definedName>
    <definedName name="___________________________EEN5">'[1]elimination entries'!$B$47:$L$50</definedName>
    <definedName name="___________________________EEN6">'[1]elimination entries'!$B$53:$L$55</definedName>
    <definedName name="___________________________EEN7">'[1]elimination entries'!$B$59:$L$61</definedName>
    <definedName name="___________________________EEN8">'[1]elimination entries'!$B$65:$L$74</definedName>
    <definedName name="___________________________EEN9">'[1]elimination entries'!$B$78:$L$94</definedName>
    <definedName name="___________________________REN1">'[1]elimination entries'!$B$277:$L$279</definedName>
    <definedName name="___________________________REN2">'[1]elimination entries'!$B$282:$L$289</definedName>
    <definedName name="___________________________REN3">'[1]elimination entries'!$B$292:$L$299</definedName>
    <definedName name="___________________________REN4">'[1]elimination entries'!$B$302:$L$309</definedName>
    <definedName name="__________________________EEN1">'[1]elimination entries'!$B$8:$L$22</definedName>
    <definedName name="__________________________EEN10">'[1]elimination entries'!$B$98:$L$111</definedName>
    <definedName name="__________________________een11">'[1]elimination entries'!$B$115:$L$116</definedName>
    <definedName name="__________________________EEN12">'[1]elimination entries'!$B$120:$L$123</definedName>
    <definedName name="__________________________EEN13">'[1]elimination entries'!$B$127:$L$128</definedName>
    <definedName name="__________________________EEN14">'[1]elimination entries'!$B$132:$L$133</definedName>
    <definedName name="__________________________een15">'[1]elimination entries'!$B$136:$L$139</definedName>
    <definedName name="__________________________een16">'[1]elimination entries'!$B$142:$L$145</definedName>
    <definedName name="__________________________EEN17">'[1]elimination entries'!$B$149:$L$160</definedName>
    <definedName name="__________________________EEN18">'[1]elimination entries'!$B$163:$L$167</definedName>
    <definedName name="__________________________EEN19">'[1]elimination entries'!$B$170:$L$171</definedName>
    <definedName name="__________________________EEN2">'[1]elimination entries'!$B$25:$L$33</definedName>
    <definedName name="__________________________EEN20">'[1]elimination entries'!$B$174:$L$175</definedName>
    <definedName name="__________________________EEN21">'[1]elimination entries'!$B$178:$L$179</definedName>
    <definedName name="__________________________een22">'[1]elimination entries'!$B$182:$L$189</definedName>
    <definedName name="__________________________een23">'[1]elimination entries'!$B$192:$L$199</definedName>
    <definedName name="__________________________EEN24">'[1]elimination entries'!$B$202:$L$209</definedName>
    <definedName name="__________________________EEN25">'[1]elimination entries'!$B$212:$L$219</definedName>
    <definedName name="__________________________EEN26">'[1]elimination entries'!$B$222:$L$229</definedName>
    <definedName name="__________________________EEN27">'[1]elimination entries'!$B$232:$L$239</definedName>
    <definedName name="__________________________EEN28">'[1]elimination entries'!$B$242:$L$249</definedName>
    <definedName name="__________________________EEN29">'[1]elimination entries'!$B$252:$L$259</definedName>
    <definedName name="__________________________EEN3">'[1]elimination entries'!$B$37:$L$38</definedName>
    <definedName name="__________________________EEN30">'[1]elimination entries'!$B$262:$L$269</definedName>
    <definedName name="__________________________EEN4">'[1]elimination entries'!$B$42:$L$43</definedName>
    <definedName name="__________________________EEN5">'[1]elimination entries'!$B$47:$L$50</definedName>
    <definedName name="__________________________EEN6">'[1]elimination entries'!$B$53:$L$55</definedName>
    <definedName name="__________________________EEN7">'[1]elimination entries'!$B$59:$L$61</definedName>
    <definedName name="__________________________EEN8">'[1]elimination entries'!$B$65:$L$74</definedName>
    <definedName name="__________________________EEN9">'[1]elimination entries'!$B$78:$L$94</definedName>
    <definedName name="__________________________REN1">'[1]elimination entries'!$B$277:$L$279</definedName>
    <definedName name="__________________________REN2">'[1]elimination entries'!$B$282:$L$289</definedName>
    <definedName name="__________________________REN3">'[1]elimination entries'!$B$292:$L$299</definedName>
    <definedName name="__________________________REN4">'[1]elimination entries'!$B$302:$L$309</definedName>
    <definedName name="_________________________EEN1">'[1]elimination entries'!$B$8:$L$22</definedName>
    <definedName name="_________________________EEN10">'[1]elimination entries'!$B$98:$L$111</definedName>
    <definedName name="_________________________een11">'[1]elimination entries'!$B$115:$L$116</definedName>
    <definedName name="_________________________EEN12">'[1]elimination entries'!$B$120:$L$123</definedName>
    <definedName name="_________________________EEN13">'[1]elimination entries'!$B$127:$L$128</definedName>
    <definedName name="_________________________EEN14">'[1]elimination entries'!$B$132:$L$133</definedName>
    <definedName name="_________________________een15">'[1]elimination entries'!$B$136:$L$139</definedName>
    <definedName name="_________________________een16">'[1]elimination entries'!$B$142:$L$145</definedName>
    <definedName name="_________________________EEN17">'[1]elimination entries'!$B$149:$L$160</definedName>
    <definedName name="_________________________EEN18">'[1]elimination entries'!$B$163:$L$167</definedName>
    <definedName name="_________________________EEN19">'[1]elimination entries'!$B$170:$L$171</definedName>
    <definedName name="_________________________EEN2">'[1]elimination entries'!$B$25:$L$33</definedName>
    <definedName name="_________________________EEN20">'[1]elimination entries'!$B$174:$L$175</definedName>
    <definedName name="_________________________EEN21">'[1]elimination entries'!$B$178:$L$179</definedName>
    <definedName name="_________________________een22">'[1]elimination entries'!$B$182:$L$189</definedName>
    <definedName name="_________________________een23">'[1]elimination entries'!$B$192:$L$199</definedName>
    <definedName name="_________________________EEN24">'[1]elimination entries'!$B$202:$L$209</definedName>
    <definedName name="_________________________EEN25">'[1]elimination entries'!$B$212:$L$219</definedName>
    <definedName name="_________________________EEN26">'[1]elimination entries'!$B$222:$L$229</definedName>
    <definedName name="_________________________EEN27">'[1]elimination entries'!$B$232:$L$239</definedName>
    <definedName name="_________________________EEN28">'[1]elimination entries'!$B$242:$L$249</definedName>
    <definedName name="_________________________EEN29">'[1]elimination entries'!$B$252:$L$259</definedName>
    <definedName name="_________________________EEN3">'[1]elimination entries'!$B$37:$L$38</definedName>
    <definedName name="_________________________EEN30">'[1]elimination entries'!$B$262:$L$269</definedName>
    <definedName name="_________________________EEN4">'[1]elimination entries'!$B$42:$L$43</definedName>
    <definedName name="_________________________EEN5">'[1]elimination entries'!$B$47:$L$50</definedName>
    <definedName name="_________________________EEN6">'[1]elimination entries'!$B$53:$L$55</definedName>
    <definedName name="_________________________EEN7">'[1]elimination entries'!$B$59:$L$61</definedName>
    <definedName name="_________________________EEN8">'[1]elimination entries'!$B$65:$L$74</definedName>
    <definedName name="_________________________EEN9">'[1]elimination entries'!$B$78:$L$94</definedName>
    <definedName name="_________________________REN1">'[1]elimination entries'!$B$277:$L$279</definedName>
    <definedName name="_________________________REN2">'[1]elimination entries'!$B$282:$L$289</definedName>
    <definedName name="_________________________REN3">'[1]elimination entries'!$B$292:$L$299</definedName>
    <definedName name="_________________________REN4">'[1]elimination entries'!$B$302:$L$309</definedName>
    <definedName name="________________________EEN1">'[1]elimination entries'!$B$8:$L$22</definedName>
    <definedName name="________________________EEN10">'[1]elimination entries'!$B$98:$L$111</definedName>
    <definedName name="________________________een11">'[1]elimination entries'!$B$115:$L$116</definedName>
    <definedName name="________________________EEN12">'[1]elimination entries'!$B$120:$L$123</definedName>
    <definedName name="________________________EEN13">'[1]elimination entries'!$B$127:$L$128</definedName>
    <definedName name="________________________EEN14">'[1]elimination entries'!$B$132:$L$133</definedName>
    <definedName name="________________________een15">'[1]elimination entries'!$B$136:$L$139</definedName>
    <definedName name="________________________een16">'[1]elimination entries'!$B$142:$L$145</definedName>
    <definedName name="________________________EEN17">'[1]elimination entries'!$B$149:$L$160</definedName>
    <definedName name="________________________EEN18">'[1]elimination entries'!$B$163:$L$167</definedName>
    <definedName name="________________________EEN19">'[1]elimination entries'!$B$170:$L$171</definedName>
    <definedName name="________________________EEN2">'[1]elimination entries'!$B$25:$L$33</definedName>
    <definedName name="________________________EEN20">'[1]elimination entries'!$B$174:$L$175</definedName>
    <definedName name="________________________EEN21">'[1]elimination entries'!$B$178:$L$179</definedName>
    <definedName name="________________________een22">'[1]elimination entries'!$B$182:$L$189</definedName>
    <definedName name="________________________een23">'[1]elimination entries'!$B$192:$L$199</definedName>
    <definedName name="________________________EEN24">'[1]elimination entries'!$B$202:$L$209</definedName>
    <definedName name="________________________EEN25">'[1]elimination entries'!$B$212:$L$219</definedName>
    <definedName name="________________________EEN26">'[1]elimination entries'!$B$222:$L$229</definedName>
    <definedName name="________________________EEN27">'[1]elimination entries'!$B$232:$L$239</definedName>
    <definedName name="________________________EEN28">'[1]elimination entries'!$B$242:$L$249</definedName>
    <definedName name="________________________EEN29">'[1]elimination entries'!$B$252:$L$259</definedName>
    <definedName name="________________________EEN3">'[1]elimination entries'!$B$37:$L$38</definedName>
    <definedName name="________________________EEN30">'[1]elimination entries'!$B$262:$L$269</definedName>
    <definedName name="________________________EEN4">'[1]elimination entries'!$B$42:$L$43</definedName>
    <definedName name="________________________EEN5">'[1]elimination entries'!$B$47:$L$50</definedName>
    <definedName name="________________________EEN6">'[1]elimination entries'!$B$53:$L$55</definedName>
    <definedName name="________________________EEN7">'[1]elimination entries'!$B$59:$L$61</definedName>
    <definedName name="________________________EEN8">'[1]elimination entries'!$B$65:$L$74</definedName>
    <definedName name="________________________EEN9">'[1]elimination entries'!$B$78:$L$94</definedName>
    <definedName name="________________________REN1">'[1]elimination entries'!$B$277:$L$279</definedName>
    <definedName name="________________________REN2">'[1]elimination entries'!$B$282:$L$289</definedName>
    <definedName name="________________________REN3">'[1]elimination entries'!$B$292:$L$299</definedName>
    <definedName name="________________________REN4">'[1]elimination entries'!$B$302:$L$309</definedName>
    <definedName name="_______________________EEN1">'[1]elimination entries'!$B$8:$L$22</definedName>
    <definedName name="_______________________EEN10">'[1]elimination entries'!$B$98:$L$111</definedName>
    <definedName name="_______________________een11">'[1]elimination entries'!$B$115:$L$116</definedName>
    <definedName name="_______________________EEN12">'[1]elimination entries'!$B$120:$L$123</definedName>
    <definedName name="_______________________EEN13">'[1]elimination entries'!$B$127:$L$128</definedName>
    <definedName name="_______________________EEN14">'[1]elimination entries'!$B$132:$L$133</definedName>
    <definedName name="_______________________een15">'[1]elimination entries'!$B$136:$L$139</definedName>
    <definedName name="_______________________een16">'[1]elimination entries'!$B$142:$L$145</definedName>
    <definedName name="_______________________EEN17">'[1]elimination entries'!$B$149:$L$160</definedName>
    <definedName name="_______________________EEN18">'[1]elimination entries'!$B$163:$L$167</definedName>
    <definedName name="_______________________EEN19">'[1]elimination entries'!$B$170:$L$171</definedName>
    <definedName name="_______________________EEN2">'[1]elimination entries'!$B$25:$L$33</definedName>
    <definedName name="_______________________EEN20">'[1]elimination entries'!$B$174:$L$175</definedName>
    <definedName name="_______________________EEN21">'[1]elimination entries'!$B$178:$L$179</definedName>
    <definedName name="_______________________een22">'[1]elimination entries'!$B$182:$L$189</definedName>
    <definedName name="_______________________een23">'[1]elimination entries'!$B$192:$L$199</definedName>
    <definedName name="_______________________EEN24">'[1]elimination entries'!$B$202:$L$209</definedName>
    <definedName name="_______________________EEN25">'[1]elimination entries'!$B$212:$L$219</definedName>
    <definedName name="_______________________EEN26">'[1]elimination entries'!$B$222:$L$229</definedName>
    <definedName name="_______________________EEN27">'[1]elimination entries'!$B$232:$L$239</definedName>
    <definedName name="_______________________EEN28">'[1]elimination entries'!$B$242:$L$249</definedName>
    <definedName name="_______________________EEN29">'[1]elimination entries'!$B$252:$L$259</definedName>
    <definedName name="_______________________EEN3">'[1]elimination entries'!$B$37:$L$38</definedName>
    <definedName name="_______________________EEN30">'[1]elimination entries'!$B$262:$L$269</definedName>
    <definedName name="_______________________EEN4">'[1]elimination entries'!$B$42:$L$43</definedName>
    <definedName name="_______________________EEN5">'[1]elimination entries'!$B$47:$L$50</definedName>
    <definedName name="_______________________EEN6">'[1]elimination entries'!$B$53:$L$55</definedName>
    <definedName name="_______________________EEN7">'[1]elimination entries'!$B$59:$L$61</definedName>
    <definedName name="_______________________EEN8">'[1]elimination entries'!$B$65:$L$74</definedName>
    <definedName name="_______________________EEN9">'[1]elimination entries'!$B$78:$L$94</definedName>
    <definedName name="_______________________REN1">'[1]elimination entries'!$B$277:$L$279</definedName>
    <definedName name="_______________________REN2">'[1]elimination entries'!$B$282:$L$289</definedName>
    <definedName name="_______________________REN3">'[1]elimination entries'!$B$292:$L$299</definedName>
    <definedName name="_______________________REN4">'[1]elimination entries'!$B$302:$L$309</definedName>
    <definedName name="______________________EEN1">'[1]elimination entries'!$B$8:$L$22</definedName>
    <definedName name="______________________EEN10">'[1]elimination entries'!$B$98:$L$111</definedName>
    <definedName name="______________________een11">'[1]elimination entries'!$B$115:$L$116</definedName>
    <definedName name="______________________EEN12">'[1]elimination entries'!$B$120:$L$123</definedName>
    <definedName name="______________________EEN13">'[1]elimination entries'!$B$127:$L$128</definedName>
    <definedName name="______________________EEN14">'[1]elimination entries'!$B$132:$L$133</definedName>
    <definedName name="______________________een15">'[1]elimination entries'!$B$136:$L$139</definedName>
    <definedName name="______________________een16">'[1]elimination entries'!$B$142:$L$145</definedName>
    <definedName name="______________________EEN17">'[1]elimination entries'!$B$149:$L$160</definedName>
    <definedName name="______________________EEN18">'[1]elimination entries'!$B$163:$L$167</definedName>
    <definedName name="______________________EEN19">'[1]elimination entries'!$B$170:$L$171</definedName>
    <definedName name="______________________EEN2">'[1]elimination entries'!$B$25:$L$33</definedName>
    <definedName name="______________________EEN20">'[1]elimination entries'!$B$174:$L$175</definedName>
    <definedName name="______________________EEN21">'[1]elimination entries'!$B$178:$L$179</definedName>
    <definedName name="______________________een22">'[1]elimination entries'!$B$182:$L$189</definedName>
    <definedName name="______________________een23">'[1]elimination entries'!$B$192:$L$199</definedName>
    <definedName name="______________________EEN24">'[1]elimination entries'!$B$202:$L$209</definedName>
    <definedName name="______________________EEN25">'[1]elimination entries'!$B$212:$L$219</definedName>
    <definedName name="______________________EEN26">'[1]elimination entries'!$B$222:$L$229</definedName>
    <definedName name="______________________EEN27">'[1]elimination entries'!$B$232:$L$239</definedName>
    <definedName name="______________________EEN28">'[1]elimination entries'!$B$242:$L$249</definedName>
    <definedName name="______________________EEN29">'[1]elimination entries'!$B$252:$L$259</definedName>
    <definedName name="______________________EEN3">'[1]elimination entries'!$B$37:$L$38</definedName>
    <definedName name="______________________EEN30">'[1]elimination entries'!$B$262:$L$269</definedName>
    <definedName name="______________________EEN4">'[1]elimination entries'!$B$42:$L$43</definedName>
    <definedName name="______________________EEN5">'[1]elimination entries'!$B$47:$L$50</definedName>
    <definedName name="______________________EEN6">'[1]elimination entries'!$B$53:$L$55</definedName>
    <definedName name="______________________EEN7">'[1]elimination entries'!$B$59:$L$61</definedName>
    <definedName name="______________________EEN8">'[1]elimination entries'!$B$65:$L$74</definedName>
    <definedName name="______________________EEN9">'[1]elimination entries'!$B$78:$L$94</definedName>
    <definedName name="______________________REN1">'[1]elimination entries'!$B$277:$L$279</definedName>
    <definedName name="______________________REN2">'[1]elimination entries'!$B$282:$L$289</definedName>
    <definedName name="______________________REN3">'[1]elimination entries'!$B$292:$L$299</definedName>
    <definedName name="______________________REN4">'[1]elimination entries'!$B$302:$L$309</definedName>
    <definedName name="_____________________EEN1">'[1]elimination entries'!$B$8:$L$22</definedName>
    <definedName name="_____________________EEN10">'[1]elimination entries'!$B$98:$L$111</definedName>
    <definedName name="_____________________een11">'[1]elimination entries'!$B$115:$L$116</definedName>
    <definedName name="_____________________EEN12">'[1]elimination entries'!$B$120:$L$123</definedName>
    <definedName name="_____________________EEN13">'[1]elimination entries'!$B$127:$L$128</definedName>
    <definedName name="_____________________EEN14">'[1]elimination entries'!$B$132:$L$133</definedName>
    <definedName name="_____________________een15">'[1]elimination entries'!$B$136:$L$139</definedName>
    <definedName name="_____________________een16">'[1]elimination entries'!$B$142:$L$145</definedName>
    <definedName name="_____________________EEN17">'[1]elimination entries'!$B$149:$L$160</definedName>
    <definedName name="_____________________EEN18">'[1]elimination entries'!$B$163:$L$167</definedName>
    <definedName name="_____________________EEN19">'[1]elimination entries'!$B$170:$L$171</definedName>
    <definedName name="_____________________EEN2">'[1]elimination entries'!$B$25:$L$33</definedName>
    <definedName name="_____________________EEN20">'[1]elimination entries'!$B$174:$L$175</definedName>
    <definedName name="_____________________EEN21">'[1]elimination entries'!$B$178:$L$179</definedName>
    <definedName name="_____________________een22">'[1]elimination entries'!$B$182:$L$189</definedName>
    <definedName name="_____________________een23">'[1]elimination entries'!$B$192:$L$199</definedName>
    <definedName name="_____________________EEN24">'[1]elimination entries'!$B$202:$L$209</definedName>
    <definedName name="_____________________EEN25">'[1]elimination entries'!$B$212:$L$219</definedName>
    <definedName name="_____________________EEN26">'[1]elimination entries'!$B$222:$L$229</definedName>
    <definedName name="_____________________EEN27">'[1]elimination entries'!$B$232:$L$239</definedName>
    <definedName name="_____________________EEN28">'[1]elimination entries'!$B$242:$L$249</definedName>
    <definedName name="_____________________EEN29">'[1]elimination entries'!$B$252:$L$259</definedName>
    <definedName name="_____________________EEN3">'[1]elimination entries'!$B$37:$L$38</definedName>
    <definedName name="_____________________EEN30">'[1]elimination entries'!$B$262:$L$269</definedName>
    <definedName name="_____________________EEN4">'[1]elimination entries'!$B$42:$L$43</definedName>
    <definedName name="_____________________EEN5">'[1]elimination entries'!$B$47:$L$50</definedName>
    <definedName name="_____________________EEN6">'[1]elimination entries'!$B$53:$L$55</definedName>
    <definedName name="_____________________EEN7">'[1]elimination entries'!$B$59:$L$61</definedName>
    <definedName name="_____________________EEN8">'[1]elimination entries'!$B$65:$L$74</definedName>
    <definedName name="_____________________EEN9">'[1]elimination entries'!$B$78:$L$94</definedName>
    <definedName name="_____________________REN1">'[1]elimination entries'!$B$277:$L$279</definedName>
    <definedName name="_____________________REN2">'[1]elimination entries'!$B$282:$L$289</definedName>
    <definedName name="_____________________REN3">'[1]elimination entries'!$B$292:$L$299</definedName>
    <definedName name="_____________________REN4">'[1]elimination entries'!$B$302:$L$309</definedName>
    <definedName name="____________________EEN1">'[1]elimination entries'!$B$8:$L$22</definedName>
    <definedName name="____________________EEN10">'[1]elimination entries'!$B$98:$L$111</definedName>
    <definedName name="____________________een11">'[1]elimination entries'!$B$115:$L$116</definedName>
    <definedName name="____________________EEN12">'[1]elimination entries'!$B$120:$L$123</definedName>
    <definedName name="____________________EEN13">'[1]elimination entries'!$B$127:$L$128</definedName>
    <definedName name="____________________EEN14">'[1]elimination entries'!$B$132:$L$133</definedName>
    <definedName name="____________________een15">'[1]elimination entries'!$B$136:$L$139</definedName>
    <definedName name="____________________een16">'[1]elimination entries'!$B$142:$L$145</definedName>
    <definedName name="____________________EEN17">'[1]elimination entries'!$B$149:$L$160</definedName>
    <definedName name="____________________EEN18">'[1]elimination entries'!$B$163:$L$167</definedName>
    <definedName name="____________________EEN19">'[1]elimination entries'!$B$170:$L$171</definedName>
    <definedName name="____________________EEN2">'[1]elimination entries'!$B$25:$L$33</definedName>
    <definedName name="____________________EEN20">'[1]elimination entries'!$B$174:$L$175</definedName>
    <definedName name="____________________EEN21">'[1]elimination entries'!$B$178:$L$179</definedName>
    <definedName name="____________________een22">'[1]elimination entries'!$B$182:$L$189</definedName>
    <definedName name="____________________een23">'[1]elimination entries'!$B$192:$L$199</definedName>
    <definedName name="____________________EEN24">'[1]elimination entries'!$B$202:$L$209</definedName>
    <definedName name="____________________EEN25">'[1]elimination entries'!$B$212:$L$219</definedName>
    <definedName name="____________________EEN26">'[1]elimination entries'!$B$222:$L$229</definedName>
    <definedName name="____________________EEN27">'[1]elimination entries'!$B$232:$L$239</definedName>
    <definedName name="____________________EEN28">'[1]elimination entries'!$B$242:$L$249</definedName>
    <definedName name="____________________EEN29">'[1]elimination entries'!$B$252:$L$259</definedName>
    <definedName name="____________________EEN3">'[1]elimination entries'!$B$37:$L$38</definedName>
    <definedName name="____________________EEN30">'[1]elimination entries'!$B$262:$L$269</definedName>
    <definedName name="____________________EEN4">'[1]elimination entries'!$B$42:$L$43</definedName>
    <definedName name="____________________EEN5">'[1]elimination entries'!$B$47:$L$50</definedName>
    <definedName name="____________________EEN6">'[1]elimination entries'!$B$53:$L$55</definedName>
    <definedName name="____________________EEN7">'[1]elimination entries'!$B$59:$L$61</definedName>
    <definedName name="____________________EEN8">'[1]elimination entries'!$B$65:$L$74</definedName>
    <definedName name="____________________EEN9">'[1]elimination entries'!$B$78:$L$94</definedName>
    <definedName name="____________________REN1">'[1]elimination entries'!$B$277:$L$279</definedName>
    <definedName name="____________________REN2">'[1]elimination entries'!$B$282:$L$289</definedName>
    <definedName name="____________________REN3">'[1]elimination entries'!$B$292:$L$299</definedName>
    <definedName name="____________________REN4">'[1]elimination entries'!$B$302:$L$309</definedName>
    <definedName name="___________________EEN1">'[1]elimination entries'!$B$8:$L$22</definedName>
    <definedName name="___________________EEN10">'[1]elimination entries'!$B$98:$L$111</definedName>
    <definedName name="___________________een11">'[1]elimination entries'!$B$115:$L$116</definedName>
    <definedName name="___________________EEN12">'[1]elimination entries'!$B$120:$L$123</definedName>
    <definedName name="___________________EEN13">'[1]elimination entries'!$B$127:$L$128</definedName>
    <definedName name="___________________EEN14">'[1]elimination entries'!$B$132:$L$133</definedName>
    <definedName name="___________________een15">'[1]elimination entries'!$B$136:$L$139</definedName>
    <definedName name="___________________een16">'[1]elimination entries'!$B$142:$L$145</definedName>
    <definedName name="___________________EEN17">'[1]elimination entries'!$B$149:$L$160</definedName>
    <definedName name="___________________EEN18">'[1]elimination entries'!$B$163:$L$167</definedName>
    <definedName name="___________________EEN19">'[1]elimination entries'!$B$170:$L$171</definedName>
    <definedName name="___________________EEN2">'[1]elimination entries'!$B$25:$L$33</definedName>
    <definedName name="___________________EEN20">'[1]elimination entries'!$B$174:$L$175</definedName>
    <definedName name="___________________EEN21">'[1]elimination entries'!$B$178:$L$179</definedName>
    <definedName name="___________________een22">'[1]elimination entries'!$B$182:$L$189</definedName>
    <definedName name="___________________een23">'[1]elimination entries'!$B$192:$L$199</definedName>
    <definedName name="___________________EEN24">'[1]elimination entries'!$B$202:$L$209</definedName>
    <definedName name="___________________EEN25">'[1]elimination entries'!$B$212:$L$219</definedName>
    <definedName name="___________________EEN26">'[1]elimination entries'!$B$222:$L$229</definedName>
    <definedName name="___________________EEN27">'[1]elimination entries'!$B$232:$L$239</definedName>
    <definedName name="___________________EEN28">'[1]elimination entries'!$B$242:$L$249</definedName>
    <definedName name="___________________EEN29">'[1]elimination entries'!$B$252:$L$259</definedName>
    <definedName name="___________________EEN3">'[1]elimination entries'!$B$37:$L$38</definedName>
    <definedName name="___________________EEN30">'[1]elimination entries'!$B$262:$L$269</definedName>
    <definedName name="___________________EEN4">'[1]elimination entries'!$B$42:$L$43</definedName>
    <definedName name="___________________EEN5">'[1]elimination entries'!$B$47:$L$50</definedName>
    <definedName name="___________________EEN6">'[1]elimination entries'!$B$53:$L$55</definedName>
    <definedName name="___________________EEN7">'[1]elimination entries'!$B$59:$L$61</definedName>
    <definedName name="___________________EEN8">'[1]elimination entries'!$B$65:$L$74</definedName>
    <definedName name="___________________EEN9">'[1]elimination entries'!$B$78:$L$94</definedName>
    <definedName name="___________________REN1">'[1]elimination entries'!$B$277:$L$279</definedName>
    <definedName name="___________________REN2">'[1]elimination entries'!$B$282:$L$289</definedName>
    <definedName name="___________________REN3">'[1]elimination entries'!$B$292:$L$299</definedName>
    <definedName name="___________________REN4">'[1]elimination entries'!$B$302:$L$309</definedName>
    <definedName name="__________________EEN1">'[1]elimination entries'!$B$8:$L$22</definedName>
    <definedName name="__________________EEN10">'[1]elimination entries'!$B$98:$L$111</definedName>
    <definedName name="__________________een11">'[1]elimination entries'!$B$115:$L$116</definedName>
    <definedName name="__________________EEN12">'[1]elimination entries'!$B$120:$L$123</definedName>
    <definedName name="__________________EEN13">'[1]elimination entries'!$B$127:$L$128</definedName>
    <definedName name="__________________EEN14">'[1]elimination entries'!$B$132:$L$133</definedName>
    <definedName name="__________________een15">'[1]elimination entries'!$B$136:$L$139</definedName>
    <definedName name="__________________een16">'[1]elimination entries'!$B$142:$L$145</definedName>
    <definedName name="__________________EEN17">'[1]elimination entries'!$B$149:$L$160</definedName>
    <definedName name="__________________EEN18">'[1]elimination entries'!$B$163:$L$167</definedName>
    <definedName name="__________________EEN19">'[1]elimination entries'!$B$170:$L$171</definedName>
    <definedName name="__________________EEN2">'[1]elimination entries'!$B$25:$L$33</definedName>
    <definedName name="__________________EEN20">'[1]elimination entries'!$B$174:$L$175</definedName>
    <definedName name="__________________EEN21">'[1]elimination entries'!$B$178:$L$179</definedName>
    <definedName name="__________________een22">'[1]elimination entries'!$B$182:$L$189</definedName>
    <definedName name="__________________een23">'[1]elimination entries'!$B$192:$L$199</definedName>
    <definedName name="__________________EEN24">'[1]elimination entries'!$B$202:$L$209</definedName>
    <definedName name="__________________EEN25">'[1]elimination entries'!$B$212:$L$219</definedName>
    <definedName name="__________________EEN26">'[1]elimination entries'!$B$222:$L$229</definedName>
    <definedName name="__________________EEN27">'[1]elimination entries'!$B$232:$L$239</definedName>
    <definedName name="__________________EEN28">'[1]elimination entries'!$B$242:$L$249</definedName>
    <definedName name="__________________EEN29">'[1]elimination entries'!$B$252:$L$259</definedName>
    <definedName name="__________________EEN3">'[1]elimination entries'!$B$37:$L$38</definedName>
    <definedName name="__________________EEN30">'[1]elimination entries'!$B$262:$L$269</definedName>
    <definedName name="__________________EEN4">'[1]elimination entries'!$B$42:$L$43</definedName>
    <definedName name="__________________EEN5">'[1]elimination entries'!$B$47:$L$50</definedName>
    <definedName name="__________________EEN6">'[1]elimination entries'!$B$53:$L$55</definedName>
    <definedName name="__________________EEN7">'[1]elimination entries'!$B$59:$L$61</definedName>
    <definedName name="__________________EEN8">'[1]elimination entries'!$B$65:$L$74</definedName>
    <definedName name="__________________EEN9">'[1]elimination entries'!$B$78:$L$94</definedName>
    <definedName name="__________________REN1">'[1]elimination entries'!$B$277:$L$279</definedName>
    <definedName name="__________________REN2">'[1]elimination entries'!$B$282:$L$289</definedName>
    <definedName name="__________________REN3">'[1]elimination entries'!$B$292:$L$299</definedName>
    <definedName name="__________________REN4">'[1]elimination entries'!$B$302:$L$309</definedName>
    <definedName name="_________________EEN1">'[1]elimination entries'!$B$8:$L$22</definedName>
    <definedName name="_________________EEN10">'[1]elimination entries'!$B$98:$L$111</definedName>
    <definedName name="_________________een11">'[1]elimination entries'!$B$115:$L$116</definedName>
    <definedName name="_________________EEN12">'[1]elimination entries'!$B$120:$L$123</definedName>
    <definedName name="_________________EEN13">'[1]elimination entries'!$B$127:$L$128</definedName>
    <definedName name="_________________EEN14">'[1]elimination entries'!$B$132:$L$133</definedName>
    <definedName name="_________________een15">'[1]elimination entries'!$B$136:$L$139</definedName>
    <definedName name="_________________een16">'[1]elimination entries'!$B$142:$L$145</definedName>
    <definedName name="_________________EEN17">'[1]elimination entries'!$B$149:$L$160</definedName>
    <definedName name="_________________EEN18">'[1]elimination entries'!$B$163:$L$167</definedName>
    <definedName name="_________________EEN19">'[1]elimination entries'!$B$170:$L$171</definedName>
    <definedName name="_________________EEN2">'[1]elimination entries'!$B$25:$L$33</definedName>
    <definedName name="_________________EEN20">'[1]elimination entries'!$B$174:$L$175</definedName>
    <definedName name="_________________EEN21">'[1]elimination entries'!$B$178:$L$179</definedName>
    <definedName name="_________________een22">'[1]elimination entries'!$B$182:$L$189</definedName>
    <definedName name="_________________een23">'[1]elimination entries'!$B$192:$L$199</definedName>
    <definedName name="_________________EEN24">'[1]elimination entries'!$B$202:$L$209</definedName>
    <definedName name="_________________EEN25">'[1]elimination entries'!$B$212:$L$219</definedName>
    <definedName name="_________________EEN26">'[1]elimination entries'!$B$222:$L$229</definedName>
    <definedName name="_________________EEN27">'[1]elimination entries'!$B$232:$L$239</definedName>
    <definedName name="_________________EEN28">'[1]elimination entries'!$B$242:$L$249</definedName>
    <definedName name="_________________EEN29">'[1]elimination entries'!$B$252:$L$259</definedName>
    <definedName name="_________________EEN3">'[1]elimination entries'!$B$37:$L$38</definedName>
    <definedName name="_________________EEN30">'[1]elimination entries'!$B$262:$L$269</definedName>
    <definedName name="_________________EEN4">'[1]elimination entries'!$B$42:$L$43</definedName>
    <definedName name="_________________EEN5">'[1]elimination entries'!$B$47:$L$50</definedName>
    <definedName name="_________________EEN6">'[1]elimination entries'!$B$53:$L$55</definedName>
    <definedName name="_________________EEN7">'[1]elimination entries'!$B$59:$L$61</definedName>
    <definedName name="_________________EEN8">'[1]elimination entries'!$B$65:$L$74</definedName>
    <definedName name="_________________EEN9">'[1]elimination entries'!$B$78:$L$94</definedName>
    <definedName name="_________________REN1">'[1]elimination entries'!$B$277:$L$279</definedName>
    <definedName name="_________________REN2">'[1]elimination entries'!$B$282:$L$289</definedName>
    <definedName name="_________________REN3">'[1]elimination entries'!$B$292:$L$299</definedName>
    <definedName name="_________________REN4">'[1]elimination entries'!$B$302:$L$309</definedName>
    <definedName name="________________EEN1">'[1]elimination entries'!$B$8:$L$22</definedName>
    <definedName name="________________EEN10">'[1]elimination entries'!$B$98:$L$111</definedName>
    <definedName name="________________een11">'[1]elimination entries'!$B$115:$L$116</definedName>
    <definedName name="________________EEN12">'[1]elimination entries'!$B$120:$L$123</definedName>
    <definedName name="________________EEN13">'[1]elimination entries'!$B$127:$L$128</definedName>
    <definedName name="________________EEN14">'[1]elimination entries'!$B$132:$L$133</definedName>
    <definedName name="________________een15">'[1]elimination entries'!$B$136:$L$139</definedName>
    <definedName name="________________een16">'[1]elimination entries'!$B$142:$L$145</definedName>
    <definedName name="________________EEN17">'[1]elimination entries'!$B$149:$L$160</definedName>
    <definedName name="________________EEN18">'[1]elimination entries'!$B$163:$L$167</definedName>
    <definedName name="________________EEN19">'[1]elimination entries'!$B$170:$L$171</definedName>
    <definedName name="________________EEN2">'[1]elimination entries'!$B$25:$L$33</definedName>
    <definedName name="________________EEN20">'[1]elimination entries'!$B$174:$L$175</definedName>
    <definedName name="________________EEN21">'[1]elimination entries'!$B$178:$L$179</definedName>
    <definedName name="________________een22">'[1]elimination entries'!$B$182:$L$189</definedName>
    <definedName name="________________een23">'[1]elimination entries'!$B$192:$L$199</definedName>
    <definedName name="________________EEN24">'[1]elimination entries'!$B$202:$L$209</definedName>
    <definedName name="________________EEN25">'[1]elimination entries'!$B$212:$L$219</definedName>
    <definedName name="________________EEN26">'[1]elimination entries'!$B$222:$L$229</definedName>
    <definedName name="________________EEN27">'[1]elimination entries'!$B$232:$L$239</definedName>
    <definedName name="________________EEN28">'[1]elimination entries'!$B$242:$L$249</definedName>
    <definedName name="________________EEN29">'[1]elimination entries'!$B$252:$L$259</definedName>
    <definedName name="________________EEN3">'[1]elimination entries'!$B$37:$L$38</definedName>
    <definedName name="________________EEN30">'[1]elimination entries'!$B$262:$L$269</definedName>
    <definedName name="________________EEN4">'[1]elimination entries'!$B$42:$L$43</definedName>
    <definedName name="________________EEN5">'[1]elimination entries'!$B$47:$L$50</definedName>
    <definedName name="________________EEN6">'[1]elimination entries'!$B$53:$L$55</definedName>
    <definedName name="________________EEN7">'[1]elimination entries'!$B$59:$L$61</definedName>
    <definedName name="________________EEN8">'[1]elimination entries'!$B$65:$L$74</definedName>
    <definedName name="________________EEN9">'[1]elimination entries'!$B$78:$L$94</definedName>
    <definedName name="________________REN1">'[1]elimination entries'!$B$277:$L$279</definedName>
    <definedName name="________________REN2">'[1]elimination entries'!$B$282:$L$289</definedName>
    <definedName name="________________REN3">'[1]elimination entries'!$B$292:$L$299</definedName>
    <definedName name="________________REN4">'[1]elimination entries'!$B$302:$L$309</definedName>
    <definedName name="_______________EEN1">'[1]elimination entries'!$B$8:$L$22</definedName>
    <definedName name="_______________EEN10">'[1]elimination entries'!$B$98:$L$111</definedName>
    <definedName name="_______________een11">'[1]elimination entries'!$B$115:$L$116</definedName>
    <definedName name="_______________EEN12">'[1]elimination entries'!$B$120:$L$123</definedName>
    <definedName name="_______________EEN13">'[1]elimination entries'!$B$127:$L$128</definedName>
    <definedName name="_______________EEN14">'[1]elimination entries'!$B$132:$L$133</definedName>
    <definedName name="_______________een15">'[1]elimination entries'!$B$136:$L$139</definedName>
    <definedName name="_______________een16">'[1]elimination entries'!$B$142:$L$145</definedName>
    <definedName name="_______________EEN17">'[1]elimination entries'!$B$149:$L$160</definedName>
    <definedName name="_______________EEN18">'[1]elimination entries'!$B$163:$L$167</definedName>
    <definedName name="_______________EEN19">'[1]elimination entries'!$B$170:$L$171</definedName>
    <definedName name="_______________EEN2">'[1]elimination entries'!$B$25:$L$33</definedName>
    <definedName name="_______________EEN20">'[1]elimination entries'!$B$174:$L$175</definedName>
    <definedName name="_______________EEN21">'[1]elimination entries'!$B$178:$L$179</definedName>
    <definedName name="_______________een22">'[1]elimination entries'!$B$182:$L$189</definedName>
    <definedName name="_______________een23">'[1]elimination entries'!$B$192:$L$199</definedName>
    <definedName name="_______________EEN24">'[1]elimination entries'!$B$202:$L$209</definedName>
    <definedName name="_______________EEN25">'[1]elimination entries'!$B$212:$L$219</definedName>
    <definedName name="_______________EEN26">'[1]elimination entries'!$B$222:$L$229</definedName>
    <definedName name="_______________EEN27">'[1]elimination entries'!$B$232:$L$239</definedName>
    <definedName name="_______________EEN28">'[1]elimination entries'!$B$242:$L$249</definedName>
    <definedName name="_______________EEN29">'[1]elimination entries'!$B$252:$L$259</definedName>
    <definedName name="_______________EEN3">'[1]elimination entries'!$B$37:$L$38</definedName>
    <definedName name="_______________EEN30">'[1]elimination entries'!$B$262:$L$269</definedName>
    <definedName name="_______________EEN4">'[1]elimination entries'!$B$42:$L$43</definedName>
    <definedName name="_______________EEN5">'[1]elimination entries'!$B$47:$L$50</definedName>
    <definedName name="_______________EEN6">'[1]elimination entries'!$B$53:$L$55</definedName>
    <definedName name="_______________EEN7">'[1]elimination entries'!$B$59:$L$61</definedName>
    <definedName name="_______________EEN8">'[1]elimination entries'!$B$65:$L$74</definedName>
    <definedName name="_______________EEN9">'[1]elimination entries'!$B$78:$L$94</definedName>
    <definedName name="_______________REN1">'[1]elimination entries'!$B$277:$L$279</definedName>
    <definedName name="_______________REN2">'[1]elimination entries'!$B$282:$L$289</definedName>
    <definedName name="_______________REN3">'[1]elimination entries'!$B$292:$L$299</definedName>
    <definedName name="_______________REN4">'[1]elimination entries'!$B$302:$L$309</definedName>
    <definedName name="______________EEN1">'[1]elimination entries'!$B$8:$L$22</definedName>
    <definedName name="______________EEN10">'[1]elimination entries'!$B$98:$L$111</definedName>
    <definedName name="______________een11">'[1]elimination entries'!$B$115:$L$116</definedName>
    <definedName name="______________EEN12">'[1]elimination entries'!$B$120:$L$123</definedName>
    <definedName name="______________EEN13">'[1]elimination entries'!$B$127:$L$128</definedName>
    <definedName name="______________EEN14">'[1]elimination entries'!$B$132:$L$133</definedName>
    <definedName name="______________een15">'[1]elimination entries'!$B$136:$L$139</definedName>
    <definedName name="______________een16">'[1]elimination entries'!$B$142:$L$145</definedName>
    <definedName name="______________EEN17">'[1]elimination entries'!$B$149:$L$160</definedName>
    <definedName name="______________EEN18">'[1]elimination entries'!$B$163:$L$167</definedName>
    <definedName name="______________EEN19">'[1]elimination entries'!$B$170:$L$171</definedName>
    <definedName name="______________EEN2">'[1]elimination entries'!$B$25:$L$33</definedName>
    <definedName name="______________EEN20">'[1]elimination entries'!$B$174:$L$175</definedName>
    <definedName name="______________EEN21">'[1]elimination entries'!$B$178:$L$179</definedName>
    <definedName name="______________een22">'[1]elimination entries'!$B$182:$L$189</definedName>
    <definedName name="______________een23">'[1]elimination entries'!$B$192:$L$199</definedName>
    <definedName name="______________EEN24">'[1]elimination entries'!$B$202:$L$209</definedName>
    <definedName name="______________EEN25">'[1]elimination entries'!$B$212:$L$219</definedName>
    <definedName name="______________EEN26">'[1]elimination entries'!$B$222:$L$229</definedName>
    <definedName name="______________EEN27">'[1]elimination entries'!$B$232:$L$239</definedName>
    <definedName name="______________EEN28">'[1]elimination entries'!$B$242:$L$249</definedName>
    <definedName name="______________EEN29">'[1]elimination entries'!$B$252:$L$259</definedName>
    <definedName name="______________EEN3">'[1]elimination entries'!$B$37:$L$38</definedName>
    <definedName name="______________EEN30">'[1]elimination entries'!$B$262:$L$269</definedName>
    <definedName name="______________EEN4">'[1]elimination entries'!$B$42:$L$43</definedName>
    <definedName name="______________EEN5">'[1]elimination entries'!$B$47:$L$50</definedName>
    <definedName name="______________EEN6">'[1]elimination entries'!$B$53:$L$55</definedName>
    <definedName name="______________EEN7">'[1]elimination entries'!$B$59:$L$61</definedName>
    <definedName name="______________EEN8">'[1]elimination entries'!$B$65:$L$74</definedName>
    <definedName name="______________EEN9">'[1]elimination entries'!$B$78:$L$94</definedName>
    <definedName name="______________REN1">'[1]elimination entries'!$B$277:$L$279</definedName>
    <definedName name="______________REN2">'[1]elimination entries'!$B$282:$L$289</definedName>
    <definedName name="______________REN3">'[1]elimination entries'!$B$292:$L$299</definedName>
    <definedName name="______________REN4">'[1]elimination entries'!$B$302:$L$309</definedName>
    <definedName name="_____________EEN1">'[1]elimination entries'!$B$8:$L$22</definedName>
    <definedName name="_____________EEN10">'[1]elimination entries'!$B$98:$L$111</definedName>
    <definedName name="_____________een11">'[1]elimination entries'!$B$115:$L$116</definedName>
    <definedName name="_____________EEN12">'[1]elimination entries'!$B$120:$L$123</definedName>
    <definedName name="_____________EEN13">'[1]elimination entries'!$B$127:$L$128</definedName>
    <definedName name="_____________EEN14">'[1]elimination entries'!$B$132:$L$133</definedName>
    <definedName name="_____________een15">'[1]elimination entries'!$B$136:$L$139</definedName>
    <definedName name="_____________een16">'[1]elimination entries'!$B$142:$L$145</definedName>
    <definedName name="_____________EEN17">'[1]elimination entries'!$B$149:$L$160</definedName>
    <definedName name="_____________EEN18">'[1]elimination entries'!$B$163:$L$167</definedName>
    <definedName name="_____________EEN19">'[1]elimination entries'!$B$170:$L$171</definedName>
    <definedName name="_____________EEN2">'[1]elimination entries'!$B$25:$L$33</definedName>
    <definedName name="_____________EEN20">'[1]elimination entries'!$B$174:$L$175</definedName>
    <definedName name="_____________EEN21">'[1]elimination entries'!$B$178:$L$179</definedName>
    <definedName name="_____________een22">'[1]elimination entries'!$B$182:$L$189</definedName>
    <definedName name="_____________een23">'[1]elimination entries'!$B$192:$L$199</definedName>
    <definedName name="_____________EEN24">'[1]elimination entries'!$B$202:$L$209</definedName>
    <definedName name="_____________EEN25">'[1]elimination entries'!$B$212:$L$219</definedName>
    <definedName name="_____________EEN26">'[1]elimination entries'!$B$222:$L$229</definedName>
    <definedName name="_____________EEN27">'[1]elimination entries'!$B$232:$L$239</definedName>
    <definedName name="_____________EEN28">'[1]elimination entries'!$B$242:$L$249</definedName>
    <definedName name="_____________EEN29">'[1]elimination entries'!$B$252:$L$259</definedName>
    <definedName name="_____________EEN3">'[1]elimination entries'!$B$37:$L$38</definedName>
    <definedName name="_____________EEN30">'[1]elimination entries'!$B$262:$L$269</definedName>
    <definedName name="_____________EEN4">'[1]elimination entries'!$B$42:$L$43</definedName>
    <definedName name="_____________EEN5">'[1]elimination entries'!$B$47:$L$50</definedName>
    <definedName name="_____________EEN6">'[1]elimination entries'!$B$53:$L$55</definedName>
    <definedName name="_____________EEN7">'[1]elimination entries'!$B$59:$L$61</definedName>
    <definedName name="_____________EEN8">'[1]elimination entries'!$B$65:$L$74</definedName>
    <definedName name="_____________EEN9">'[1]elimination entries'!$B$78:$L$94</definedName>
    <definedName name="_____________REN1">'[1]elimination entries'!$B$277:$L$279</definedName>
    <definedName name="_____________REN2">'[1]elimination entries'!$B$282:$L$289</definedName>
    <definedName name="_____________REN3">'[1]elimination entries'!$B$292:$L$299</definedName>
    <definedName name="_____________REN4">'[1]elimination entries'!$B$302:$L$309</definedName>
    <definedName name="____________EEN1">'[1]elimination entries'!$B$8:$L$22</definedName>
    <definedName name="____________EEN10">'[1]elimination entries'!$B$98:$L$111</definedName>
    <definedName name="____________een11">'[1]elimination entries'!$B$115:$L$116</definedName>
    <definedName name="____________EEN12">'[1]elimination entries'!$B$120:$L$123</definedName>
    <definedName name="____________EEN13">'[1]elimination entries'!$B$127:$L$128</definedName>
    <definedName name="____________EEN14">'[1]elimination entries'!$B$132:$L$133</definedName>
    <definedName name="____________een15">'[1]elimination entries'!$B$136:$L$139</definedName>
    <definedName name="____________een16">'[1]elimination entries'!$B$142:$L$145</definedName>
    <definedName name="____________EEN17">'[1]elimination entries'!$B$149:$L$160</definedName>
    <definedName name="____________EEN18">'[1]elimination entries'!$B$163:$L$167</definedName>
    <definedName name="____________EEN19">'[1]elimination entries'!$B$170:$L$171</definedName>
    <definedName name="____________EEN2">'[1]elimination entries'!$B$25:$L$33</definedName>
    <definedName name="____________EEN20">'[1]elimination entries'!$B$174:$L$175</definedName>
    <definedName name="____________EEN21">'[1]elimination entries'!$B$178:$L$179</definedName>
    <definedName name="____________een22">'[1]elimination entries'!$B$182:$L$189</definedName>
    <definedName name="____________een23">'[1]elimination entries'!$B$192:$L$199</definedName>
    <definedName name="____________EEN24">'[1]elimination entries'!$B$202:$L$209</definedName>
    <definedName name="____________EEN25">'[1]elimination entries'!$B$212:$L$219</definedName>
    <definedName name="____________EEN26">'[1]elimination entries'!$B$222:$L$229</definedName>
    <definedName name="____________EEN27">'[1]elimination entries'!$B$232:$L$239</definedName>
    <definedName name="____________EEN28">'[1]elimination entries'!$B$242:$L$249</definedName>
    <definedName name="____________EEN29">'[1]elimination entries'!$B$252:$L$259</definedName>
    <definedName name="____________EEN3">'[1]elimination entries'!$B$37:$L$38</definedName>
    <definedName name="____________EEN30">'[1]elimination entries'!$B$262:$L$269</definedName>
    <definedName name="____________EEN4">'[1]elimination entries'!$B$42:$L$43</definedName>
    <definedName name="____________EEN5">'[1]elimination entries'!$B$47:$L$50</definedName>
    <definedName name="____________EEN6">'[1]elimination entries'!$B$53:$L$55</definedName>
    <definedName name="____________EEN7">'[1]elimination entries'!$B$59:$L$61</definedName>
    <definedName name="____________EEN8">'[1]elimination entries'!$B$65:$L$74</definedName>
    <definedName name="____________EEN9">'[1]elimination entries'!$B$78:$L$94</definedName>
    <definedName name="____________REN1">'[1]elimination entries'!$B$277:$L$279</definedName>
    <definedName name="____________REN2">'[1]elimination entries'!$B$282:$L$289</definedName>
    <definedName name="____________REN3">'[1]elimination entries'!$B$292:$L$299</definedName>
    <definedName name="____________REN4">'[1]elimination entries'!$B$302:$L$309</definedName>
    <definedName name="___________EEN1">'[1]elimination entries'!$B$8:$L$22</definedName>
    <definedName name="___________EEN10">'[1]elimination entries'!$B$98:$L$111</definedName>
    <definedName name="___________een11">'[5]elimination entries'!$B$115:$L$116</definedName>
    <definedName name="___________EEN12">'[5]elimination entries'!$B$120:$L$123</definedName>
    <definedName name="___________EEN13">'[5]elimination entries'!$B$127:$L$128</definedName>
    <definedName name="___________EEN14">'[5]elimination entries'!$B$132:$L$133</definedName>
    <definedName name="___________een15">'[5]elimination entries'!$B$136:$L$139</definedName>
    <definedName name="___________een16">'[5]elimination entries'!$B$142:$L$145</definedName>
    <definedName name="___________EEN17">'[5]elimination entries'!$B$149:$L$160</definedName>
    <definedName name="___________EEN18">'[5]elimination entries'!$B$163:$L$167</definedName>
    <definedName name="___________EEN19">'[5]elimination entries'!$B$170:$L$171</definedName>
    <definedName name="___________EEN2">'[5]elimination entries'!$B$25:$L$33</definedName>
    <definedName name="___________EEN20">'[5]elimination entries'!$B$174:$L$175</definedName>
    <definedName name="___________EEN21">'[5]elimination entries'!$B$178:$L$179</definedName>
    <definedName name="___________een22">'[5]elimination entries'!$B$182:$L$189</definedName>
    <definedName name="___________een23">'[5]elimination entries'!$B$192:$L$199</definedName>
    <definedName name="___________EEN24">'[5]elimination entries'!$B$202:$L$209</definedName>
    <definedName name="___________EEN25">'[5]elimination entries'!$B$212:$L$219</definedName>
    <definedName name="___________EEN26">'[5]elimination entries'!$B$222:$L$229</definedName>
    <definedName name="___________EEN27">'[5]elimination entries'!$B$232:$L$239</definedName>
    <definedName name="___________EEN28">'[5]elimination entries'!$B$242:$L$249</definedName>
    <definedName name="___________EEN29">'[5]elimination entries'!$B$252:$L$259</definedName>
    <definedName name="___________EEN3">'[5]elimination entries'!$B$37:$L$38</definedName>
    <definedName name="___________EEN30">'[5]elimination entries'!$B$262:$L$269</definedName>
    <definedName name="___________EEN4">'[5]elimination entries'!$B$42:$L$43</definedName>
    <definedName name="___________EEN5">'[5]elimination entries'!$B$47:$L$50</definedName>
    <definedName name="___________EEN6">'[5]elimination entries'!$B$53:$L$55</definedName>
    <definedName name="___________EEN7">'[5]elimination entries'!$B$59:$L$61</definedName>
    <definedName name="___________EEN8">'[5]elimination entries'!$B$65:$L$74</definedName>
    <definedName name="___________EEN9">'[5]elimination entries'!$B$78:$L$94</definedName>
    <definedName name="___________REN1">'[5]elimination entries'!$B$277:$L$279</definedName>
    <definedName name="___________REN2">'[5]elimination entries'!$B$282:$L$289</definedName>
    <definedName name="___________REN3">'[5]elimination entries'!$B$292:$L$299</definedName>
    <definedName name="___________REN4">'[5]elimination entries'!$B$302:$L$309</definedName>
    <definedName name="__________EEN1">'[1]elimination entries'!$B$8:$L$22</definedName>
    <definedName name="__________EEN10">'[1]elimination entries'!$B$98:$L$111</definedName>
    <definedName name="__________een11">'[1]elimination entries'!$B$115:$L$116</definedName>
    <definedName name="__________EEN12">'[1]elimination entries'!$B$120:$L$123</definedName>
    <definedName name="__________EEN13">'[1]elimination entries'!$B$127:$L$128</definedName>
    <definedName name="__________EEN14">'[1]elimination entries'!$B$132:$L$133</definedName>
    <definedName name="__________een15">'[1]elimination entries'!$B$136:$L$139</definedName>
    <definedName name="__________een16">'[1]elimination entries'!$B$142:$L$145</definedName>
    <definedName name="__________EEN17">'[1]elimination entries'!$B$149:$L$160</definedName>
    <definedName name="__________EEN18">'[1]elimination entries'!$B$163:$L$167</definedName>
    <definedName name="__________EEN19">'[1]elimination entries'!$B$170:$L$171</definedName>
    <definedName name="__________EEN2">'[1]elimination entries'!$B$25:$L$33</definedName>
    <definedName name="__________EEN20">'[1]elimination entries'!$B$174:$L$175</definedName>
    <definedName name="__________EEN21">'[1]elimination entries'!$B$178:$L$179</definedName>
    <definedName name="__________een22">'[1]elimination entries'!$B$182:$L$189</definedName>
    <definedName name="__________een23">'[1]elimination entries'!$B$192:$L$199</definedName>
    <definedName name="__________EEN24">'[1]elimination entries'!$B$202:$L$209</definedName>
    <definedName name="__________EEN25">'[1]elimination entries'!$B$212:$L$219</definedName>
    <definedName name="__________EEN26">'[1]elimination entries'!$B$222:$L$229</definedName>
    <definedName name="__________EEN27">'[1]elimination entries'!$B$232:$L$239</definedName>
    <definedName name="__________EEN28">'[1]elimination entries'!$B$242:$L$249</definedName>
    <definedName name="__________EEN29">'[1]elimination entries'!$B$252:$L$259</definedName>
    <definedName name="__________EEN3">'[1]elimination entries'!$B$37:$L$38</definedName>
    <definedName name="__________EEN30">'[1]elimination entries'!$B$262:$L$269</definedName>
    <definedName name="__________EEN4">'[1]elimination entries'!$B$42:$L$43</definedName>
    <definedName name="__________EEN5">'[1]elimination entries'!$B$47:$L$50</definedName>
    <definedName name="__________EEN6">'[1]elimination entries'!$B$53:$L$55</definedName>
    <definedName name="__________EEN7">'[1]elimination entries'!$B$59:$L$61</definedName>
    <definedName name="__________EEN8">'[1]elimination entries'!$B$65:$L$74</definedName>
    <definedName name="__________EEN9">'[1]elimination entries'!$B$78:$L$94</definedName>
    <definedName name="__________REN1">'[1]elimination entries'!$B$277:$L$279</definedName>
    <definedName name="__________REN2">'[1]elimination entries'!$B$282:$L$289</definedName>
    <definedName name="__________REN3">'[1]elimination entries'!$B$292:$L$299</definedName>
    <definedName name="__________REN4">'[1]elimination entries'!$B$302:$L$309</definedName>
    <definedName name="_________EEN1">'[1]elimination entries'!$B$8:$L$22</definedName>
    <definedName name="_________EEN10">'[1]elimination entries'!$B$98:$L$111</definedName>
    <definedName name="_________een11">'[1]elimination entries'!$B$115:$L$116</definedName>
    <definedName name="_________EEN12">'[1]elimination entries'!$B$120:$L$123</definedName>
    <definedName name="_________EEN13">'[1]elimination entries'!$B$127:$L$128</definedName>
    <definedName name="_________EEN14">'[1]elimination entries'!$B$132:$L$133</definedName>
    <definedName name="_________een15">'[1]elimination entries'!$B$136:$L$139</definedName>
    <definedName name="_________een16">'[1]elimination entries'!$B$142:$L$145</definedName>
    <definedName name="_________EEN17">'[1]elimination entries'!$B$149:$L$160</definedName>
    <definedName name="_________EEN18">'[1]elimination entries'!$B$163:$L$167</definedName>
    <definedName name="_________EEN19">'[1]elimination entries'!$B$170:$L$171</definedName>
    <definedName name="_________EEN2">'[1]elimination entries'!$B$25:$L$33</definedName>
    <definedName name="_________EEN20">'[1]elimination entries'!$B$174:$L$175</definedName>
    <definedName name="_________EEN21">'[1]elimination entries'!$B$178:$L$179</definedName>
    <definedName name="_________een22">'[1]elimination entries'!$B$182:$L$189</definedName>
    <definedName name="_________een23">'[1]elimination entries'!$B$192:$L$199</definedName>
    <definedName name="_________EEN24">'[1]elimination entries'!$B$202:$L$209</definedName>
    <definedName name="_________EEN25">'[1]elimination entries'!$B$212:$L$219</definedName>
    <definedName name="_________EEN26">'[1]elimination entries'!$B$222:$L$229</definedName>
    <definedName name="_________EEN27">'[1]elimination entries'!$B$232:$L$239</definedName>
    <definedName name="_________EEN28">'[1]elimination entries'!$B$242:$L$249</definedName>
    <definedName name="_________EEN29">'[1]elimination entries'!$B$252:$L$259</definedName>
    <definedName name="_________EEN3">'[1]elimination entries'!$B$37:$L$38</definedName>
    <definedName name="_________EEN30">'[1]elimination entries'!$B$262:$L$269</definedName>
    <definedName name="_________EEN4">'[1]elimination entries'!$B$42:$L$43</definedName>
    <definedName name="_________EEN5">'[1]elimination entries'!$B$47:$L$50</definedName>
    <definedName name="_________EEN6">'[1]elimination entries'!$B$53:$L$55</definedName>
    <definedName name="_________EEN7">'[1]elimination entries'!$B$59:$L$61</definedName>
    <definedName name="_________EEN8">'[1]elimination entries'!$B$65:$L$74</definedName>
    <definedName name="_________EEN9">'[1]elimination entries'!$B$78:$L$94</definedName>
    <definedName name="_________REN1">'[1]elimination entries'!$B$277:$L$279</definedName>
    <definedName name="_________REN2">'[1]elimination entries'!$B$282:$L$289</definedName>
    <definedName name="_________REN3">'[1]elimination entries'!$B$292:$L$299</definedName>
    <definedName name="_________REN4">'[1]elimination entries'!$B$302:$L$309</definedName>
    <definedName name="________EEN1">'[1]elimination entries'!$B$8:$L$22</definedName>
    <definedName name="________EEN10">'[6]elimination entries'!$B$98:$L$111</definedName>
    <definedName name="________een11">'[6]elimination entries'!$B$115:$L$116</definedName>
    <definedName name="________EEN12">'[6]elimination entries'!$B$120:$L$123</definedName>
    <definedName name="________EEN13">'[6]elimination entries'!$B$127:$L$128</definedName>
    <definedName name="________EEN14">'[6]elimination entries'!$B$132:$L$133</definedName>
    <definedName name="________een15">'[6]elimination entries'!$B$136:$L$139</definedName>
    <definedName name="________een16">'[6]elimination entries'!$B$142:$L$145</definedName>
    <definedName name="________EEN17">'[6]elimination entries'!$B$149:$L$160</definedName>
    <definedName name="________EEN18">'[6]elimination entries'!$B$163:$L$167</definedName>
    <definedName name="________EEN19">'[6]elimination entries'!$B$170:$L$171</definedName>
    <definedName name="________EEN2">'[6]elimination entries'!$B$25:$L$33</definedName>
    <definedName name="________EEN20">'[6]elimination entries'!$B$174:$L$175</definedName>
    <definedName name="________EEN21">'[6]elimination entries'!$B$178:$L$179</definedName>
    <definedName name="________een22">'[6]elimination entries'!$B$182:$L$189</definedName>
    <definedName name="________een23">'[6]elimination entries'!$B$192:$L$199</definedName>
    <definedName name="________EEN24">'[6]elimination entries'!$B$202:$L$209</definedName>
    <definedName name="________EEN25">'[6]elimination entries'!$B$212:$L$219</definedName>
    <definedName name="________EEN26">'[6]elimination entries'!$B$222:$L$229</definedName>
    <definedName name="________EEN27">'[6]elimination entries'!$B$232:$L$239</definedName>
    <definedName name="________EEN28">'[6]elimination entries'!$B$242:$L$249</definedName>
    <definedName name="________EEN29">'[6]elimination entries'!$B$252:$L$259</definedName>
    <definedName name="________EEN3">'[6]elimination entries'!$B$37:$L$38</definedName>
    <definedName name="________EEN30">'[6]elimination entries'!$B$262:$L$269</definedName>
    <definedName name="________EEN4">'[6]elimination entries'!$B$42:$L$43</definedName>
    <definedName name="________EEN5">'[6]elimination entries'!$B$47:$L$50</definedName>
    <definedName name="________EEN6">'[6]elimination entries'!$B$53:$L$55</definedName>
    <definedName name="________EEN7">'[6]elimination entries'!$B$59:$L$61</definedName>
    <definedName name="________EEN8">'[6]elimination entries'!$B$65:$L$74</definedName>
    <definedName name="________EEN9">'[6]elimination entries'!$B$78:$L$94</definedName>
    <definedName name="________REN1">'[6]elimination entries'!$B$277:$L$279</definedName>
    <definedName name="________REN2">'[6]elimination entries'!$B$282:$L$289</definedName>
    <definedName name="________REN3">'[6]elimination entries'!$B$292:$L$299</definedName>
    <definedName name="________REN4">'[6]elimination entries'!$B$302:$L$309</definedName>
    <definedName name="_______EEN1">'[1]elimination entries'!$B$8:$L$22</definedName>
    <definedName name="_______EEN10">'[1]elimination entries'!$B$98:$L$111</definedName>
    <definedName name="_______een11">'[1]elimination entries'!$B$115:$L$116</definedName>
    <definedName name="_______EEN12">'[1]elimination entries'!$B$120:$L$123</definedName>
    <definedName name="_______EEN13">'[1]elimination entries'!$B$127:$L$128</definedName>
    <definedName name="_______EEN14">'[1]elimination entries'!$B$132:$L$133</definedName>
    <definedName name="_______een15">'[1]elimination entries'!$B$136:$L$139</definedName>
    <definedName name="_______een16">'[1]elimination entries'!$B$142:$L$145</definedName>
    <definedName name="_______EEN17">'[1]elimination entries'!$B$149:$L$160</definedName>
    <definedName name="_______EEN18">'[1]elimination entries'!$B$163:$L$167</definedName>
    <definedName name="_______EEN19">'[1]elimination entries'!$B$170:$L$171</definedName>
    <definedName name="_______EEN2">'[1]elimination entries'!$B$25:$L$33</definedName>
    <definedName name="_______EEN20">'[1]elimination entries'!$B$174:$L$175</definedName>
    <definedName name="_______EEN21">'[1]elimination entries'!$B$178:$L$179</definedName>
    <definedName name="_______een22">'[1]elimination entries'!$B$182:$L$189</definedName>
    <definedName name="_______een23">'[1]elimination entries'!$B$192:$L$199</definedName>
    <definedName name="_______EEN24">'[1]elimination entries'!$B$202:$L$209</definedName>
    <definedName name="_______EEN25">'[1]elimination entries'!$B$212:$L$219</definedName>
    <definedName name="_______EEN26">'[1]elimination entries'!$B$222:$L$229</definedName>
    <definedName name="_______EEN27">'[1]elimination entries'!$B$232:$L$239</definedName>
    <definedName name="_______EEN28">'[1]elimination entries'!$B$242:$L$249</definedName>
    <definedName name="_______EEN29">'[1]elimination entries'!$B$252:$L$259</definedName>
    <definedName name="_______EEN3">'[1]elimination entries'!$B$37:$L$38</definedName>
    <definedName name="_______EEN30">'[1]elimination entries'!$B$262:$L$269</definedName>
    <definedName name="_______EEN4">'[1]elimination entries'!$B$42:$L$43</definedName>
    <definedName name="_______EEN5">'[1]elimination entries'!$B$47:$L$50</definedName>
    <definedName name="_______EEN6">'[1]elimination entries'!$B$53:$L$55</definedName>
    <definedName name="_______EEN7">'[1]elimination entries'!$B$59:$L$61</definedName>
    <definedName name="_______EEN8">'[1]elimination entries'!$B$65:$L$74</definedName>
    <definedName name="_______EEN9">'[1]elimination entries'!$B$78:$L$94</definedName>
    <definedName name="_______REN1">'[1]elimination entries'!$B$277:$L$279</definedName>
    <definedName name="_______REN2">'[1]elimination entries'!$B$282:$L$289</definedName>
    <definedName name="_______REN3">'[1]elimination entries'!$B$292:$L$299</definedName>
    <definedName name="_______REN4">'[1]elimination entries'!$B$302:$L$309</definedName>
    <definedName name="______EEN1">'[1]elimination entries'!$B$8:$L$22</definedName>
    <definedName name="______EEN10">'[1]elimination entries'!$B$98:$L$111</definedName>
    <definedName name="______een11">'[1]elimination entries'!$B$115:$L$116</definedName>
    <definedName name="______EEN12">'[1]elimination entries'!$B$120:$L$123</definedName>
    <definedName name="______EEN13">'[1]elimination entries'!$B$127:$L$128</definedName>
    <definedName name="______EEN14">'[1]elimination entries'!$B$132:$L$133</definedName>
    <definedName name="______een15">'[1]elimination entries'!$B$136:$L$139</definedName>
    <definedName name="______een16">'[1]elimination entries'!$B$142:$L$145</definedName>
    <definedName name="______EEN17">'[1]elimination entries'!$B$149:$L$160</definedName>
    <definedName name="______EEN18">'[1]elimination entries'!$B$163:$L$167</definedName>
    <definedName name="______EEN19">'[1]elimination entries'!$B$170:$L$171</definedName>
    <definedName name="______EEN2">'[1]elimination entries'!$B$25:$L$33</definedName>
    <definedName name="______EEN20">'[1]elimination entries'!$B$174:$L$175</definedName>
    <definedName name="______EEN21">'[1]elimination entries'!$B$178:$L$179</definedName>
    <definedName name="______een22">'[1]elimination entries'!$B$182:$L$189</definedName>
    <definedName name="______een23">'[1]elimination entries'!$B$192:$L$199</definedName>
    <definedName name="______EEN24">'[1]elimination entries'!$B$202:$L$209</definedName>
    <definedName name="______EEN25">'[1]elimination entries'!$B$212:$L$219</definedName>
    <definedName name="______EEN26">'[1]elimination entries'!$B$222:$L$229</definedName>
    <definedName name="______EEN27">'[1]elimination entries'!$B$232:$L$239</definedName>
    <definedName name="______EEN28">'[1]elimination entries'!$B$242:$L$249</definedName>
    <definedName name="______EEN29">'[1]elimination entries'!$B$252:$L$259</definedName>
    <definedName name="______EEN3">'[1]elimination entries'!$B$37:$L$38</definedName>
    <definedName name="______EEN30">'[1]elimination entries'!$B$262:$L$269</definedName>
    <definedName name="______EEN4">'[1]elimination entries'!$B$42:$L$43</definedName>
    <definedName name="______EEN5">'[1]elimination entries'!$B$47:$L$50</definedName>
    <definedName name="______EEN6">'[1]elimination entries'!$B$53:$L$55</definedName>
    <definedName name="______EEN7">'[1]elimination entries'!$B$59:$L$61</definedName>
    <definedName name="______EEN8">'[1]elimination entries'!$B$65:$L$74</definedName>
    <definedName name="______EEN9">'[1]elimination entries'!$B$78:$L$94</definedName>
    <definedName name="______REN1">'[1]elimination entries'!$B$277:$L$279</definedName>
    <definedName name="______REN2">'[1]elimination entries'!$B$282:$L$289</definedName>
    <definedName name="______REN3">'[1]elimination entries'!$B$292:$L$299</definedName>
    <definedName name="______REN4">'[1]elimination entries'!$B$302:$L$309</definedName>
    <definedName name="_____EEN1">'[1]elimination entries'!$B$8:$L$22</definedName>
    <definedName name="_____EEN10">'[1]elimination entries'!$B$98:$L$111</definedName>
    <definedName name="_____een11">'[1]elimination entries'!$B$115:$L$116</definedName>
    <definedName name="_____EEN12">'[1]elimination entries'!$B$120:$L$123</definedName>
    <definedName name="_____EEN13">'[1]elimination entries'!$B$127:$L$128</definedName>
    <definedName name="_____EEN14">'[1]elimination entries'!$B$132:$L$133</definedName>
    <definedName name="_____een15">'[1]elimination entries'!$B$136:$L$139</definedName>
    <definedName name="_____een16">'[1]elimination entries'!$B$142:$L$145</definedName>
    <definedName name="_____EEN17">'[1]elimination entries'!$B$149:$L$160</definedName>
    <definedName name="_____EEN18">'[1]elimination entries'!$B$163:$L$167</definedName>
    <definedName name="_____EEN19">'[1]elimination entries'!$B$170:$L$171</definedName>
    <definedName name="_____EEN2">'[1]elimination entries'!$B$25:$L$33</definedName>
    <definedName name="_____EEN20">'[1]elimination entries'!$B$174:$L$175</definedName>
    <definedName name="_____EEN21">'[1]elimination entries'!$B$178:$L$179</definedName>
    <definedName name="_____een22">'[1]elimination entries'!$B$182:$L$189</definedName>
    <definedName name="_____een23">'[1]elimination entries'!$B$192:$L$199</definedName>
    <definedName name="_____EEN24">'[1]elimination entries'!$B$202:$L$209</definedName>
    <definedName name="_____EEN25">'[1]elimination entries'!$B$212:$L$219</definedName>
    <definedName name="_____EEN26">'[1]elimination entries'!$B$222:$L$229</definedName>
    <definedName name="_____EEN27">'[1]elimination entries'!$B$232:$L$239</definedName>
    <definedName name="_____EEN28">'[1]elimination entries'!$B$242:$L$249</definedName>
    <definedName name="_____EEN29">'[1]elimination entries'!$B$252:$L$259</definedName>
    <definedName name="_____EEN3">'[1]elimination entries'!$B$37:$L$38</definedName>
    <definedName name="_____EEN30">'[1]elimination entries'!$B$262:$L$269</definedName>
    <definedName name="_____EEN4">'[1]elimination entries'!$B$42:$L$43</definedName>
    <definedName name="_____EEN5">'[1]elimination entries'!$B$47:$L$50</definedName>
    <definedName name="_____EEN6">'[1]elimination entries'!$B$53:$L$55</definedName>
    <definedName name="_____EEN7">'[1]elimination entries'!$B$59:$L$61</definedName>
    <definedName name="_____EEN8">'[1]elimination entries'!$B$65:$L$74</definedName>
    <definedName name="_____EEN9">'[1]elimination entries'!$B$78:$L$94</definedName>
    <definedName name="_____REN1">'[1]elimination entries'!$B$277:$L$279</definedName>
    <definedName name="_____REN2">'[1]elimination entries'!$B$282:$L$289</definedName>
    <definedName name="_____REN3">'[1]elimination entries'!$B$292:$L$299</definedName>
    <definedName name="_____REN4">'[1]elimination entries'!$B$302:$L$309</definedName>
    <definedName name="____EEN1">'[1]elimination entries'!$B$8:$L$22</definedName>
    <definedName name="____EEN10">'[1]elimination entries'!$B$98:$L$111</definedName>
    <definedName name="____een11">'[1]elimination entries'!$B$115:$L$116</definedName>
    <definedName name="____EEN12">'[1]elimination entries'!$B$120:$L$123</definedName>
    <definedName name="____EEN13">'[1]elimination entries'!$B$127:$L$128</definedName>
    <definedName name="____EEN14">'[1]elimination entries'!$B$132:$L$133</definedName>
    <definedName name="____een15">'[1]elimination entries'!$B$136:$L$139</definedName>
    <definedName name="____een16">'[1]elimination entries'!$B$142:$L$145</definedName>
    <definedName name="____EEN17">'[1]elimination entries'!$B$149:$L$160</definedName>
    <definedName name="____EEN18">'[1]elimination entries'!$B$163:$L$167</definedName>
    <definedName name="____EEN19">'[1]elimination entries'!$B$170:$L$171</definedName>
    <definedName name="____EEN2">'[1]elimination entries'!$B$25:$L$33</definedName>
    <definedName name="____EEN20">'[1]elimination entries'!$B$174:$L$175</definedName>
    <definedName name="____EEN21">'[1]elimination entries'!$B$178:$L$179</definedName>
    <definedName name="____een22">'[1]elimination entries'!$B$182:$L$189</definedName>
    <definedName name="____een23">'[1]elimination entries'!$B$192:$L$199</definedName>
    <definedName name="____EEN24">'[1]elimination entries'!$B$202:$L$209</definedName>
    <definedName name="____EEN25">'[1]elimination entries'!$B$212:$L$219</definedName>
    <definedName name="____EEN26">'[1]elimination entries'!$B$222:$L$229</definedName>
    <definedName name="____EEN27">'[1]elimination entries'!$B$232:$L$239</definedName>
    <definedName name="____EEN28">'[1]elimination entries'!$B$242:$L$249</definedName>
    <definedName name="____EEN29">'[1]elimination entries'!$B$252:$L$259</definedName>
    <definedName name="____EEN3">'[1]elimination entries'!$B$37:$L$38</definedName>
    <definedName name="____EEN30">'[1]elimination entries'!$B$262:$L$269</definedName>
    <definedName name="____EEN4">'[1]elimination entries'!$B$42:$L$43</definedName>
    <definedName name="____EEN5">'[1]elimination entries'!$B$47:$L$50</definedName>
    <definedName name="____EEN6">'[1]elimination entries'!$B$53:$L$55</definedName>
    <definedName name="____EEN7">'[1]elimination entries'!$B$59:$L$61</definedName>
    <definedName name="____EEN8">'[1]elimination entries'!$B$65:$L$74</definedName>
    <definedName name="____EEN9">'[1]elimination entries'!$B$78:$L$94</definedName>
    <definedName name="____REN1">'[1]elimination entries'!$B$277:$L$279</definedName>
    <definedName name="____REN2">'[1]elimination entries'!$B$282:$L$289</definedName>
    <definedName name="____REN3">'[1]elimination entries'!$B$292:$L$299</definedName>
    <definedName name="____REN4">'[1]elimination entries'!$B$302:$L$309</definedName>
    <definedName name="___EEN1">'[1]elimination entries'!$B$8:$L$22</definedName>
    <definedName name="___EEN10">'[1]elimination entries'!$B$98:$L$111</definedName>
    <definedName name="___een11">'[1]elimination entries'!$B$115:$L$116</definedName>
    <definedName name="___EEN12">'[1]elimination entries'!$B$120:$L$123</definedName>
    <definedName name="___EEN13">'[1]elimination entries'!$B$127:$L$128</definedName>
    <definedName name="___EEN14">'[1]elimination entries'!$B$132:$L$133</definedName>
    <definedName name="___een15">'[1]elimination entries'!$B$136:$L$139</definedName>
    <definedName name="___een16">'[1]elimination entries'!$B$142:$L$145</definedName>
    <definedName name="___EEN17">'[1]elimination entries'!$B$149:$L$160</definedName>
    <definedName name="___EEN18">'[1]elimination entries'!$B$163:$L$167</definedName>
    <definedName name="___EEN19">'[1]elimination entries'!$B$170:$L$171</definedName>
    <definedName name="___EEN2">'[1]elimination entries'!$B$25:$L$33</definedName>
    <definedName name="___EEN20">'[1]elimination entries'!$B$174:$L$175</definedName>
    <definedName name="___EEN21">'[1]elimination entries'!$B$178:$L$179</definedName>
    <definedName name="___een22">'[1]elimination entries'!$B$182:$L$189</definedName>
    <definedName name="___een23">'[1]elimination entries'!$B$192:$L$199</definedName>
    <definedName name="___EEN24">'[1]elimination entries'!$B$202:$L$209</definedName>
    <definedName name="___EEN25">'[1]elimination entries'!$B$212:$L$219</definedName>
    <definedName name="___EEN26">'[1]elimination entries'!$B$222:$L$229</definedName>
    <definedName name="___EEN27">'[1]elimination entries'!$B$232:$L$239</definedName>
    <definedName name="___EEN28">'[1]elimination entries'!$B$242:$L$249</definedName>
    <definedName name="___EEN29">'[1]elimination entries'!$B$252:$L$259</definedName>
    <definedName name="___EEN3">'[1]elimination entries'!$B$37:$L$38</definedName>
    <definedName name="___EEN30">'[1]elimination entries'!$B$262:$L$269</definedName>
    <definedName name="___EEN4">'[1]elimination entries'!$B$42:$L$43</definedName>
    <definedName name="___EEN5">'[1]elimination entries'!$B$47:$L$50</definedName>
    <definedName name="___EEN6">'[1]elimination entries'!$B$53:$L$55</definedName>
    <definedName name="___EEN7">'[1]elimination entries'!$B$59:$L$61</definedName>
    <definedName name="___EEN8">'[1]elimination entries'!$B$65:$L$74</definedName>
    <definedName name="___EEN9">'[1]elimination entries'!$B$78:$L$94</definedName>
    <definedName name="___REN1">'[1]elimination entries'!$B$277:$L$279</definedName>
    <definedName name="___REN2">'[1]elimination entries'!$B$282:$L$289</definedName>
    <definedName name="___REN3">'[1]elimination entries'!$B$292:$L$299</definedName>
    <definedName name="___REN4">'[1]elimination entries'!$B$302:$L$309</definedName>
    <definedName name="__EEN1" localSheetId="9">'[7]elimination entries'!$B$8:$L$22</definedName>
    <definedName name="__EEN1" localSheetId="13">'[7]elimination entries'!$B$8:$L$22</definedName>
    <definedName name="__EEN1" localSheetId="12">'[7]elimination entries'!$B$8:$L$22</definedName>
    <definedName name="__EEN1" localSheetId="4">'[7]elimination entries'!$B$8:$L$22</definedName>
    <definedName name="__EEN1" localSheetId="8">'[7]elimination entries'!$B$8:$L$22</definedName>
    <definedName name="__EEN1">'[1]elimination entries'!$B$8:$L$22</definedName>
    <definedName name="__EEN10" localSheetId="9">'[7]elimination entries'!$B$98:$L$111</definedName>
    <definedName name="__EEN10" localSheetId="13">'[7]elimination entries'!$B$98:$L$111</definedName>
    <definedName name="__EEN10" localSheetId="12">'[7]elimination entries'!$B$98:$L$111</definedName>
    <definedName name="__EEN10" localSheetId="4">'[7]elimination entries'!$B$98:$L$111</definedName>
    <definedName name="__EEN10" localSheetId="8">'[7]elimination entries'!$B$98:$L$111</definedName>
    <definedName name="__EEN10">'[1]elimination entries'!$B$98:$L$111</definedName>
    <definedName name="__een11" localSheetId="9">'[7]elimination entries'!$B$115:$L$116</definedName>
    <definedName name="__een11" localSheetId="13">'[7]elimination entries'!$B$115:$L$116</definedName>
    <definedName name="__een11" localSheetId="12">'[7]elimination entries'!$B$115:$L$116</definedName>
    <definedName name="__een11" localSheetId="4">'[7]elimination entries'!$B$115:$L$116</definedName>
    <definedName name="__een11" localSheetId="8">'[7]elimination entries'!$B$115:$L$116</definedName>
    <definedName name="__een11">'[1]elimination entries'!$B$115:$L$116</definedName>
    <definedName name="__EEN12" localSheetId="9">'[7]elimination entries'!$B$120:$L$123</definedName>
    <definedName name="__EEN12" localSheetId="13">'[7]elimination entries'!$B$120:$L$123</definedName>
    <definedName name="__EEN12" localSheetId="12">'[7]elimination entries'!$B$120:$L$123</definedName>
    <definedName name="__EEN12" localSheetId="4">'[7]elimination entries'!$B$120:$L$123</definedName>
    <definedName name="__EEN12" localSheetId="8">'[7]elimination entries'!$B$120:$L$123</definedName>
    <definedName name="__EEN12">'[1]elimination entries'!$B$120:$L$123</definedName>
    <definedName name="__EEN13" localSheetId="9">'[7]elimination entries'!$B$127:$L$128</definedName>
    <definedName name="__EEN13" localSheetId="13">'[7]elimination entries'!$B$127:$L$128</definedName>
    <definedName name="__EEN13" localSheetId="12">'[7]elimination entries'!$B$127:$L$128</definedName>
    <definedName name="__EEN13" localSheetId="4">'[7]elimination entries'!$B$127:$L$128</definedName>
    <definedName name="__EEN13" localSheetId="8">'[7]elimination entries'!$B$127:$L$128</definedName>
    <definedName name="__EEN13">'[1]elimination entries'!$B$127:$L$128</definedName>
    <definedName name="__EEN14" localSheetId="9">'[7]elimination entries'!$B$132:$L$133</definedName>
    <definedName name="__EEN14" localSheetId="13">'[7]elimination entries'!$B$132:$L$133</definedName>
    <definedName name="__EEN14" localSheetId="12">'[7]elimination entries'!$B$132:$L$133</definedName>
    <definedName name="__EEN14" localSheetId="4">'[7]elimination entries'!$B$132:$L$133</definedName>
    <definedName name="__EEN14" localSheetId="8">'[7]elimination entries'!$B$132:$L$133</definedName>
    <definedName name="__EEN14">'[1]elimination entries'!$B$132:$L$133</definedName>
    <definedName name="__een15" localSheetId="9">'[7]elimination entries'!$B$136:$L$139</definedName>
    <definedName name="__een15" localSheetId="13">'[7]elimination entries'!$B$136:$L$139</definedName>
    <definedName name="__een15" localSheetId="12">'[7]elimination entries'!$B$136:$L$139</definedName>
    <definedName name="__een15" localSheetId="4">'[7]elimination entries'!$B$136:$L$139</definedName>
    <definedName name="__een15" localSheetId="8">'[7]elimination entries'!$B$136:$L$139</definedName>
    <definedName name="__een15">'[1]elimination entries'!$B$136:$L$139</definedName>
    <definedName name="__een16" localSheetId="9">'[7]elimination entries'!$B$142:$L$145</definedName>
    <definedName name="__een16" localSheetId="13">'[7]elimination entries'!$B$142:$L$145</definedName>
    <definedName name="__een16" localSheetId="12">'[7]elimination entries'!$B$142:$L$145</definedName>
    <definedName name="__een16" localSheetId="4">'[7]elimination entries'!$B$142:$L$145</definedName>
    <definedName name="__een16" localSheetId="8">'[7]elimination entries'!$B$142:$L$145</definedName>
    <definedName name="__een16">'[1]elimination entries'!$B$142:$L$145</definedName>
    <definedName name="__EEN17" localSheetId="9">'[7]elimination entries'!$B$149:$L$160</definedName>
    <definedName name="__EEN17" localSheetId="13">'[7]elimination entries'!$B$149:$L$160</definedName>
    <definedName name="__EEN17" localSheetId="12">'[7]elimination entries'!$B$149:$L$160</definedName>
    <definedName name="__EEN17" localSheetId="4">'[7]elimination entries'!$B$149:$L$160</definedName>
    <definedName name="__EEN17" localSheetId="8">'[7]elimination entries'!$B$149:$L$160</definedName>
    <definedName name="__EEN17">'[1]elimination entries'!$B$149:$L$160</definedName>
    <definedName name="__EEN18" localSheetId="9">'[7]elimination entries'!$B$163:$L$167</definedName>
    <definedName name="__EEN18" localSheetId="13">'[7]elimination entries'!$B$163:$L$167</definedName>
    <definedName name="__EEN18" localSheetId="12">'[7]elimination entries'!$B$163:$L$167</definedName>
    <definedName name="__EEN18" localSheetId="4">'[7]elimination entries'!$B$163:$L$167</definedName>
    <definedName name="__EEN18" localSheetId="8">'[7]elimination entries'!$B$163:$L$167</definedName>
    <definedName name="__EEN18">'[1]elimination entries'!$B$163:$L$167</definedName>
    <definedName name="__EEN19" localSheetId="9">'[7]elimination entries'!$B$170:$L$171</definedName>
    <definedName name="__EEN19" localSheetId="13">'[7]elimination entries'!$B$170:$L$171</definedName>
    <definedName name="__EEN19" localSheetId="12">'[7]elimination entries'!$B$170:$L$171</definedName>
    <definedName name="__EEN19" localSheetId="4">'[7]elimination entries'!$B$170:$L$171</definedName>
    <definedName name="__EEN19" localSheetId="8">'[7]elimination entries'!$B$170:$L$171</definedName>
    <definedName name="__EEN19">'[1]elimination entries'!$B$170:$L$171</definedName>
    <definedName name="__EEN2" localSheetId="9">'[7]elimination entries'!$B$25:$L$33</definedName>
    <definedName name="__EEN2" localSheetId="13">'[7]elimination entries'!$B$25:$L$33</definedName>
    <definedName name="__EEN2" localSheetId="12">'[7]elimination entries'!$B$25:$L$33</definedName>
    <definedName name="__EEN2" localSheetId="4">'[7]elimination entries'!$B$25:$L$33</definedName>
    <definedName name="__EEN2" localSheetId="8">'[7]elimination entries'!$B$25:$L$33</definedName>
    <definedName name="__EEN2">'[1]elimination entries'!$B$25:$L$33</definedName>
    <definedName name="__EEN20" localSheetId="9">'[7]elimination entries'!$B$174:$L$175</definedName>
    <definedName name="__EEN20" localSheetId="13">'[7]elimination entries'!$B$174:$L$175</definedName>
    <definedName name="__EEN20" localSheetId="12">'[7]elimination entries'!$B$174:$L$175</definedName>
    <definedName name="__EEN20" localSheetId="4">'[7]elimination entries'!$B$174:$L$175</definedName>
    <definedName name="__EEN20" localSheetId="8">'[7]elimination entries'!$B$174:$L$175</definedName>
    <definedName name="__EEN20">'[1]elimination entries'!$B$174:$L$175</definedName>
    <definedName name="__EEN21" localSheetId="9">'[7]elimination entries'!$B$178:$L$179</definedName>
    <definedName name="__EEN21" localSheetId="13">'[7]elimination entries'!$B$178:$L$179</definedName>
    <definedName name="__EEN21" localSheetId="12">'[7]elimination entries'!$B$178:$L$179</definedName>
    <definedName name="__EEN21" localSheetId="4">'[7]elimination entries'!$B$178:$L$179</definedName>
    <definedName name="__EEN21" localSheetId="8">'[7]elimination entries'!$B$178:$L$179</definedName>
    <definedName name="__EEN21">'[1]elimination entries'!$B$178:$L$179</definedName>
    <definedName name="__een22" localSheetId="9">'[7]elimination entries'!$B$182:$L$189</definedName>
    <definedName name="__een22" localSheetId="13">'[7]elimination entries'!$B$182:$L$189</definedName>
    <definedName name="__een22" localSheetId="12">'[7]elimination entries'!$B$182:$L$189</definedName>
    <definedName name="__een22" localSheetId="4">'[7]elimination entries'!$B$182:$L$189</definedName>
    <definedName name="__een22" localSheetId="8">'[7]elimination entries'!$B$182:$L$189</definedName>
    <definedName name="__een22">'[1]elimination entries'!$B$182:$L$189</definedName>
    <definedName name="__een23" localSheetId="9">'[7]elimination entries'!$B$192:$L$199</definedName>
    <definedName name="__een23" localSheetId="13">'[7]elimination entries'!$B$192:$L$199</definedName>
    <definedName name="__een23" localSheetId="12">'[7]elimination entries'!$B$192:$L$199</definedName>
    <definedName name="__een23" localSheetId="4">'[7]elimination entries'!$B$192:$L$199</definedName>
    <definedName name="__een23" localSheetId="8">'[7]elimination entries'!$B$192:$L$199</definedName>
    <definedName name="__een23">'[1]elimination entries'!$B$192:$L$199</definedName>
    <definedName name="__EEN24" localSheetId="9">'[7]elimination entries'!$B$202:$L$209</definedName>
    <definedName name="__EEN24" localSheetId="13">'[7]elimination entries'!$B$202:$L$209</definedName>
    <definedName name="__EEN24" localSheetId="12">'[7]elimination entries'!$B$202:$L$209</definedName>
    <definedName name="__EEN24" localSheetId="4">'[7]elimination entries'!$B$202:$L$209</definedName>
    <definedName name="__EEN24" localSheetId="8">'[7]elimination entries'!$B$202:$L$209</definedName>
    <definedName name="__EEN24">'[1]elimination entries'!$B$202:$L$209</definedName>
    <definedName name="__EEN25" localSheetId="9">'[7]elimination entries'!$B$212:$L$219</definedName>
    <definedName name="__EEN25" localSheetId="13">'[7]elimination entries'!$B$212:$L$219</definedName>
    <definedName name="__EEN25" localSheetId="12">'[7]elimination entries'!$B$212:$L$219</definedName>
    <definedName name="__EEN25" localSheetId="4">'[7]elimination entries'!$B$212:$L$219</definedName>
    <definedName name="__EEN25" localSheetId="8">'[7]elimination entries'!$B$212:$L$219</definedName>
    <definedName name="__EEN25">'[1]elimination entries'!$B$212:$L$219</definedName>
    <definedName name="__EEN26" localSheetId="9">'[7]elimination entries'!$B$222:$L$229</definedName>
    <definedName name="__EEN26" localSheetId="13">'[7]elimination entries'!$B$222:$L$229</definedName>
    <definedName name="__EEN26" localSheetId="12">'[7]elimination entries'!$B$222:$L$229</definedName>
    <definedName name="__EEN26" localSheetId="4">'[7]elimination entries'!$B$222:$L$229</definedName>
    <definedName name="__EEN26" localSheetId="8">'[7]elimination entries'!$B$222:$L$229</definedName>
    <definedName name="__EEN26">'[1]elimination entries'!$B$222:$L$229</definedName>
    <definedName name="__EEN27" localSheetId="9">'[7]elimination entries'!$B$232:$L$239</definedName>
    <definedName name="__EEN27" localSheetId="13">'[7]elimination entries'!$B$232:$L$239</definedName>
    <definedName name="__EEN27" localSheetId="12">'[7]elimination entries'!$B$232:$L$239</definedName>
    <definedName name="__EEN27" localSheetId="4">'[7]elimination entries'!$B$232:$L$239</definedName>
    <definedName name="__EEN27" localSheetId="8">'[7]elimination entries'!$B$232:$L$239</definedName>
    <definedName name="__EEN27">'[1]elimination entries'!$B$232:$L$239</definedName>
    <definedName name="__EEN28" localSheetId="9">'[7]elimination entries'!$B$242:$L$249</definedName>
    <definedName name="__EEN28" localSheetId="13">'[7]elimination entries'!$B$242:$L$249</definedName>
    <definedName name="__EEN28" localSheetId="12">'[7]elimination entries'!$B$242:$L$249</definedName>
    <definedName name="__EEN28" localSheetId="4">'[7]elimination entries'!$B$242:$L$249</definedName>
    <definedName name="__EEN28" localSheetId="8">'[7]elimination entries'!$B$242:$L$249</definedName>
    <definedName name="__EEN28">'[1]elimination entries'!$B$242:$L$249</definedName>
    <definedName name="__EEN29" localSheetId="9">'[7]elimination entries'!$B$252:$L$259</definedName>
    <definedName name="__EEN29" localSheetId="13">'[7]elimination entries'!$B$252:$L$259</definedName>
    <definedName name="__EEN29" localSheetId="12">'[7]elimination entries'!$B$252:$L$259</definedName>
    <definedName name="__EEN29" localSheetId="4">'[7]elimination entries'!$B$252:$L$259</definedName>
    <definedName name="__EEN29" localSheetId="8">'[7]elimination entries'!$B$252:$L$259</definedName>
    <definedName name="__EEN29">'[1]elimination entries'!$B$252:$L$259</definedName>
    <definedName name="__EEN3" localSheetId="9">'[7]elimination entries'!$B$37:$L$38</definedName>
    <definedName name="__EEN3" localSheetId="13">'[7]elimination entries'!$B$37:$L$38</definedName>
    <definedName name="__EEN3" localSheetId="12">'[7]elimination entries'!$B$37:$L$38</definedName>
    <definedName name="__EEN3" localSheetId="4">'[7]elimination entries'!$B$37:$L$38</definedName>
    <definedName name="__EEN3" localSheetId="8">'[7]elimination entries'!$B$37:$L$38</definedName>
    <definedName name="__EEN3">'[1]elimination entries'!$B$37:$L$38</definedName>
    <definedName name="__EEN30" localSheetId="9">'[7]elimination entries'!$B$262:$L$269</definedName>
    <definedName name="__EEN30" localSheetId="13">'[7]elimination entries'!$B$262:$L$269</definedName>
    <definedName name="__EEN30" localSheetId="12">'[7]elimination entries'!$B$262:$L$269</definedName>
    <definedName name="__EEN30" localSheetId="4">'[7]elimination entries'!$B$262:$L$269</definedName>
    <definedName name="__EEN30" localSheetId="8">'[7]elimination entries'!$B$262:$L$269</definedName>
    <definedName name="__EEN30">'[1]elimination entries'!$B$262:$L$269</definedName>
    <definedName name="__EEN4" localSheetId="9">'[7]elimination entries'!$B$42:$L$43</definedName>
    <definedName name="__EEN4" localSheetId="13">'[7]elimination entries'!$B$42:$L$43</definedName>
    <definedName name="__EEN4" localSheetId="12">'[7]elimination entries'!$B$42:$L$43</definedName>
    <definedName name="__EEN4" localSheetId="4">'[7]elimination entries'!$B$42:$L$43</definedName>
    <definedName name="__EEN4" localSheetId="8">'[7]elimination entries'!$B$42:$L$43</definedName>
    <definedName name="__EEN4">'[1]elimination entries'!$B$42:$L$43</definedName>
    <definedName name="__EEN5" localSheetId="9">'[7]elimination entries'!$B$47:$L$50</definedName>
    <definedName name="__EEN5" localSheetId="13">'[7]elimination entries'!$B$47:$L$50</definedName>
    <definedName name="__EEN5" localSheetId="12">'[7]elimination entries'!$B$47:$L$50</definedName>
    <definedName name="__EEN5" localSheetId="4">'[7]elimination entries'!$B$47:$L$50</definedName>
    <definedName name="__EEN5" localSheetId="8">'[7]elimination entries'!$B$47:$L$50</definedName>
    <definedName name="__EEN5">'[1]elimination entries'!$B$47:$L$50</definedName>
    <definedName name="__EEN6" localSheetId="9">'[7]elimination entries'!$B$53:$L$55</definedName>
    <definedName name="__EEN6" localSheetId="13">'[7]elimination entries'!$B$53:$L$55</definedName>
    <definedName name="__EEN6" localSheetId="12">'[7]elimination entries'!$B$53:$L$55</definedName>
    <definedName name="__EEN6" localSheetId="4">'[7]elimination entries'!$B$53:$L$55</definedName>
    <definedName name="__EEN6" localSheetId="8">'[7]elimination entries'!$B$53:$L$55</definedName>
    <definedName name="__EEN6">'[1]elimination entries'!$B$53:$L$55</definedName>
    <definedName name="__EEN7" localSheetId="9">'[7]elimination entries'!$B$59:$L$61</definedName>
    <definedName name="__EEN7" localSheetId="13">'[7]elimination entries'!$B$59:$L$61</definedName>
    <definedName name="__EEN7" localSheetId="12">'[7]elimination entries'!$B$59:$L$61</definedName>
    <definedName name="__EEN7" localSheetId="4">'[7]elimination entries'!$B$59:$L$61</definedName>
    <definedName name="__EEN7" localSheetId="8">'[7]elimination entries'!$B$59:$L$61</definedName>
    <definedName name="__EEN7">'[1]elimination entries'!$B$59:$L$61</definedName>
    <definedName name="__EEN8" localSheetId="9">'[7]elimination entries'!$B$65:$L$74</definedName>
    <definedName name="__EEN8" localSheetId="13">'[7]elimination entries'!$B$65:$L$74</definedName>
    <definedName name="__EEN8" localSheetId="12">'[7]elimination entries'!$B$65:$L$74</definedName>
    <definedName name="__EEN8" localSheetId="4">'[7]elimination entries'!$B$65:$L$74</definedName>
    <definedName name="__EEN8" localSheetId="8">'[7]elimination entries'!$B$65:$L$74</definedName>
    <definedName name="__EEN8">'[1]elimination entries'!$B$65:$L$74</definedName>
    <definedName name="__EEN9" localSheetId="9">'[7]elimination entries'!$B$78:$L$94</definedName>
    <definedName name="__EEN9" localSheetId="13">'[7]elimination entries'!$B$78:$L$94</definedName>
    <definedName name="__EEN9" localSheetId="12">'[7]elimination entries'!$B$78:$L$94</definedName>
    <definedName name="__EEN9" localSheetId="4">'[7]elimination entries'!$B$78:$L$94</definedName>
    <definedName name="__EEN9" localSheetId="8">'[7]elimination entries'!$B$78:$L$94</definedName>
    <definedName name="__EEN9">'[1]elimination entries'!$B$78:$L$94</definedName>
    <definedName name="__PS3" localSheetId="11">#REF!</definedName>
    <definedName name="__PS3" localSheetId="9">#REF!</definedName>
    <definedName name="__PS3" localSheetId="13">#REF!</definedName>
    <definedName name="__PS3" localSheetId="12">#REF!</definedName>
    <definedName name="__PS3" localSheetId="0">#REF!</definedName>
    <definedName name="__PS3" localSheetId="5">#REF!</definedName>
    <definedName name="__PS3" localSheetId="10">#REF!</definedName>
    <definedName name="__PS3" localSheetId="4">#REF!</definedName>
    <definedName name="__PS3" localSheetId="8">#REF!</definedName>
    <definedName name="__PS3">#REF!</definedName>
    <definedName name="__REN1" localSheetId="9">'[7]elimination entries'!$B$277:$L$279</definedName>
    <definedName name="__REN1" localSheetId="13">'[7]elimination entries'!$B$277:$L$279</definedName>
    <definedName name="__REN1" localSheetId="12">'[7]elimination entries'!$B$277:$L$279</definedName>
    <definedName name="__REN1" localSheetId="4">'[7]elimination entries'!$B$277:$L$279</definedName>
    <definedName name="__REN1" localSheetId="8">'[7]elimination entries'!$B$277:$L$279</definedName>
    <definedName name="__REN1">'[1]elimination entries'!$B$277:$L$279</definedName>
    <definedName name="__REN2" localSheetId="9">'[7]elimination entries'!$B$282:$L$289</definedName>
    <definedName name="__REN2" localSheetId="13">'[7]elimination entries'!$B$282:$L$289</definedName>
    <definedName name="__REN2" localSheetId="12">'[7]elimination entries'!$B$282:$L$289</definedName>
    <definedName name="__REN2" localSheetId="4">'[7]elimination entries'!$B$282:$L$289</definedName>
    <definedName name="__REN2" localSheetId="8">'[7]elimination entries'!$B$282:$L$289</definedName>
    <definedName name="__REN2">'[1]elimination entries'!$B$282:$L$289</definedName>
    <definedName name="__REN3" localSheetId="9">'[7]elimination entries'!$B$292:$L$299</definedName>
    <definedName name="__REN3" localSheetId="13">'[7]elimination entries'!$B$292:$L$299</definedName>
    <definedName name="__REN3" localSheetId="12">'[7]elimination entries'!$B$292:$L$299</definedName>
    <definedName name="__REN3" localSheetId="4">'[7]elimination entries'!$B$292:$L$299</definedName>
    <definedName name="__REN3" localSheetId="8">'[7]elimination entries'!$B$292:$L$299</definedName>
    <definedName name="__REN3">'[1]elimination entries'!$B$292:$L$299</definedName>
    <definedName name="__REN4" localSheetId="9">'[7]elimination entries'!$B$302:$L$309</definedName>
    <definedName name="__REN4" localSheetId="13">'[7]elimination entries'!$B$302:$L$309</definedName>
    <definedName name="__REN4" localSheetId="12">'[7]elimination entries'!$B$302:$L$309</definedName>
    <definedName name="__REN4" localSheetId="4">'[7]elimination entries'!$B$302:$L$309</definedName>
    <definedName name="__REN4" localSheetId="8">'[7]elimination entries'!$B$302:$L$309</definedName>
    <definedName name="__REN4">'[1]elimination entries'!$B$302:$L$309</definedName>
    <definedName name="_18" localSheetId="11">#REF!</definedName>
    <definedName name="_18" localSheetId="9">#REF!</definedName>
    <definedName name="_18" localSheetId="13">#REF!</definedName>
    <definedName name="_18" localSheetId="12">#REF!</definedName>
    <definedName name="_18" localSheetId="0">#REF!</definedName>
    <definedName name="_18" localSheetId="5">#REF!</definedName>
    <definedName name="_18" localSheetId="10">#REF!</definedName>
    <definedName name="_18" localSheetId="4">#REF!</definedName>
    <definedName name="_18" localSheetId="8">#REF!</definedName>
    <definedName name="_18">#REF!</definedName>
    <definedName name="_2A" localSheetId="11">#REF!</definedName>
    <definedName name="_2A" localSheetId="9">#REF!</definedName>
    <definedName name="_2A" localSheetId="13">#REF!</definedName>
    <definedName name="_2A" localSheetId="12">#REF!</definedName>
    <definedName name="_2A" localSheetId="0">#REF!</definedName>
    <definedName name="_2A" localSheetId="5">#REF!</definedName>
    <definedName name="_2A" localSheetId="10">#REF!</definedName>
    <definedName name="_2A" localSheetId="4">#REF!</definedName>
    <definedName name="_2A" localSheetId="8">#REF!</definedName>
    <definedName name="_2A">#REF!</definedName>
    <definedName name="_DIN2527">[8]FLANGES_DIN!$D$4:$AN$10</definedName>
    <definedName name="_DIN2566">[8]FLANGES_DIN!$D$11:$AN$11</definedName>
    <definedName name="_DIN28011">[8]HEADS!$B$45:$AW$85</definedName>
    <definedName name="_DIN28013">[8]HEADS!$B$3:$AW$39</definedName>
    <definedName name="_EEN1" localSheetId="9">'[9]elimination entries'!$B$8:$L$22</definedName>
    <definedName name="_EEN1" localSheetId="13">'[9]elimination entries'!$B$8:$L$22</definedName>
    <definedName name="_EEN1" localSheetId="12">'[9]elimination entries'!$B$8:$L$22</definedName>
    <definedName name="_EEN1" localSheetId="4">'[9]elimination entries'!$B$8:$L$22</definedName>
    <definedName name="_EEN1" localSheetId="8">'[9]elimination entries'!$B$8:$L$22</definedName>
    <definedName name="_EEN1">'[1]elimination entries'!$B$8:$L$22</definedName>
    <definedName name="_EEN10" localSheetId="9">'[9]elimination entries'!$B$98:$L$111</definedName>
    <definedName name="_EEN10" localSheetId="13">'[9]elimination entries'!$B$98:$L$111</definedName>
    <definedName name="_EEN10" localSheetId="12">'[9]elimination entries'!$B$98:$L$111</definedName>
    <definedName name="_EEN10" localSheetId="4">'[9]elimination entries'!$B$98:$L$111</definedName>
    <definedName name="_EEN10" localSheetId="8">'[9]elimination entries'!$B$98:$L$111</definedName>
    <definedName name="_EEN10">'[1]elimination entries'!$B$98:$L$111</definedName>
    <definedName name="_een11" localSheetId="9">'[9]elimination entries'!$B$115:$L$116</definedName>
    <definedName name="_een11" localSheetId="13">'[9]elimination entries'!$B$115:$L$116</definedName>
    <definedName name="_een11" localSheetId="12">'[9]elimination entries'!$B$115:$L$116</definedName>
    <definedName name="_een11" localSheetId="4">'[9]elimination entries'!$B$115:$L$116</definedName>
    <definedName name="_een11" localSheetId="8">'[9]elimination entries'!$B$115:$L$116</definedName>
    <definedName name="_een11">'[1]elimination entries'!$B$115:$L$116</definedName>
    <definedName name="_EEN12" localSheetId="9">'[9]elimination entries'!$B$120:$L$123</definedName>
    <definedName name="_EEN12" localSheetId="13">'[9]elimination entries'!$B$120:$L$123</definedName>
    <definedName name="_EEN12" localSheetId="12">'[9]elimination entries'!$B$120:$L$123</definedName>
    <definedName name="_EEN12" localSheetId="4">'[9]elimination entries'!$B$120:$L$123</definedName>
    <definedName name="_EEN12" localSheetId="8">'[9]elimination entries'!$B$120:$L$123</definedName>
    <definedName name="_EEN12">'[1]elimination entries'!$B$120:$L$123</definedName>
    <definedName name="_EEN13" localSheetId="9">'[9]elimination entries'!$B$127:$L$128</definedName>
    <definedName name="_EEN13" localSheetId="13">'[9]elimination entries'!$B$127:$L$128</definedName>
    <definedName name="_EEN13" localSheetId="12">'[9]elimination entries'!$B$127:$L$128</definedName>
    <definedName name="_EEN13" localSheetId="4">'[9]elimination entries'!$B$127:$L$128</definedName>
    <definedName name="_EEN13" localSheetId="8">'[9]elimination entries'!$B$127:$L$128</definedName>
    <definedName name="_EEN13">'[1]elimination entries'!$B$127:$L$128</definedName>
    <definedName name="_EEN14" localSheetId="9">'[9]elimination entries'!$B$132:$L$133</definedName>
    <definedName name="_EEN14" localSheetId="13">'[9]elimination entries'!$B$132:$L$133</definedName>
    <definedName name="_EEN14" localSheetId="12">'[9]elimination entries'!$B$132:$L$133</definedName>
    <definedName name="_EEN14" localSheetId="4">'[9]elimination entries'!$B$132:$L$133</definedName>
    <definedName name="_EEN14" localSheetId="8">'[9]elimination entries'!$B$132:$L$133</definedName>
    <definedName name="_EEN14">'[1]elimination entries'!$B$132:$L$133</definedName>
    <definedName name="_een15" localSheetId="9">'[9]elimination entries'!$B$136:$L$139</definedName>
    <definedName name="_een15" localSheetId="13">'[9]elimination entries'!$B$136:$L$139</definedName>
    <definedName name="_een15" localSheetId="12">'[9]elimination entries'!$B$136:$L$139</definedName>
    <definedName name="_een15" localSheetId="4">'[9]elimination entries'!$B$136:$L$139</definedName>
    <definedName name="_een15" localSheetId="8">'[9]elimination entries'!$B$136:$L$139</definedName>
    <definedName name="_een15">'[1]elimination entries'!$B$136:$L$139</definedName>
    <definedName name="_een16" localSheetId="9">'[9]elimination entries'!$B$142:$L$145</definedName>
    <definedName name="_een16" localSheetId="13">'[9]elimination entries'!$B$142:$L$145</definedName>
    <definedName name="_een16" localSheetId="12">'[9]elimination entries'!$B$142:$L$145</definedName>
    <definedName name="_een16" localSheetId="4">'[9]elimination entries'!$B$142:$L$145</definedName>
    <definedName name="_een16" localSheetId="8">'[9]elimination entries'!$B$142:$L$145</definedName>
    <definedName name="_een16">'[1]elimination entries'!$B$142:$L$145</definedName>
    <definedName name="_EEN17" localSheetId="9">'[9]elimination entries'!$B$149:$L$160</definedName>
    <definedName name="_EEN17" localSheetId="13">'[9]elimination entries'!$B$149:$L$160</definedName>
    <definedName name="_EEN17" localSheetId="12">'[9]elimination entries'!$B$149:$L$160</definedName>
    <definedName name="_EEN17" localSheetId="4">'[9]elimination entries'!$B$149:$L$160</definedName>
    <definedName name="_EEN17" localSheetId="8">'[9]elimination entries'!$B$149:$L$160</definedName>
    <definedName name="_EEN17">'[1]elimination entries'!$B$149:$L$160</definedName>
    <definedName name="_EEN18" localSheetId="9">'[9]elimination entries'!$B$163:$L$167</definedName>
    <definedName name="_EEN18" localSheetId="13">'[9]elimination entries'!$B$163:$L$167</definedName>
    <definedName name="_EEN18" localSheetId="12">'[9]elimination entries'!$B$163:$L$167</definedName>
    <definedName name="_EEN18" localSheetId="4">'[9]elimination entries'!$B$163:$L$167</definedName>
    <definedName name="_EEN18" localSheetId="8">'[9]elimination entries'!$B$163:$L$167</definedName>
    <definedName name="_EEN18">'[1]elimination entries'!$B$163:$L$167</definedName>
    <definedName name="_EEN19" localSheetId="9">'[9]elimination entries'!$B$170:$L$171</definedName>
    <definedName name="_EEN19" localSheetId="13">'[9]elimination entries'!$B$170:$L$171</definedName>
    <definedName name="_EEN19" localSheetId="12">'[9]elimination entries'!$B$170:$L$171</definedName>
    <definedName name="_EEN19" localSheetId="4">'[9]elimination entries'!$B$170:$L$171</definedName>
    <definedName name="_EEN19" localSheetId="8">'[9]elimination entries'!$B$170:$L$171</definedName>
    <definedName name="_EEN19">'[1]elimination entries'!$B$170:$L$171</definedName>
    <definedName name="_EEN2" localSheetId="9">'[9]elimination entries'!$B$25:$L$33</definedName>
    <definedName name="_EEN2" localSheetId="13">'[9]elimination entries'!$B$25:$L$33</definedName>
    <definedName name="_EEN2" localSheetId="12">'[9]elimination entries'!$B$25:$L$33</definedName>
    <definedName name="_EEN2" localSheetId="4">'[9]elimination entries'!$B$25:$L$33</definedName>
    <definedName name="_EEN2" localSheetId="8">'[9]elimination entries'!$B$25:$L$33</definedName>
    <definedName name="_EEN2">'[1]elimination entries'!$B$25:$L$33</definedName>
    <definedName name="_EEN20" localSheetId="9">'[9]elimination entries'!$B$174:$L$175</definedName>
    <definedName name="_EEN20" localSheetId="13">'[9]elimination entries'!$B$174:$L$175</definedName>
    <definedName name="_EEN20" localSheetId="12">'[9]elimination entries'!$B$174:$L$175</definedName>
    <definedName name="_EEN20" localSheetId="4">'[9]elimination entries'!$B$174:$L$175</definedName>
    <definedName name="_EEN20" localSheetId="8">'[9]elimination entries'!$B$174:$L$175</definedName>
    <definedName name="_EEN20">'[1]elimination entries'!$B$174:$L$175</definedName>
    <definedName name="_EEN21" localSheetId="9">'[9]elimination entries'!$B$178:$L$179</definedName>
    <definedName name="_EEN21" localSheetId="13">'[9]elimination entries'!$B$178:$L$179</definedName>
    <definedName name="_EEN21" localSheetId="12">'[9]elimination entries'!$B$178:$L$179</definedName>
    <definedName name="_EEN21" localSheetId="4">'[9]elimination entries'!$B$178:$L$179</definedName>
    <definedName name="_EEN21" localSheetId="8">'[9]elimination entries'!$B$178:$L$179</definedName>
    <definedName name="_EEN21">'[1]elimination entries'!$B$178:$L$179</definedName>
    <definedName name="_een22" localSheetId="9">'[9]elimination entries'!$B$182:$L$189</definedName>
    <definedName name="_een22" localSheetId="13">'[9]elimination entries'!$B$182:$L$189</definedName>
    <definedName name="_een22" localSheetId="12">'[9]elimination entries'!$B$182:$L$189</definedName>
    <definedName name="_een22" localSheetId="4">'[9]elimination entries'!$B$182:$L$189</definedName>
    <definedName name="_een22" localSheetId="8">'[9]elimination entries'!$B$182:$L$189</definedName>
    <definedName name="_een22">'[1]elimination entries'!$B$182:$L$189</definedName>
    <definedName name="_een23" localSheetId="9">'[9]elimination entries'!$B$192:$L$199</definedName>
    <definedName name="_een23" localSheetId="13">'[9]elimination entries'!$B$192:$L$199</definedName>
    <definedName name="_een23" localSheetId="12">'[9]elimination entries'!$B$192:$L$199</definedName>
    <definedName name="_een23" localSheetId="4">'[9]elimination entries'!$B$192:$L$199</definedName>
    <definedName name="_een23" localSheetId="8">'[9]elimination entries'!$B$192:$L$199</definedName>
    <definedName name="_een23">'[1]elimination entries'!$B$192:$L$199</definedName>
    <definedName name="_EEN24" localSheetId="9">'[9]elimination entries'!$B$202:$L$209</definedName>
    <definedName name="_EEN24" localSheetId="13">'[9]elimination entries'!$B$202:$L$209</definedName>
    <definedName name="_EEN24" localSheetId="12">'[9]elimination entries'!$B$202:$L$209</definedName>
    <definedName name="_EEN24" localSheetId="4">'[9]elimination entries'!$B$202:$L$209</definedName>
    <definedName name="_EEN24" localSheetId="8">'[9]elimination entries'!$B$202:$L$209</definedName>
    <definedName name="_EEN24">'[1]elimination entries'!$B$202:$L$209</definedName>
    <definedName name="_EEN25" localSheetId="9">'[9]elimination entries'!$B$212:$L$219</definedName>
    <definedName name="_EEN25" localSheetId="13">'[9]elimination entries'!$B$212:$L$219</definedName>
    <definedName name="_EEN25" localSheetId="12">'[9]elimination entries'!$B$212:$L$219</definedName>
    <definedName name="_EEN25" localSheetId="4">'[9]elimination entries'!$B$212:$L$219</definedName>
    <definedName name="_EEN25" localSheetId="8">'[9]elimination entries'!$B$212:$L$219</definedName>
    <definedName name="_EEN25">'[1]elimination entries'!$B$212:$L$219</definedName>
    <definedName name="_EEN26" localSheetId="9">'[9]elimination entries'!$B$222:$L$229</definedName>
    <definedName name="_EEN26" localSheetId="13">'[9]elimination entries'!$B$222:$L$229</definedName>
    <definedName name="_EEN26" localSheetId="12">'[9]elimination entries'!$B$222:$L$229</definedName>
    <definedName name="_EEN26" localSheetId="4">'[9]elimination entries'!$B$222:$L$229</definedName>
    <definedName name="_EEN26" localSheetId="8">'[9]elimination entries'!$B$222:$L$229</definedName>
    <definedName name="_EEN26">'[1]elimination entries'!$B$222:$L$229</definedName>
    <definedName name="_EEN27" localSheetId="9">'[9]elimination entries'!$B$232:$L$239</definedName>
    <definedName name="_EEN27" localSheetId="13">'[9]elimination entries'!$B$232:$L$239</definedName>
    <definedName name="_EEN27" localSheetId="12">'[9]elimination entries'!$B$232:$L$239</definedName>
    <definedName name="_EEN27" localSheetId="4">'[9]elimination entries'!$B$232:$L$239</definedName>
    <definedName name="_EEN27" localSheetId="8">'[9]elimination entries'!$B$232:$L$239</definedName>
    <definedName name="_EEN27">'[1]elimination entries'!$B$232:$L$239</definedName>
    <definedName name="_EEN28" localSheetId="9">'[9]elimination entries'!$B$242:$L$249</definedName>
    <definedName name="_EEN28" localSheetId="13">'[9]elimination entries'!$B$242:$L$249</definedName>
    <definedName name="_EEN28" localSheetId="12">'[9]elimination entries'!$B$242:$L$249</definedName>
    <definedName name="_EEN28" localSheetId="4">'[9]elimination entries'!$B$242:$L$249</definedName>
    <definedName name="_EEN28" localSheetId="8">'[9]elimination entries'!$B$242:$L$249</definedName>
    <definedName name="_EEN28">'[1]elimination entries'!$B$242:$L$249</definedName>
    <definedName name="_EEN29" localSheetId="9">'[9]elimination entries'!$B$252:$L$259</definedName>
    <definedName name="_EEN29" localSheetId="13">'[9]elimination entries'!$B$252:$L$259</definedName>
    <definedName name="_EEN29" localSheetId="12">'[9]elimination entries'!$B$252:$L$259</definedName>
    <definedName name="_EEN29" localSheetId="4">'[9]elimination entries'!$B$252:$L$259</definedName>
    <definedName name="_EEN29" localSheetId="8">'[9]elimination entries'!$B$252:$L$259</definedName>
    <definedName name="_EEN29">'[1]elimination entries'!$B$252:$L$259</definedName>
    <definedName name="_EEN3" localSheetId="9">'[9]elimination entries'!$B$37:$L$38</definedName>
    <definedName name="_EEN3" localSheetId="13">'[9]elimination entries'!$B$37:$L$38</definedName>
    <definedName name="_EEN3" localSheetId="12">'[9]elimination entries'!$B$37:$L$38</definedName>
    <definedName name="_EEN3" localSheetId="4">'[9]elimination entries'!$B$37:$L$38</definedName>
    <definedName name="_EEN3" localSheetId="8">'[9]elimination entries'!$B$37:$L$38</definedName>
    <definedName name="_EEN3">'[1]elimination entries'!$B$37:$L$38</definedName>
    <definedName name="_EEN30" localSheetId="9">'[9]elimination entries'!$B$262:$L$269</definedName>
    <definedName name="_EEN30" localSheetId="13">'[9]elimination entries'!$B$262:$L$269</definedName>
    <definedName name="_EEN30" localSheetId="12">'[9]elimination entries'!$B$262:$L$269</definedName>
    <definedName name="_EEN30" localSheetId="4">'[9]elimination entries'!$B$262:$L$269</definedName>
    <definedName name="_EEN30" localSheetId="8">'[9]elimination entries'!$B$262:$L$269</definedName>
    <definedName name="_EEN30">'[1]elimination entries'!$B$262:$L$269</definedName>
    <definedName name="_EEN4" localSheetId="9">'[9]elimination entries'!$B$42:$L$43</definedName>
    <definedName name="_EEN4" localSheetId="13">'[9]elimination entries'!$B$42:$L$43</definedName>
    <definedName name="_EEN4" localSheetId="12">'[9]elimination entries'!$B$42:$L$43</definedName>
    <definedName name="_EEN4" localSheetId="4">'[9]elimination entries'!$B$42:$L$43</definedName>
    <definedName name="_EEN4" localSheetId="8">'[9]elimination entries'!$B$42:$L$43</definedName>
    <definedName name="_EEN4">'[1]elimination entries'!$B$42:$L$43</definedName>
    <definedName name="_EEN5" localSheetId="9">'[9]elimination entries'!$B$47:$L$50</definedName>
    <definedName name="_EEN5" localSheetId="13">'[9]elimination entries'!$B$47:$L$50</definedName>
    <definedName name="_EEN5" localSheetId="12">'[9]elimination entries'!$B$47:$L$50</definedName>
    <definedName name="_EEN5" localSheetId="4">'[9]elimination entries'!$B$47:$L$50</definedName>
    <definedName name="_EEN5" localSheetId="8">'[9]elimination entries'!$B$47:$L$50</definedName>
    <definedName name="_EEN5">'[1]elimination entries'!$B$47:$L$50</definedName>
    <definedName name="_EEN6" localSheetId="9">'[9]elimination entries'!$B$53:$L$55</definedName>
    <definedName name="_EEN6" localSheetId="13">'[9]elimination entries'!$B$53:$L$55</definedName>
    <definedName name="_EEN6" localSheetId="12">'[9]elimination entries'!$B$53:$L$55</definedName>
    <definedName name="_EEN6" localSheetId="4">'[9]elimination entries'!$B$53:$L$55</definedName>
    <definedName name="_EEN6" localSheetId="8">'[9]elimination entries'!$B$53:$L$55</definedName>
    <definedName name="_EEN6">'[1]elimination entries'!$B$53:$L$55</definedName>
    <definedName name="_EEN7" localSheetId="9">'[9]elimination entries'!$B$59:$L$61</definedName>
    <definedName name="_EEN7" localSheetId="13">'[9]elimination entries'!$B$59:$L$61</definedName>
    <definedName name="_EEN7" localSheetId="12">'[9]elimination entries'!$B$59:$L$61</definedName>
    <definedName name="_EEN7" localSheetId="4">'[9]elimination entries'!$B$59:$L$61</definedName>
    <definedName name="_EEN7" localSheetId="8">'[9]elimination entries'!$B$59:$L$61</definedName>
    <definedName name="_EEN7">'[1]elimination entries'!$B$59:$L$61</definedName>
    <definedName name="_EEN8" localSheetId="9">'[9]elimination entries'!$B$65:$L$74</definedName>
    <definedName name="_EEN8" localSheetId="13">'[9]elimination entries'!$B$65:$L$74</definedName>
    <definedName name="_EEN8" localSheetId="12">'[9]elimination entries'!$B$65:$L$74</definedName>
    <definedName name="_EEN8" localSheetId="4">'[9]elimination entries'!$B$65:$L$74</definedName>
    <definedName name="_EEN8" localSheetId="8">'[9]elimination entries'!$B$65:$L$74</definedName>
    <definedName name="_EEN8">'[1]elimination entries'!$B$65:$L$74</definedName>
    <definedName name="_EEN9" localSheetId="9">'[9]elimination entries'!$B$78:$L$94</definedName>
    <definedName name="_EEN9" localSheetId="13">'[9]elimination entries'!$B$78:$L$94</definedName>
    <definedName name="_EEN9" localSheetId="12">'[9]elimination entries'!$B$78:$L$94</definedName>
    <definedName name="_EEN9" localSheetId="4">'[9]elimination entries'!$B$78:$L$94</definedName>
    <definedName name="_EEN9" localSheetId="8">'[9]elimination entries'!$B$78:$L$94</definedName>
    <definedName name="_EEN9">'[1]elimination entries'!$B$78:$L$94</definedName>
    <definedName name="_Fill" localSheetId="11" hidden="1">#REF!</definedName>
    <definedName name="_Fill" localSheetId="9" hidden="1">#REF!</definedName>
    <definedName name="_Fill" localSheetId="13" hidden="1">#REF!</definedName>
    <definedName name="_Fill" localSheetId="12" hidden="1">#REF!</definedName>
    <definedName name="_Fill" localSheetId="0" hidden="1">#REF!</definedName>
    <definedName name="_Fill" localSheetId="5" hidden="1">#REF!</definedName>
    <definedName name="_Fill" localSheetId="10" hidden="1">#REF!</definedName>
    <definedName name="_Fill" localSheetId="4" hidden="1">#REF!</definedName>
    <definedName name="_Fill" localSheetId="8" hidden="1">#REF!</definedName>
    <definedName name="_Fill" hidden="1">#REF!</definedName>
    <definedName name="_xlnm._FilterDatabase" localSheetId="11" hidden="1">'2020-2021 Closing 2022 Yearly'!$A$5:$J$177</definedName>
    <definedName name="_xlnm._FilterDatabase" localSheetId="9" hidden="1">#REF!</definedName>
    <definedName name="_xlnm._FilterDatabase" localSheetId="13" hidden="1">#REF!</definedName>
    <definedName name="_xlnm._FilterDatabase" localSheetId="12" hidden="1">#REF!</definedName>
    <definedName name="_xlnm._FilterDatabase" localSheetId="0" hidden="1">'2024 Closing'!$A$5:$J$177</definedName>
    <definedName name="_xlnm._FilterDatabase" localSheetId="5" hidden="1">#REF!</definedName>
    <definedName name="_xlnm._FilterDatabase" localSheetId="10" hidden="1">#REF!</definedName>
    <definedName name="_xlnm._FilterDatabase" localSheetId="4" hidden="1">#REF!</definedName>
    <definedName name="_xlnm._FilterDatabase" localSheetId="8" hidden="1">'Rev. 2022'!$A$1:$FC$735</definedName>
    <definedName name="_xlnm._FilterDatabase" hidden="1">#REF!</definedName>
    <definedName name="_Key1" localSheetId="11" hidden="1">#REF!</definedName>
    <definedName name="_Key1" localSheetId="9" hidden="1">#REF!</definedName>
    <definedName name="_Key1" localSheetId="13" hidden="1">#REF!</definedName>
    <definedName name="_Key1" localSheetId="12" hidden="1">#REF!</definedName>
    <definedName name="_Key1" localSheetId="0" hidden="1">#REF!</definedName>
    <definedName name="_Key1" localSheetId="5" hidden="1">#REF!</definedName>
    <definedName name="_Key1" localSheetId="10" hidden="1">#REF!</definedName>
    <definedName name="_Key1" localSheetId="4" hidden="1">#REF!</definedName>
    <definedName name="_Key1" localSheetId="8" hidden="1">#REF!</definedName>
    <definedName name="_Key1" hidden="1">#REF!</definedName>
    <definedName name="_Key2" localSheetId="11" hidden="1">#REF!</definedName>
    <definedName name="_Key2" localSheetId="9" hidden="1">#REF!</definedName>
    <definedName name="_Key2" localSheetId="13" hidden="1">#REF!</definedName>
    <definedName name="_Key2" localSheetId="12" hidden="1">#REF!</definedName>
    <definedName name="_Key2" localSheetId="0" hidden="1">#REF!</definedName>
    <definedName name="_Key2" localSheetId="5" hidden="1">#REF!</definedName>
    <definedName name="_Key2" localSheetId="10" hidden="1">#REF!</definedName>
    <definedName name="_Key2" localSheetId="4" hidden="1">#REF!</definedName>
    <definedName name="_Key2" localSheetId="8" hidden="1">#REF!</definedName>
    <definedName name="_Key2" hidden="1">#REF!</definedName>
    <definedName name="_MatMult_A" localSheetId="11" hidden="1">#REF!</definedName>
    <definedName name="_MatMult_A" localSheetId="9" hidden="1">#REF!</definedName>
    <definedName name="_MatMult_A" localSheetId="13" hidden="1">#REF!</definedName>
    <definedName name="_MatMult_A" localSheetId="12" hidden="1">#REF!</definedName>
    <definedName name="_MatMult_A" localSheetId="0" hidden="1">#REF!</definedName>
    <definedName name="_MatMult_A" localSheetId="5" hidden="1">#REF!</definedName>
    <definedName name="_MatMult_A" localSheetId="10" hidden="1">#REF!</definedName>
    <definedName name="_MatMult_A" localSheetId="4" hidden="1">#REF!</definedName>
    <definedName name="_MatMult_A" localSheetId="8" hidden="1">#REF!</definedName>
    <definedName name="_MatMult_A" hidden="1">#REF!</definedName>
    <definedName name="_MatMult_AxB" localSheetId="11" hidden="1">#REF!</definedName>
    <definedName name="_MatMult_AxB" localSheetId="9" hidden="1">#REF!</definedName>
    <definedName name="_MatMult_AxB" localSheetId="13" hidden="1">#REF!</definedName>
    <definedName name="_MatMult_AxB" localSheetId="12" hidden="1">#REF!</definedName>
    <definedName name="_MatMult_AxB" localSheetId="0" hidden="1">#REF!</definedName>
    <definedName name="_MatMult_AxB" localSheetId="5" hidden="1">#REF!</definedName>
    <definedName name="_MatMult_AxB" localSheetId="10" hidden="1">#REF!</definedName>
    <definedName name="_MatMult_AxB" localSheetId="4" hidden="1">#REF!</definedName>
    <definedName name="_MatMult_AxB" localSheetId="8" hidden="1">#REF!</definedName>
    <definedName name="_MatMult_AxB" hidden="1">#REF!</definedName>
    <definedName name="_MatMult_B" localSheetId="11" hidden="1">#REF!</definedName>
    <definedName name="_MatMult_B" localSheetId="9" hidden="1">#REF!</definedName>
    <definedName name="_MatMult_B" localSheetId="13" hidden="1">#REF!</definedName>
    <definedName name="_MatMult_B" localSheetId="12" hidden="1">#REF!</definedName>
    <definedName name="_MatMult_B" localSheetId="0" hidden="1">#REF!</definedName>
    <definedName name="_MatMult_B" localSheetId="5" hidden="1">#REF!</definedName>
    <definedName name="_MatMult_B" localSheetId="10" hidden="1">#REF!</definedName>
    <definedName name="_MatMult_B" localSheetId="4" hidden="1">#REF!</definedName>
    <definedName name="_MatMult_B" localSheetId="8" hidden="1">#REF!</definedName>
    <definedName name="_MatMult_B" hidden="1">#REF!</definedName>
    <definedName name="_Order1" hidden="1">255</definedName>
    <definedName name="_Order2" hidden="1">255</definedName>
    <definedName name="_PS3" localSheetId="11">#REF!</definedName>
    <definedName name="_PS3" localSheetId="9">#REF!</definedName>
    <definedName name="_PS3" localSheetId="13">#REF!</definedName>
    <definedName name="_PS3" localSheetId="12">#REF!</definedName>
    <definedName name="_PS3" localSheetId="0">#REF!</definedName>
    <definedName name="_PS3" localSheetId="5">#REF!</definedName>
    <definedName name="_PS3" localSheetId="10">#REF!</definedName>
    <definedName name="_PS3" localSheetId="4">#REF!</definedName>
    <definedName name="_PS3" localSheetId="8">#REF!</definedName>
    <definedName name="_PS3">#REF!</definedName>
    <definedName name="_REN1" localSheetId="9">'[9]elimination entries'!$B$277:$L$279</definedName>
    <definedName name="_REN1" localSheetId="13">'[9]elimination entries'!$B$277:$L$279</definedName>
    <definedName name="_REN1" localSheetId="12">'[9]elimination entries'!$B$277:$L$279</definedName>
    <definedName name="_REN1" localSheetId="4">'[9]elimination entries'!$B$277:$L$279</definedName>
    <definedName name="_REN1" localSheetId="8">'[9]elimination entries'!$B$277:$L$279</definedName>
    <definedName name="_REN1">'[1]elimination entries'!$B$277:$L$279</definedName>
    <definedName name="_REN2" localSheetId="9">'[9]elimination entries'!$B$282:$L$289</definedName>
    <definedName name="_REN2" localSheetId="13">'[9]elimination entries'!$B$282:$L$289</definedName>
    <definedName name="_REN2" localSheetId="12">'[9]elimination entries'!$B$282:$L$289</definedName>
    <definedName name="_REN2" localSheetId="4">'[9]elimination entries'!$B$282:$L$289</definedName>
    <definedName name="_REN2" localSheetId="8">'[9]elimination entries'!$B$282:$L$289</definedName>
    <definedName name="_REN2">'[1]elimination entries'!$B$282:$L$289</definedName>
    <definedName name="_REN3" localSheetId="9">'[9]elimination entries'!$B$292:$L$299</definedName>
    <definedName name="_REN3" localSheetId="13">'[9]elimination entries'!$B$292:$L$299</definedName>
    <definedName name="_REN3" localSheetId="12">'[9]elimination entries'!$B$292:$L$299</definedName>
    <definedName name="_REN3" localSheetId="4">'[9]elimination entries'!$B$292:$L$299</definedName>
    <definedName name="_REN3" localSheetId="8">'[9]elimination entries'!$B$292:$L$299</definedName>
    <definedName name="_REN3">'[1]elimination entries'!$B$292:$L$299</definedName>
    <definedName name="_REN4" localSheetId="9">'[9]elimination entries'!$B$302:$L$309</definedName>
    <definedName name="_REN4" localSheetId="13">'[9]elimination entries'!$B$302:$L$309</definedName>
    <definedName name="_REN4" localSheetId="12">'[9]elimination entries'!$B$302:$L$309</definedName>
    <definedName name="_REN4" localSheetId="4">'[9]elimination entries'!$B$302:$L$309</definedName>
    <definedName name="_REN4" localSheetId="8">'[9]elimination entries'!$B$302:$L$309</definedName>
    <definedName name="_REN4">'[1]elimination entries'!$B$302:$L$309</definedName>
    <definedName name="_Sort" localSheetId="11" hidden="1">#REF!</definedName>
    <definedName name="_Sort" localSheetId="9" hidden="1">#REF!</definedName>
    <definedName name="_Sort" localSheetId="13" hidden="1">#REF!</definedName>
    <definedName name="_Sort" localSheetId="12" hidden="1">#REF!</definedName>
    <definedName name="_Sort" localSheetId="0" hidden="1">#REF!</definedName>
    <definedName name="_Sort" localSheetId="5" hidden="1">#REF!</definedName>
    <definedName name="_Sort" localSheetId="10" hidden="1">#REF!</definedName>
    <definedName name="_Sort" localSheetId="4" hidden="1">#REF!</definedName>
    <definedName name="_Sort" localSheetId="8" hidden="1">#REF!</definedName>
    <definedName name="_Sort" hidden="1">#REF!</definedName>
    <definedName name="a" localSheetId="11">#REF!</definedName>
    <definedName name="a" localSheetId="9">#REF!</definedName>
    <definedName name="a" localSheetId="13">#REF!</definedName>
    <definedName name="a" localSheetId="12">#REF!</definedName>
    <definedName name="a" localSheetId="0">#REF!</definedName>
    <definedName name="a" localSheetId="5">#REF!</definedName>
    <definedName name="a" localSheetId="10">#REF!</definedName>
    <definedName name="a" localSheetId="4">#REF!</definedName>
    <definedName name="a" localSheetId="8">#REF!</definedName>
    <definedName name="a">#REF!</definedName>
    <definedName name="aa" localSheetId="11">#REF!</definedName>
    <definedName name="aa" localSheetId="9">#REF!</definedName>
    <definedName name="aa" localSheetId="13">#REF!</definedName>
    <definedName name="aa" localSheetId="12">#REF!</definedName>
    <definedName name="aa" localSheetId="0">#REF!</definedName>
    <definedName name="aa" localSheetId="5">#REF!</definedName>
    <definedName name="aa" localSheetId="10">#REF!</definedName>
    <definedName name="aa" localSheetId="4">#REF!</definedName>
    <definedName name="aa" localSheetId="8">#REF!</definedName>
    <definedName name="aa">#REF!</definedName>
    <definedName name="aaaa" localSheetId="11">[10]TOTAL!#REF!</definedName>
    <definedName name="aaaa" localSheetId="9">[10]TOTAL!#REF!</definedName>
    <definedName name="aaaa" localSheetId="13">[10]TOTAL!#REF!</definedName>
    <definedName name="aaaa" localSheetId="12">[10]TOTAL!#REF!</definedName>
    <definedName name="aaaa" localSheetId="0">[10]TOTAL!#REF!</definedName>
    <definedName name="aaaa" localSheetId="5">[10]TOTAL!#REF!</definedName>
    <definedName name="aaaa" localSheetId="10">[10]TOTAL!#REF!</definedName>
    <definedName name="aaaa" localSheetId="4">[10]TOTAL!#REF!</definedName>
    <definedName name="aaaa" localSheetId="8">[10]TOTAL!#REF!</definedName>
    <definedName name="aaaa">[10]TOTAL!#REF!</definedName>
    <definedName name="Actual_2021" localSheetId="13" hidden="1">{"COLOMBIE",#N/A,FALSE,"SIDEM";"COLOMBIE",#N/A,FALSE,"GEC";"COLOMBIE",#N/A,FALSE,"TAB MT-BT"}</definedName>
    <definedName name="Actual_2021" hidden="1">{"COLOMBIE",#N/A,FALSE,"SIDEM";"COLOMBIE",#N/A,FALSE,"GEC";"COLOMBIE",#N/A,FALSE,"TAB MT-BT"}</definedName>
    <definedName name="ACTUAL_IS_OFFSET">[11]Cover!$D$18</definedName>
    <definedName name="ACTUAL_OFFSET">[11]Cover!$D$17</definedName>
    <definedName name="ad" localSheetId="11">#REF!</definedName>
    <definedName name="ad" localSheetId="9">#REF!</definedName>
    <definedName name="ad" localSheetId="13">#REF!</definedName>
    <definedName name="ad" localSheetId="12">#REF!</definedName>
    <definedName name="ad" localSheetId="0">#REF!</definedName>
    <definedName name="ad" localSheetId="5">#REF!</definedName>
    <definedName name="ad" localSheetId="10">#REF!</definedName>
    <definedName name="ad" localSheetId="4">#REF!</definedName>
    <definedName name="ad" localSheetId="8">#REF!</definedName>
    <definedName name="ad">#REF!</definedName>
    <definedName name="ADJUSTED_COST_OF_MAZDA" localSheetId="11">[12]ASSUMPTIONS!#REF!</definedName>
    <definedName name="ADJUSTED_COST_OF_MAZDA" localSheetId="9">[12]ASSUMPTIONS!#REF!</definedName>
    <definedName name="ADJUSTED_COST_OF_MAZDA" localSheetId="13">[12]ASSUMPTIONS!#REF!</definedName>
    <definedName name="ADJUSTED_COST_OF_MAZDA" localSheetId="12">[12]ASSUMPTIONS!#REF!</definedName>
    <definedName name="ADJUSTED_COST_OF_MAZDA" localSheetId="0">[12]ASSUMPTIONS!#REF!</definedName>
    <definedName name="ADJUSTED_COST_OF_MAZDA" localSheetId="5">[12]ASSUMPTIONS!#REF!</definedName>
    <definedName name="ADJUSTED_COST_OF_MAZDA" localSheetId="10">[12]ASSUMPTIONS!#REF!</definedName>
    <definedName name="ADJUSTED_COST_OF_MAZDA" localSheetId="4">[12]ASSUMPTIONS!#REF!</definedName>
    <definedName name="ADJUSTED_COST_OF_MAZDA" localSheetId="8">[12]ASSUMPTIONS!#REF!</definedName>
    <definedName name="ADJUSTED_COST_OF_MAZDA">[12]ASSUMPTIONS!#REF!</definedName>
    <definedName name="afe" localSheetId="11">#REF!</definedName>
    <definedName name="afe" localSheetId="9">#REF!</definedName>
    <definedName name="afe" localSheetId="13">#REF!</definedName>
    <definedName name="afe" localSheetId="12">#REF!</definedName>
    <definedName name="afe" localSheetId="0">#REF!</definedName>
    <definedName name="afe" localSheetId="5">#REF!</definedName>
    <definedName name="afe" localSheetId="10">#REF!</definedName>
    <definedName name="afe" localSheetId="4">#REF!</definedName>
    <definedName name="afe" localSheetId="8">#REF!</definedName>
    <definedName name="afe">#REF!</definedName>
    <definedName name="AI_8" localSheetId="11">#REF!</definedName>
    <definedName name="AI_8" localSheetId="9">#REF!</definedName>
    <definedName name="AI_8" localSheetId="13">#REF!</definedName>
    <definedName name="AI_8" localSheetId="12">#REF!</definedName>
    <definedName name="AI_8" localSheetId="0">#REF!</definedName>
    <definedName name="AI_8" localSheetId="5">#REF!</definedName>
    <definedName name="AI_8" localSheetId="10">#REF!</definedName>
    <definedName name="AI_8" localSheetId="4">#REF!</definedName>
    <definedName name="AI_8" localSheetId="8">#REF!</definedName>
    <definedName name="AI_8">#REF!</definedName>
    <definedName name="AI_Config" localSheetId="11">#REF!</definedName>
    <definedName name="AI_Config" localSheetId="9">#REF!</definedName>
    <definedName name="AI_Config" localSheetId="13">#REF!</definedName>
    <definedName name="AI_Config" localSheetId="12">#REF!</definedName>
    <definedName name="AI_Config" localSheetId="0">#REF!</definedName>
    <definedName name="AI_Config" localSheetId="5">#REF!</definedName>
    <definedName name="AI_Config" localSheetId="10">#REF!</definedName>
    <definedName name="AI_Config" localSheetId="4">#REF!</definedName>
    <definedName name="AI_Config" localSheetId="8">#REF!</definedName>
    <definedName name="AI_Config">#REF!</definedName>
    <definedName name="AI_Rack" localSheetId="11">#REF!</definedName>
    <definedName name="AI_Rack" localSheetId="9">#REF!</definedName>
    <definedName name="AI_Rack" localSheetId="13">#REF!</definedName>
    <definedName name="AI_Rack" localSheetId="12">#REF!</definedName>
    <definedName name="AI_Rack" localSheetId="0">#REF!</definedName>
    <definedName name="AI_Rack" localSheetId="5">#REF!</definedName>
    <definedName name="AI_Rack" localSheetId="10">#REF!</definedName>
    <definedName name="AI_Rack" localSheetId="4">#REF!</definedName>
    <definedName name="AI_Rack" localSheetId="8">#REF!</definedName>
    <definedName name="AI_Rack">#REF!</definedName>
    <definedName name="AI_Request" localSheetId="11">#REF!</definedName>
    <definedName name="AI_Request" localSheetId="9">#REF!</definedName>
    <definedName name="AI_Request" localSheetId="13">#REF!</definedName>
    <definedName name="AI_Request" localSheetId="12">#REF!</definedName>
    <definedName name="AI_Request" localSheetId="0">#REF!</definedName>
    <definedName name="AI_Request" localSheetId="5">#REF!</definedName>
    <definedName name="AI_Request" localSheetId="10">#REF!</definedName>
    <definedName name="AI_Request" localSheetId="4">#REF!</definedName>
    <definedName name="AI_Request" localSheetId="8">#REF!</definedName>
    <definedName name="AI_Request">#REF!</definedName>
    <definedName name="ANSI">[8]FLANGES_ANSI!$B$4:$U$26</definedName>
    <definedName name="ANSIASA_WT" localSheetId="11">INDEX(INDIRECT(#REF!),MATCH(#REF!,[8]FLANGES_ASA!$B$4:$B$26,0),MATCH(#REF!,[8]FLANGES_ASA!$B$4:$U$4,0))*#REF!</definedName>
    <definedName name="ANSIASA_WT" localSheetId="9">INDEX(INDIRECT(#REF!),MATCH(#REF!,[8]FLANGES_ASA!$B$4:$B$26,0),MATCH(#REF!,[8]FLANGES_ASA!$B$4:$U$4,0))*#REF!</definedName>
    <definedName name="ANSIASA_WT" localSheetId="13">INDEX(INDIRECT(#REF!),MATCH(#REF!,[8]FLANGES_ASA!$B$4:$B$26,0),MATCH(#REF!,[8]FLANGES_ASA!$B$4:$U$4,0))*#REF!</definedName>
    <definedName name="ANSIASA_WT" localSheetId="12">INDEX(INDIRECT(#REF!),MATCH(#REF!,[8]FLANGES_ASA!$B$4:$B$26,0),MATCH(#REF!,[8]FLANGES_ASA!$B$4:$U$4,0))*#REF!</definedName>
    <definedName name="ANSIASA_WT" localSheetId="0">INDEX(INDIRECT(#REF!),MATCH(#REF!,[8]FLANGES_ASA!$B$4:$B$26,0),MATCH(#REF!,[8]FLANGES_ASA!$B$4:$U$4,0))*#REF!</definedName>
    <definedName name="ANSIASA_WT" localSheetId="5">INDEX(INDIRECT(#REF!),MATCH(#REF!,[8]FLANGES_ASA!$B$4:$B$26,0),MATCH(#REF!,[8]FLANGES_ASA!$B$4:$U$4,0))*#REF!</definedName>
    <definedName name="ANSIASA_WT" localSheetId="10">INDEX(INDIRECT(#REF!),MATCH(#REF!,[8]FLANGES_ASA!$B$4:$B$26,0),MATCH(#REF!,[8]FLANGES_ASA!$B$4:$U$4,0))*#REF!</definedName>
    <definedName name="ANSIASA_WT" localSheetId="4">INDEX(INDIRECT(#REF!),MATCH(#REF!,[8]FLANGES_ASA!$B$4:$B$26,0),MATCH(#REF!,[8]FLANGES_ASA!$B$4:$U$4,0))*#REF!</definedName>
    <definedName name="ANSIASA_WT" localSheetId="8">INDEX(INDIRECT(#REF!),MATCH(#REF!,[8]FLANGES_ASA!$B$4:$B$26,0),MATCH(#REF!,[8]FLANGES_ASA!$B$4:$U$4,0))*#REF!</definedName>
    <definedName name="ANSIASA_WT">INDEX(INDIRECT(#REF!),MATCH(#REF!,[8]FLANGES_ASA!$B$4:$B$26,0),MATCH(#REF!,[8]FLANGES_ASA!$B$4:$U$4,0))*#REF!</definedName>
    <definedName name="AO_4" localSheetId="11">#REF!</definedName>
    <definedName name="AO_4" localSheetId="9">#REF!</definedName>
    <definedName name="AO_4" localSheetId="13">#REF!</definedName>
    <definedName name="AO_4" localSheetId="12">#REF!</definedName>
    <definedName name="AO_4" localSheetId="0">#REF!</definedName>
    <definedName name="AO_4" localSheetId="5">#REF!</definedName>
    <definedName name="AO_4" localSheetId="10">#REF!</definedName>
    <definedName name="AO_4" localSheetId="4">#REF!</definedName>
    <definedName name="AO_4" localSheetId="8">#REF!</definedName>
    <definedName name="AO_4">#REF!</definedName>
    <definedName name="AO_Config" localSheetId="11">#REF!</definedName>
    <definedName name="AO_Config" localSheetId="9">#REF!</definedName>
    <definedName name="AO_Config" localSheetId="13">#REF!</definedName>
    <definedName name="AO_Config" localSheetId="12">#REF!</definedName>
    <definedName name="AO_Config" localSheetId="0">#REF!</definedName>
    <definedName name="AO_Config" localSheetId="5">#REF!</definedName>
    <definedName name="AO_Config" localSheetId="10">#REF!</definedName>
    <definedName name="AO_Config" localSheetId="4">#REF!</definedName>
    <definedName name="AO_Config" localSheetId="8">#REF!</definedName>
    <definedName name="AO_Config">#REF!</definedName>
    <definedName name="AO_Rack" localSheetId="11">#REF!</definedName>
    <definedName name="AO_Rack" localSheetId="9">#REF!</definedName>
    <definedName name="AO_Rack" localSheetId="13">#REF!</definedName>
    <definedName name="AO_Rack" localSheetId="12">#REF!</definedName>
    <definedName name="AO_Rack" localSheetId="0">#REF!</definedName>
    <definedName name="AO_Rack" localSheetId="5">#REF!</definedName>
    <definedName name="AO_Rack" localSheetId="10">#REF!</definedName>
    <definedName name="AO_Rack" localSheetId="4">#REF!</definedName>
    <definedName name="AO_Rack" localSheetId="8">#REF!</definedName>
    <definedName name="AO_Rack">#REF!</definedName>
    <definedName name="AO_Request" localSheetId="11">#REF!</definedName>
    <definedName name="AO_Request" localSheetId="9">#REF!</definedName>
    <definedName name="AO_Request" localSheetId="13">#REF!</definedName>
    <definedName name="AO_Request" localSheetId="12">#REF!</definedName>
    <definedName name="AO_Request" localSheetId="0">#REF!</definedName>
    <definedName name="AO_Request" localSheetId="5">#REF!</definedName>
    <definedName name="AO_Request" localSheetId="10">#REF!</definedName>
    <definedName name="AO_Request" localSheetId="4">#REF!</definedName>
    <definedName name="AO_Request" localSheetId="8">#REF!</definedName>
    <definedName name="AO_Request">#REF!</definedName>
    <definedName name="applperm2">'[13]extensions lookup'!$B$68</definedName>
    <definedName name="ASA">[8]FLANGES_ASA!$B$4:$U$26</definedName>
    <definedName name="asd" localSheetId="11">#REF!</definedName>
    <definedName name="asd" localSheetId="9">#REF!</definedName>
    <definedName name="asd" localSheetId="13">#REF!</definedName>
    <definedName name="asd" localSheetId="12">#REF!</definedName>
    <definedName name="asd" localSheetId="0">#REF!</definedName>
    <definedName name="asd" localSheetId="5">#REF!</definedName>
    <definedName name="asd" localSheetId="10">#REF!</definedName>
    <definedName name="asd" localSheetId="4">#REF!</definedName>
    <definedName name="asd" localSheetId="8">#REF!</definedName>
    <definedName name="asd">#REF!</definedName>
    <definedName name="asdf" localSheetId="11">#REF!</definedName>
    <definedName name="asdf" localSheetId="9">#REF!</definedName>
    <definedName name="asdf" localSheetId="13">#REF!</definedName>
    <definedName name="asdf" localSheetId="12">#REF!</definedName>
    <definedName name="asdf" localSheetId="0">#REF!</definedName>
    <definedName name="asdf" localSheetId="5">#REF!</definedName>
    <definedName name="asdf" localSheetId="10">#REF!</definedName>
    <definedName name="asdf" localSheetId="4">#REF!</definedName>
    <definedName name="asdf" localSheetId="8">#REF!</definedName>
    <definedName name="asdf">#REF!</definedName>
    <definedName name="Atcual_2021" localSheetId="11">INDEX(INDIRECT(#REF!),(IF(#REF!="DIN2527",(MATCH(#REF!,[8]FLANGES_DIN!$C$4:$C$10,0)),1)),(MATCH(#REF!,[8]FLANGES_DIN!$D$3:$AN$3,0)))*#REF!</definedName>
    <definedName name="Atcual_2021" localSheetId="13">INDEX(INDIRECT(#REF!),(IF(#REF!="DIN2527",(MATCH(#REF!,[8]FLANGES_DIN!$C$4:$C$10,0)),1)),(MATCH(#REF!,[8]FLANGES_DIN!$D$3:$AN$3,0)))*#REF!</definedName>
    <definedName name="Atcual_2021">INDEX(INDIRECT(#REF!),(IF(#REF!="DIN2527",(MATCH(#REF!,[8]FLANGES_DIN!$C$4:$C$10,0)),1)),(MATCH(#REF!,[8]FLANGES_DIN!$D$3:$AN$3,0)))*#REF!</definedName>
    <definedName name="AUDITTRAIL">[14]Cover!$O$61</definedName>
    <definedName name="AVERAGE_DISCOUNT_RATE" localSheetId="9">[15]ASSUMPTIONS!$B$58</definedName>
    <definedName name="AVERAGE_DISCOUNT_RATE" localSheetId="13">[15]ASSUMPTIONS!$B$58</definedName>
    <definedName name="AVERAGE_DISCOUNT_RATE" localSheetId="12">[15]ASSUMPTIONS!$B$58</definedName>
    <definedName name="AVERAGE_DISCOUNT_RATE" localSheetId="4">[15]ASSUMPTIONS!$B$58</definedName>
    <definedName name="AVERAGE_DISCOUNT_RATE" localSheetId="8">[15]ASSUMPTIONS!$B$58</definedName>
    <definedName name="AVERAGE_DISCOUNT_RATE">[16]ASSUMPTIONS!$B$58</definedName>
    <definedName name="AVERAGE_FINANCING_TERM" localSheetId="11">[10]ASSUMPTIONS!#REF!</definedName>
    <definedName name="AVERAGE_FINANCING_TERM" localSheetId="9">[10]ASSUMPTIONS!#REF!</definedName>
    <definedName name="AVERAGE_FINANCING_TERM" localSheetId="13">[10]ASSUMPTIONS!#REF!</definedName>
    <definedName name="AVERAGE_FINANCING_TERM" localSheetId="12">[10]ASSUMPTIONS!#REF!</definedName>
    <definedName name="AVERAGE_FINANCING_TERM" localSheetId="0">[10]ASSUMPTIONS!#REF!</definedName>
    <definedName name="AVERAGE_FINANCING_TERM" localSheetId="5">[10]ASSUMPTIONS!#REF!</definedName>
    <definedName name="AVERAGE_FINANCING_TERM" localSheetId="10">[10]ASSUMPTIONS!#REF!</definedName>
    <definedName name="AVERAGE_FINANCING_TERM" localSheetId="4">[10]ASSUMPTIONS!#REF!</definedName>
    <definedName name="AVERAGE_FINANCING_TERM" localSheetId="8">[10]ASSUMPTIONS!#REF!</definedName>
    <definedName name="AVERAGE_FINANCING_TERM">[10]ASSUMPTIONS!#REF!</definedName>
    <definedName name="az" localSheetId="11">#REF!</definedName>
    <definedName name="az" localSheetId="9">#REF!</definedName>
    <definedName name="az" localSheetId="13">#REF!</definedName>
    <definedName name="az" localSheetId="12">#REF!</definedName>
    <definedName name="az" localSheetId="0">#REF!</definedName>
    <definedName name="az" localSheetId="5">#REF!</definedName>
    <definedName name="az" localSheetId="10">#REF!</definedName>
    <definedName name="az" localSheetId="4">#REF!</definedName>
    <definedName name="az" localSheetId="8">#REF!</definedName>
    <definedName name="az">#REF!</definedName>
    <definedName name="b" localSheetId="11">#REF!</definedName>
    <definedName name="b" localSheetId="9">#REF!</definedName>
    <definedName name="b" localSheetId="13">#REF!</definedName>
    <definedName name="b" localSheetId="12">#REF!</definedName>
    <definedName name="b" localSheetId="0">#REF!</definedName>
    <definedName name="b" localSheetId="5">#REF!</definedName>
    <definedName name="b" localSheetId="10">#REF!</definedName>
    <definedName name="b" localSheetId="4">#REF!</definedName>
    <definedName name="b" localSheetId="8">#REF!</definedName>
    <definedName name="b">#REF!</definedName>
    <definedName name="BDG_TYPE">[11]Cover!$D$12</definedName>
    <definedName name="BS_COL_ABS" localSheetId="11">#REF!</definedName>
    <definedName name="BS_COL_ABS" localSheetId="9">#REF!</definedName>
    <definedName name="BS_COL_ABS" localSheetId="13">#REF!</definedName>
    <definedName name="BS_COL_ABS" localSheetId="12">#REF!</definedName>
    <definedName name="BS_COL_ABS" localSheetId="0">#REF!</definedName>
    <definedName name="BS_COL_ABS" localSheetId="5">#REF!</definedName>
    <definedName name="BS_COL_ABS" localSheetId="10">#REF!</definedName>
    <definedName name="BS_COL_ABS" localSheetId="4">#REF!</definedName>
    <definedName name="BS_COL_ABS" localSheetId="8">#REF!</definedName>
    <definedName name="BS_COL_ABS">#REF!</definedName>
    <definedName name="BS_COL_ACCOUNT" localSheetId="11">#REF!</definedName>
    <definedName name="BS_COL_ACCOUNT" localSheetId="9">#REF!</definedName>
    <definedName name="BS_COL_ACCOUNT" localSheetId="13">#REF!</definedName>
    <definedName name="BS_COL_ACCOUNT" localSheetId="12">#REF!</definedName>
    <definedName name="BS_COL_ACCOUNT" localSheetId="0">#REF!</definedName>
    <definedName name="BS_COL_ACCOUNT" localSheetId="5">#REF!</definedName>
    <definedName name="BS_COL_ACCOUNT" localSheetId="10">#REF!</definedName>
    <definedName name="BS_COL_ACCOUNT" localSheetId="4">#REF!</definedName>
    <definedName name="BS_COL_ACCOUNT" localSheetId="8">#REF!</definedName>
    <definedName name="BS_COL_ACCOUNT">#REF!</definedName>
    <definedName name="BS_COL_LOOKUP" localSheetId="11">#REF!</definedName>
    <definedName name="BS_COL_LOOKUP" localSheetId="9">#REF!</definedName>
    <definedName name="BS_COL_LOOKUP" localSheetId="13">#REF!</definedName>
    <definedName name="BS_COL_LOOKUP" localSheetId="12">#REF!</definedName>
    <definedName name="BS_COL_LOOKUP" localSheetId="0">#REF!</definedName>
    <definedName name="BS_COL_LOOKUP" localSheetId="5">#REF!</definedName>
    <definedName name="BS_COL_LOOKUP" localSheetId="10">#REF!</definedName>
    <definedName name="BS_COL_LOOKUP" localSheetId="4">#REF!</definedName>
    <definedName name="BS_COL_LOOKUP" localSheetId="8">#REF!</definedName>
    <definedName name="BS_COL_LOOKUP">#REF!</definedName>
    <definedName name="budget" localSheetId="11">#REF!</definedName>
    <definedName name="budget" localSheetId="9">#REF!</definedName>
    <definedName name="budget" localSheetId="13">#REF!</definedName>
    <definedName name="budget" localSheetId="12">#REF!</definedName>
    <definedName name="budget" localSheetId="0">#REF!</definedName>
    <definedName name="budget" localSheetId="5">#REF!</definedName>
    <definedName name="budget" localSheetId="10">#REF!</definedName>
    <definedName name="budget" localSheetId="4">#REF!</definedName>
    <definedName name="budget" localSheetId="8">#REF!</definedName>
    <definedName name="budget">#REF!</definedName>
    <definedName name="Business" localSheetId="11">#REF!</definedName>
    <definedName name="Business" localSheetId="9">#REF!</definedName>
    <definedName name="Business" localSheetId="13">#REF!</definedName>
    <definedName name="Business" localSheetId="12">#REF!</definedName>
    <definedName name="Business" localSheetId="0">#REF!</definedName>
    <definedName name="Business" localSheetId="5">#REF!</definedName>
    <definedName name="Business" localSheetId="10">#REF!</definedName>
    <definedName name="Business" localSheetId="4">#REF!</definedName>
    <definedName name="Business" localSheetId="8">#REF!</definedName>
    <definedName name="Business">#REF!</definedName>
    <definedName name="by" localSheetId="11">#REF!</definedName>
    <definedName name="by" localSheetId="9">#REF!</definedName>
    <definedName name="by" localSheetId="13">#REF!</definedName>
    <definedName name="by" localSheetId="12">#REF!</definedName>
    <definedName name="by" localSheetId="0">#REF!</definedName>
    <definedName name="by" localSheetId="5">#REF!</definedName>
    <definedName name="by" localSheetId="10">#REF!</definedName>
    <definedName name="by" localSheetId="4">#REF!</definedName>
    <definedName name="by" localSheetId="8">#REF!</definedName>
    <definedName name="by">#REF!</definedName>
    <definedName name="CATEGORY">[14]Cover!$O$55</definedName>
    <definedName name="cccc" localSheetId="11">#REF!</definedName>
    <definedName name="cccc" localSheetId="9">#REF!</definedName>
    <definedName name="cccc" localSheetId="13">#REF!</definedName>
    <definedName name="cccc" localSheetId="12">#REF!</definedName>
    <definedName name="cccc" localSheetId="0">#REF!</definedName>
    <definedName name="cccc" localSheetId="5">#REF!</definedName>
    <definedName name="cccc" localSheetId="10">#REF!</definedName>
    <definedName name="cccc" localSheetId="4">#REF!</definedName>
    <definedName name="cccc" localSheetId="8">#REF!</definedName>
    <definedName name="cccc">#REF!</definedName>
    <definedName name="ceramics_ass" localSheetId="11">#REF!</definedName>
    <definedName name="ceramics_ass" localSheetId="9">#REF!</definedName>
    <definedName name="ceramics_ass" localSheetId="13">#REF!</definedName>
    <definedName name="ceramics_ass" localSheetId="12">#REF!</definedName>
    <definedName name="ceramics_ass" localSheetId="0">#REF!</definedName>
    <definedName name="ceramics_ass" localSheetId="5">#REF!</definedName>
    <definedName name="ceramics_ass" localSheetId="10">#REF!</definedName>
    <definedName name="ceramics_ass" localSheetId="4">#REF!</definedName>
    <definedName name="ceramics_ass" localSheetId="8">#REF!</definedName>
    <definedName name="ceramics_ass">#REF!</definedName>
    <definedName name="Ceramics_Factory" localSheetId="11">#REF!</definedName>
    <definedName name="Ceramics_Factory" localSheetId="9">#REF!</definedName>
    <definedName name="Ceramics_Factory" localSheetId="13">#REF!</definedName>
    <definedName name="Ceramics_Factory" localSheetId="12">#REF!</definedName>
    <definedName name="Ceramics_Factory" localSheetId="0">#REF!</definedName>
    <definedName name="Ceramics_Factory" localSheetId="5">#REF!</definedName>
    <definedName name="Ceramics_Factory" localSheetId="10">#REF!</definedName>
    <definedName name="Ceramics_Factory" localSheetId="4">#REF!</definedName>
    <definedName name="Ceramics_Factory" localSheetId="8">#REF!</definedName>
    <definedName name="Ceramics_Factory">#REF!</definedName>
    <definedName name="Ceramics_Factory__cost_per_unit" localSheetId="11">#REF!</definedName>
    <definedName name="Ceramics_Factory__cost_per_unit" localSheetId="9">#REF!</definedName>
    <definedName name="Ceramics_Factory__cost_per_unit" localSheetId="13">#REF!</definedName>
    <definedName name="Ceramics_Factory__cost_per_unit" localSheetId="12">#REF!</definedName>
    <definedName name="Ceramics_Factory__cost_per_unit" localSheetId="0">#REF!</definedName>
    <definedName name="Ceramics_Factory__cost_per_unit" localSheetId="5">#REF!</definedName>
    <definedName name="Ceramics_Factory__cost_per_unit" localSheetId="10">#REF!</definedName>
    <definedName name="Ceramics_Factory__cost_per_unit" localSheetId="4">#REF!</definedName>
    <definedName name="Ceramics_Factory__cost_per_unit" localSheetId="8">#REF!</definedName>
    <definedName name="Ceramics_Factory__cost_per_unit">#REF!</definedName>
    <definedName name="Ceramics_proj" localSheetId="11">#REF!</definedName>
    <definedName name="Ceramics_proj" localSheetId="9">#REF!</definedName>
    <definedName name="Ceramics_proj" localSheetId="13">#REF!</definedName>
    <definedName name="Ceramics_proj" localSheetId="12">#REF!</definedName>
    <definedName name="Ceramics_proj" localSheetId="0">#REF!</definedName>
    <definedName name="Ceramics_proj" localSheetId="5">#REF!</definedName>
    <definedName name="Ceramics_proj" localSheetId="10">#REF!</definedName>
    <definedName name="Ceramics_proj" localSheetId="4">#REF!</definedName>
    <definedName name="Ceramics_proj" localSheetId="8">#REF!</definedName>
    <definedName name="Ceramics_proj">#REF!</definedName>
    <definedName name="CF">'[11]Cash Flow'!$M$40</definedName>
    <definedName name="CFC_CURASS">'[17]Cash Flow'!$J$11:$J$11</definedName>
    <definedName name="CFC_CURLTLIAB">'[17]Cash Flow'!$J$26</definedName>
    <definedName name="CFC_CURRLIAB">'[17]Cash Flow'!$J$13:$J$13</definedName>
    <definedName name="CFC_DEFTAX">'[17]Cash Flow'!$J$18</definedName>
    <definedName name="CFC_DEPR">'[17]Cash Flow'!$J$7:$J$7</definedName>
    <definedName name="CFC_DISCOP">'[11]Cash Flow'!$J$50</definedName>
    <definedName name="CFC_DUEFROMICNET">'[11]Cash Flow'!$J$45</definedName>
    <definedName name="CFC_DUEFROMRELPARTY">'[11]Cash Flow'!$J$46</definedName>
    <definedName name="CFC_DUETOICNET">'[11]Cash Flow'!$J$48</definedName>
    <definedName name="CFC_DUETORELPARTY">'[11]Cash Flow'!$J$47</definedName>
    <definedName name="CFC_EXCHRATE">'[17]Cash Flow'!$J$6</definedName>
    <definedName name="CFC_FINTRANSLDIF">'[17]Cash Flow'!$J$19</definedName>
    <definedName name="CFC_FROMICNET">'[17]Cash Flow'!$J$22</definedName>
    <definedName name="CFC_FROMRPC">'[17]Cash Flow'!$J$23</definedName>
    <definedName name="CFC_INCTAX">'[11]Cash Flow'!$J$27</definedName>
    <definedName name="CFC_INV">'[17]Cash Flow'!$J$9</definedName>
    <definedName name="CFC_INVFORSALE">'[17]Cash Flow'!$J$20</definedName>
    <definedName name="CFC_MININT">'[11]Cash Flow'!$J$28</definedName>
    <definedName name="CFC_NETIL">'[17]Cash Flow'!$J$5</definedName>
    <definedName name="CFC_OPENCASH">'[17]Cash Flow'!$J$17</definedName>
    <definedName name="CFC_OTHRECEIV">'[11]Cash Flow'!$J$26</definedName>
    <definedName name="CFC_PAYABL">'[17]Cash Flow'!$J$12</definedName>
    <definedName name="CFC_PIKINT">'[17]Cash Flow'!$J$16</definedName>
    <definedName name="CFC_PIKPRINC">'[17]Cash Flow'!$J$15</definedName>
    <definedName name="CFC_PROV">'[17]Cash Flow'!$J$8</definedName>
    <definedName name="CFC_RECEIV">'[17]Cash Flow'!$J$10</definedName>
    <definedName name="CFC_STLOD">'[17]Cash Flow'!$J$21</definedName>
    <definedName name="CFC_TOICNET">'[17]Cash Flow'!$J$25</definedName>
    <definedName name="CFC_TORPC">'[17]Cash Flow'!$J$24</definedName>
    <definedName name="CFC_TRANSLDIF">'[11]Cash Flow'!$J$42</definedName>
    <definedName name="chk" localSheetId="11">#REF!</definedName>
    <definedName name="chk" localSheetId="9">#REF!</definedName>
    <definedName name="chk" localSheetId="13">#REF!</definedName>
    <definedName name="chk" localSheetId="12">#REF!</definedName>
    <definedName name="chk" localSheetId="0">#REF!</definedName>
    <definedName name="chk" localSheetId="5">#REF!</definedName>
    <definedName name="chk" localSheetId="10">#REF!</definedName>
    <definedName name="chk" localSheetId="4">#REF!</definedName>
    <definedName name="chk" localSheetId="8">#REF!</definedName>
    <definedName name="chk">#REF!</definedName>
    <definedName name="client" localSheetId="11">#REF!</definedName>
    <definedName name="client" localSheetId="9">#REF!</definedName>
    <definedName name="client" localSheetId="13">#REF!</definedName>
    <definedName name="client" localSheetId="12">#REF!</definedName>
    <definedName name="client" localSheetId="0">#REF!</definedName>
    <definedName name="client" localSheetId="5">#REF!</definedName>
    <definedName name="client" localSheetId="10">#REF!</definedName>
    <definedName name="client" localSheetId="4">#REF!</definedName>
    <definedName name="client" localSheetId="8">#REF!</definedName>
    <definedName name="client">#REF!</definedName>
    <definedName name="COEF" localSheetId="11">#REF!</definedName>
    <definedName name="COEF" localSheetId="9">#REF!</definedName>
    <definedName name="COEF" localSheetId="13">#REF!</definedName>
    <definedName name="COEF" localSheetId="12">#REF!</definedName>
    <definedName name="COEF" localSheetId="0">#REF!</definedName>
    <definedName name="COEF" localSheetId="5">#REF!</definedName>
    <definedName name="COEF" localSheetId="10">#REF!</definedName>
    <definedName name="COEF" localSheetId="4">#REF!</definedName>
    <definedName name="COEF" localSheetId="8">#REF!</definedName>
    <definedName name="COEF">#REF!</definedName>
    <definedName name="COLBOR" localSheetId="11">#REF!</definedName>
    <definedName name="COLBOR" localSheetId="9">#REF!</definedName>
    <definedName name="COLBOR" localSheetId="13">#REF!</definedName>
    <definedName name="COLBOR" localSheetId="12">#REF!</definedName>
    <definedName name="COLBOR" localSheetId="0">#REF!</definedName>
    <definedName name="COLBOR" localSheetId="5">#REF!</definedName>
    <definedName name="COLBOR" localSheetId="10">#REF!</definedName>
    <definedName name="COLBOR" localSheetId="4">#REF!</definedName>
    <definedName name="COLBOR" localSheetId="8">#REF!</definedName>
    <definedName name="COLBOR">#REF!</definedName>
    <definedName name="COMM_CPU" localSheetId="11">#REF!</definedName>
    <definedName name="COMM_CPU" localSheetId="9">#REF!</definedName>
    <definedName name="COMM_CPU" localSheetId="13">#REF!</definedName>
    <definedName name="COMM_CPU" localSheetId="12">#REF!</definedName>
    <definedName name="COMM_CPU" localSheetId="0">#REF!</definedName>
    <definedName name="COMM_CPU" localSheetId="5">#REF!</definedName>
    <definedName name="COMM_CPU" localSheetId="10">#REF!</definedName>
    <definedName name="COMM_CPU" localSheetId="4">#REF!</definedName>
    <definedName name="COMM_CPU" localSheetId="8">#REF!</definedName>
    <definedName name="COMM_CPU">#REF!</definedName>
    <definedName name="Comm_rack" localSheetId="11">#REF!</definedName>
    <definedName name="Comm_rack" localSheetId="9">#REF!</definedName>
    <definedName name="Comm_rack" localSheetId="13">#REF!</definedName>
    <definedName name="Comm_rack" localSheetId="12">#REF!</definedName>
    <definedName name="Comm_rack" localSheetId="0">#REF!</definedName>
    <definedName name="Comm_rack" localSheetId="5">#REF!</definedName>
    <definedName name="Comm_rack" localSheetId="10">#REF!</definedName>
    <definedName name="Comm_rack" localSheetId="4">#REF!</definedName>
    <definedName name="Comm_rack" localSheetId="8">#REF!</definedName>
    <definedName name="Comm_rack">#REF!</definedName>
    <definedName name="COMMISSION_ON_TRUCKS" localSheetId="11">[10]ASSUMPTIONS!#REF!</definedName>
    <definedName name="COMMISSION_ON_TRUCKS" localSheetId="9">[10]ASSUMPTIONS!#REF!</definedName>
    <definedName name="COMMISSION_ON_TRUCKS" localSheetId="13">[10]ASSUMPTIONS!#REF!</definedName>
    <definedName name="COMMISSION_ON_TRUCKS" localSheetId="12">[10]ASSUMPTIONS!#REF!</definedName>
    <definedName name="COMMISSION_ON_TRUCKS" localSheetId="0">[10]ASSUMPTIONS!#REF!</definedName>
    <definedName name="COMMISSION_ON_TRUCKS" localSheetId="5">[10]ASSUMPTIONS!#REF!</definedName>
    <definedName name="COMMISSION_ON_TRUCKS" localSheetId="10">[10]ASSUMPTIONS!#REF!</definedName>
    <definedName name="COMMISSION_ON_TRUCKS" localSheetId="4">[10]ASSUMPTIONS!#REF!</definedName>
    <definedName name="COMMISSION_ON_TRUCKS" localSheetId="8">[10]ASSUMPTIONS!#REF!</definedName>
    <definedName name="COMMISSION_ON_TRUCKS">[10]ASSUMPTIONS!#REF!</definedName>
    <definedName name="COMPANY">[17]Cover!$O$42</definedName>
    <definedName name="CONT" localSheetId="11">#REF!</definedName>
    <definedName name="CONT" localSheetId="9">#REF!</definedName>
    <definedName name="CONT" localSheetId="13">#REF!</definedName>
    <definedName name="CONT" localSheetId="12">#REF!</definedName>
    <definedName name="CONT" localSheetId="0">#REF!</definedName>
    <definedName name="CONT" localSheetId="5">#REF!</definedName>
    <definedName name="CONT" localSheetId="10">#REF!</definedName>
    <definedName name="CONT" localSheetId="4">#REF!</definedName>
    <definedName name="CONT" localSheetId="8">#REF!</definedName>
    <definedName name="CONT">#REF!</definedName>
    <definedName name="ContractTotal" localSheetId="11">#REF!</definedName>
    <definedName name="ContractTotal" localSheetId="9">#REF!</definedName>
    <definedName name="ContractTotal" localSheetId="13">#REF!</definedName>
    <definedName name="ContractTotal" localSheetId="12">#REF!</definedName>
    <definedName name="ContractTotal" localSheetId="0">#REF!</definedName>
    <definedName name="ContractTotal" localSheetId="5">#REF!</definedName>
    <definedName name="ContractTotal" localSheetId="10">#REF!</definedName>
    <definedName name="ContractTotal" localSheetId="4">#REF!</definedName>
    <definedName name="ContractTotal" localSheetId="8">#REF!</definedName>
    <definedName name="ContractTotal">#REF!</definedName>
    <definedName name="COST" localSheetId="11">#REF!</definedName>
    <definedName name="COST" localSheetId="9">#REF!</definedName>
    <definedName name="COST" localSheetId="13">#REF!</definedName>
    <definedName name="COST" localSheetId="12">#REF!</definedName>
    <definedName name="COST" localSheetId="0">#REF!</definedName>
    <definedName name="COST" localSheetId="5">#REF!</definedName>
    <definedName name="COST" localSheetId="10">#REF!</definedName>
    <definedName name="COST" localSheetId="4">#REF!</definedName>
    <definedName name="COST" localSheetId="8">#REF!</definedName>
    <definedName name="COST">#REF!</definedName>
    <definedName name="CPU" localSheetId="11">#REF!</definedName>
    <definedName name="CPU" localSheetId="9">#REF!</definedName>
    <definedName name="CPU" localSheetId="13">#REF!</definedName>
    <definedName name="CPU" localSheetId="12">#REF!</definedName>
    <definedName name="CPU" localSheetId="0">#REF!</definedName>
    <definedName name="CPU" localSheetId="5">#REF!</definedName>
    <definedName name="CPU" localSheetId="10">#REF!</definedName>
    <definedName name="CPU" localSheetId="4">#REF!</definedName>
    <definedName name="CPU" localSheetId="8">#REF!</definedName>
    <definedName name="CPU">#REF!</definedName>
    <definedName name="CREDIT___TOTAL_SALES" localSheetId="11">[10]ASSUMPTIONS!#REF!</definedName>
    <definedName name="CREDIT___TOTAL_SALES" localSheetId="9">[10]ASSUMPTIONS!#REF!</definedName>
    <definedName name="CREDIT___TOTAL_SALES" localSheetId="13">[10]ASSUMPTIONS!#REF!</definedName>
    <definedName name="CREDIT___TOTAL_SALES" localSheetId="12">[10]ASSUMPTIONS!#REF!</definedName>
    <definedName name="CREDIT___TOTAL_SALES" localSheetId="0">[10]ASSUMPTIONS!#REF!</definedName>
    <definedName name="CREDIT___TOTAL_SALES" localSheetId="5">[10]ASSUMPTIONS!#REF!</definedName>
    <definedName name="CREDIT___TOTAL_SALES" localSheetId="10">[10]ASSUMPTIONS!#REF!</definedName>
    <definedName name="CREDIT___TOTAL_SALES" localSheetId="4">[10]ASSUMPTIONS!#REF!</definedName>
    <definedName name="CREDIT___TOTAL_SALES" localSheetId="8">[10]ASSUMPTIONS!#REF!</definedName>
    <definedName name="CREDIT___TOTAL_SALES">[10]ASSUMPTIONS!#REF!</definedName>
    <definedName name="CS_DH">[18]BASICS!$C$55</definedName>
    <definedName name="CS_F100">[18]BASICS!$C$62</definedName>
    <definedName name="CS_FO">[18]BASICS!$C$63</definedName>
    <definedName name="CS_PL">[18]BASICS!$C$49</definedName>
    <definedName name="CS_SEC">[18]BASICS!$C$52</definedName>
    <definedName name="CS_SP">[18]BASICS!$C$58</definedName>
    <definedName name="CTD" localSheetId="11">#REF!</definedName>
    <definedName name="CTD" localSheetId="9">#REF!</definedName>
    <definedName name="CTD" localSheetId="13">#REF!</definedName>
    <definedName name="CTD" localSheetId="12">#REF!</definedName>
    <definedName name="CTD" localSheetId="0">#REF!</definedName>
    <definedName name="CTD" localSheetId="5">#REF!</definedName>
    <definedName name="CTD" localSheetId="10">#REF!</definedName>
    <definedName name="CTD" localSheetId="4">#REF!</definedName>
    <definedName name="CTD" localSheetId="8">#REF!</definedName>
    <definedName name="CTD">#REF!</definedName>
    <definedName name="CURR_MONTH">[19]Cover!$D$13</definedName>
    <definedName name="CURRENCY">[17]Cover!$D$35</definedName>
    <definedName name="d" localSheetId="11" hidden="1">#REF!</definedName>
    <definedName name="d" localSheetId="9" hidden="1">#REF!</definedName>
    <definedName name="d" localSheetId="13" hidden="1">#REF!</definedName>
    <definedName name="d" localSheetId="12" hidden="1">#REF!</definedName>
    <definedName name="d" localSheetId="0" hidden="1">#REF!</definedName>
    <definedName name="d" localSheetId="5" hidden="1">#REF!</definedName>
    <definedName name="d" localSheetId="10" hidden="1">#REF!</definedName>
    <definedName name="d" localSheetId="4" hidden="1">#REF!</definedName>
    <definedName name="d" localSheetId="8" hidden="1">#REF!</definedName>
    <definedName name="d" hidden="1">#REF!</definedName>
    <definedName name="DCF" localSheetId="11">#REF!</definedName>
    <definedName name="DCF" localSheetId="9">#REF!</definedName>
    <definedName name="DCF" localSheetId="13">#REF!</definedName>
    <definedName name="DCF" localSheetId="12">#REF!</definedName>
    <definedName name="DCF" localSheetId="0">#REF!</definedName>
    <definedName name="DCF" localSheetId="5">#REF!</definedName>
    <definedName name="DCF" localSheetId="10">#REF!</definedName>
    <definedName name="DCF" localSheetId="4">#REF!</definedName>
    <definedName name="DCF" localSheetId="8">#REF!</definedName>
    <definedName name="DCF">#REF!</definedName>
    <definedName name="DEC" localSheetId="11">#REF!</definedName>
    <definedName name="DEC" localSheetId="9">#REF!</definedName>
    <definedName name="DEC" localSheetId="13">#REF!</definedName>
    <definedName name="DEC" localSheetId="12">#REF!</definedName>
    <definedName name="DEC" localSheetId="0">#REF!</definedName>
    <definedName name="DEC" localSheetId="5">#REF!</definedName>
    <definedName name="DEC" localSheetId="10">#REF!</definedName>
    <definedName name="DEC" localSheetId="4">#REF!</definedName>
    <definedName name="DEC" localSheetId="8">#REF!</definedName>
    <definedName name="DEC">#REF!</definedName>
    <definedName name="df" localSheetId="11">#REF!</definedName>
    <definedName name="df" localSheetId="9">#REF!</definedName>
    <definedName name="df" localSheetId="13">#REF!</definedName>
    <definedName name="df" localSheetId="12">#REF!</definedName>
    <definedName name="df" localSheetId="0">#REF!</definedName>
    <definedName name="df" localSheetId="5">#REF!</definedName>
    <definedName name="df" localSheetId="10">#REF!</definedName>
    <definedName name="df" localSheetId="4">#REF!</definedName>
    <definedName name="df" localSheetId="8">#REF!</definedName>
    <definedName name="df">#REF!</definedName>
    <definedName name="DI_32" localSheetId="11">#REF!</definedName>
    <definedName name="DI_32" localSheetId="9">#REF!</definedName>
    <definedName name="DI_32" localSheetId="13">#REF!</definedName>
    <definedName name="DI_32" localSheetId="12">#REF!</definedName>
    <definedName name="DI_32" localSheetId="0">#REF!</definedName>
    <definedName name="DI_32" localSheetId="5">#REF!</definedName>
    <definedName name="DI_32" localSheetId="10">#REF!</definedName>
    <definedName name="DI_32" localSheetId="4">#REF!</definedName>
    <definedName name="DI_32" localSheetId="8">#REF!</definedName>
    <definedName name="DI_32">#REF!</definedName>
    <definedName name="DI_Config" localSheetId="11">#REF!</definedName>
    <definedName name="DI_Config" localSheetId="9">#REF!</definedName>
    <definedName name="DI_Config" localSheetId="13">#REF!</definedName>
    <definedName name="DI_Config" localSheetId="12">#REF!</definedName>
    <definedName name="DI_Config" localSheetId="0">#REF!</definedName>
    <definedName name="DI_Config" localSheetId="5">#REF!</definedName>
    <definedName name="DI_Config" localSheetId="10">#REF!</definedName>
    <definedName name="DI_Config" localSheetId="4">#REF!</definedName>
    <definedName name="DI_Config" localSheetId="8">#REF!</definedName>
    <definedName name="DI_Config">#REF!</definedName>
    <definedName name="DI_Rack" localSheetId="11">#REF!</definedName>
    <definedName name="DI_Rack" localSheetId="9">#REF!</definedName>
    <definedName name="DI_Rack" localSheetId="13">#REF!</definedName>
    <definedName name="DI_Rack" localSheetId="12">#REF!</definedName>
    <definedName name="DI_Rack" localSheetId="0">#REF!</definedName>
    <definedName name="DI_Rack" localSheetId="5">#REF!</definedName>
    <definedName name="DI_Rack" localSheetId="10">#REF!</definedName>
    <definedName name="DI_Rack" localSheetId="4">#REF!</definedName>
    <definedName name="DI_Rack" localSheetId="8">#REF!</definedName>
    <definedName name="DI_Rack">#REF!</definedName>
    <definedName name="DI_Request" localSheetId="11">#REF!</definedName>
    <definedName name="DI_Request" localSheetId="9">#REF!</definedName>
    <definedName name="DI_Request" localSheetId="13">#REF!</definedName>
    <definedName name="DI_Request" localSheetId="12">#REF!</definedName>
    <definedName name="DI_Request" localSheetId="0">#REF!</definedName>
    <definedName name="DI_Request" localSheetId="5">#REF!</definedName>
    <definedName name="DI_Request" localSheetId="10">#REF!</definedName>
    <definedName name="DI_Request" localSheetId="4">#REF!</definedName>
    <definedName name="DI_Request" localSheetId="8">#REF!</definedName>
    <definedName name="DI_Request">#REF!</definedName>
    <definedName name="DIN_WT" localSheetId="11">INDEX(INDIRECT(#REF!),(IF(#REF!="DIN2527",(MATCH(#REF!,[8]FLANGES_DIN!$C$4:$C$10,0)),1)),(MATCH(#REF!,[8]FLANGES_DIN!$D$3:$AN$3,0)))*#REF!</definedName>
    <definedName name="DIN_WT" localSheetId="9">INDEX(INDIRECT(#REF!),(IF(#REF!="DIN2527",(MATCH(#REF!,[8]FLANGES_DIN!$C$4:$C$10,0)),1)),(MATCH(#REF!,[8]FLANGES_DIN!$D$3:$AN$3,0)))*#REF!</definedName>
    <definedName name="DIN_WT" localSheetId="13">INDEX(INDIRECT(#REF!),(IF(#REF!="DIN2527",(MATCH(#REF!,[8]FLANGES_DIN!$C$4:$C$10,0)),1)),(MATCH(#REF!,[8]FLANGES_DIN!$D$3:$AN$3,0)))*#REF!</definedName>
    <definedName name="DIN_WT" localSheetId="12">INDEX(INDIRECT(#REF!),(IF(#REF!="DIN2527",(MATCH(#REF!,[8]FLANGES_DIN!$C$4:$C$10,0)),1)),(MATCH(#REF!,[8]FLANGES_DIN!$D$3:$AN$3,0)))*#REF!</definedName>
    <definedName name="DIN_WT" localSheetId="0">INDEX(INDIRECT(#REF!),(IF(#REF!="DIN2527",(MATCH(#REF!,[8]FLANGES_DIN!$C$4:$C$10,0)),1)),(MATCH(#REF!,[8]FLANGES_DIN!$D$3:$AN$3,0)))*#REF!</definedName>
    <definedName name="DIN_WT" localSheetId="5">INDEX(INDIRECT(#REF!),(IF(#REF!="DIN2527",(MATCH(#REF!,[8]FLANGES_DIN!$C$4:$C$10,0)),1)),(MATCH(#REF!,[8]FLANGES_DIN!$D$3:$AN$3,0)))*#REF!</definedName>
    <definedName name="DIN_WT" localSheetId="10">INDEX(INDIRECT(#REF!),(IF(#REF!="DIN2527",(MATCH(#REF!,[8]FLANGES_DIN!$C$4:$C$10,0)),1)),(MATCH(#REF!,[8]FLANGES_DIN!$D$3:$AN$3,0)))*#REF!</definedName>
    <definedName name="DIN_WT" localSheetId="4">INDEX(INDIRECT(#REF!),(IF(#REF!="DIN2527",(MATCH(#REF!,[8]FLANGES_DIN!$C$4:$C$10,0)),1)),(MATCH(#REF!,[8]FLANGES_DIN!$D$3:$AN$3,0)))*#REF!</definedName>
    <definedName name="DIN_WT" localSheetId="8">INDEX(INDIRECT(#REF!),(IF(#REF!="DIN2527",(MATCH(#REF!,[8]FLANGES_DIN!$C$4:$C$10,0)),1)),(MATCH(#REF!,[8]FLANGES_DIN!$D$3:$AN$3,0)))*#REF!</definedName>
    <definedName name="DIN_WT">INDEX(INDIRECT(#REF!),(IF(#REF!="DIN2527",(MATCH(#REF!,[8]FLANGES_DIN!$C$4:$C$10,0)),1)),(MATCH(#REF!,[8]FLANGES_DIN!$D$3:$AN$3,0)))*#REF!</definedName>
    <definedName name="DO_16" localSheetId="11">#REF!</definedName>
    <definedName name="DO_16" localSheetId="9">#REF!</definedName>
    <definedName name="DO_16" localSheetId="13">#REF!</definedName>
    <definedName name="DO_16" localSheetId="12">#REF!</definedName>
    <definedName name="DO_16" localSheetId="0">#REF!</definedName>
    <definedName name="DO_16" localSheetId="5">#REF!</definedName>
    <definedName name="DO_16" localSheetId="10">#REF!</definedName>
    <definedName name="DO_16" localSheetId="4">#REF!</definedName>
    <definedName name="DO_16" localSheetId="8">#REF!</definedName>
    <definedName name="DO_16">#REF!</definedName>
    <definedName name="DO_Config" localSheetId="11">#REF!</definedName>
    <definedName name="DO_Config" localSheetId="9">#REF!</definedName>
    <definedName name="DO_Config" localSheetId="13">#REF!</definedName>
    <definedName name="DO_Config" localSheetId="12">#REF!</definedName>
    <definedName name="DO_Config" localSheetId="0">#REF!</definedName>
    <definedName name="DO_Config" localSheetId="5">#REF!</definedName>
    <definedName name="DO_Config" localSheetId="10">#REF!</definedName>
    <definedName name="DO_Config" localSheetId="4">#REF!</definedName>
    <definedName name="DO_Config" localSheetId="8">#REF!</definedName>
    <definedName name="DO_Config">#REF!</definedName>
    <definedName name="DO_Rack" localSheetId="11">#REF!</definedName>
    <definedName name="DO_Rack" localSheetId="9">#REF!</definedName>
    <definedName name="DO_Rack" localSheetId="13">#REF!</definedName>
    <definedName name="DO_Rack" localSheetId="12">#REF!</definedName>
    <definedName name="DO_Rack" localSheetId="0">#REF!</definedName>
    <definedName name="DO_Rack" localSheetId="5">#REF!</definedName>
    <definedName name="DO_Rack" localSheetId="10">#REF!</definedName>
    <definedName name="DO_Rack" localSheetId="4">#REF!</definedName>
    <definedName name="DO_Rack" localSheetId="8">#REF!</definedName>
    <definedName name="DO_Rack">#REF!</definedName>
    <definedName name="DO_Request" localSheetId="11">#REF!</definedName>
    <definedName name="DO_Request" localSheetId="9">#REF!</definedName>
    <definedName name="DO_Request" localSheetId="13">#REF!</definedName>
    <definedName name="DO_Request" localSheetId="12">#REF!</definedName>
    <definedName name="DO_Request" localSheetId="0">#REF!</definedName>
    <definedName name="DO_Request" localSheetId="5">#REF!</definedName>
    <definedName name="DO_Request" localSheetId="10">#REF!</definedName>
    <definedName name="DO_Request" localSheetId="4">#REF!</definedName>
    <definedName name="DO_Request" localSheetId="8">#REF!</definedName>
    <definedName name="DO_Request">#REF!</definedName>
    <definedName name="Douze" localSheetId="11">'[20]Collection With Finance'!#REF!</definedName>
    <definedName name="Douze" localSheetId="9">'[20]Collection With Finance'!#REF!</definedName>
    <definedName name="Douze" localSheetId="13">'[20]Collection With Finance'!#REF!</definedName>
    <definedName name="Douze" localSheetId="12">'[20]Collection With Finance'!#REF!</definedName>
    <definedName name="Douze" localSheetId="0">'[20]Collection With Finance'!#REF!</definedName>
    <definedName name="Douze" localSheetId="5">'[20]Collection With Finance'!#REF!</definedName>
    <definedName name="Douze" localSheetId="10">'[20]Collection With Finance'!#REF!</definedName>
    <definedName name="Douze" localSheetId="4">'[20]Collection With Finance'!#REF!</definedName>
    <definedName name="Douze" localSheetId="8">'[20]Collection With Finance'!#REF!</definedName>
    <definedName name="Douze">'[20]Collection With Finance'!#REF!</definedName>
    <definedName name="DownPayment" localSheetId="11">#REF!</definedName>
    <definedName name="DownPayment" localSheetId="9">#REF!</definedName>
    <definedName name="DownPayment" localSheetId="13">#REF!</definedName>
    <definedName name="DownPayment" localSheetId="12">#REF!</definedName>
    <definedName name="DownPayment" localSheetId="0">#REF!</definedName>
    <definedName name="DownPayment" localSheetId="5">#REF!</definedName>
    <definedName name="DownPayment" localSheetId="10">#REF!</definedName>
    <definedName name="DownPayment" localSheetId="4">#REF!</definedName>
    <definedName name="DownPayment" localSheetId="8">#REF!</definedName>
    <definedName name="DownPayment">#REF!</definedName>
    <definedName name="ds" localSheetId="11">#REF!</definedName>
    <definedName name="ds" localSheetId="9">#REF!</definedName>
    <definedName name="ds" localSheetId="13">#REF!</definedName>
    <definedName name="ds" localSheetId="12">#REF!</definedName>
    <definedName name="ds" localSheetId="0">#REF!</definedName>
    <definedName name="ds" localSheetId="5">#REF!</definedName>
    <definedName name="ds" localSheetId="10">#REF!</definedName>
    <definedName name="ds" localSheetId="4">#REF!</definedName>
    <definedName name="ds" localSheetId="8">#REF!</definedName>
    <definedName name="ds">#REF!</definedName>
    <definedName name="DW" localSheetId="11">'[21]Jun 11 Rev Calc.'!#REF!</definedName>
    <definedName name="DW" localSheetId="9">'[21]Jun 11 Rev Calc.'!#REF!</definedName>
    <definedName name="DW" localSheetId="13">'[21]Jun 11 Rev Calc.'!#REF!</definedName>
    <definedName name="DW" localSheetId="12">'[21]Jun 11 Rev Calc.'!#REF!</definedName>
    <definedName name="DW" localSheetId="0">'[21]Jun 11 Rev Calc.'!#REF!</definedName>
    <definedName name="DW" localSheetId="5">'[21]Jun 11 Rev Calc.'!#REF!</definedName>
    <definedName name="DW" localSheetId="10">'[21]Jun 11 Rev Calc.'!#REF!</definedName>
    <definedName name="DW" localSheetId="4">'[21]Jun 11 Rev Calc.'!#REF!</definedName>
    <definedName name="DW" localSheetId="8">'[21]Jun 11 Rev Calc.'!#REF!</definedName>
    <definedName name="DW">'[21]Jun 11 Rev Calc.'!#REF!</definedName>
    <definedName name="e" localSheetId="11">#REF!</definedName>
    <definedName name="e" localSheetId="9">#REF!</definedName>
    <definedName name="e" localSheetId="13">#REF!</definedName>
    <definedName name="e" localSheetId="12">#REF!</definedName>
    <definedName name="e" localSheetId="0">#REF!</definedName>
    <definedName name="e" localSheetId="5">#REF!</definedName>
    <definedName name="e" localSheetId="10">#REF!</definedName>
    <definedName name="e" localSheetId="4">#REF!</definedName>
    <definedName name="e" localSheetId="8">#REF!</definedName>
    <definedName name="e">#REF!</definedName>
    <definedName name="Economic" localSheetId="11">#REF!</definedName>
    <definedName name="Economic" localSheetId="9">#REF!</definedName>
    <definedName name="Economic" localSheetId="13">#REF!</definedName>
    <definedName name="Economic" localSheetId="12">#REF!</definedName>
    <definedName name="Economic" localSheetId="0">#REF!</definedName>
    <definedName name="Economic" localSheetId="5">#REF!</definedName>
    <definedName name="Economic" localSheetId="10">#REF!</definedName>
    <definedName name="Economic" localSheetId="4">#REF!</definedName>
    <definedName name="Economic" localSheetId="8">#REF!</definedName>
    <definedName name="Economic">#REF!</definedName>
    <definedName name="efefew">'[1]elimination entries'!$B$136:$L$139</definedName>
    <definedName name="Empty" localSheetId="11">#REF!</definedName>
    <definedName name="Empty" localSheetId="9">#REF!</definedName>
    <definedName name="Empty" localSheetId="13">#REF!</definedName>
    <definedName name="Empty" localSheetId="12">#REF!</definedName>
    <definedName name="Empty" localSheetId="0">#REF!</definedName>
    <definedName name="Empty" localSheetId="5">#REF!</definedName>
    <definedName name="Empty" localSheetId="10">#REF!</definedName>
    <definedName name="Empty" localSheetId="4">#REF!</definedName>
    <definedName name="Empty" localSheetId="8">#REF!</definedName>
    <definedName name="Empty">#REF!</definedName>
    <definedName name="Engineering" localSheetId="11" hidden="1">#REF!</definedName>
    <definedName name="Engineering" localSheetId="9" hidden="1">#REF!</definedName>
    <definedName name="Engineering" localSheetId="13" hidden="1">#REF!</definedName>
    <definedName name="Engineering" localSheetId="12" hidden="1">#REF!</definedName>
    <definedName name="Engineering" localSheetId="0" hidden="1">#REF!</definedName>
    <definedName name="Engineering" localSheetId="5" hidden="1">#REF!</definedName>
    <definedName name="Engineering" localSheetId="10" hidden="1">#REF!</definedName>
    <definedName name="Engineering" localSheetId="4" hidden="1">#REF!</definedName>
    <definedName name="Engineering" localSheetId="8" hidden="1">#REF!</definedName>
    <definedName name="Engineering" hidden="1">#REF!</definedName>
    <definedName name="EPMWorkbookOptions_1" hidden="1">"J28AAB|LCAAAAAAABADtXWtvokoY/r7J/gfjd|Wq1ca6sYiVRIWjuD0nTUNAxpasggu0tv/|DIoKiFYtysX5tO5c3pl5fJ4ZLu9Ta78|ppPcOzAtzdDv8kQRz|eAPjJUTX|5y7/Z4wJRzv|q//xRezTMP4ph/OFnNmxq5WA/3br9sNS7/Kttz24xbD6fF|dU0TBfMBLHCezfbmcwegVTOb9urH3duKDpli3rI5CHo|ZyNcbQdTByxhQN5s00gW7"</definedName>
    <definedName name="EPMWorkbookOptions_2" hidden="1">"/1sB8Uemrbsq27JbC8p48Bcth10PaYDp7M7XFmEMLmIIJxgDGG4EiXEa|LrWErnQvML1HApee3E7K3L6t4DiOWfIMU2Yj7Fl6|qctCd3lvy2u12cF|HksTyzwXMOccTezaMxmE20kexA7eDarGP4onmJ3kfX1LAKDL|HZQuyAKljZBVMFmENd|/sGFlGfGsMmJ4r9Btd5Lj4JjT7bE9sE/Mj1pO5DVxLYPlz9VretwG0NmLI5ev3cNMpBXtzq2u"</definedName>
    <definedName name="EPMWorkbookOptions_3" hidden="1">"Qub5tvIJ/Dtns1tSnQHYoe3quGRbd2piGyD3z/P//KG4w4bHSyu2q4Tk70rJmEH5k2TmR3xT2|yfq/456UphXvqfFUtDVVBfp6YCswgLfpZlOygpMYvBrzdQzGmBhm3ZluDQup2Nd1AWZIzxCQFx3hhm|DD7slvxumZsN5LXbeZeetugP6tzTTsj0TCK8PBFrPcjdAh7YK50C9wTD8sCfWsLDKfTGWiMNju4QTVIXwBAj7LhZ9eVMFZh2vYcsPo"</definedName>
    <definedName name="EPMWorkbookOptions_4" hidden="1">"dGt2UT|FExjBkz7s06UyqUxUMaFUlmlCzQ5rhYqJQAKuAxIWlVu6BuFckb29woJ3JEtewAm8AQH6lJiYQh9oWS3SciZtQQxsG0fomY35Ema3v2tHtZ33462rD8ENc8Xfz6Srq8JTucpjtPw|upwmhIZpGkkl1Zu|ERSNmpkRF6UuJ4wFNMOTHK0fD8ccD12MJCaXJc4Wc4UVSrRNH24nMnsydmHpJ|394QEqZt20p4HmB7fY9OOTDLlTJ4s5/IN"</definedName>
    <definedName name="EPMWorkbookOptions_5" hidden="1">"gVcqN4fLmcq2nMkAa0kk513AIDmfS87Udy62y2WKOuJqm862nqkAbSmk513AID2fS8/0BR/ylLKtZzpAWxrpeRcwSM9R6nn1huiCUi5nT8rffc/mBkZc3becOsMPRImB6LL9C9L1JoN03QDpZyzDpJ2tZ4AEnTiRqrjJit9673K0gCvZE/ASQz9RmyIiaqREXaaRXJCo1ewRNZiK4xC1LbUPTE1xwyaSp5EigvAI4oEjPDbJa|wAJxEeXjxIKu1"</definedName>
    <definedName name="EPMWorkbookOptions_6" hidden="1">"4JOeca3X4xwueckQG87UcCP1bWEtiOjziaOg0T|Ao59yYMfwlaZrBfC0XxUCylvOoOf2PqSLGBN1KRSlfJz/9ktrNYHLWdop/J/UP65JDUJHrXpSgGUw3ciD0X6b3|U5H6vLwf2knajSYOKIlIVOKV33ghmJSwtENXfg0T9jMumxjMOyzg0tuaBnMt1rBCBnq8JXtc3yTQ2fuUY18swlvVMPCbMK|0lVzGC3MNZ0ML7UkdgUyGYbqxVS|cFXvMU"</definedName>
    <definedName name="EPMWorkbookOptions_7" hidden="1">"8inyXyWfr6Hu2zDN2bkGcy1VcVCfdMxkI55H88EhlheJ/6G5/kSDL51sc4VBl06yGX3jW69OJmHukyDxnKzse8hBrK4qYe5VIPeZ/OR72Eep/iph7tUg/ZdKKlXrJtOnGwDllukOUmLur5vCLII3JdHpE4GIf8Htfu95BBValW6WpBVRSqQJeISkEZ38gFuaxSSpUqkeRYTcA707BsfraNstez539Jjm4TnL8ex1mBctGvOhc9DsplOIc6Ykgyk"</definedName>
    <definedName name="EPMWorkbookOptions_8" hidden="1">"fmXHCkmOK88Dh26OeKLP/9|zeLz4tBA11q7pnmC4PqCyAz7cENjLnmjdEy6fBy686CypF36rRmRQcE|CGnHIjnyu7RNJeEvPbNsr0gO6eKwEyT8lSeyBqTCGuAt3P4RtlofjE1gvfI6PwP6Kk3cX7hox0yAbDpBeX0gv6|S0YOli6arH5uD5LQXKLqNt8v9zedqXVanmu5pOXfbcNZv2dRkZQK6wHyBPd2JbpX//LHp7f7YXf1/xSOTSidvAAA="</definedName>
    <definedName name="erytyrjy" localSheetId="11">[12]ASSUMPTIONS!#REF!</definedName>
    <definedName name="erytyrjy" localSheetId="9">[12]ASSUMPTIONS!#REF!</definedName>
    <definedName name="erytyrjy" localSheetId="13">[12]ASSUMPTIONS!#REF!</definedName>
    <definedName name="erytyrjy" localSheetId="12">[12]ASSUMPTIONS!#REF!</definedName>
    <definedName name="erytyrjy" localSheetId="0">[12]ASSUMPTIONS!#REF!</definedName>
    <definedName name="erytyrjy" localSheetId="5">[12]ASSUMPTIONS!#REF!</definedName>
    <definedName name="erytyrjy" localSheetId="10">[12]ASSUMPTIONS!#REF!</definedName>
    <definedName name="erytyrjy" localSheetId="4">[12]ASSUMPTIONS!#REF!</definedName>
    <definedName name="erytyrjy" localSheetId="8">[12]ASSUMPTIONS!#REF!</definedName>
    <definedName name="erytyrjy">[12]ASSUMPTIONS!#REF!</definedName>
    <definedName name="ETUDES" localSheetId="11">#REF!</definedName>
    <definedName name="ETUDES" localSheetId="9">#REF!</definedName>
    <definedName name="ETUDES" localSheetId="13">#REF!</definedName>
    <definedName name="ETUDES" localSheetId="12">#REF!</definedName>
    <definedName name="ETUDES" localSheetId="0">#REF!</definedName>
    <definedName name="ETUDES" localSheetId="5">#REF!</definedName>
    <definedName name="ETUDES" localSheetId="10">#REF!</definedName>
    <definedName name="ETUDES" localSheetId="4">#REF!</definedName>
    <definedName name="ETUDES" localSheetId="8">#REF!</definedName>
    <definedName name="ETUDES">#REF!</definedName>
    <definedName name="Euro" localSheetId="11">#REF!</definedName>
    <definedName name="Euro" localSheetId="9">#REF!</definedName>
    <definedName name="Euro" localSheetId="13">#REF!</definedName>
    <definedName name="Euro" localSheetId="12">#REF!</definedName>
    <definedName name="Euro" localSheetId="0">#REF!</definedName>
    <definedName name="Euro" localSheetId="5">#REF!</definedName>
    <definedName name="Euro" localSheetId="10">#REF!</definedName>
    <definedName name="Euro" localSheetId="4">#REF!</definedName>
    <definedName name="Euro" localSheetId="8">#REF!</definedName>
    <definedName name="Euro">#REF!</definedName>
    <definedName name="exposure_lkup">[13]cascading!$A$96:$B$125</definedName>
    <definedName name="extensions_lkup">'[13]extensions lookup'!$A$2:$F$53</definedName>
    <definedName name="f" localSheetId="11" hidden="1">#REF!</definedName>
    <definedName name="f" localSheetId="9" hidden="1">#REF!</definedName>
    <definedName name="f" localSheetId="13" hidden="1">#REF!</definedName>
    <definedName name="f" localSheetId="12" hidden="1">#REF!</definedName>
    <definedName name="f" localSheetId="0" hidden="1">#REF!</definedName>
    <definedName name="f" localSheetId="5" hidden="1">#REF!</definedName>
    <definedName name="f" localSheetId="10" hidden="1">#REF!</definedName>
    <definedName name="f" localSheetId="4" hidden="1">#REF!</definedName>
    <definedName name="f" localSheetId="8" hidden="1">#REF!</definedName>
    <definedName name="f" hidden="1">#REF!</definedName>
    <definedName name="fab_esc" localSheetId="11">#REF!</definedName>
    <definedName name="fab_esc" localSheetId="9">#REF!</definedName>
    <definedName name="fab_esc" localSheetId="13">#REF!</definedName>
    <definedName name="fab_esc" localSheetId="12">#REF!</definedName>
    <definedName name="fab_esc" localSheetId="0">#REF!</definedName>
    <definedName name="fab_esc" localSheetId="5">#REF!</definedName>
    <definedName name="fab_esc" localSheetId="10">#REF!</definedName>
    <definedName name="fab_esc" localSheetId="4">#REF!</definedName>
    <definedName name="fab_esc" localSheetId="8">#REF!</definedName>
    <definedName name="fab_esc">#REF!</definedName>
    <definedName name="fab_margin" localSheetId="11">#REF!</definedName>
    <definedName name="fab_margin" localSheetId="9">#REF!</definedName>
    <definedName name="fab_margin" localSheetId="13">#REF!</definedName>
    <definedName name="fab_margin" localSheetId="12">#REF!</definedName>
    <definedName name="fab_margin" localSheetId="0">#REF!</definedName>
    <definedName name="fab_margin" localSheetId="5">#REF!</definedName>
    <definedName name="fab_margin" localSheetId="10">#REF!</definedName>
    <definedName name="fab_margin" localSheetId="4">#REF!</definedName>
    <definedName name="fab_margin" localSheetId="8">#REF!</definedName>
    <definedName name="fab_margin">#REF!</definedName>
    <definedName name="Fab_profit" localSheetId="11">#REF!</definedName>
    <definedName name="Fab_profit" localSheetId="9">#REF!</definedName>
    <definedName name="Fab_profit" localSheetId="13">#REF!</definedName>
    <definedName name="Fab_profit" localSheetId="12">#REF!</definedName>
    <definedName name="Fab_profit" localSheetId="0">#REF!</definedName>
    <definedName name="Fab_profit" localSheetId="5">#REF!</definedName>
    <definedName name="Fab_profit" localSheetId="10">#REF!</definedName>
    <definedName name="Fab_profit" localSheetId="4">#REF!</definedName>
    <definedName name="Fab_profit" localSheetId="8">#REF!</definedName>
    <definedName name="Fab_profit">#REF!</definedName>
    <definedName name="fabrication" localSheetId="11">#REF!</definedName>
    <definedName name="fabrication" localSheetId="9">#REF!</definedName>
    <definedName name="fabrication" localSheetId="13">#REF!</definedName>
    <definedName name="fabrication" localSheetId="12">#REF!</definedName>
    <definedName name="fabrication" localSheetId="0">#REF!</definedName>
    <definedName name="fabrication" localSheetId="5">#REF!</definedName>
    <definedName name="fabrication" localSheetId="10">#REF!</definedName>
    <definedName name="fabrication" localSheetId="4">#REF!</definedName>
    <definedName name="fabrication" localSheetId="8">#REF!</definedName>
    <definedName name="fabrication">#REF!</definedName>
    <definedName name="fd.54" localSheetId="11">#REF!</definedName>
    <definedName name="fd.54" localSheetId="9">#REF!</definedName>
    <definedName name="fd.54" localSheetId="13">#REF!</definedName>
    <definedName name="fd.54" localSheetId="12">#REF!</definedName>
    <definedName name="fd.54" localSheetId="0">#REF!</definedName>
    <definedName name="fd.54" localSheetId="5">#REF!</definedName>
    <definedName name="fd.54" localSheetId="10">#REF!</definedName>
    <definedName name="fd.54" localSheetId="4">#REF!</definedName>
    <definedName name="fd.54" localSheetId="8">#REF!</definedName>
    <definedName name="fd.54">#REF!</definedName>
    <definedName name="Feb">[22]J.Entry!$B$42:$G$78,[22]J.Entry!$K$42:$R$78,[22]J.Entry!$V$42:$AC$78</definedName>
    <definedName name="fff" localSheetId="11" hidden="1">#REF!</definedName>
    <definedName name="fff" localSheetId="9" hidden="1">#REF!</definedName>
    <definedName name="fff" localSheetId="13" hidden="1">#REF!</definedName>
    <definedName name="fff" localSheetId="12" hidden="1">#REF!</definedName>
    <definedName name="fff" localSheetId="0" hidden="1">#REF!</definedName>
    <definedName name="fff" localSheetId="5" hidden="1">#REF!</definedName>
    <definedName name="fff" localSheetId="10" hidden="1">#REF!</definedName>
    <definedName name="fff" localSheetId="4" hidden="1">#REF!</definedName>
    <definedName name="fff" localSheetId="8" hidden="1">#REF!</definedName>
    <definedName name="fff" hidden="1">#REF!</definedName>
    <definedName name="FGGFFFFFFFFFFFFFFFFFFFF">'[1]elimination entries'!$B$59:$L$61</definedName>
    <definedName name="FilterDatabase" localSheetId="11" hidden="1">#REF!</definedName>
    <definedName name="FilterDatabase" localSheetId="9" hidden="1">#REF!</definedName>
    <definedName name="FilterDatabase" localSheetId="13" hidden="1">#REF!</definedName>
    <definedName name="FilterDatabase" localSheetId="12" hidden="1">#REF!</definedName>
    <definedName name="FilterDatabase" localSheetId="0" hidden="1">#REF!</definedName>
    <definedName name="FilterDatabase" localSheetId="5" hidden="1">#REF!</definedName>
    <definedName name="FilterDatabase" localSheetId="10" hidden="1">#REF!</definedName>
    <definedName name="FilterDatabase" localSheetId="4" hidden="1">#REF!</definedName>
    <definedName name="FilterDatabase" localSheetId="8" hidden="1">#REF!</definedName>
    <definedName name="FilterDatabase" hidden="1">#REF!</definedName>
    <definedName name="Final" localSheetId="11" hidden="1">#REF!</definedName>
    <definedName name="Final" localSheetId="9" hidden="1">#REF!</definedName>
    <definedName name="Final" localSheetId="13" hidden="1">#REF!</definedName>
    <definedName name="Final" localSheetId="12" hidden="1">#REF!</definedName>
    <definedName name="Final" localSheetId="0" hidden="1">#REF!</definedName>
    <definedName name="Final" localSheetId="5" hidden="1">#REF!</definedName>
    <definedName name="Final" localSheetId="10" hidden="1">#REF!</definedName>
    <definedName name="Final" localSheetId="4" hidden="1">#REF!</definedName>
    <definedName name="Final" localSheetId="8" hidden="1">#REF!</definedName>
    <definedName name="Final" hidden="1">#REF!</definedName>
    <definedName name="FINANCING_EXPENSES_AS___OF_SALES" localSheetId="11">[10]ASSUMPTIONS!#REF!</definedName>
    <definedName name="FINANCING_EXPENSES_AS___OF_SALES" localSheetId="9">[10]ASSUMPTIONS!#REF!</definedName>
    <definedName name="FINANCING_EXPENSES_AS___OF_SALES" localSheetId="13">[10]ASSUMPTIONS!#REF!</definedName>
    <definedName name="FINANCING_EXPENSES_AS___OF_SALES" localSheetId="12">[10]ASSUMPTIONS!#REF!</definedName>
    <definedName name="FINANCING_EXPENSES_AS___OF_SALES" localSheetId="0">[10]ASSUMPTIONS!#REF!</definedName>
    <definedName name="FINANCING_EXPENSES_AS___OF_SALES" localSheetId="5">[10]ASSUMPTIONS!#REF!</definedName>
    <definedName name="FINANCING_EXPENSES_AS___OF_SALES" localSheetId="10">[10]ASSUMPTIONS!#REF!</definedName>
    <definedName name="FINANCING_EXPENSES_AS___OF_SALES" localSheetId="4">[10]ASSUMPTIONS!#REF!</definedName>
    <definedName name="FINANCING_EXPENSES_AS___OF_SALES" localSheetId="8">[10]ASSUMPTIONS!#REF!</definedName>
    <definedName name="FINANCING_EXPENSES_AS___OF_SALES">[10]ASSUMPTIONS!#REF!</definedName>
    <definedName name="FINANCING_RATE_TO_OUR_CUSTOMERS" localSheetId="9">[15]ASSUMPTIONS!$B$57</definedName>
    <definedName name="FINANCING_RATE_TO_OUR_CUSTOMERS" localSheetId="13">[15]ASSUMPTIONS!$B$57</definedName>
    <definedName name="FINANCING_RATE_TO_OUR_CUSTOMERS" localSheetId="12">[15]ASSUMPTIONS!$B$57</definedName>
    <definedName name="FINANCING_RATE_TO_OUR_CUSTOMERS" localSheetId="4">[15]ASSUMPTIONS!$B$57</definedName>
    <definedName name="FINANCING_RATE_TO_OUR_CUSTOMERS" localSheetId="8">[15]ASSUMPTIONS!$B$57</definedName>
    <definedName name="FINANCING_RATE_TO_OUR_CUSTOMERS">[16]ASSUMPTIONS!$B$57</definedName>
    <definedName name="Fitt_cost" localSheetId="8">IF([18]VES1!#REF!="",0,INDEX([18]BASICS!$B$38:$J$43,MATCH([18]VES1!#REF!,[18]BASICS!$B$38:$B$43,0),9))</definedName>
    <definedName name="Fitt_cost">IF([18]VES1!XFC1="",0,INDEX([18]BASICS!$B$38:$J$43,MATCH([18]VES1!XFC1,[18]BASICS!$B$38:$B$43,0),9))</definedName>
    <definedName name="FITT_OFFER" localSheetId="8">IF('[23]M1-M4'!#REF!="",0,INDEX([23]BASICS!$B$38:$L$43,MATCH('[23]M1-M4'!#REF!,[23]BASICS!$B$38:$B$43,0),11))</definedName>
    <definedName name="FITT_OFFER">IF('[23]M1-M4'!XFB1="",0,INDEX([23]BASICS!$B$38:$L$43,MATCH('[23]M1-M4'!XFB1,[23]BASICS!$B$38:$B$43,0),11))</definedName>
    <definedName name="FITT_PRICE" localSheetId="8">IF('[23]M1-M4'!#REF!="",0,INDEX([23]BASICS!$B$38:$L$43,MATCH('[23]M1-M4'!#REF!,[23]BASICS!$B$38:$B$43,0),2))</definedName>
    <definedName name="FITT_PRICE">IF('[23]M1-M4'!XFC1="",0,INDEX([23]BASICS!$B$38:$L$43,MATCH('[23]M1-M4'!XFC1,[23]BASICS!$B$38:$B$43,0),2))</definedName>
    <definedName name="Fl_Cost" localSheetId="8">IF([18]VES1!#REF!="",0,INDEX([18]BASICS!$B$30:$J$35,MATCH([18]VES1!#REF!,[18]BASICS!$B$30:$B$35,0),9))</definedName>
    <definedName name="Fl_Cost">IF([18]VES1!XFC1="",0,INDEX([18]BASICS!$B$30:$J$35,MATCH([18]VES1!XFC1,[18]BASICS!$B$30:$B$35,0),9))</definedName>
    <definedName name="FLANG_OFFER" localSheetId="8">IF('[23]M1-M4'!#REF!="",0,INDEX([23]BASICS!$B$30:$L$35,MATCH('[23]M1-M4'!#REF!,[23]BASICS!$B$30:$B$35,0),11))</definedName>
    <definedName name="FLANG_OFFER">IF('[23]M1-M4'!XFB1="",0,INDEX([23]BASICS!$B$30:$L$35,MATCH('[23]M1-M4'!XFB1,[23]BASICS!$B$30:$B$35,0),11))</definedName>
    <definedName name="FLANG_PRICE" localSheetId="8">IF('[23]M1-M4'!#REF!="",0,INDEX([23]BASICS!$B$30:$L$35,MATCH('[23]M1-M4'!#REF!,[23]BASICS!$B$30:$B$35,0),2))</definedName>
    <definedName name="FLANG_PRICE">IF('[23]M1-M4'!XFC1="",0,INDEX([23]BASICS!$B$30:$L$35,MATCH('[23]M1-M4'!XFC1,[23]BASICS!$B$30:$B$35,0),2))</definedName>
    <definedName name="FLANGE_WT">#N/A</definedName>
    <definedName name="FLFIT_DUTY">#N/A</definedName>
    <definedName name="fs" localSheetId="11">#REF!</definedName>
    <definedName name="fs" localSheetId="9">#REF!</definedName>
    <definedName name="fs" localSheetId="13">#REF!</definedName>
    <definedName name="fs" localSheetId="12">#REF!</definedName>
    <definedName name="fs" localSheetId="0">#REF!</definedName>
    <definedName name="fs" localSheetId="5">#REF!</definedName>
    <definedName name="fs" localSheetId="10">#REF!</definedName>
    <definedName name="fs" localSheetId="4">#REF!</definedName>
    <definedName name="fs" localSheetId="8">#REF!</definedName>
    <definedName name="fs">#REF!</definedName>
    <definedName name="GEN_SETS_G.P." localSheetId="11">[12]ASSUMPTIONS!#REF!</definedName>
    <definedName name="GEN_SETS_G.P." localSheetId="9">[12]ASSUMPTIONS!#REF!</definedName>
    <definedName name="GEN_SETS_G.P." localSheetId="13">[12]ASSUMPTIONS!#REF!</definedName>
    <definedName name="GEN_SETS_G.P." localSheetId="12">[12]ASSUMPTIONS!#REF!</definedName>
    <definedName name="GEN_SETS_G.P." localSheetId="0">[12]ASSUMPTIONS!#REF!</definedName>
    <definedName name="GEN_SETS_G.P." localSheetId="5">[12]ASSUMPTIONS!#REF!</definedName>
    <definedName name="GEN_SETS_G.P." localSheetId="10">[12]ASSUMPTIONS!#REF!</definedName>
    <definedName name="GEN_SETS_G.P." localSheetId="4">[12]ASSUMPTIONS!#REF!</definedName>
    <definedName name="GEN_SETS_G.P." localSheetId="8">[12]ASSUMPTIONS!#REF!</definedName>
    <definedName name="GEN_SETS_G.P.">[12]ASSUMPTIONS!#REF!</definedName>
    <definedName name="gf" localSheetId="11" hidden="1">{"COLOMBIE",#N/A,FALSE,"SIDEM";"COLOMBIE",#N/A,FALSE,"GEC";"COLOMBIE",#N/A,FALSE,"TAB MT-BT"}</definedName>
    <definedName name="gf" localSheetId="9" hidden="1">{"COLOMBIE",#N/A,FALSE,"SIDEM";"COLOMBIE",#N/A,FALSE,"GEC";"COLOMBIE",#N/A,FALSE,"TAB MT-BT"}</definedName>
    <definedName name="gf" localSheetId="13" hidden="1">{"COLOMBIE",#N/A,FALSE,"SIDEM";"COLOMBIE",#N/A,FALSE,"GEC";"COLOMBIE",#N/A,FALSE,"TAB MT-BT"}</definedName>
    <definedName name="gf" localSheetId="12" hidden="1">{"COLOMBIE",#N/A,FALSE,"SIDEM";"COLOMBIE",#N/A,FALSE,"GEC";"COLOMBIE",#N/A,FALSE,"TAB MT-BT"}</definedName>
    <definedName name="gf" localSheetId="0" hidden="1">{"COLOMBIE",#N/A,FALSE,"SIDEM";"COLOMBIE",#N/A,FALSE,"GEC";"COLOMBIE",#N/A,FALSE,"TAB MT-BT"}</definedName>
    <definedName name="gf" localSheetId="5" hidden="1">{"COLOMBIE",#N/A,FALSE,"SIDEM";"COLOMBIE",#N/A,FALSE,"GEC";"COLOMBIE",#N/A,FALSE,"TAB MT-BT"}</definedName>
    <definedName name="gf" localSheetId="10" hidden="1">{"COLOMBIE",#N/A,FALSE,"SIDEM";"COLOMBIE",#N/A,FALSE,"GEC";"COLOMBIE",#N/A,FALSE,"TAB MT-BT"}</definedName>
    <definedName name="gf" localSheetId="4" hidden="1">{"COLOMBIE",#N/A,FALSE,"SIDEM";"COLOMBIE",#N/A,FALSE,"GEC";"COLOMBIE",#N/A,FALSE,"TAB MT-BT"}</definedName>
    <definedName name="gf" localSheetId="8" hidden="1">{"COLOMBIE",#N/A,FALSE,"SIDEM";"COLOMBIE",#N/A,FALSE,"GEC";"COLOMBIE",#N/A,FALSE,"TAB MT-BT"}</definedName>
    <definedName name="gf" hidden="1">{"COLOMBIE",#N/A,FALSE,"SIDEM";"COLOMBIE",#N/A,FALSE,"GEC";"COLOMBIE",#N/A,FALSE,"TAB MT-BT"}</definedName>
    <definedName name="gfgfg">[16]ASSUMPTIONS!$B$57</definedName>
    <definedName name="gh" localSheetId="11">#REF!</definedName>
    <definedName name="gh" localSheetId="9">#REF!</definedName>
    <definedName name="gh" localSheetId="13">#REF!</definedName>
    <definedName name="gh" localSheetId="12">#REF!</definedName>
    <definedName name="gh" localSheetId="0">#REF!</definedName>
    <definedName name="gh" localSheetId="5">#REF!</definedName>
    <definedName name="gh" localSheetId="10">#REF!</definedName>
    <definedName name="gh" localSheetId="4">#REF!</definedName>
    <definedName name="gh" localSheetId="8">#REF!</definedName>
    <definedName name="gh">#REF!</definedName>
    <definedName name="GL_Trx" localSheetId="11">#REF!</definedName>
    <definedName name="GL_Trx" localSheetId="9">#REF!</definedName>
    <definedName name="GL_Trx" localSheetId="13">#REF!</definedName>
    <definedName name="GL_Trx" localSheetId="12">#REF!</definedName>
    <definedName name="GL_Trx" localSheetId="0">#REF!</definedName>
    <definedName name="GL_Trx" localSheetId="5">#REF!</definedName>
    <definedName name="GL_Trx" localSheetId="10">#REF!</definedName>
    <definedName name="GL_Trx" localSheetId="4">#REF!</definedName>
    <definedName name="GL_Trx" localSheetId="8">#REF!</definedName>
    <definedName name="GL_Trx">#REF!</definedName>
    <definedName name="GPAnalysis" localSheetId="11" hidden="1">#REF!</definedName>
    <definedName name="GPAnalysis" localSheetId="9" hidden="1">#REF!</definedName>
    <definedName name="GPAnalysis" localSheetId="13" hidden="1">#REF!</definedName>
    <definedName name="GPAnalysis" localSheetId="12" hidden="1">#REF!</definedName>
    <definedName name="GPAnalysis" localSheetId="0" hidden="1">#REF!</definedName>
    <definedName name="GPAnalysis" localSheetId="5" hidden="1">#REF!</definedName>
    <definedName name="GPAnalysis" localSheetId="10" hidden="1">#REF!</definedName>
    <definedName name="GPAnalysis" localSheetId="4" hidden="1">#REF!</definedName>
    <definedName name="GPAnalysis" localSheetId="8" hidden="1">#REF!</definedName>
    <definedName name="GPAnalysis" hidden="1">#REF!</definedName>
    <definedName name="Groups">[13]cascading!$A$40:$A$45</definedName>
    <definedName name="GTTA">'[24]간접비(1)'!$AE$54</definedName>
    <definedName name="GTTB">'[24]간접비(1)'!$AF$54</definedName>
    <definedName name="Head_cost" localSheetId="8">IF([18]VES1!#REF!="",0,INDEX([18]BASICS!$B$15:$J$19,MATCH([18]VES1!#REF!,[18]BASICS!$B$15:$B$19,0),9))</definedName>
    <definedName name="Head_cost">IF([18]VES1!XFC1="",0,INDEX([18]BASICS!$B$15:$J$19,MATCH([18]VES1!XFC1,[18]BASICS!$B$15:$B$19,0),9))</definedName>
    <definedName name="HEAD_DUTY">#N/A</definedName>
    <definedName name="HEAD_OFFER" localSheetId="8">IF('[23]M1-M4'!#REF!="",0,INDEX([23]BASICS!$B$15:$L$19,MATCH('[23]M1-M4'!#REF!,[23]BASICS!$B$15:$B$19,0),11))</definedName>
    <definedName name="HEAD_OFFER">IF('[23]M1-M4'!XFB1="",0,INDEX([23]BASICS!$B$15:$L$19,MATCH('[23]M1-M4'!XFB1,[23]BASICS!$B$15:$B$19,0),11))</definedName>
    <definedName name="HEAD_PRICE" localSheetId="8">IF('[23]M1-M4'!#REF!="",0,INDEX([23]BASICS!$B$15:$L$19,MATCH('[23]M1-M4'!#REF!,[23]BASICS!$B$15:$B$19,0),2))</definedName>
    <definedName name="HEAD_PRICE">IF('[23]M1-M4'!XFC1="",0,INDEX([23]BASICS!$B$15:$L$19,MATCH('[23]M1-M4'!XFC1,[23]BASICS!$B$15:$B$19,0),2))</definedName>
    <definedName name="Head_wt" localSheetId="8">IF([18]VES1!#REF!="DIN28013",(8.63*[18]VES1!#REF!*(1.085*([18]VES1!#REF!^2)+([18]VES1!#REF!*PI()*[18]VES1!#REF!))),IF([18]VES1!#REF!="din28011",(8.63*[18]VES1!#REF!*(0.99*([18]VES1!#REF!^2)+([18]VES1!#REF!*PI()*[18]VES1!#REF!))),7.85*((2*PI()*((([18]VES1!#REF!/2)^3)-((0.5*[18]VES1!#REF!-[18]VES1!#REF!)^3)))/3)))*[18]VES1!#REF!/1000000</definedName>
    <definedName name="Head_wt">IF([18]VES1!XFD1="DIN28013",(8.63*[18]VES1!XFA1*(1.085*([18]VES1!XFB1^2)+([18]VES1!XFB1*PI()*[18]VES1!XFC1))),IF([18]VES1!XFD1="din28011",(8.63*[18]VES1!XFA1*(0.99*([18]VES1!XFB1^2)+([18]VES1!XFB1*PI()*[18]VES1!XFC1))),7.85*((2*PI()*((([18]VES1!XFB1/2)^3)-((0.5*[18]VES1!XFB1-[18]VES1!XFA1)^3)))/3)))*[18]VES1!XEZ1/1000000</definedName>
    <definedName name="hfkklj.kjj" localSheetId="11">#REF!</definedName>
    <definedName name="hfkklj.kjj" localSheetId="9">#REF!</definedName>
    <definedName name="hfkklj.kjj" localSheetId="13">#REF!</definedName>
    <definedName name="hfkklj.kjj" localSheetId="12">#REF!</definedName>
    <definedName name="hfkklj.kjj" localSheetId="0">#REF!</definedName>
    <definedName name="hfkklj.kjj" localSheetId="5">#REF!</definedName>
    <definedName name="hfkklj.kjj" localSheetId="10">#REF!</definedName>
    <definedName name="hfkklj.kjj" localSheetId="4">#REF!</definedName>
    <definedName name="hfkklj.kjj" localSheetId="8">#REF!</definedName>
    <definedName name="hfkklj.kjj">#REF!</definedName>
    <definedName name="hhhhhhhhhhhhhhhh">'[1]elimination entries'!$B$277:$L$279</definedName>
    <definedName name="htrht" localSheetId="11">#REF!</definedName>
    <definedName name="htrht" localSheetId="9">#REF!</definedName>
    <definedName name="htrht" localSheetId="13">#REF!</definedName>
    <definedName name="htrht" localSheetId="12">#REF!</definedName>
    <definedName name="htrht" localSheetId="0">#REF!</definedName>
    <definedName name="htrht" localSheetId="5">#REF!</definedName>
    <definedName name="htrht" localSheetId="10">#REF!</definedName>
    <definedName name="htrht" localSheetId="4">#REF!</definedName>
    <definedName name="htrht" localSheetId="8">#REF!</definedName>
    <definedName name="htrht">#REF!</definedName>
    <definedName name="IO_DCS" localSheetId="11">#REF!</definedName>
    <definedName name="IO_DCS" localSheetId="9">#REF!</definedName>
    <definedName name="IO_DCS" localSheetId="13">#REF!</definedName>
    <definedName name="IO_DCS" localSheetId="12">#REF!</definedName>
    <definedName name="IO_DCS" localSheetId="0">#REF!</definedName>
    <definedName name="IO_DCS" localSheetId="5">#REF!</definedName>
    <definedName name="IO_DCS" localSheetId="10">#REF!</definedName>
    <definedName name="IO_DCS" localSheetId="4">#REF!</definedName>
    <definedName name="IO_DCS" localSheetId="8">#REF!</definedName>
    <definedName name="IO_DCS">#REF!</definedName>
    <definedName name="IO_PLC" localSheetId="11">#REF!</definedName>
    <definedName name="IO_PLC" localSheetId="9">#REF!</definedName>
    <definedName name="IO_PLC" localSheetId="13">#REF!</definedName>
    <definedName name="IO_PLC" localSheetId="12">#REF!</definedName>
    <definedName name="IO_PLC" localSheetId="0">#REF!</definedName>
    <definedName name="IO_PLC" localSheetId="5">#REF!</definedName>
    <definedName name="IO_PLC" localSheetId="10">#REF!</definedName>
    <definedName name="IO_PLC" localSheetId="4">#REF!</definedName>
    <definedName name="IO_PLC" localSheetId="8">#REF!</definedName>
    <definedName name="IO_PLC">#REF!</definedName>
    <definedName name="irfiornruonubuofdviorhuorhvfruiowh" localSheetId="11">#REF!</definedName>
    <definedName name="irfiornruonubuofdviorhuorhvfruiowh" localSheetId="9">#REF!</definedName>
    <definedName name="irfiornruonubuofdviorhuorhvfruiowh" localSheetId="13">#REF!</definedName>
    <definedName name="irfiornruonubuofdviorhuorhvfruiowh" localSheetId="12">#REF!</definedName>
    <definedName name="irfiornruonubuofdviorhuorhvfruiowh" localSheetId="0">#REF!</definedName>
    <definedName name="irfiornruonubuofdviorhuorhvfruiowh" localSheetId="5">#REF!</definedName>
    <definedName name="irfiornruonubuofdviorhuorhvfruiowh" localSheetId="10">#REF!</definedName>
    <definedName name="irfiornruonubuofdviorhuorhvfruiowh" localSheetId="4">#REF!</definedName>
    <definedName name="irfiornruonubuofdviorhuorhvfruiowh" localSheetId="8">#REF!</definedName>
    <definedName name="irfiornruonubuofdviorhuorhvfruiowh">#REF!</definedName>
    <definedName name="IRR" localSheetId="11">#REF!</definedName>
    <definedName name="IRR" localSheetId="9">#REF!</definedName>
    <definedName name="IRR" localSheetId="13">#REF!</definedName>
    <definedName name="IRR" localSheetId="12">#REF!</definedName>
    <definedName name="IRR" localSheetId="0">#REF!</definedName>
    <definedName name="IRR" localSheetId="5">#REF!</definedName>
    <definedName name="IRR" localSheetId="10">#REF!</definedName>
    <definedName name="IRR" localSheetId="4">#REF!</definedName>
    <definedName name="IRR" localSheetId="8">#REF!</definedName>
    <definedName name="IRR">#REF!</definedName>
    <definedName name="Jan">[22]J.Entry!$B$2:$G$38,[22]J.Entry!$K$2:$R$38,[22]J.Entry!$V$2:$AC$38</definedName>
    <definedName name="jjjjjjjjjjjjjjjjjjj" localSheetId="8">'[25]elimination entries'!$B$136:$L$139</definedName>
    <definedName name="jjjjjjjjjjjjjjjjjjj">'[2]elimination entries'!$B$136:$L$139</definedName>
    <definedName name="kh" localSheetId="11">#REF!</definedName>
    <definedName name="kh" localSheetId="9">#REF!</definedName>
    <definedName name="kh" localSheetId="13">#REF!</definedName>
    <definedName name="kh" localSheetId="12">#REF!</definedName>
    <definedName name="kh" localSheetId="0">#REF!</definedName>
    <definedName name="kh" localSheetId="5">#REF!</definedName>
    <definedName name="kh" localSheetId="10">#REF!</definedName>
    <definedName name="kh" localSheetId="4">#REF!</definedName>
    <definedName name="kh" localSheetId="8">#REF!</definedName>
    <definedName name="kh">#REF!</definedName>
    <definedName name="khg" localSheetId="11" hidden="1">{"COLOMBIE",#N/A,FALSE,"SIDEM";"COLOMBIE",#N/A,FALSE,"GEC";"COLOMBIE",#N/A,FALSE,"TAB MT-BT"}</definedName>
    <definedName name="khg" localSheetId="9" hidden="1">{"COLOMBIE",#N/A,FALSE,"SIDEM";"COLOMBIE",#N/A,FALSE,"GEC";"COLOMBIE",#N/A,FALSE,"TAB MT-BT"}</definedName>
    <definedName name="khg" localSheetId="13" hidden="1">{"COLOMBIE",#N/A,FALSE,"SIDEM";"COLOMBIE",#N/A,FALSE,"GEC";"COLOMBIE",#N/A,FALSE,"TAB MT-BT"}</definedName>
    <definedName name="khg" localSheetId="12" hidden="1">{"COLOMBIE",#N/A,FALSE,"SIDEM";"COLOMBIE",#N/A,FALSE,"GEC";"COLOMBIE",#N/A,FALSE,"TAB MT-BT"}</definedName>
    <definedName name="khg" localSheetId="0" hidden="1">{"COLOMBIE",#N/A,FALSE,"SIDEM";"COLOMBIE",#N/A,FALSE,"GEC";"COLOMBIE",#N/A,FALSE,"TAB MT-BT"}</definedName>
    <definedName name="khg" localSheetId="5" hidden="1">{"COLOMBIE",#N/A,FALSE,"SIDEM";"COLOMBIE",#N/A,FALSE,"GEC";"COLOMBIE",#N/A,FALSE,"TAB MT-BT"}</definedName>
    <definedName name="khg" localSheetId="10" hidden="1">{"COLOMBIE",#N/A,FALSE,"SIDEM";"COLOMBIE",#N/A,FALSE,"GEC";"COLOMBIE",#N/A,FALSE,"TAB MT-BT"}</definedName>
    <definedName name="khg" localSheetId="4" hidden="1">{"COLOMBIE",#N/A,FALSE,"SIDEM";"COLOMBIE",#N/A,FALSE,"GEC";"COLOMBIE",#N/A,FALSE,"TAB MT-BT"}</definedName>
    <definedName name="khg" localSheetId="8" hidden="1">{"COLOMBIE",#N/A,FALSE,"SIDEM";"COLOMBIE",#N/A,FALSE,"GEC";"COLOMBIE",#N/A,FALSE,"TAB MT-BT"}</definedName>
    <definedName name="khg" hidden="1">{"COLOMBIE",#N/A,FALSE,"SIDEM";"COLOMBIE",#N/A,FALSE,"GEC";"COLOMBIE",#N/A,FALSE,"TAB MT-BT"}</definedName>
    <definedName name="KKK" localSheetId="11" hidden="1">#REF!</definedName>
    <definedName name="KKK" localSheetId="9" hidden="1">#REF!</definedName>
    <definedName name="KKK" localSheetId="13" hidden="1">#REF!</definedName>
    <definedName name="KKK" localSheetId="12" hidden="1">#REF!</definedName>
    <definedName name="KKK" localSheetId="0" hidden="1">#REF!</definedName>
    <definedName name="KKK" localSheetId="5" hidden="1">#REF!</definedName>
    <definedName name="KKK" localSheetId="10" hidden="1">#REF!</definedName>
    <definedName name="KKK" localSheetId="4" hidden="1">#REF!</definedName>
    <definedName name="KKK" localSheetId="8" hidden="1">#REF!</definedName>
    <definedName name="KKK" hidden="1">#REF!</definedName>
    <definedName name="km" localSheetId="11">#REF!</definedName>
    <definedName name="km" localSheetId="9">#REF!</definedName>
    <definedName name="km" localSheetId="13">#REF!</definedName>
    <definedName name="km" localSheetId="12">#REF!</definedName>
    <definedName name="km" localSheetId="0">#REF!</definedName>
    <definedName name="km" localSheetId="5">#REF!</definedName>
    <definedName name="km" localSheetId="10">#REF!</definedName>
    <definedName name="km" localSheetId="4">#REF!</definedName>
    <definedName name="km" localSheetId="8">#REF!</definedName>
    <definedName name="km">#REF!</definedName>
    <definedName name="LF_COL_OPENING" localSheetId="11">#REF!</definedName>
    <definedName name="LF_COL_OPENING" localSheetId="9">#REF!</definedName>
    <definedName name="LF_COL_OPENING" localSheetId="13">#REF!</definedName>
    <definedName name="LF_COL_OPENING" localSheetId="12">#REF!</definedName>
    <definedName name="LF_COL_OPENING" localSheetId="0">#REF!</definedName>
    <definedName name="LF_COL_OPENING" localSheetId="5">#REF!</definedName>
    <definedName name="LF_COL_OPENING" localSheetId="10">#REF!</definedName>
    <definedName name="LF_COL_OPENING" localSheetId="4">#REF!</definedName>
    <definedName name="LF_COL_OPENING" localSheetId="8">#REF!</definedName>
    <definedName name="LF_COL_OPENING">#REF!</definedName>
    <definedName name="LIGBOQ" localSheetId="11">#REF!</definedName>
    <definedName name="LIGBOQ" localSheetId="9">#REF!</definedName>
    <definedName name="LIGBOQ" localSheetId="13">#REF!</definedName>
    <definedName name="LIGBOQ" localSheetId="12">#REF!</definedName>
    <definedName name="LIGBOQ" localSheetId="0">#REF!</definedName>
    <definedName name="LIGBOQ" localSheetId="5">#REF!</definedName>
    <definedName name="LIGBOQ" localSheetId="10">#REF!</definedName>
    <definedName name="LIGBOQ" localSheetId="4">#REF!</definedName>
    <definedName name="LIGBOQ" localSheetId="8">#REF!</definedName>
    <definedName name="LIGBOQ">#REF!</definedName>
    <definedName name="LIGGARDE" localSheetId="11">#REF!</definedName>
    <definedName name="LIGGARDE" localSheetId="9">#REF!</definedName>
    <definedName name="LIGGARDE" localSheetId="13">#REF!</definedName>
    <definedName name="LIGGARDE" localSheetId="12">#REF!</definedName>
    <definedName name="LIGGARDE" localSheetId="0">#REF!</definedName>
    <definedName name="LIGGARDE" localSheetId="5">#REF!</definedName>
    <definedName name="LIGGARDE" localSheetId="10">#REF!</definedName>
    <definedName name="LIGGARDE" localSheetId="4">#REF!</definedName>
    <definedName name="LIGGARDE" localSheetId="8">#REF!</definedName>
    <definedName name="LIGGARDE">#REF!</definedName>
    <definedName name="Lighting_Fixtures" localSheetId="11">#REF!</definedName>
    <definedName name="Lighting_Fixtures" localSheetId="9">#REF!</definedName>
    <definedName name="Lighting_Fixtures" localSheetId="13">#REF!</definedName>
    <definedName name="Lighting_Fixtures" localSheetId="12">#REF!</definedName>
    <definedName name="Lighting_Fixtures" localSheetId="0">#REF!</definedName>
    <definedName name="Lighting_Fixtures" localSheetId="5">#REF!</definedName>
    <definedName name="Lighting_Fixtures" localSheetId="10">#REF!</definedName>
    <definedName name="Lighting_Fixtures" localSheetId="4">#REF!</definedName>
    <definedName name="Lighting_Fixtures" localSheetId="8">#REF!</definedName>
    <definedName name="Lighting_Fixtures">#REF!</definedName>
    <definedName name="LIGRECAP" localSheetId="11">#REF!</definedName>
    <definedName name="LIGRECAP" localSheetId="9">#REF!</definedName>
    <definedName name="LIGRECAP" localSheetId="13">#REF!</definedName>
    <definedName name="LIGRECAP" localSheetId="12">#REF!</definedName>
    <definedName name="LIGRECAP" localSheetId="0">#REF!</definedName>
    <definedName name="LIGRECAP" localSheetId="5">#REF!</definedName>
    <definedName name="LIGRECAP" localSheetId="10">#REF!</definedName>
    <definedName name="LIGRECAP" localSheetId="4">#REF!</definedName>
    <definedName name="LIGRECAP" localSheetId="8">#REF!</definedName>
    <definedName name="LIGRECAP">#REF!</definedName>
    <definedName name="LIGTITRE" localSheetId="11">#REF!</definedName>
    <definedName name="LIGTITRE" localSheetId="9">#REF!</definedName>
    <definedName name="LIGTITRE" localSheetId="13">#REF!</definedName>
    <definedName name="LIGTITRE" localSheetId="12">#REF!</definedName>
    <definedName name="LIGTITRE" localSheetId="0">#REF!</definedName>
    <definedName name="LIGTITRE" localSheetId="5">#REF!</definedName>
    <definedName name="LIGTITRE" localSheetId="10">#REF!</definedName>
    <definedName name="LIGTITRE" localSheetId="4">#REF!</definedName>
    <definedName name="LIGTITRE" localSheetId="8">#REF!</definedName>
    <definedName name="LIGTITRE">#REF!</definedName>
    <definedName name="lk" localSheetId="11">#REF!</definedName>
    <definedName name="lk" localSheetId="9">#REF!</definedName>
    <definedName name="lk" localSheetId="13">#REF!</definedName>
    <definedName name="lk" localSheetId="12">#REF!</definedName>
    <definedName name="lk" localSheetId="0">#REF!</definedName>
    <definedName name="lk" localSheetId="5">#REF!</definedName>
    <definedName name="lk" localSheetId="10">#REF!</definedName>
    <definedName name="lk" localSheetId="4">#REF!</definedName>
    <definedName name="lk" localSheetId="8">#REF!</definedName>
    <definedName name="lk">#REF!</definedName>
    <definedName name="M" localSheetId="11">#REF!</definedName>
    <definedName name="M" localSheetId="9">#REF!</definedName>
    <definedName name="M" localSheetId="13">#REF!</definedName>
    <definedName name="M" localSheetId="12">#REF!</definedName>
    <definedName name="M" localSheetId="0">#REF!</definedName>
    <definedName name="M" localSheetId="5">#REF!</definedName>
    <definedName name="M" localSheetId="10">#REF!</definedName>
    <definedName name="M" localSheetId="4">#REF!</definedName>
    <definedName name="M" localSheetId="8">#REF!</definedName>
    <definedName name="M">#REF!</definedName>
    <definedName name="MAHMMOUD" localSheetId="11">#REF!</definedName>
    <definedName name="MAHMMOUD" localSheetId="9">#REF!</definedName>
    <definedName name="MAHMMOUD" localSheetId="13">#REF!</definedName>
    <definedName name="MAHMMOUD" localSheetId="12">#REF!</definedName>
    <definedName name="MAHMMOUD" localSheetId="0">#REF!</definedName>
    <definedName name="MAHMMOUD" localSheetId="5">#REF!</definedName>
    <definedName name="MAHMMOUD" localSheetId="10">#REF!</definedName>
    <definedName name="MAHMMOUD" localSheetId="4">#REF!</definedName>
    <definedName name="MAHMMOUD" localSheetId="8">#REF!</definedName>
    <definedName name="MAHMMOUD">#REF!</definedName>
    <definedName name="margin" localSheetId="11">#REF!</definedName>
    <definedName name="margin" localSheetId="9">#REF!</definedName>
    <definedName name="margin" localSheetId="13">#REF!</definedName>
    <definedName name="margin" localSheetId="12">#REF!</definedName>
    <definedName name="margin" localSheetId="0">#REF!</definedName>
    <definedName name="margin" localSheetId="5">#REF!</definedName>
    <definedName name="margin" localSheetId="10">#REF!</definedName>
    <definedName name="margin" localSheetId="4">#REF!</definedName>
    <definedName name="margin" localSheetId="8">#REF!</definedName>
    <definedName name="margin">#REF!</definedName>
    <definedName name="Markup" localSheetId="11">#REF!</definedName>
    <definedName name="Markup" localSheetId="9">#REF!</definedName>
    <definedName name="Markup" localSheetId="13">#REF!</definedName>
    <definedName name="Markup" localSheetId="12">#REF!</definedName>
    <definedName name="Markup" localSheetId="0">#REF!</definedName>
    <definedName name="Markup" localSheetId="5">#REF!</definedName>
    <definedName name="Markup" localSheetId="10">#REF!</definedName>
    <definedName name="Markup" localSheetId="4">#REF!</definedName>
    <definedName name="Markup" localSheetId="8">#REF!</definedName>
    <definedName name="Markup">#REF!</definedName>
    <definedName name="Mat_esc" localSheetId="11">#REF!</definedName>
    <definedName name="Mat_esc" localSheetId="9">#REF!</definedName>
    <definedName name="Mat_esc" localSheetId="13">#REF!</definedName>
    <definedName name="Mat_esc" localSheetId="12">#REF!</definedName>
    <definedName name="Mat_esc" localSheetId="0">#REF!</definedName>
    <definedName name="Mat_esc" localSheetId="5">#REF!</definedName>
    <definedName name="Mat_esc" localSheetId="10">#REF!</definedName>
    <definedName name="Mat_esc" localSheetId="4">#REF!</definedName>
    <definedName name="Mat_esc" localSheetId="8">#REF!</definedName>
    <definedName name="Mat_esc">#REF!</definedName>
    <definedName name="mat_margin" localSheetId="11">#REF!</definedName>
    <definedName name="mat_margin" localSheetId="9">#REF!</definedName>
    <definedName name="mat_margin" localSheetId="13">#REF!</definedName>
    <definedName name="mat_margin" localSheetId="12">#REF!</definedName>
    <definedName name="mat_margin" localSheetId="0">#REF!</definedName>
    <definedName name="mat_margin" localSheetId="5">#REF!</definedName>
    <definedName name="mat_margin" localSheetId="10">#REF!</definedName>
    <definedName name="mat_margin" localSheetId="4">#REF!</definedName>
    <definedName name="mat_margin" localSheetId="8">#REF!</definedName>
    <definedName name="mat_margin">#REF!</definedName>
    <definedName name="mat_profit" localSheetId="11">#REF!</definedName>
    <definedName name="mat_profit" localSheetId="9">#REF!</definedName>
    <definedName name="mat_profit" localSheetId="13">#REF!</definedName>
    <definedName name="mat_profit" localSheetId="12">#REF!</definedName>
    <definedName name="mat_profit" localSheetId="0">#REF!</definedName>
    <definedName name="mat_profit" localSheetId="5">#REF!</definedName>
    <definedName name="mat_profit" localSheetId="10">#REF!</definedName>
    <definedName name="mat_profit" localSheetId="4">#REF!</definedName>
    <definedName name="mat_profit" localSheetId="8">#REF!</definedName>
    <definedName name="mat_profit">#REF!</definedName>
    <definedName name="MPI_Price" localSheetId="11">#REF!</definedName>
    <definedName name="MPI_Price" localSheetId="9">#REF!</definedName>
    <definedName name="MPI_Price" localSheetId="13">#REF!</definedName>
    <definedName name="MPI_Price" localSheetId="12">#REF!</definedName>
    <definedName name="MPI_Price" localSheetId="0">#REF!</definedName>
    <definedName name="MPI_Price" localSheetId="5">#REF!</definedName>
    <definedName name="MPI_Price" localSheetId="10">#REF!</definedName>
    <definedName name="MPI_Price" localSheetId="4">#REF!</definedName>
    <definedName name="MPI_Price" localSheetId="8">#REF!</definedName>
    <definedName name="MPI_Price">#REF!</definedName>
    <definedName name="MPL_Price" localSheetId="11">#REF!</definedName>
    <definedName name="MPL_Price" localSheetId="9">#REF!</definedName>
    <definedName name="MPL_Price" localSheetId="13">#REF!</definedName>
    <definedName name="MPL_Price" localSheetId="12">#REF!</definedName>
    <definedName name="MPL_Price" localSheetId="0">#REF!</definedName>
    <definedName name="MPL_Price" localSheetId="5">#REF!</definedName>
    <definedName name="MPL_Price" localSheetId="10">#REF!</definedName>
    <definedName name="MPL_Price" localSheetId="4">#REF!</definedName>
    <definedName name="MPL_Price" localSheetId="8">#REF!</definedName>
    <definedName name="MPL_Price">#REF!</definedName>
    <definedName name="n" localSheetId="11">#REF!</definedName>
    <definedName name="n" localSheetId="9">#REF!</definedName>
    <definedName name="n" localSheetId="13">#REF!</definedName>
    <definedName name="n" localSheetId="12">#REF!</definedName>
    <definedName name="n" localSheetId="0">#REF!</definedName>
    <definedName name="n" localSheetId="5">#REF!</definedName>
    <definedName name="n" localSheetId="10">#REF!</definedName>
    <definedName name="n" localSheetId="4">#REF!</definedName>
    <definedName name="n" localSheetId="8">#REF!</definedName>
    <definedName name="n">#REF!</definedName>
    <definedName name="NCR_HR_1" localSheetId="11" hidden="1">#REF!</definedName>
    <definedName name="NCR_HR_1" localSheetId="9" hidden="1">#REF!</definedName>
    <definedName name="NCR_HR_1" localSheetId="13" hidden="1">#REF!</definedName>
    <definedName name="NCR_HR_1" localSheetId="12" hidden="1">#REF!</definedName>
    <definedName name="NCR_HR_1" localSheetId="0" hidden="1">#REF!</definedName>
    <definedName name="NCR_HR_1" localSheetId="5" hidden="1">#REF!</definedName>
    <definedName name="NCR_HR_1" localSheetId="10" hidden="1">#REF!</definedName>
    <definedName name="NCR_HR_1" localSheetId="4" hidden="1">#REF!</definedName>
    <definedName name="NCR_HR_1" localSheetId="8" hidden="1">#REF!</definedName>
    <definedName name="NCR_HR_1" hidden="1">#REF!</definedName>
    <definedName name="nm" localSheetId="11">#REF!</definedName>
    <definedName name="nm" localSheetId="9">#REF!</definedName>
    <definedName name="nm" localSheetId="13">#REF!</definedName>
    <definedName name="nm" localSheetId="12">#REF!</definedName>
    <definedName name="nm" localSheetId="0">#REF!</definedName>
    <definedName name="nm" localSheetId="5">#REF!</definedName>
    <definedName name="nm" localSheetId="10">#REF!</definedName>
    <definedName name="nm" localSheetId="4">#REF!</definedName>
    <definedName name="nm" localSheetId="8">#REF!</definedName>
    <definedName name="nm">#REF!</definedName>
    <definedName name="NODE" localSheetId="9">[26]Cover!$O$59</definedName>
    <definedName name="NODE" localSheetId="13">[26]Cover!$O$59</definedName>
    <definedName name="NODE" localSheetId="12">[26]Cover!$O$59</definedName>
    <definedName name="NODE" localSheetId="4">[26]Cover!$O$59</definedName>
    <definedName name="NODE" localSheetId="8">[26]Cover!$O$59</definedName>
    <definedName name="NODE">[17]Cover!$O$44</definedName>
    <definedName name="NODE_OFF" localSheetId="9">[26]Cover!$D$44</definedName>
    <definedName name="NODE_OFF" localSheetId="13">[26]Cover!$D$44</definedName>
    <definedName name="NODE_OFF" localSheetId="12">[26]Cover!$D$44</definedName>
    <definedName name="NODE_OFF" localSheetId="4">[26]Cover!$D$44</definedName>
    <definedName name="NODE_OFF" localSheetId="8">[26]Cover!$D$44</definedName>
    <definedName name="NODE_OFF">[17]Cover!$D$37</definedName>
    <definedName name="NON_AUTO1_G.P." localSheetId="11">[12]ASSUMPTIONS!#REF!</definedName>
    <definedName name="NON_AUTO1_G.P." localSheetId="9">[12]ASSUMPTIONS!#REF!</definedName>
    <definedName name="NON_AUTO1_G.P." localSheetId="13">[12]ASSUMPTIONS!#REF!</definedName>
    <definedName name="NON_AUTO1_G.P." localSheetId="12">[12]ASSUMPTIONS!#REF!</definedName>
    <definedName name="NON_AUTO1_G.P." localSheetId="0">[12]ASSUMPTIONS!#REF!</definedName>
    <definedName name="NON_AUTO1_G.P." localSheetId="5">[12]ASSUMPTIONS!#REF!</definedName>
    <definedName name="NON_AUTO1_G.P." localSheetId="10">[12]ASSUMPTIONS!#REF!</definedName>
    <definedName name="NON_AUTO1_G.P." localSheetId="4">[12]ASSUMPTIONS!#REF!</definedName>
    <definedName name="NON_AUTO1_G.P." localSheetId="8">[12]ASSUMPTIONS!#REF!</definedName>
    <definedName name="NON_AUTO1_G.P.">[12]ASSUMPTIONS!#REF!</definedName>
    <definedName name="NON_AUTO2_G.P." localSheetId="11">[12]ASSUMPTIONS!#REF!</definedName>
    <definedName name="NON_AUTO2_G.P." localSheetId="9">[12]ASSUMPTIONS!#REF!</definedName>
    <definedName name="NON_AUTO2_G.P." localSheetId="13">[12]ASSUMPTIONS!#REF!</definedName>
    <definedName name="NON_AUTO2_G.P." localSheetId="12">[12]ASSUMPTIONS!#REF!</definedName>
    <definedName name="NON_AUTO2_G.P." localSheetId="0">[12]ASSUMPTIONS!#REF!</definedName>
    <definedName name="NON_AUTO2_G.P." localSheetId="5">[12]ASSUMPTIONS!#REF!</definedName>
    <definedName name="NON_AUTO2_G.P." localSheetId="10">[12]ASSUMPTIONS!#REF!</definedName>
    <definedName name="NON_AUTO2_G.P." localSheetId="4">[12]ASSUMPTIONS!#REF!</definedName>
    <definedName name="NON_AUTO2_G.P." localSheetId="8">[12]ASSUMPTIONS!#REF!</definedName>
    <definedName name="NON_AUTO2_G.P.">[12]ASSUMPTIONS!#REF!</definedName>
    <definedName name="op" localSheetId="11">#REF!</definedName>
    <definedName name="op" localSheetId="9">#REF!</definedName>
    <definedName name="op" localSheetId="13">#REF!</definedName>
    <definedName name="op" localSheetId="12">#REF!</definedName>
    <definedName name="op" localSheetId="0">#REF!</definedName>
    <definedName name="op" localSheetId="5">#REF!</definedName>
    <definedName name="op" localSheetId="10">#REF!</definedName>
    <definedName name="op" localSheetId="4">#REF!</definedName>
    <definedName name="op" localSheetId="8">#REF!</definedName>
    <definedName name="op">#REF!</definedName>
    <definedName name="os" localSheetId="11">#REF!</definedName>
    <definedName name="os" localSheetId="9">#REF!</definedName>
    <definedName name="os" localSheetId="13">#REF!</definedName>
    <definedName name="os" localSheetId="12">#REF!</definedName>
    <definedName name="os" localSheetId="0">#REF!</definedName>
    <definedName name="os" localSheetId="5">#REF!</definedName>
    <definedName name="os" localSheetId="10">#REF!</definedName>
    <definedName name="os" localSheetId="4">#REF!</definedName>
    <definedName name="os" localSheetId="8">#REF!</definedName>
    <definedName name="os">#REF!</definedName>
    <definedName name="Oss" localSheetId="11">#REF!</definedName>
    <definedName name="Oss" localSheetId="9">#REF!</definedName>
    <definedName name="Oss" localSheetId="13">#REF!</definedName>
    <definedName name="Oss" localSheetId="12">#REF!</definedName>
    <definedName name="Oss" localSheetId="0">#REF!</definedName>
    <definedName name="Oss" localSheetId="5">#REF!</definedName>
    <definedName name="Oss" localSheetId="10">#REF!</definedName>
    <definedName name="Oss" localSheetId="4">#REF!</definedName>
    <definedName name="Oss" localSheetId="8">#REF!</definedName>
    <definedName name="Oss">#REF!</definedName>
    <definedName name="OTHER_SERVICES_G.P." localSheetId="11">[12]ASSUMPTIONS!#REF!</definedName>
    <definedName name="OTHER_SERVICES_G.P." localSheetId="9">[12]ASSUMPTIONS!#REF!</definedName>
    <definedName name="OTHER_SERVICES_G.P." localSheetId="13">[12]ASSUMPTIONS!#REF!</definedName>
    <definedName name="OTHER_SERVICES_G.P." localSheetId="12">[12]ASSUMPTIONS!#REF!</definedName>
    <definedName name="OTHER_SERVICES_G.P." localSheetId="0">[12]ASSUMPTIONS!#REF!</definedName>
    <definedName name="OTHER_SERVICES_G.P." localSheetId="5">[12]ASSUMPTIONS!#REF!</definedName>
    <definedName name="OTHER_SERVICES_G.P." localSheetId="10">[12]ASSUMPTIONS!#REF!</definedName>
    <definedName name="OTHER_SERVICES_G.P." localSheetId="4">[12]ASSUMPTIONS!#REF!</definedName>
    <definedName name="OTHER_SERVICES_G.P." localSheetId="8">[12]ASSUMPTIONS!#REF!</definedName>
    <definedName name="OTHER_SERVICES_G.P.">[12]ASSUMPTIONS!#REF!</definedName>
    <definedName name="P" localSheetId="11">#REF!</definedName>
    <definedName name="P" localSheetId="9">#REF!</definedName>
    <definedName name="P" localSheetId="13">#REF!</definedName>
    <definedName name="P" localSheetId="12">#REF!</definedName>
    <definedName name="P" localSheetId="0">#REF!</definedName>
    <definedName name="P" localSheetId="5">#REF!</definedName>
    <definedName name="P" localSheetId="10">#REF!</definedName>
    <definedName name="P" localSheetId="4">#REF!</definedName>
    <definedName name="P" localSheetId="8">#REF!</definedName>
    <definedName name="P">#REF!</definedName>
    <definedName name="paint" localSheetId="11">#REF!</definedName>
    <definedName name="paint" localSheetId="9">#REF!</definedName>
    <definedName name="paint" localSheetId="13">#REF!</definedName>
    <definedName name="paint" localSheetId="12">#REF!</definedName>
    <definedName name="paint" localSheetId="0">#REF!</definedName>
    <definedName name="paint" localSheetId="5">#REF!</definedName>
    <definedName name="paint" localSheetId="10">#REF!</definedName>
    <definedName name="paint" localSheetId="4">#REF!</definedName>
    <definedName name="paint" localSheetId="8">#REF!</definedName>
    <definedName name="paint">#REF!</definedName>
    <definedName name="PIPE">[8]PIPE!$B$5:$P$35</definedName>
    <definedName name="Pipe_cost" localSheetId="8">IF([18]VES1!#REF!="",0,INDEX([18]BASICS!$B$22:$J$27,MATCH([18]VES1!#REF!,[18]BASICS!$B$22:$B$27,0),9))</definedName>
    <definedName name="Pipe_cost">IF([18]VES1!XFC1="",0,INDEX([18]BASICS!$B$22:$J$27,MATCH([18]VES1!XFC1,[18]BASICS!$B$22:$B$27,0),9))</definedName>
    <definedName name="PIPE_DUTY">#N/A</definedName>
    <definedName name="PIPE_OFFER" localSheetId="8">IF('[23]M1-M4'!#REF!="",0,INDEX([23]BASICS!$B$22:$L$27,MATCH('[23]M1-M4'!#REF!,[23]BASICS!$B$22:$B$27,0),11))</definedName>
    <definedName name="PIPE_OFFER">IF('[23]M1-M4'!XFB1="",0,INDEX([23]BASICS!$B$22:$L$27,MATCH('[23]M1-M4'!XFB1,[23]BASICS!$B$22:$B$27,0),11))</definedName>
    <definedName name="PIPE_PRICE" localSheetId="8">IF('[23]M1-M4'!#REF!="",0,INDEX([23]BASICS!$B$22:$L$27,MATCH('[23]M1-M4'!#REF!,[23]BASICS!$B$22:$B$27,0),2))</definedName>
    <definedName name="PIPE_PRICE">IF('[23]M1-M4'!XFC1="",0,INDEX([23]BASICS!$B$22:$L$27,MATCH('[23]M1-M4'!XFC1,[23]BASICS!$B$22:$B$27,0),2))</definedName>
    <definedName name="PIPE_WT">#N/A</definedName>
    <definedName name="PL_cost" localSheetId="8">IF([18]VES1!#REF!="",0,INDEX([18]BASICS!$B$4:$J$12,MATCH([18]VES1!#REF!,[18]BASICS!$B$4:$B$12,0),9))</definedName>
    <definedName name="PL_cost">IF([18]VES1!XFC1="",0,INDEX([18]BASICS!$B$4:$J$12,MATCH([18]VES1!XFC1,[18]BASICS!$B$4:$B$12,0),9))</definedName>
    <definedName name="PL_DUTY">#N/A</definedName>
    <definedName name="PL_OFFER" localSheetId="8">IF('[23]M1-M4'!#REF!="",0,INDEX([23]BASICS!$B$4:$L$12,MATCH('[23]M1-M4'!#REF!,[23]BASICS!$B$4:$B$12,0),11))</definedName>
    <definedName name="PL_OFFER">IF('[23]M1-M4'!XFB1="",0,INDEX([23]BASICS!$B$4:$L$12,MATCH('[23]M1-M4'!XFB1,[23]BASICS!$B$4:$B$12,0),11))</definedName>
    <definedName name="PL_PRICE" localSheetId="8">IF('[23]M1-M4'!#REF!="",0,INDEX([23]BASICS!$B$4:$L$12,MATCH('[23]M1-M4'!#REF!,[23]BASICS!$B$4:$B$12,0),2))</definedName>
    <definedName name="PL_PRICE">IF('[23]M1-M4'!XFC1="",0,INDEX([23]BASICS!$B$4:$L$12,MATCH('[23]M1-M4'!XFC1,[23]BASICS!$B$4:$B$12,0),2))</definedName>
    <definedName name="PLATE_WT" localSheetId="11">(IF(#REF!="PLATE",(#REF!*#REF!),IF(#REF!=0,0,(PI()*0.5*(#REF!+#REF!)*(SQRT((((#REF!-#REF!)*0.5)^2)+#REF!^2))))))*#REF!*0.00000785*#REF!</definedName>
    <definedName name="PLATE_WT" localSheetId="9">(IF(#REF!="PLATE",(#REF!*#REF!),IF(#REF!=0,0,(PI()*0.5*(#REF!+#REF!)*(SQRT((((#REF!-#REF!)*0.5)^2)+#REF!^2))))))*#REF!*0.00000785*#REF!</definedName>
    <definedName name="PLATE_WT" localSheetId="13">(IF(#REF!="PLATE",(#REF!*#REF!),IF(#REF!=0,0,(PI()*0.5*(#REF!+#REF!)*(SQRT((((#REF!-#REF!)*0.5)^2)+#REF!^2))))))*#REF!*0.00000785*#REF!</definedName>
    <definedName name="PLATE_WT" localSheetId="12">(IF(#REF!="PLATE",(#REF!*#REF!),IF(#REF!=0,0,(PI()*0.5*(#REF!+#REF!)*(SQRT((((#REF!-#REF!)*0.5)^2)+#REF!^2))))))*#REF!*0.00000785*#REF!</definedName>
    <definedName name="PLATE_WT" localSheetId="0">(IF(#REF!="PLATE",(#REF!*#REF!),IF(#REF!=0,0,(PI()*0.5*(#REF!+#REF!)*(SQRT((((#REF!-#REF!)*0.5)^2)+#REF!^2))))))*#REF!*0.00000785*#REF!</definedName>
    <definedName name="PLATE_WT" localSheetId="5">(IF(#REF!="PLATE",(#REF!*#REF!),IF(#REF!=0,0,(PI()*0.5*(#REF!+#REF!)*(SQRT((((#REF!-#REF!)*0.5)^2)+#REF!^2))))))*#REF!*0.00000785*#REF!</definedName>
    <definedName name="PLATE_WT" localSheetId="10">(IF(#REF!="PLATE",(#REF!*#REF!),IF(#REF!=0,0,(PI()*0.5*(#REF!+#REF!)*(SQRT((((#REF!-#REF!)*0.5)^2)+#REF!^2))))))*#REF!*0.00000785*#REF!</definedName>
    <definedName name="PLATE_WT" localSheetId="4">(IF(#REF!="PLATE",(#REF!*#REF!),IF(#REF!=0,0,(PI()*0.5*(#REF!+#REF!)*(SQRT((((#REF!-#REF!)*0.5)^2)+#REF!^2))))))*#REF!*0.00000785*#REF!</definedName>
    <definedName name="PLATE_WT" localSheetId="8">(IF(#REF!="PLATE",(#REF!*#REF!),IF(#REF!=0,0,(PI()*0.5*(#REF!+#REF!)*(SQRT((((#REF!-#REF!)*0.5)^2)+#REF!^2))))))*#REF!*0.00000785*#REF!</definedName>
    <definedName name="PLATE_WT">(IF(#REF!="PLATE",(#REF!*#REF!),IF(#REF!=0,0,(PI()*0.5*(#REF!+#REF!)*(SQRT((((#REF!-#REF!)*0.5)^2)+#REF!^2))))))*#REF!*0.00000785*#REF!</definedName>
    <definedName name="porcelaine_household_proj" localSheetId="11">#REF!</definedName>
    <definedName name="porcelaine_household_proj" localSheetId="9">#REF!</definedName>
    <definedName name="porcelaine_household_proj" localSheetId="13">#REF!</definedName>
    <definedName name="porcelaine_household_proj" localSheetId="12">#REF!</definedName>
    <definedName name="porcelaine_household_proj" localSheetId="0">#REF!</definedName>
    <definedName name="porcelaine_household_proj" localSheetId="5">#REF!</definedName>
    <definedName name="porcelaine_household_proj" localSheetId="10">#REF!</definedName>
    <definedName name="porcelaine_household_proj" localSheetId="4">#REF!</definedName>
    <definedName name="porcelaine_household_proj" localSheetId="8">#REF!</definedName>
    <definedName name="porcelaine_household_proj">#REF!</definedName>
    <definedName name="pose_des_equipements" localSheetId="11">#REF!</definedName>
    <definedName name="pose_des_equipements" localSheetId="9">#REF!</definedName>
    <definedName name="pose_des_equipements" localSheetId="13">#REF!</definedName>
    <definedName name="pose_des_equipements" localSheetId="12">#REF!</definedName>
    <definedName name="pose_des_equipements" localSheetId="0">#REF!</definedName>
    <definedName name="pose_des_equipements" localSheetId="5">#REF!</definedName>
    <definedName name="pose_des_equipements" localSheetId="10">#REF!</definedName>
    <definedName name="pose_des_equipements" localSheetId="4">#REF!</definedName>
    <definedName name="pose_des_equipements" localSheetId="8">#REF!</definedName>
    <definedName name="pose_des_equipements">#REF!</definedName>
    <definedName name="PR_FO" localSheetId="11">#REF!</definedName>
    <definedName name="PR_FO" localSheetId="9">#REF!</definedName>
    <definedName name="PR_FO" localSheetId="13">#REF!</definedName>
    <definedName name="PR_FO" localSheetId="12">#REF!</definedName>
    <definedName name="PR_FO" localSheetId="0">#REF!</definedName>
    <definedName name="PR_FO" localSheetId="5">#REF!</definedName>
    <definedName name="PR_FO" localSheetId="10">#REF!</definedName>
    <definedName name="PR_FO" localSheetId="4">#REF!</definedName>
    <definedName name="PR_FO" localSheetId="8">#REF!</definedName>
    <definedName name="PR_FO">#REF!</definedName>
    <definedName name="PR_MO" localSheetId="11">#REF!</definedName>
    <definedName name="PR_MO" localSheetId="9">#REF!</definedName>
    <definedName name="PR_MO" localSheetId="13">#REF!</definedName>
    <definedName name="PR_MO" localSheetId="12">#REF!</definedName>
    <definedName name="PR_MO" localSheetId="0">#REF!</definedName>
    <definedName name="PR_MO" localSheetId="5">#REF!</definedName>
    <definedName name="PR_MO" localSheetId="10">#REF!</definedName>
    <definedName name="PR_MO" localSheetId="4">#REF!</definedName>
    <definedName name="PR_MO" localSheetId="8">#REF!</definedName>
    <definedName name="PR_MO">#REF!</definedName>
    <definedName name="PR_TOT" localSheetId="11">#REF!</definedName>
    <definedName name="PR_TOT" localSheetId="9">#REF!</definedName>
    <definedName name="PR_TOT" localSheetId="13">#REF!</definedName>
    <definedName name="PR_TOT" localSheetId="12">#REF!</definedName>
    <definedName name="PR_TOT" localSheetId="0">#REF!</definedName>
    <definedName name="PR_TOT" localSheetId="5">#REF!</definedName>
    <definedName name="PR_TOT" localSheetId="10">#REF!</definedName>
    <definedName name="PR_TOT" localSheetId="4">#REF!</definedName>
    <definedName name="PR_TOT" localSheetId="8">#REF!</definedName>
    <definedName name="PR_TOT">#REF!</definedName>
    <definedName name="_xlnm.Print_Area" localSheetId="11">#REF!</definedName>
    <definedName name="_xlnm.Print_Area" localSheetId="9">'2022 Budget'!$A$1:$R$192</definedName>
    <definedName name="_xlnm.Print_Area" localSheetId="13">'2022 Budget Scenario 1'!$A$1:$R$192</definedName>
    <definedName name="_xlnm.Print_Area" localSheetId="12">'2022 Budget V02'!$A$1:$R$192</definedName>
    <definedName name="_xlnm.Print_Area" localSheetId="5">#REF!</definedName>
    <definedName name="_xlnm.Print_Area" localSheetId="10">'Financial Statements'!$AT$4:$BL$17</definedName>
    <definedName name="_xlnm.Print_Area" localSheetId="4">'IS Assumption'!$A$1:$R$192</definedName>
    <definedName name="_xlnm.Print_Area" localSheetId="8">'Rev. 2022'!$A$3:$FC$16</definedName>
    <definedName name="_xlnm.Print_Area">#REF!</definedName>
    <definedName name="Print_Area1" localSheetId="11">#REF!</definedName>
    <definedName name="Print_Area1" localSheetId="9">#REF!</definedName>
    <definedName name="Print_Area1" localSheetId="13">#REF!</definedName>
    <definedName name="Print_Area1" localSheetId="12">#REF!</definedName>
    <definedName name="Print_Area1" localSheetId="0">#REF!</definedName>
    <definedName name="Print_Area1" localSheetId="5">#REF!</definedName>
    <definedName name="Print_Area1" localSheetId="10">#REF!</definedName>
    <definedName name="Print_Area1" localSheetId="4">#REF!</definedName>
    <definedName name="Print_Area1" localSheetId="8">#REF!</definedName>
    <definedName name="Print_Area1">#REF!</definedName>
    <definedName name="Print_Area2" localSheetId="11">[10]TOTAL!#REF!</definedName>
    <definedName name="Print_Area2" localSheetId="9">[10]TOTAL!#REF!</definedName>
    <definedName name="Print_Area2" localSheetId="13">[10]TOTAL!#REF!</definedName>
    <definedName name="Print_Area2" localSheetId="12">[10]TOTAL!#REF!</definedName>
    <definedName name="Print_Area2" localSheetId="0">[10]TOTAL!#REF!</definedName>
    <definedName name="Print_Area2" localSheetId="5">[10]TOTAL!#REF!</definedName>
    <definedName name="Print_Area2" localSheetId="10">[10]TOTAL!#REF!</definedName>
    <definedName name="Print_Area2" localSheetId="4">[10]TOTAL!#REF!</definedName>
    <definedName name="Print_Area2" localSheetId="8">[10]TOTAL!#REF!</definedName>
    <definedName name="Print_Area2">[10]TOTAL!#REF!</definedName>
    <definedName name="Print_Area3" localSheetId="11">[10]TOTAL!#REF!</definedName>
    <definedName name="Print_Area3" localSheetId="9">[10]TOTAL!#REF!</definedName>
    <definedName name="Print_Area3" localSheetId="13">[10]TOTAL!#REF!</definedName>
    <definedName name="Print_Area3" localSheetId="12">[10]TOTAL!#REF!</definedName>
    <definedName name="Print_Area3" localSheetId="0">[10]TOTAL!#REF!</definedName>
    <definedName name="Print_Area3" localSheetId="5">[10]TOTAL!#REF!</definedName>
    <definedName name="Print_Area3" localSheetId="10">[10]TOTAL!#REF!</definedName>
    <definedName name="Print_Area3" localSheetId="4">[10]TOTAL!#REF!</definedName>
    <definedName name="Print_Area3" localSheetId="8">[10]TOTAL!#REF!</definedName>
    <definedName name="Print_Area3">[10]TOTAL!#REF!</definedName>
    <definedName name="_xlnm.Print_Titles" localSheetId="11">#REF!</definedName>
    <definedName name="_xlnm.Print_Titles" localSheetId="9">#REF!</definedName>
    <definedName name="_xlnm.Print_Titles" localSheetId="12">#REF!</definedName>
    <definedName name="_xlnm.Print_Titles" localSheetId="5">#REF!</definedName>
    <definedName name="_xlnm.Print_Titles" localSheetId="10">#REF!</definedName>
    <definedName name="_xlnm.Print_Titles" localSheetId="4">#REF!</definedName>
    <definedName name="_xlnm.Print_Titles" localSheetId="8">#REF!</definedName>
    <definedName name="_xlnm.Print_Titles">#REF!</definedName>
    <definedName name="PRINT_TITLES_MI" localSheetId="11">#REF!</definedName>
    <definedName name="PRINT_TITLES_MI" localSheetId="9">#REF!</definedName>
    <definedName name="PRINT_TITLES_MI" localSheetId="13">#REF!</definedName>
    <definedName name="PRINT_TITLES_MI" localSheetId="12">#REF!</definedName>
    <definedName name="PRINT_TITLES_MI" localSheetId="0">#REF!</definedName>
    <definedName name="PRINT_TITLES_MI" localSheetId="5">#REF!</definedName>
    <definedName name="PRINT_TITLES_MI" localSheetId="10">#REF!</definedName>
    <definedName name="PRINT_TITLES_MI" localSheetId="4">#REF!</definedName>
    <definedName name="PRINT_TITLES_MI" localSheetId="8">#REF!</definedName>
    <definedName name="PRINT_TITLES_MI">#REF!</definedName>
    <definedName name="Profit" localSheetId="11">#REF!</definedName>
    <definedName name="Profit" localSheetId="9">#REF!</definedName>
    <definedName name="Profit" localSheetId="13">#REF!</definedName>
    <definedName name="Profit" localSheetId="12">#REF!</definedName>
    <definedName name="Profit" localSheetId="0">#REF!</definedName>
    <definedName name="Profit" localSheetId="5">#REF!</definedName>
    <definedName name="Profit" localSheetId="10">#REF!</definedName>
    <definedName name="Profit" localSheetId="4">#REF!</definedName>
    <definedName name="Profit" localSheetId="8">#REF!</definedName>
    <definedName name="Profit">#REF!</definedName>
    <definedName name="project" localSheetId="11">#REF!</definedName>
    <definedName name="project" localSheetId="9">#REF!</definedName>
    <definedName name="project" localSheetId="13">#REF!</definedName>
    <definedName name="project" localSheetId="12">#REF!</definedName>
    <definedName name="project" localSheetId="0">#REF!</definedName>
    <definedName name="project" localSheetId="5">#REF!</definedName>
    <definedName name="project" localSheetId="10">#REF!</definedName>
    <definedName name="project" localSheetId="4">#REF!</definedName>
    <definedName name="project" localSheetId="8">#REF!</definedName>
    <definedName name="project">#REF!</definedName>
    <definedName name="ps_3" localSheetId="11">#REF!</definedName>
    <definedName name="ps_3" localSheetId="9">#REF!</definedName>
    <definedName name="ps_3" localSheetId="13">#REF!</definedName>
    <definedName name="ps_3" localSheetId="12">#REF!</definedName>
    <definedName name="ps_3" localSheetId="0">#REF!</definedName>
    <definedName name="ps_3" localSheetId="5">#REF!</definedName>
    <definedName name="ps_3" localSheetId="10">#REF!</definedName>
    <definedName name="ps_3" localSheetId="4">#REF!</definedName>
    <definedName name="ps_3" localSheetId="8">#REF!</definedName>
    <definedName name="ps_3">#REF!</definedName>
    <definedName name="ps_8" localSheetId="11">#REF!</definedName>
    <definedName name="ps_8" localSheetId="9">#REF!</definedName>
    <definedName name="ps_8" localSheetId="13">#REF!</definedName>
    <definedName name="ps_8" localSheetId="12">#REF!</definedName>
    <definedName name="ps_8" localSheetId="0">#REF!</definedName>
    <definedName name="ps_8" localSheetId="5">#REF!</definedName>
    <definedName name="ps_8" localSheetId="10">#REF!</definedName>
    <definedName name="ps_8" localSheetId="4">#REF!</definedName>
    <definedName name="ps_8" localSheetId="8">#REF!</definedName>
    <definedName name="ps_8">#REF!</definedName>
    <definedName name="pu_iuug" localSheetId="11">#REF!</definedName>
    <definedName name="pu_iuug" localSheetId="9">#REF!</definedName>
    <definedName name="pu_iuug" localSheetId="13">#REF!</definedName>
    <definedName name="pu_iuug" localSheetId="12">#REF!</definedName>
    <definedName name="pu_iuug" localSheetId="0">#REF!</definedName>
    <definedName name="pu_iuug" localSheetId="5">#REF!</definedName>
    <definedName name="pu_iuug" localSheetId="10">#REF!</definedName>
    <definedName name="pu_iuug" localSheetId="4">#REF!</definedName>
    <definedName name="pu_iuug" localSheetId="8">#REF!</definedName>
    <definedName name="pu_iuug">#REF!</definedName>
    <definedName name="qazxs" localSheetId="11" hidden="1">#REF!</definedName>
    <definedName name="qazxs" localSheetId="9" hidden="1">#REF!</definedName>
    <definedName name="qazxs" localSheetId="13" hidden="1">#REF!</definedName>
    <definedName name="qazxs" localSheetId="12" hidden="1">#REF!</definedName>
    <definedName name="qazxs" localSheetId="0" hidden="1">#REF!</definedName>
    <definedName name="qazxs" localSheetId="5" hidden="1">#REF!</definedName>
    <definedName name="qazxs" localSheetId="10" hidden="1">#REF!</definedName>
    <definedName name="qazxs" localSheetId="4" hidden="1">#REF!</definedName>
    <definedName name="qazxs" localSheetId="8" hidden="1">#REF!</definedName>
    <definedName name="qazxs" hidden="1">#REF!</definedName>
    <definedName name="Qté_DE" localSheetId="11">#REF!</definedName>
    <definedName name="Qté_DE" localSheetId="9">#REF!</definedName>
    <definedName name="Qté_DE" localSheetId="13">#REF!</definedName>
    <definedName name="Qté_DE" localSheetId="12">#REF!</definedName>
    <definedName name="Qté_DE" localSheetId="0">#REF!</definedName>
    <definedName name="Qté_DE" localSheetId="5">#REF!</definedName>
    <definedName name="Qté_DE" localSheetId="10">#REF!</definedName>
    <definedName name="Qté_DE" localSheetId="4">#REF!</definedName>
    <definedName name="Qté_DE" localSheetId="8">#REF!</definedName>
    <definedName name="Qté_DE">#REF!</definedName>
    <definedName name="Qté_IE" localSheetId="11">#REF!</definedName>
    <definedName name="Qté_IE" localSheetId="9">#REF!</definedName>
    <definedName name="Qté_IE" localSheetId="13">#REF!</definedName>
    <definedName name="Qté_IE" localSheetId="12">#REF!</definedName>
    <definedName name="Qté_IE" localSheetId="0">#REF!</definedName>
    <definedName name="Qté_IE" localSheetId="5">#REF!</definedName>
    <definedName name="Qté_IE" localSheetId="10">#REF!</definedName>
    <definedName name="Qté_IE" localSheetId="4">#REF!</definedName>
    <definedName name="Qté_IE" localSheetId="8">#REF!</definedName>
    <definedName name="Qté_IE">#REF!</definedName>
    <definedName name="querCGSsum" localSheetId="11">#REF!</definedName>
    <definedName name="querCGSsum" localSheetId="9">#REF!</definedName>
    <definedName name="querCGSsum" localSheetId="13">#REF!</definedName>
    <definedName name="querCGSsum" localSheetId="12">#REF!</definedName>
    <definedName name="querCGSsum" localSheetId="0">#REF!</definedName>
    <definedName name="querCGSsum" localSheetId="5">#REF!</definedName>
    <definedName name="querCGSsum" localSheetId="10">#REF!</definedName>
    <definedName name="querCGSsum" localSheetId="4">#REF!</definedName>
    <definedName name="querCGSsum" localSheetId="8">#REF!</definedName>
    <definedName name="querCGSsum">#REF!</definedName>
    <definedName name="Quot._No." localSheetId="11">#REF!</definedName>
    <definedName name="Quot._No." localSheetId="9">#REF!</definedName>
    <definedName name="Quot._No." localSheetId="13">#REF!</definedName>
    <definedName name="Quot._No." localSheetId="12">#REF!</definedName>
    <definedName name="Quot._No." localSheetId="0">#REF!</definedName>
    <definedName name="Quot._No." localSheetId="5">#REF!</definedName>
    <definedName name="Quot._No." localSheetId="10">#REF!</definedName>
    <definedName name="Quot._No." localSheetId="4">#REF!</definedName>
    <definedName name="Quot._No." localSheetId="8">#REF!</definedName>
    <definedName name="Quot._No.">#REF!</definedName>
    <definedName name="qw" localSheetId="11">[12]ASSUMPTIONS!#REF!</definedName>
    <definedName name="qw" localSheetId="9">[12]ASSUMPTIONS!#REF!</definedName>
    <definedName name="qw" localSheetId="13">[12]ASSUMPTIONS!#REF!</definedName>
    <definedName name="qw" localSheetId="12">[12]ASSUMPTIONS!#REF!</definedName>
    <definedName name="qw" localSheetId="0">[12]ASSUMPTIONS!#REF!</definedName>
    <definedName name="qw" localSheetId="5">[12]ASSUMPTIONS!#REF!</definedName>
    <definedName name="qw" localSheetId="10">[12]ASSUMPTIONS!#REF!</definedName>
    <definedName name="qw" localSheetId="4">[12]ASSUMPTIONS!#REF!</definedName>
    <definedName name="qw" localSheetId="8">[12]ASSUMPTIONS!#REF!</definedName>
    <definedName name="qw">[12]ASSUMPTIONS!#REF!</definedName>
    <definedName name="Rack_10" localSheetId="11">#REF!</definedName>
    <definedName name="Rack_10" localSheetId="9">#REF!</definedName>
    <definedName name="Rack_10" localSheetId="13">#REF!</definedName>
    <definedName name="Rack_10" localSheetId="12">#REF!</definedName>
    <definedName name="Rack_10" localSheetId="0">#REF!</definedName>
    <definedName name="Rack_10" localSheetId="5">#REF!</definedName>
    <definedName name="Rack_10" localSheetId="10">#REF!</definedName>
    <definedName name="Rack_10" localSheetId="4">#REF!</definedName>
    <definedName name="Rack_10" localSheetId="8">#REF!</definedName>
    <definedName name="Rack_10">#REF!</definedName>
    <definedName name="Rack_16" localSheetId="11">#REF!</definedName>
    <definedName name="Rack_16" localSheetId="9">#REF!</definedName>
    <definedName name="Rack_16" localSheetId="13">#REF!</definedName>
    <definedName name="Rack_16" localSheetId="12">#REF!</definedName>
    <definedName name="Rack_16" localSheetId="0">#REF!</definedName>
    <definedName name="Rack_16" localSheetId="5">#REF!</definedName>
    <definedName name="Rack_16" localSheetId="10">#REF!</definedName>
    <definedName name="Rack_16" localSheetId="4">#REF!</definedName>
    <definedName name="Rack_16" localSheetId="8">#REF!</definedName>
    <definedName name="Rack_16">#REF!</definedName>
    <definedName name="Rack_4" localSheetId="11">#REF!</definedName>
    <definedName name="Rack_4" localSheetId="9">#REF!</definedName>
    <definedName name="Rack_4" localSheetId="13">#REF!</definedName>
    <definedName name="Rack_4" localSheetId="12">#REF!</definedName>
    <definedName name="Rack_4" localSheetId="0">#REF!</definedName>
    <definedName name="Rack_4" localSheetId="5">#REF!</definedName>
    <definedName name="Rack_4" localSheetId="10">#REF!</definedName>
    <definedName name="Rack_4" localSheetId="4">#REF!</definedName>
    <definedName name="Rack_4" localSheetId="8">#REF!</definedName>
    <definedName name="Rack_4">#REF!</definedName>
    <definedName name="Rack_array" localSheetId="11">#REF!</definedName>
    <definedName name="Rack_array" localSheetId="9">#REF!</definedName>
    <definedName name="Rack_array" localSheetId="13">#REF!</definedName>
    <definedName name="Rack_array" localSheetId="12">#REF!</definedName>
    <definedName name="Rack_array" localSheetId="0">#REF!</definedName>
    <definedName name="Rack_array" localSheetId="5">#REF!</definedName>
    <definedName name="Rack_array" localSheetId="10">#REF!</definedName>
    <definedName name="Rack_array" localSheetId="4">#REF!</definedName>
    <definedName name="Rack_array" localSheetId="8">#REF!</definedName>
    <definedName name="Rack_array">#REF!</definedName>
    <definedName name="Rack_mod" localSheetId="11">#REF!</definedName>
    <definedName name="Rack_mod" localSheetId="9">#REF!</definedName>
    <definedName name="Rack_mod" localSheetId="13">#REF!</definedName>
    <definedName name="Rack_mod" localSheetId="12">#REF!</definedName>
    <definedName name="Rack_mod" localSheetId="0">#REF!</definedName>
    <definedName name="Rack_mod" localSheetId="5">#REF!</definedName>
    <definedName name="Rack_mod" localSheetId="10">#REF!</definedName>
    <definedName name="Rack_mod" localSheetId="4">#REF!</definedName>
    <definedName name="Rack_mod" localSheetId="8">#REF!</definedName>
    <definedName name="Rack_mod">#REF!</definedName>
    <definedName name="Rack_qty" localSheetId="11">#REF!</definedName>
    <definedName name="Rack_qty" localSheetId="9">#REF!</definedName>
    <definedName name="Rack_qty" localSheetId="13">#REF!</definedName>
    <definedName name="Rack_qty" localSheetId="12">#REF!</definedName>
    <definedName name="Rack_qty" localSheetId="0">#REF!</definedName>
    <definedName name="Rack_qty" localSheetId="5">#REF!</definedName>
    <definedName name="Rack_qty" localSheetId="10">#REF!</definedName>
    <definedName name="Rack_qty" localSheetId="4">#REF!</definedName>
    <definedName name="Rack_qty" localSheetId="8">#REF!</definedName>
    <definedName name="Rack_qty">#REF!</definedName>
    <definedName name="RAED" localSheetId="11">#REF!</definedName>
    <definedName name="RAED" localSheetId="9">#REF!</definedName>
    <definedName name="RAED" localSheetId="13">#REF!</definedName>
    <definedName name="RAED" localSheetId="12">#REF!</definedName>
    <definedName name="RAED" localSheetId="0">#REF!</definedName>
    <definedName name="RAED" localSheetId="5">#REF!</definedName>
    <definedName name="RAED" localSheetId="10">#REF!</definedName>
    <definedName name="RAED" localSheetId="4">#REF!</definedName>
    <definedName name="RAED" localSheetId="8">#REF!</definedName>
    <definedName name="RAED">#REF!</definedName>
    <definedName name="re" localSheetId="11" hidden="1">#REF!</definedName>
    <definedName name="re" localSheetId="9" hidden="1">#REF!</definedName>
    <definedName name="re" localSheetId="13" hidden="1">#REF!</definedName>
    <definedName name="re" localSheetId="12" hidden="1">#REF!</definedName>
    <definedName name="re" localSheetId="0" hidden="1">#REF!</definedName>
    <definedName name="re" localSheetId="5" hidden="1">#REF!</definedName>
    <definedName name="re" localSheetId="10" hidden="1">#REF!</definedName>
    <definedName name="re" localSheetId="4" hidden="1">#REF!</definedName>
    <definedName name="re" localSheetId="8" hidden="1">#REF!</definedName>
    <definedName name="re" hidden="1">#REF!</definedName>
    <definedName name="refrffwefwef" localSheetId="11">[10]ASSUMPTIONS!#REF!</definedName>
    <definedName name="refrffwefwef" localSheetId="9">[10]ASSUMPTIONS!#REF!</definedName>
    <definedName name="refrffwefwef" localSheetId="13">[10]ASSUMPTIONS!#REF!</definedName>
    <definedName name="refrffwefwef" localSheetId="12">[10]ASSUMPTIONS!#REF!</definedName>
    <definedName name="refrffwefwef" localSheetId="0">[10]ASSUMPTIONS!#REF!</definedName>
    <definedName name="refrffwefwef" localSheetId="5">[10]ASSUMPTIONS!#REF!</definedName>
    <definedName name="refrffwefwef" localSheetId="10">[10]ASSUMPTIONS!#REF!</definedName>
    <definedName name="refrffwefwef" localSheetId="4">[10]ASSUMPTIONS!#REF!</definedName>
    <definedName name="refrffwefwef" localSheetId="8">[10]ASSUMPTIONS!#REF!</definedName>
    <definedName name="refrffwefwef">[10]ASSUMPTIONS!#REF!</definedName>
    <definedName name="REMISE" localSheetId="11">#REF!</definedName>
    <definedName name="REMISE" localSheetId="9">#REF!</definedName>
    <definedName name="REMISE" localSheetId="13">#REF!</definedName>
    <definedName name="REMISE" localSheetId="12">#REF!</definedName>
    <definedName name="REMISE" localSheetId="0">#REF!</definedName>
    <definedName name="REMISE" localSheetId="5">#REF!</definedName>
    <definedName name="REMISE" localSheetId="10">#REF!</definedName>
    <definedName name="REMISE" localSheetId="4">#REF!</definedName>
    <definedName name="REMISE" localSheetId="8">#REF!</definedName>
    <definedName name="REMISE">#REF!</definedName>
    <definedName name="Repo1" localSheetId="9">'[27]Accrued Revenue Mar 08'!$S$11:$AG$355</definedName>
    <definedName name="Repo1" localSheetId="13">'[27]Accrued Revenue Mar 08'!$S$11:$AG$355</definedName>
    <definedName name="Repo1" localSheetId="12">'[27]Accrued Revenue Mar 08'!$S$11:$AG$355</definedName>
    <definedName name="Repo1" localSheetId="4">'[27]Accrued Revenue Mar 08'!$S$11:$AG$355</definedName>
    <definedName name="Repo1" localSheetId="8">'[27]Accrued Revenue Mar 08'!$S$11:$AG$355</definedName>
    <definedName name="Repo1">'[28]Accrued Revenue Mar 08'!$S$11:$AG$355</definedName>
    <definedName name="repo3" localSheetId="9">'[27]Accrued Revenue Mar 08'!$BR$3:$BV$355</definedName>
    <definedName name="repo3" localSheetId="13">'[27]Accrued Revenue Mar 08'!$BR$3:$BV$355</definedName>
    <definedName name="repo3" localSheetId="12">'[27]Accrued Revenue Mar 08'!$BR$3:$BV$355</definedName>
    <definedName name="repo3" localSheetId="4">'[27]Accrued Revenue Mar 08'!$BR$3:$BV$355</definedName>
    <definedName name="repo3" localSheetId="8">'[27]Accrued Revenue Mar 08'!$BR$3:$BV$355</definedName>
    <definedName name="repo3">'[28]Accrued Revenue Mar 08'!$BR$3:$BV$355</definedName>
    <definedName name="repo4" localSheetId="9">'[27]Accrued Revenue Mar 08'!$BW$11:$CQ$355</definedName>
    <definedName name="repo4" localSheetId="13">'[27]Accrued Revenue Mar 08'!$BW$11:$CQ$355</definedName>
    <definedName name="repo4" localSheetId="12">'[27]Accrued Revenue Mar 08'!$BW$11:$CQ$355</definedName>
    <definedName name="repo4" localSheetId="4">'[27]Accrued Revenue Mar 08'!$BW$11:$CQ$355</definedName>
    <definedName name="repo4" localSheetId="8">'[27]Accrued Revenue Mar 08'!$BW$11:$CQ$355</definedName>
    <definedName name="repo4">'[28]Accrued Revenue Mar 08'!$BW$11:$CQ$355</definedName>
    <definedName name="Rev" localSheetId="11">#REF!</definedName>
    <definedName name="Rev" localSheetId="9">#REF!</definedName>
    <definedName name="Rev" localSheetId="13">#REF!</definedName>
    <definedName name="Rev" localSheetId="12">#REF!</definedName>
    <definedName name="Rev" localSheetId="0">#REF!</definedName>
    <definedName name="Rev" localSheetId="5">#REF!</definedName>
    <definedName name="Rev" localSheetId="10">#REF!</definedName>
    <definedName name="Rev" localSheetId="4">#REF!</definedName>
    <definedName name="Rev" localSheetId="8">#REF!</definedName>
    <definedName name="Rev">#REF!</definedName>
    <definedName name="Rev_96" localSheetId="11">#REF!</definedName>
    <definedName name="Rev_96" localSheetId="9">#REF!</definedName>
    <definedName name="Rev_96" localSheetId="13">#REF!</definedName>
    <definedName name="Rev_96" localSheetId="12">#REF!</definedName>
    <definedName name="Rev_96" localSheetId="0">#REF!</definedName>
    <definedName name="Rev_96" localSheetId="5">#REF!</definedName>
    <definedName name="Rev_96" localSheetId="10">#REF!</definedName>
    <definedName name="Rev_96" localSheetId="4">#REF!</definedName>
    <definedName name="Rev_96" localSheetId="8">#REF!</definedName>
    <definedName name="Rev_96">#REF!</definedName>
    <definedName name="Rev_97" localSheetId="11">#REF!</definedName>
    <definedName name="Rev_97" localSheetId="9">#REF!</definedName>
    <definedName name="Rev_97" localSheetId="13">#REF!</definedName>
    <definedName name="Rev_97" localSheetId="12">#REF!</definedName>
    <definedName name="Rev_97" localSheetId="0">#REF!</definedName>
    <definedName name="Rev_97" localSheetId="5">#REF!</definedName>
    <definedName name="Rev_97" localSheetId="10">#REF!</definedName>
    <definedName name="Rev_97" localSheetId="4">#REF!</definedName>
    <definedName name="Rev_97" localSheetId="8">#REF!</definedName>
    <definedName name="Rev_97">#REF!</definedName>
    <definedName name="Rev_98" localSheetId="11">#REF!</definedName>
    <definedName name="Rev_98" localSheetId="9">#REF!</definedName>
    <definedName name="Rev_98" localSheetId="13">#REF!</definedName>
    <definedName name="Rev_98" localSheetId="12">#REF!</definedName>
    <definedName name="Rev_98" localSheetId="0">#REF!</definedName>
    <definedName name="Rev_98" localSheetId="5">#REF!</definedName>
    <definedName name="Rev_98" localSheetId="10">#REF!</definedName>
    <definedName name="Rev_98" localSheetId="4">#REF!</definedName>
    <definedName name="Rev_98" localSheetId="8">#REF!</definedName>
    <definedName name="Rev_98">#REF!</definedName>
    <definedName name="Rev_Perp" localSheetId="11">#REF!</definedName>
    <definedName name="Rev_Perp" localSheetId="9">#REF!</definedName>
    <definedName name="Rev_Perp" localSheetId="13">#REF!</definedName>
    <definedName name="Rev_Perp" localSheetId="12">#REF!</definedName>
    <definedName name="Rev_Perp" localSheetId="0">#REF!</definedName>
    <definedName name="Rev_Perp" localSheetId="5">#REF!</definedName>
    <definedName name="Rev_Perp" localSheetId="10">#REF!</definedName>
    <definedName name="Rev_Perp" localSheetId="4">#REF!</definedName>
    <definedName name="Rev_Perp" localSheetId="8">#REF!</definedName>
    <definedName name="Rev_Perp">#REF!</definedName>
    <definedName name="RGI_FEES" localSheetId="9">[15]ASSUMPTIONS!$B$60</definedName>
    <definedName name="RGI_FEES" localSheetId="13">[15]ASSUMPTIONS!$B$60</definedName>
    <definedName name="RGI_FEES" localSheetId="12">[15]ASSUMPTIONS!$B$60</definedName>
    <definedName name="RGI_FEES" localSheetId="4">[15]ASSUMPTIONS!$B$60</definedName>
    <definedName name="RGI_FEES" localSheetId="8">[15]ASSUMPTIONS!$B$60</definedName>
    <definedName name="RGI_FEES">[16]ASSUMPTIONS!$B$60</definedName>
    <definedName name="rrikl_kou" localSheetId="11">#REF!</definedName>
    <definedName name="rrikl_kou" localSheetId="9">#REF!</definedName>
    <definedName name="rrikl_kou" localSheetId="13">#REF!</definedName>
    <definedName name="rrikl_kou" localSheetId="12">#REF!</definedName>
    <definedName name="rrikl_kou" localSheetId="0">#REF!</definedName>
    <definedName name="rrikl_kou" localSheetId="5">#REF!</definedName>
    <definedName name="rrikl_kou" localSheetId="10">#REF!</definedName>
    <definedName name="rrikl_kou" localSheetId="4">#REF!</definedName>
    <definedName name="rrikl_kou" localSheetId="8">#REF!</definedName>
    <definedName name="rrikl_kou">#REF!</definedName>
    <definedName name="rrrr" localSheetId="11" hidden="1">#REF!</definedName>
    <definedName name="rrrr" localSheetId="9" hidden="1">#REF!</definedName>
    <definedName name="rrrr" localSheetId="13" hidden="1">#REF!</definedName>
    <definedName name="rrrr" localSheetId="12" hidden="1">#REF!</definedName>
    <definedName name="rrrr" localSheetId="0" hidden="1">#REF!</definedName>
    <definedName name="rrrr" localSheetId="5" hidden="1">#REF!</definedName>
    <definedName name="rrrr" localSheetId="10" hidden="1">#REF!</definedName>
    <definedName name="rrrr" localSheetId="4" hidden="1">#REF!</definedName>
    <definedName name="rrrr" localSheetId="8" hidden="1">#REF!</definedName>
    <definedName name="rrrr" hidden="1">#REF!</definedName>
    <definedName name="rrrrrrrrrrrrr">'[1]elimination entries'!$B$42:$L$43</definedName>
    <definedName name="RTD" localSheetId="11">#REF!</definedName>
    <definedName name="RTD" localSheetId="9">#REF!</definedName>
    <definedName name="RTD" localSheetId="13">#REF!</definedName>
    <definedName name="RTD" localSheetId="12">#REF!</definedName>
    <definedName name="RTD" localSheetId="0">#REF!</definedName>
    <definedName name="RTD" localSheetId="5">#REF!</definedName>
    <definedName name="RTD" localSheetId="10">#REF!</definedName>
    <definedName name="RTD" localSheetId="4">#REF!</definedName>
    <definedName name="RTD" localSheetId="8">#REF!</definedName>
    <definedName name="RTD">#REF!</definedName>
    <definedName name="s" localSheetId="11" hidden="1">#REF!</definedName>
    <definedName name="s" localSheetId="9" hidden="1">#REF!</definedName>
    <definedName name="s" localSheetId="13" hidden="1">#REF!</definedName>
    <definedName name="s" localSheetId="12" hidden="1">#REF!</definedName>
    <definedName name="s" localSheetId="0" hidden="1">#REF!</definedName>
    <definedName name="s" localSheetId="5" hidden="1">#REF!</definedName>
    <definedName name="s" localSheetId="10" hidden="1">#REF!</definedName>
    <definedName name="s" localSheetId="4" hidden="1">#REF!</definedName>
    <definedName name="s" localSheetId="8" hidden="1">#REF!</definedName>
    <definedName name="s" hidden="1">#REF!</definedName>
    <definedName name="sa" localSheetId="11">#REF!</definedName>
    <definedName name="sa" localSheetId="9">#REF!</definedName>
    <definedName name="sa" localSheetId="13">#REF!</definedName>
    <definedName name="sa" localSheetId="12">#REF!</definedName>
    <definedName name="sa" localSheetId="0">#REF!</definedName>
    <definedName name="sa" localSheetId="5">#REF!</definedName>
    <definedName name="sa" localSheetId="10">#REF!</definedName>
    <definedName name="sa" localSheetId="4">#REF!</definedName>
    <definedName name="sa" localSheetId="8">#REF!</definedName>
    <definedName name="sa">#REF!</definedName>
    <definedName name="sbperm2">'[13]extensions lookup'!$B$67</definedName>
    <definedName name="sde" localSheetId="11">#REF!</definedName>
    <definedName name="sde" localSheetId="9">#REF!</definedName>
    <definedName name="sde" localSheetId="13">#REF!</definedName>
    <definedName name="sde" localSheetId="12">#REF!</definedName>
    <definedName name="sde" localSheetId="0">#REF!</definedName>
    <definedName name="sde" localSheetId="5">#REF!</definedName>
    <definedName name="sde" localSheetId="10">#REF!</definedName>
    <definedName name="sde" localSheetId="4">#REF!</definedName>
    <definedName name="sde" localSheetId="8">#REF!</definedName>
    <definedName name="sde">#REF!</definedName>
    <definedName name="SEC_DUTY">#N/A</definedName>
    <definedName name="SEC_WT">#N/A</definedName>
    <definedName name="SECTION">[8]Sections!$C$5:$E$240</definedName>
    <definedName name="SF" localSheetId="11">'[29]Price Sheet'!#REF!</definedName>
    <definedName name="SF" localSheetId="9">'[29]Price Sheet'!#REF!</definedName>
    <definedName name="SF" localSheetId="13">'[29]Price Sheet'!#REF!</definedName>
    <definedName name="SF" localSheetId="12">'[29]Price Sheet'!#REF!</definedName>
    <definedName name="SF" localSheetId="0">'[29]Price Sheet'!#REF!</definedName>
    <definedName name="SF" localSheetId="5">'[29]Price Sheet'!#REF!</definedName>
    <definedName name="SF" localSheetId="10">'[29]Price Sheet'!#REF!</definedName>
    <definedName name="SF" localSheetId="4">'[29]Price Sheet'!#REF!</definedName>
    <definedName name="SF" localSheetId="8">'[29]Price Sheet'!#REF!</definedName>
    <definedName name="SF">'[29]Price Sheet'!#REF!</definedName>
    <definedName name="sides">[13]cascading!$A$127:$A$129</definedName>
    <definedName name="SOUS_1" localSheetId="11">#REF!</definedName>
    <definedName name="SOUS_1" localSheetId="9">#REF!</definedName>
    <definedName name="SOUS_1" localSheetId="13">#REF!</definedName>
    <definedName name="SOUS_1" localSheetId="12">#REF!</definedName>
    <definedName name="SOUS_1" localSheetId="0">#REF!</definedName>
    <definedName name="SOUS_1" localSheetId="5">#REF!</definedName>
    <definedName name="SOUS_1" localSheetId="10">#REF!</definedName>
    <definedName name="SOUS_1" localSheetId="4">#REF!</definedName>
    <definedName name="SOUS_1" localSheetId="8">#REF!</definedName>
    <definedName name="SOUS_1">#REF!</definedName>
    <definedName name="SOUS_11" localSheetId="11">#REF!</definedName>
    <definedName name="SOUS_11" localSheetId="9">#REF!</definedName>
    <definedName name="SOUS_11" localSheetId="13">#REF!</definedName>
    <definedName name="SOUS_11" localSheetId="12">#REF!</definedName>
    <definedName name="SOUS_11" localSheetId="0">#REF!</definedName>
    <definedName name="SOUS_11" localSheetId="5">#REF!</definedName>
    <definedName name="SOUS_11" localSheetId="10">#REF!</definedName>
    <definedName name="SOUS_11" localSheetId="4">#REF!</definedName>
    <definedName name="SOUS_11" localSheetId="8">#REF!</definedName>
    <definedName name="SOUS_11">#REF!</definedName>
    <definedName name="SOUS_12" localSheetId="11">#REF!</definedName>
    <definedName name="SOUS_12" localSheetId="9">#REF!</definedName>
    <definedName name="SOUS_12" localSheetId="13">#REF!</definedName>
    <definedName name="SOUS_12" localSheetId="12">#REF!</definedName>
    <definedName name="SOUS_12" localSheetId="0">#REF!</definedName>
    <definedName name="SOUS_12" localSheetId="5">#REF!</definedName>
    <definedName name="SOUS_12" localSheetId="10">#REF!</definedName>
    <definedName name="SOUS_12" localSheetId="4">#REF!</definedName>
    <definedName name="SOUS_12" localSheetId="8">#REF!</definedName>
    <definedName name="SOUS_12">#REF!</definedName>
    <definedName name="SOUS_13" localSheetId="11">#REF!</definedName>
    <definedName name="SOUS_13" localSheetId="9">#REF!</definedName>
    <definedName name="SOUS_13" localSheetId="13">#REF!</definedName>
    <definedName name="SOUS_13" localSheetId="12">#REF!</definedName>
    <definedName name="SOUS_13" localSheetId="0">#REF!</definedName>
    <definedName name="SOUS_13" localSheetId="5">#REF!</definedName>
    <definedName name="SOUS_13" localSheetId="10">#REF!</definedName>
    <definedName name="SOUS_13" localSheetId="4">#REF!</definedName>
    <definedName name="SOUS_13" localSheetId="8">#REF!</definedName>
    <definedName name="SOUS_13">#REF!</definedName>
    <definedName name="SOUS_14" localSheetId="11">#REF!</definedName>
    <definedName name="SOUS_14" localSheetId="9">#REF!</definedName>
    <definedName name="SOUS_14" localSheetId="13">#REF!</definedName>
    <definedName name="SOUS_14" localSheetId="12">#REF!</definedName>
    <definedName name="SOUS_14" localSheetId="0">#REF!</definedName>
    <definedName name="SOUS_14" localSheetId="5">#REF!</definedName>
    <definedName name="SOUS_14" localSheetId="10">#REF!</definedName>
    <definedName name="SOUS_14" localSheetId="4">#REF!</definedName>
    <definedName name="SOUS_14" localSheetId="8">#REF!</definedName>
    <definedName name="SOUS_14">#REF!</definedName>
    <definedName name="SOUS_15" localSheetId="11">#REF!</definedName>
    <definedName name="SOUS_15" localSheetId="9">#REF!</definedName>
    <definedName name="SOUS_15" localSheetId="13">#REF!</definedName>
    <definedName name="SOUS_15" localSheetId="12">#REF!</definedName>
    <definedName name="SOUS_15" localSheetId="0">#REF!</definedName>
    <definedName name="SOUS_15" localSheetId="5">#REF!</definedName>
    <definedName name="SOUS_15" localSheetId="10">#REF!</definedName>
    <definedName name="SOUS_15" localSheetId="4">#REF!</definedName>
    <definedName name="SOUS_15" localSheetId="8">#REF!</definedName>
    <definedName name="SOUS_15">#REF!</definedName>
    <definedName name="SOUS_16" localSheetId="11">#REF!</definedName>
    <definedName name="SOUS_16" localSheetId="9">#REF!</definedName>
    <definedName name="SOUS_16" localSheetId="13">#REF!</definedName>
    <definedName name="SOUS_16" localSheetId="12">#REF!</definedName>
    <definedName name="SOUS_16" localSheetId="0">#REF!</definedName>
    <definedName name="SOUS_16" localSheetId="5">#REF!</definedName>
    <definedName name="SOUS_16" localSheetId="10">#REF!</definedName>
    <definedName name="SOUS_16" localSheetId="4">#REF!</definedName>
    <definedName name="SOUS_16" localSheetId="8">#REF!</definedName>
    <definedName name="SOUS_16">#REF!</definedName>
    <definedName name="SOUS_17" localSheetId="11">#REF!</definedName>
    <definedName name="SOUS_17" localSheetId="9">#REF!</definedName>
    <definedName name="SOUS_17" localSheetId="13">#REF!</definedName>
    <definedName name="SOUS_17" localSheetId="12">#REF!</definedName>
    <definedName name="SOUS_17" localSheetId="0">#REF!</definedName>
    <definedName name="SOUS_17" localSheetId="5">#REF!</definedName>
    <definedName name="SOUS_17" localSheetId="10">#REF!</definedName>
    <definedName name="SOUS_17" localSheetId="4">#REF!</definedName>
    <definedName name="SOUS_17" localSheetId="8">#REF!</definedName>
    <definedName name="SOUS_17">#REF!</definedName>
    <definedName name="SOUS_18" localSheetId="11">#REF!</definedName>
    <definedName name="SOUS_18" localSheetId="9">#REF!</definedName>
    <definedName name="SOUS_18" localSheetId="13">#REF!</definedName>
    <definedName name="SOUS_18" localSheetId="12">#REF!</definedName>
    <definedName name="SOUS_18" localSheetId="0">#REF!</definedName>
    <definedName name="SOUS_18" localSheetId="5">#REF!</definedName>
    <definedName name="SOUS_18" localSheetId="10">#REF!</definedName>
    <definedName name="SOUS_18" localSheetId="4">#REF!</definedName>
    <definedName name="SOUS_18" localSheetId="8">#REF!</definedName>
    <definedName name="SOUS_18">#REF!</definedName>
    <definedName name="SOUS_19" localSheetId="11">#REF!</definedName>
    <definedName name="SOUS_19" localSheetId="9">#REF!</definedName>
    <definedName name="SOUS_19" localSheetId="13">#REF!</definedName>
    <definedName name="SOUS_19" localSheetId="12">#REF!</definedName>
    <definedName name="SOUS_19" localSheetId="0">#REF!</definedName>
    <definedName name="SOUS_19" localSheetId="5">#REF!</definedName>
    <definedName name="SOUS_19" localSheetId="10">#REF!</definedName>
    <definedName name="SOUS_19" localSheetId="4">#REF!</definedName>
    <definedName name="SOUS_19" localSheetId="8">#REF!</definedName>
    <definedName name="SOUS_19">#REF!</definedName>
    <definedName name="SOUS13" localSheetId="11">#REF!</definedName>
    <definedName name="SOUS13" localSheetId="9">#REF!</definedName>
    <definedName name="SOUS13" localSheetId="13">#REF!</definedName>
    <definedName name="SOUS13" localSheetId="12">#REF!</definedName>
    <definedName name="SOUS13" localSheetId="0">#REF!</definedName>
    <definedName name="SOUS13" localSheetId="5">#REF!</definedName>
    <definedName name="SOUS13" localSheetId="10">#REF!</definedName>
    <definedName name="SOUS13" localSheetId="4">#REF!</definedName>
    <definedName name="SOUS13" localSheetId="8">#REF!</definedName>
    <definedName name="SOUS13">#REF!</definedName>
    <definedName name="Spare_ins" localSheetId="11">#REF!</definedName>
    <definedName name="Spare_ins" localSheetId="9">#REF!</definedName>
    <definedName name="Spare_ins" localSheetId="13">#REF!</definedName>
    <definedName name="Spare_ins" localSheetId="12">#REF!</definedName>
    <definedName name="Spare_ins" localSheetId="0">#REF!</definedName>
    <definedName name="Spare_ins" localSheetId="5">#REF!</definedName>
    <definedName name="Spare_ins" localSheetId="10">#REF!</definedName>
    <definedName name="Spare_ins" localSheetId="4">#REF!</definedName>
    <definedName name="Spare_ins" localSheetId="8">#REF!</definedName>
    <definedName name="Spare_ins">#REF!</definedName>
    <definedName name="sr" localSheetId="11">#REF!</definedName>
    <definedName name="sr" localSheetId="9">#REF!</definedName>
    <definedName name="sr" localSheetId="13">#REF!</definedName>
    <definedName name="sr" localSheetId="12">#REF!</definedName>
    <definedName name="sr" localSheetId="0">#REF!</definedName>
    <definedName name="sr" localSheetId="5">#REF!</definedName>
    <definedName name="sr" localSheetId="10">#REF!</definedName>
    <definedName name="sr" localSheetId="4">#REF!</definedName>
    <definedName name="sr" localSheetId="8">#REF!</definedName>
    <definedName name="sr">#REF!</definedName>
    <definedName name="SS_DH">[18]BASICS!$C$56</definedName>
    <definedName name="SS_F">[18]BASICS!$C$64</definedName>
    <definedName name="SS_PL">[18]BASICS!$C$50</definedName>
    <definedName name="SS_SEC">[18]BASICS!$C$53</definedName>
    <definedName name="SS_SP">[18]BASICS!$C$59</definedName>
    <definedName name="ssss" localSheetId="11">#REF!</definedName>
    <definedName name="ssss" localSheetId="9">#REF!</definedName>
    <definedName name="ssss" localSheetId="13">#REF!</definedName>
    <definedName name="ssss" localSheetId="12">#REF!</definedName>
    <definedName name="ssss" localSheetId="0">#REF!</definedName>
    <definedName name="ssss" localSheetId="5">#REF!</definedName>
    <definedName name="ssss" localSheetId="10">#REF!</definedName>
    <definedName name="ssss" localSheetId="4">#REF!</definedName>
    <definedName name="ssss" localSheetId="8">#REF!</definedName>
    <definedName name="ssss">#REF!</definedName>
    <definedName name="SU" localSheetId="11">#REF!</definedName>
    <definedName name="SU" localSheetId="9">#REF!</definedName>
    <definedName name="SU" localSheetId="13">#REF!</definedName>
    <definedName name="SU" localSheetId="12">#REF!</definedName>
    <definedName name="SU" localSheetId="0">#REF!</definedName>
    <definedName name="SU" localSheetId="5">#REF!</definedName>
    <definedName name="SU" localSheetId="10">#REF!</definedName>
    <definedName name="SU" localSheetId="4">#REF!</definedName>
    <definedName name="SU" localSheetId="8">#REF!</definedName>
    <definedName name="SU">#REF!</definedName>
    <definedName name="subject" localSheetId="11">#REF!</definedName>
    <definedName name="subject" localSheetId="9">#REF!</definedName>
    <definedName name="subject" localSheetId="13">#REF!</definedName>
    <definedName name="subject" localSheetId="12">#REF!</definedName>
    <definedName name="subject" localSheetId="0">#REF!</definedName>
    <definedName name="subject" localSheetId="5">#REF!</definedName>
    <definedName name="subject" localSheetId="10">#REF!</definedName>
    <definedName name="subject" localSheetId="4">#REF!</definedName>
    <definedName name="subject" localSheetId="8">#REF!</definedName>
    <definedName name="subject">#REF!</definedName>
    <definedName name="Summary" localSheetId="11">#REF!</definedName>
    <definedName name="Summary" localSheetId="9">#REF!</definedName>
    <definedName name="Summary" localSheetId="13">#REF!</definedName>
    <definedName name="Summary" localSheetId="12">#REF!</definedName>
    <definedName name="Summary" localSheetId="0">#REF!</definedName>
    <definedName name="Summary" localSheetId="5">#REF!</definedName>
    <definedName name="Summary" localSheetId="10">#REF!</definedName>
    <definedName name="Summary" localSheetId="4">#REF!</definedName>
    <definedName name="Summary" localSheetId="8">#REF!</definedName>
    <definedName name="Summary">#REF!</definedName>
    <definedName name="target_object">[13]cascading!$A$96:$A$125</definedName>
    <definedName name="Taux_pose" localSheetId="11">#REF!</definedName>
    <definedName name="Taux_pose" localSheetId="9">#REF!</definedName>
    <definedName name="Taux_pose" localSheetId="13">#REF!</definedName>
    <definedName name="Taux_pose" localSheetId="12">#REF!</definedName>
    <definedName name="Taux_pose" localSheetId="0">#REF!</definedName>
    <definedName name="Taux_pose" localSheetId="5">#REF!</definedName>
    <definedName name="Taux_pose" localSheetId="10">#REF!</definedName>
    <definedName name="Taux_pose" localSheetId="4">#REF!</definedName>
    <definedName name="Taux_pose" localSheetId="8">#REF!</definedName>
    <definedName name="Taux_pose">#REF!</definedName>
    <definedName name="Taux_racc." localSheetId="11">#REF!</definedName>
    <definedName name="Taux_racc." localSheetId="9">#REF!</definedName>
    <definedName name="Taux_racc." localSheetId="13">#REF!</definedName>
    <definedName name="Taux_racc." localSheetId="12">#REF!</definedName>
    <definedName name="Taux_racc." localSheetId="0">#REF!</definedName>
    <definedName name="Taux_racc." localSheetId="5">#REF!</definedName>
    <definedName name="Taux_racc." localSheetId="10">#REF!</definedName>
    <definedName name="Taux_racc." localSheetId="4">#REF!</definedName>
    <definedName name="Taux_racc." localSheetId="8">#REF!</definedName>
    <definedName name="Taux_racc.">#REF!</definedName>
    <definedName name="test" localSheetId="11">#REF!</definedName>
    <definedName name="test" localSheetId="9">#REF!</definedName>
    <definedName name="test" localSheetId="13">#REF!</definedName>
    <definedName name="test" localSheetId="12">#REF!</definedName>
    <definedName name="test" localSheetId="0">#REF!</definedName>
    <definedName name="test" localSheetId="5">#REF!</definedName>
    <definedName name="test" localSheetId="10">#REF!</definedName>
    <definedName name="test" localSheetId="4">#REF!</definedName>
    <definedName name="test" localSheetId="8">#REF!</definedName>
    <definedName name="test">#REF!</definedName>
    <definedName name="thinner_price">'[13]extensions lookup'!$A$57:$B$64</definedName>
    <definedName name="thinners">'[13]extensions lookup'!$A$57:$A$64</definedName>
    <definedName name="TIME">[14]Cover!$O$57</definedName>
    <definedName name="TIME_FCST1">[11]Cover!$D$8</definedName>
    <definedName name="TIME_FCST2">[11]Cover!$D$9</definedName>
    <definedName name="TIME_FCST3">[11]Cover!$D$10</definedName>
    <definedName name="Ton___________1_265.57___________________________2_5501_______________3_227_204" localSheetId="11">#REF!</definedName>
    <definedName name="Ton___________1_265.57___________________________2_5501_______________3_227_204" localSheetId="9">#REF!</definedName>
    <definedName name="Ton___________1_265.57___________________________2_5501_______________3_227_204" localSheetId="13">#REF!</definedName>
    <definedName name="Ton___________1_265.57___________________________2_5501_______________3_227_204" localSheetId="12">#REF!</definedName>
    <definedName name="Ton___________1_265.57___________________________2_5501_______________3_227_204" localSheetId="0">#REF!</definedName>
    <definedName name="Ton___________1_265.57___________________________2_5501_______________3_227_204" localSheetId="5">#REF!</definedName>
    <definedName name="Ton___________1_265.57___________________________2_5501_______________3_227_204" localSheetId="10">#REF!</definedName>
    <definedName name="Ton___________1_265.57___________________________2_5501_______________3_227_204" localSheetId="4">#REF!</definedName>
    <definedName name="Ton___________1_265.57___________________________2_5501_______________3_227_204" localSheetId="8">#REF!</definedName>
    <definedName name="Ton___________1_265.57___________________________2_5501_______________3_227_204">#REF!</definedName>
    <definedName name="TOT_DE" localSheetId="11">#REF!</definedName>
    <definedName name="TOT_DE" localSheetId="9">#REF!</definedName>
    <definedName name="TOT_DE" localSheetId="13">#REF!</definedName>
    <definedName name="TOT_DE" localSheetId="12">#REF!</definedName>
    <definedName name="TOT_DE" localSheetId="0">#REF!</definedName>
    <definedName name="TOT_DE" localSheetId="5">#REF!</definedName>
    <definedName name="TOT_DE" localSheetId="10">#REF!</definedName>
    <definedName name="TOT_DE" localSheetId="4">#REF!</definedName>
    <definedName name="TOT_DE" localSheetId="8">#REF!</definedName>
    <definedName name="TOT_DE">#REF!</definedName>
    <definedName name="TOT_IE" localSheetId="11">#REF!</definedName>
    <definedName name="TOT_IE" localSheetId="9">#REF!</definedName>
    <definedName name="TOT_IE" localSheetId="13">#REF!</definedName>
    <definedName name="TOT_IE" localSheetId="12">#REF!</definedName>
    <definedName name="TOT_IE" localSheetId="0">#REF!</definedName>
    <definedName name="TOT_IE" localSheetId="5">#REF!</definedName>
    <definedName name="TOT_IE" localSheetId="10">#REF!</definedName>
    <definedName name="TOT_IE" localSheetId="4">#REF!</definedName>
    <definedName name="TOT_IE" localSheetId="8">#REF!</definedName>
    <definedName name="TOT_IE">#REF!</definedName>
    <definedName name="TOTAL_SALES_97" localSheetId="11">#REF!</definedName>
    <definedName name="TOTAL_SALES_97" localSheetId="9">#REF!</definedName>
    <definedName name="TOTAL_SALES_97" localSheetId="13">#REF!</definedName>
    <definedName name="TOTAL_SALES_97" localSheetId="12">#REF!</definedName>
    <definedName name="TOTAL_SALES_97" localSheetId="0">#REF!</definedName>
    <definedName name="TOTAL_SALES_97" localSheetId="5">#REF!</definedName>
    <definedName name="TOTAL_SALES_97" localSheetId="10">#REF!</definedName>
    <definedName name="TOTAL_SALES_97" localSheetId="4">#REF!</definedName>
    <definedName name="TOTAL_SALES_97" localSheetId="8">#REF!</definedName>
    <definedName name="TOTAL_SALES_97">#REF!</definedName>
    <definedName name="Tr">[30]ميزان_المراجعة_شهرى!$A$1:$N$553</definedName>
    <definedName name="trial">[31]ميزان_المراجعة_شهرى!$A$1:$K$546</definedName>
    <definedName name="TTA">'[24]간접비(1)'!$AE$41</definedName>
    <definedName name="TTB">'[24]간접비(1)'!$AF$41</definedName>
    <definedName name="TTX">'[24]간접비(1)'!$AD$41</definedName>
    <definedName name="U">'[24]간접비(1)'!$AE$13</definedName>
    <definedName name="USD" localSheetId="11">#REF!</definedName>
    <definedName name="USD" localSheetId="9">#REF!</definedName>
    <definedName name="USD" localSheetId="13">#REF!</definedName>
    <definedName name="USD" localSheetId="12">#REF!</definedName>
    <definedName name="USD" localSheetId="0">#REF!</definedName>
    <definedName name="USD" localSheetId="5">#REF!</definedName>
    <definedName name="USD" localSheetId="10">#REF!</definedName>
    <definedName name="USD" localSheetId="4">#REF!</definedName>
    <definedName name="USD" localSheetId="8">#REF!</definedName>
    <definedName name="USD">#REF!</definedName>
    <definedName name="USDDM" localSheetId="11">#REF!</definedName>
    <definedName name="USDDM" localSheetId="9">#REF!</definedName>
    <definedName name="USDDM" localSheetId="13">#REF!</definedName>
    <definedName name="USDDM" localSheetId="12">#REF!</definedName>
    <definedName name="USDDM" localSheetId="0">#REF!</definedName>
    <definedName name="USDDM" localSheetId="5">#REF!</definedName>
    <definedName name="USDDM" localSheetId="10">#REF!</definedName>
    <definedName name="USDDM" localSheetId="4">#REF!</definedName>
    <definedName name="USDDM" localSheetId="8">#REF!</definedName>
    <definedName name="USDDM">#REF!</definedName>
    <definedName name="USDEURO" localSheetId="11">#REF!</definedName>
    <definedName name="USDEURO" localSheetId="9">#REF!</definedName>
    <definedName name="USDEURO" localSheetId="13">#REF!</definedName>
    <definedName name="USDEURO" localSheetId="12">#REF!</definedName>
    <definedName name="USDEURO" localSheetId="0">#REF!</definedName>
    <definedName name="USDEURO" localSheetId="5">#REF!</definedName>
    <definedName name="USDEURO" localSheetId="10">#REF!</definedName>
    <definedName name="USDEURO" localSheetId="4">#REF!</definedName>
    <definedName name="USDEURO" localSheetId="8">#REF!</definedName>
    <definedName name="USDEURO">#REF!</definedName>
    <definedName name="USDLE" localSheetId="11">#REF!</definedName>
    <definedName name="USDLE" localSheetId="9">#REF!</definedName>
    <definedName name="USDLE" localSheetId="13">#REF!</definedName>
    <definedName name="USDLE" localSheetId="12">#REF!</definedName>
    <definedName name="USDLE" localSheetId="0">#REF!</definedName>
    <definedName name="USDLE" localSheetId="5">#REF!</definedName>
    <definedName name="USDLE" localSheetId="10">#REF!</definedName>
    <definedName name="USDLE" localSheetId="4">#REF!</definedName>
    <definedName name="USDLE" localSheetId="8">#REF!</definedName>
    <definedName name="USDLE">#REF!</definedName>
    <definedName name="USDU" localSheetId="11">#REF!</definedName>
    <definedName name="USDU" localSheetId="9">#REF!</definedName>
    <definedName name="USDU" localSheetId="13">#REF!</definedName>
    <definedName name="USDU" localSheetId="12">#REF!</definedName>
    <definedName name="USDU" localSheetId="0">#REF!</definedName>
    <definedName name="USDU" localSheetId="5">#REF!</definedName>
    <definedName name="USDU" localSheetId="10">#REF!</definedName>
    <definedName name="USDU" localSheetId="4">#REF!</definedName>
    <definedName name="USDU" localSheetId="8">#REF!</definedName>
    <definedName name="USDU">#REF!</definedName>
    <definedName name="Valuation_Average" localSheetId="11">#REF!</definedName>
    <definedName name="Valuation_Average" localSheetId="9">#REF!</definedName>
    <definedName name="Valuation_Average" localSheetId="13">#REF!</definedName>
    <definedName name="Valuation_Average" localSheetId="12">#REF!</definedName>
    <definedName name="Valuation_Average" localSheetId="0">#REF!</definedName>
    <definedName name="Valuation_Average" localSheetId="5">#REF!</definedName>
    <definedName name="Valuation_Average" localSheetId="10">#REF!</definedName>
    <definedName name="Valuation_Average" localSheetId="4">#REF!</definedName>
    <definedName name="Valuation_Average" localSheetId="8">#REF!</definedName>
    <definedName name="Valuation_Average">#REF!</definedName>
    <definedName name="Valuation_Median" localSheetId="11">#REF!</definedName>
    <definedName name="Valuation_Median" localSheetId="9">#REF!</definedName>
    <definedName name="Valuation_Median" localSheetId="13">#REF!</definedName>
    <definedName name="Valuation_Median" localSheetId="12">#REF!</definedName>
    <definedName name="Valuation_Median" localSheetId="0">#REF!</definedName>
    <definedName name="Valuation_Median" localSheetId="5">#REF!</definedName>
    <definedName name="Valuation_Median" localSheetId="10">#REF!</definedName>
    <definedName name="Valuation_Median" localSheetId="4">#REF!</definedName>
    <definedName name="Valuation_Median" localSheetId="8">#REF!</definedName>
    <definedName name="Valuation_Median">#REF!</definedName>
    <definedName name="vfvbbbbbbbbbbbbbbbbbbb">'[1]elimination entries'!$B$252:$L$259</definedName>
    <definedName name="volume" localSheetId="11">#REF!</definedName>
    <definedName name="volume" localSheetId="9">#REF!</definedName>
    <definedName name="volume" localSheetId="13">#REF!</definedName>
    <definedName name="volume" localSheetId="12">#REF!</definedName>
    <definedName name="volume" localSheetId="0">#REF!</definedName>
    <definedName name="volume" localSheetId="5">#REF!</definedName>
    <definedName name="volume" localSheetId="10">#REF!</definedName>
    <definedName name="volume" localSheetId="4">#REF!</definedName>
    <definedName name="volume" localSheetId="8">#REF!</definedName>
    <definedName name="volume">#REF!</definedName>
    <definedName name="wdqw" localSheetId="11">#REF!</definedName>
    <definedName name="wdqw" localSheetId="9">#REF!</definedName>
    <definedName name="wdqw" localSheetId="13">#REF!</definedName>
    <definedName name="wdqw" localSheetId="12">#REF!</definedName>
    <definedName name="wdqw" localSheetId="0">#REF!</definedName>
    <definedName name="wdqw" localSheetId="5">#REF!</definedName>
    <definedName name="wdqw" localSheetId="10">#REF!</definedName>
    <definedName name="wdqw" localSheetId="4">#REF!</definedName>
    <definedName name="wdqw" localSheetId="8">#REF!</definedName>
    <definedName name="wdqw">#REF!</definedName>
    <definedName name="Weighted_Expected_Value" localSheetId="11">#REF!</definedName>
    <definedName name="Weighted_Expected_Value" localSheetId="9">#REF!</definedName>
    <definedName name="Weighted_Expected_Value" localSheetId="13">#REF!</definedName>
    <definedName name="Weighted_Expected_Value" localSheetId="12">#REF!</definedName>
    <definedName name="Weighted_Expected_Value" localSheetId="0">#REF!</definedName>
    <definedName name="Weighted_Expected_Value" localSheetId="5">#REF!</definedName>
    <definedName name="Weighted_Expected_Value" localSheetId="10">#REF!</definedName>
    <definedName name="Weighted_Expected_Value" localSheetId="4">#REF!</definedName>
    <definedName name="Weighted_Expected_Value" localSheetId="8">#REF!</definedName>
    <definedName name="Weighted_Expected_Value">#REF!</definedName>
    <definedName name="werfrf" localSheetId="11">#REF!</definedName>
    <definedName name="werfrf" localSheetId="9">#REF!</definedName>
    <definedName name="werfrf" localSheetId="13">#REF!</definedName>
    <definedName name="werfrf" localSheetId="12">#REF!</definedName>
    <definedName name="werfrf" localSheetId="0">#REF!</definedName>
    <definedName name="werfrf" localSheetId="5">#REF!</definedName>
    <definedName name="werfrf" localSheetId="10">#REF!</definedName>
    <definedName name="werfrf" localSheetId="4">#REF!</definedName>
    <definedName name="werfrf" localSheetId="8">#REF!</definedName>
    <definedName name="werfrf">#REF!</definedName>
    <definedName name="wrn.COL." localSheetId="11" hidden="1">{"COLOMBIE",#N/A,FALSE,"SIDEM";"COLOMBIE",#N/A,FALSE,"GEC";"COLOMBIE",#N/A,FALSE,"TAB MT-BT"}</definedName>
    <definedName name="wrn.COL." localSheetId="9" hidden="1">{"COLOMBIE",#N/A,FALSE,"SIDEM";"COLOMBIE",#N/A,FALSE,"GEC";"COLOMBIE",#N/A,FALSE,"TAB MT-BT"}</definedName>
    <definedName name="wrn.COL." localSheetId="13" hidden="1">{"COLOMBIE",#N/A,FALSE,"SIDEM";"COLOMBIE",#N/A,FALSE,"GEC";"COLOMBIE",#N/A,FALSE,"TAB MT-BT"}</definedName>
    <definedName name="wrn.COL." localSheetId="12" hidden="1">{"COLOMBIE",#N/A,FALSE,"SIDEM";"COLOMBIE",#N/A,FALSE,"GEC";"COLOMBIE",#N/A,FALSE,"TAB MT-BT"}</definedName>
    <definedName name="wrn.COL." localSheetId="0" hidden="1">{"COLOMBIE",#N/A,FALSE,"SIDEM";"COLOMBIE",#N/A,FALSE,"GEC";"COLOMBIE",#N/A,FALSE,"TAB MT-BT"}</definedName>
    <definedName name="wrn.COL." localSheetId="5" hidden="1">{"COLOMBIE",#N/A,FALSE,"SIDEM";"COLOMBIE",#N/A,FALSE,"GEC";"COLOMBIE",#N/A,FALSE,"TAB MT-BT"}</definedName>
    <definedName name="wrn.COL." localSheetId="10" hidden="1">{"COLOMBIE",#N/A,FALSE,"SIDEM";"COLOMBIE",#N/A,FALSE,"GEC";"COLOMBIE",#N/A,FALSE,"TAB MT-BT"}</definedName>
    <definedName name="wrn.COL." localSheetId="4" hidden="1">{"COLOMBIE",#N/A,FALSE,"SIDEM";"COLOMBIE",#N/A,FALSE,"GEC";"COLOMBIE",#N/A,FALSE,"TAB MT-BT"}</definedName>
    <definedName name="wrn.COL." localSheetId="8" hidden="1">{"COLOMBIE",#N/A,FALSE,"SIDEM";"COLOMBIE",#N/A,FALSE,"GEC";"COLOMBIE",#N/A,FALSE,"TAB MT-BT"}</definedName>
    <definedName name="wrn.COL." hidden="1">{"COLOMBIE",#N/A,FALSE,"SIDEM";"COLOMBIE",#N/A,FALSE,"GEC";"COLOMBIE",#N/A,FALSE,"TAB MT-BT"}</definedName>
    <definedName name="xx" localSheetId="11">[12]ASSUMPTIONS!#REF!</definedName>
    <definedName name="xx" localSheetId="9">[12]ASSUMPTIONS!#REF!</definedName>
    <definedName name="xx" localSheetId="13">[12]ASSUMPTIONS!#REF!</definedName>
    <definedName name="xx" localSheetId="12">[12]ASSUMPTIONS!#REF!</definedName>
    <definedName name="xx" localSheetId="0">[12]ASSUMPTIONS!#REF!</definedName>
    <definedName name="xx" localSheetId="5">[12]ASSUMPTIONS!#REF!</definedName>
    <definedName name="xx" localSheetId="10">[12]ASSUMPTIONS!#REF!</definedName>
    <definedName name="xx" localSheetId="4">[12]ASSUMPTIONS!#REF!</definedName>
    <definedName name="xx" localSheetId="8">[12]ASSUMPTIONS!#REF!</definedName>
    <definedName name="xx">[12]ASSUMPTIONS!#REF!</definedName>
    <definedName name="z" localSheetId="11">#REF!</definedName>
    <definedName name="z" localSheetId="9">#REF!</definedName>
    <definedName name="z" localSheetId="13">#REF!</definedName>
    <definedName name="z" localSheetId="12">#REF!</definedName>
    <definedName name="z" localSheetId="0">#REF!</definedName>
    <definedName name="z" localSheetId="5">#REF!</definedName>
    <definedName name="z" localSheetId="10">#REF!</definedName>
    <definedName name="z" localSheetId="4">#REF!</definedName>
    <definedName name="z" localSheetId="8">#REF!</definedName>
    <definedName name="z">#REF!</definedName>
    <definedName name="ا256" localSheetId="11">#REF!</definedName>
    <definedName name="ا256" localSheetId="9">#REF!</definedName>
    <definedName name="ا256" localSheetId="13">#REF!</definedName>
    <definedName name="ا256" localSheetId="12">#REF!</definedName>
    <definedName name="ا256" localSheetId="0">#REF!</definedName>
    <definedName name="ا256" localSheetId="5">#REF!</definedName>
    <definedName name="ا256" localSheetId="10">#REF!</definedName>
    <definedName name="ا256" localSheetId="4">#REF!</definedName>
    <definedName name="ا256" localSheetId="8">#REF!</definedName>
    <definedName name="ا256">#REF!</definedName>
    <definedName name="أرصدة_الحسابات" localSheetId="11">#REF!</definedName>
    <definedName name="أرصدة_الحسابات" localSheetId="9">#REF!</definedName>
    <definedName name="أرصدة_الحسابات" localSheetId="13">#REF!</definedName>
    <definedName name="أرصدة_الحسابات" localSheetId="12">#REF!</definedName>
    <definedName name="أرصدة_الحسابات" localSheetId="0">#REF!</definedName>
    <definedName name="أرصدة_الحسابات" localSheetId="5">#REF!</definedName>
    <definedName name="أرصدة_الحسابات" localSheetId="10">#REF!</definedName>
    <definedName name="أرصدة_الحسابات" localSheetId="4">#REF!</definedName>
    <definedName name="أرصدة_الحسابات" localSheetId="8">#REF!</definedName>
    <definedName name="أرصدة_الحسابات">#REF!</definedName>
    <definedName name="أستاذ_مساعد_مركز_تكلفة" localSheetId="11">#REF!</definedName>
    <definedName name="أستاذ_مساعد_مركز_تكلفة" localSheetId="9">#REF!</definedName>
    <definedName name="أستاذ_مساعد_مركز_تكلفة" localSheetId="13">#REF!</definedName>
    <definedName name="أستاذ_مساعد_مركز_تكلفة" localSheetId="12">#REF!</definedName>
    <definedName name="أستاذ_مساعد_مركز_تكلفة" localSheetId="0">#REF!</definedName>
    <definedName name="أستاذ_مساعد_مركز_تكلفة" localSheetId="5">#REF!</definedName>
    <definedName name="أستاذ_مساعد_مركز_تكلفة" localSheetId="10">#REF!</definedName>
    <definedName name="أستاذ_مساعد_مركز_تكلفة" localSheetId="4">#REF!</definedName>
    <definedName name="أستاذ_مساعد_مركز_تكلفة" localSheetId="8">#REF!</definedName>
    <definedName name="أستاذ_مساعد_مركز_تكلفة">#REF!</definedName>
    <definedName name="أستاذ_مساعد_مركز_تكلفة___غير_مرحل" localSheetId="11">#REF!</definedName>
    <definedName name="أستاذ_مساعد_مركز_تكلفة___غير_مرحل" localSheetId="9">#REF!</definedName>
    <definedName name="أستاذ_مساعد_مركز_تكلفة___غير_مرحل" localSheetId="13">#REF!</definedName>
    <definedName name="أستاذ_مساعد_مركز_تكلفة___غير_مرحل" localSheetId="12">#REF!</definedName>
    <definedName name="أستاذ_مساعد_مركز_تكلفة___غير_مرحل" localSheetId="0">#REF!</definedName>
    <definedName name="أستاذ_مساعد_مركز_تكلفة___غير_مرحل" localSheetId="5">#REF!</definedName>
    <definedName name="أستاذ_مساعد_مركز_تكلفة___غير_مرحل" localSheetId="10">#REF!</definedName>
    <definedName name="أستاذ_مساعد_مركز_تكلفة___غير_مرحل" localSheetId="4">#REF!</definedName>
    <definedName name="أستاذ_مساعد_مركز_تكلفة___غير_مرحل" localSheetId="8">#REF!</definedName>
    <definedName name="أستاذ_مساعد_مركز_تكلفة___غير_مرحل">#REF!</definedName>
    <definedName name="أقدمية_الدين" localSheetId="11">#REF!</definedName>
    <definedName name="أقدمية_الدين" localSheetId="9">#REF!</definedName>
    <definedName name="أقدمية_الدين" localSheetId="13">#REF!</definedName>
    <definedName name="أقدمية_الدين" localSheetId="12">#REF!</definedName>
    <definedName name="أقدمية_الدين" localSheetId="0">#REF!</definedName>
    <definedName name="أقدمية_الدين" localSheetId="5">#REF!</definedName>
    <definedName name="أقدمية_الدين" localSheetId="10">#REF!</definedName>
    <definedName name="أقدمية_الدين" localSheetId="4">#REF!</definedName>
    <definedName name="أقدمية_الدين" localSheetId="8">#REF!</definedName>
    <definedName name="أقدمية_الدين">#REF!</definedName>
    <definedName name="الأستاذ_المساعد" localSheetId="11">#REF!</definedName>
    <definedName name="الأستاذ_المساعد" localSheetId="9">#REF!</definedName>
    <definedName name="الأستاذ_المساعد" localSheetId="13">#REF!</definedName>
    <definedName name="الأستاذ_المساعد" localSheetId="12">#REF!</definedName>
    <definedName name="الأستاذ_المساعد" localSheetId="0">#REF!</definedName>
    <definedName name="الأستاذ_المساعد" localSheetId="5">#REF!</definedName>
    <definedName name="الأستاذ_المساعد" localSheetId="10">#REF!</definedName>
    <definedName name="الأستاذ_المساعد" localSheetId="4">#REF!</definedName>
    <definedName name="الأستاذ_المساعد" localSheetId="8">#REF!</definedName>
    <definedName name="الأستاذ_المساعد">#REF!</definedName>
    <definedName name="الأستاذ_المساعد___غير_مرحل" localSheetId="11">#REF!</definedName>
    <definedName name="الأستاذ_المساعد___غير_مرحل" localSheetId="9">#REF!</definedName>
    <definedName name="الأستاذ_المساعد___غير_مرحل" localSheetId="13">#REF!</definedName>
    <definedName name="الأستاذ_المساعد___غير_مرحل" localSheetId="12">#REF!</definedName>
    <definedName name="الأستاذ_المساعد___غير_مرحل" localSheetId="0">#REF!</definedName>
    <definedName name="الأستاذ_المساعد___غير_مرحل" localSheetId="5">#REF!</definedName>
    <definedName name="الأستاذ_المساعد___غير_مرحل" localSheetId="10">#REF!</definedName>
    <definedName name="الأستاذ_المساعد___غير_مرحل" localSheetId="4">#REF!</definedName>
    <definedName name="الأستاذ_المساعد___غير_مرحل" localSheetId="8">#REF!</definedName>
    <definedName name="الأستاذ_المساعد___غير_مرحل">#REF!</definedName>
    <definedName name="ت847" localSheetId="11">#REF!</definedName>
    <definedName name="ت847" localSheetId="9">#REF!</definedName>
    <definedName name="ت847" localSheetId="13">#REF!</definedName>
    <definedName name="ت847" localSheetId="12">#REF!</definedName>
    <definedName name="ت847" localSheetId="0">#REF!</definedName>
    <definedName name="ت847" localSheetId="5">#REF!</definedName>
    <definedName name="ت847" localSheetId="10">#REF!</definedName>
    <definedName name="ت847" localSheetId="4">#REF!</definedName>
    <definedName name="ت847" localSheetId="8">#REF!</definedName>
    <definedName name="ت847">#REF!</definedName>
    <definedName name="تفصيلى_مركز_تكلفة" localSheetId="11">'[32]sina gray'!#REF!</definedName>
    <definedName name="تفصيلى_مركز_تكلفة" localSheetId="9">'[32]sina gray'!#REF!</definedName>
    <definedName name="تفصيلى_مركز_تكلفة" localSheetId="13">'[32]sina gray'!#REF!</definedName>
    <definedName name="تفصيلى_مركز_تكلفة" localSheetId="12">'[32]sina gray'!#REF!</definedName>
    <definedName name="تفصيلى_مركز_تكلفة" localSheetId="0">'[32]sina gray'!#REF!</definedName>
    <definedName name="تفصيلى_مركز_تكلفة" localSheetId="5">'[32]sina gray'!#REF!</definedName>
    <definedName name="تفصيلى_مركز_تكلفة" localSheetId="10">'[32]sina gray'!#REF!</definedName>
    <definedName name="تفصيلى_مركز_تكلفة" localSheetId="4">'[32]sina gray'!#REF!</definedName>
    <definedName name="تفصيلى_مركز_تكلفة" localSheetId="8">'[32]sina gray'!#REF!</definedName>
    <definedName name="تفصيلى_مركز_تكلفة">'[32]sina gray'!#REF!</definedName>
    <definedName name="ملخص_المرتب_الشهرى___ادارة" localSheetId="11">#REF!</definedName>
    <definedName name="ملخص_المرتب_الشهرى___ادارة" localSheetId="9">#REF!</definedName>
    <definedName name="ملخص_المرتب_الشهرى___ادارة" localSheetId="13">#REF!</definedName>
    <definedName name="ملخص_المرتب_الشهرى___ادارة" localSheetId="12">#REF!</definedName>
    <definedName name="ملخص_المرتب_الشهرى___ادارة" localSheetId="0">#REF!</definedName>
    <definedName name="ملخص_المرتب_الشهرى___ادارة" localSheetId="5">#REF!</definedName>
    <definedName name="ملخص_المرتب_الشهرى___ادارة" localSheetId="10">#REF!</definedName>
    <definedName name="ملخص_المرتب_الشهرى___ادارة" localSheetId="4">#REF!</definedName>
    <definedName name="ملخص_المرتب_الشهرى___ادارة" localSheetId="8">#REF!</definedName>
    <definedName name="ملخص_المرتب_الشهرى___ادارة">#REF!</definedName>
    <definedName name="ملخص_حساب_المورد" localSheetId="11">#REF!</definedName>
    <definedName name="ملخص_حساب_المورد" localSheetId="9">#REF!</definedName>
    <definedName name="ملخص_حساب_المورد" localSheetId="13">#REF!</definedName>
    <definedName name="ملخص_حساب_المورد" localSheetId="12">#REF!</definedName>
    <definedName name="ملخص_حساب_المورد" localSheetId="0">#REF!</definedName>
    <definedName name="ملخص_حساب_المورد" localSheetId="5">#REF!</definedName>
    <definedName name="ملخص_حساب_المورد" localSheetId="10">#REF!</definedName>
    <definedName name="ملخص_حساب_المورد" localSheetId="4">#REF!</definedName>
    <definedName name="ملخص_حساب_المورد" localSheetId="8">#REF!</definedName>
    <definedName name="ملخص_حساب_المورد">#REF!</definedName>
    <definedName name="ملخص_مركز_تكلفة" localSheetId="11">#REF!</definedName>
    <definedName name="ملخص_مركز_تكلفة" localSheetId="9">#REF!</definedName>
    <definedName name="ملخص_مركز_تكلفة" localSheetId="13">#REF!</definedName>
    <definedName name="ملخص_مركز_تكلفة" localSheetId="12">#REF!</definedName>
    <definedName name="ملخص_مركز_تكلفة" localSheetId="0">#REF!</definedName>
    <definedName name="ملخص_مركز_تكلفة" localSheetId="5">#REF!</definedName>
    <definedName name="ملخص_مركز_تكلفة" localSheetId="10">#REF!</definedName>
    <definedName name="ملخص_مركز_تكلفة" localSheetId="4">#REF!</definedName>
    <definedName name="ملخص_مركز_تكلفة" localSheetId="8">#REF!</definedName>
    <definedName name="ملخص_مركز_تكلفة">#REF!</definedName>
    <definedName name="ميزان_المراجعة___غير_مرحل" localSheetId="11">#REF!</definedName>
    <definedName name="ميزان_المراجعة___غير_مرحل" localSheetId="9">#REF!</definedName>
    <definedName name="ميزان_المراجعة___غير_مرحل" localSheetId="13">#REF!</definedName>
    <definedName name="ميزان_المراجعة___غير_مرحل" localSheetId="12">#REF!</definedName>
    <definedName name="ميزان_المراجعة___غير_مرحل" localSheetId="0">#REF!</definedName>
    <definedName name="ميزان_المراجعة___غير_مرحل" localSheetId="5">#REF!</definedName>
    <definedName name="ميزان_المراجعة___غير_مرحل" localSheetId="10">#REF!</definedName>
    <definedName name="ميزان_المراجعة___غير_مرحل" localSheetId="4">#REF!</definedName>
    <definedName name="ميزان_المراجعة___غير_مرحل" localSheetId="8">#REF!</definedName>
    <definedName name="ميزان_المراجعة___غير_مرحل">#REF!</definedName>
    <definedName name="ميزان_المراجعة_شهرى" localSheetId="11">#REF!</definedName>
    <definedName name="ميزان_المراجعة_شهرى" localSheetId="9">#REF!</definedName>
    <definedName name="ميزان_المراجعة_شهرى" localSheetId="13">#REF!</definedName>
    <definedName name="ميزان_المراجعة_شهرى" localSheetId="12">#REF!</definedName>
    <definedName name="ميزان_المراجعة_شهرى" localSheetId="0">#REF!</definedName>
    <definedName name="ميزان_المراجعة_شهرى" localSheetId="5">#REF!</definedName>
    <definedName name="ميزان_المراجعة_شهرى" localSheetId="10">#REF!</definedName>
    <definedName name="ميزان_المراجعة_شهرى" localSheetId="4">#REF!</definedName>
    <definedName name="ميزان_المراجعة_شهرى" localSheetId="8">#REF!</definedName>
    <definedName name="ميزان_المراجعة_شهرى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Z172" i="1" l="1"/>
  <c r="GJ176" i="1" l="1"/>
  <c r="GJ125" i="1"/>
  <c r="GJ164" i="1"/>
  <c r="GJ148" i="1"/>
  <c r="GJ129" i="1"/>
  <c r="GJ88" i="1"/>
  <c r="GJ84" i="1"/>
  <c r="GJ60" i="1"/>
  <c r="GJ59" i="1"/>
  <c r="GJ47" i="1"/>
  <c r="GJ28" i="1"/>
  <c r="GJ18" i="1"/>
  <c r="GJ8" i="1"/>
  <c r="GK172" i="1" s="1"/>
  <c r="GK157" i="1" l="1"/>
  <c r="GK102" i="1"/>
  <c r="GK28" i="1"/>
  <c r="GK72" i="1"/>
  <c r="GK21" i="1"/>
  <c r="GK59" i="1"/>
  <c r="GK65" i="1"/>
  <c r="GK73" i="1"/>
  <c r="GK130" i="1"/>
  <c r="GK141" i="1"/>
  <c r="GK169" i="1"/>
  <c r="GK53" i="1"/>
  <c r="GK109" i="1"/>
  <c r="GK166" i="1"/>
  <c r="GK37" i="1"/>
  <c r="GK118" i="1"/>
  <c r="GK38" i="1"/>
  <c r="GK94" i="1"/>
  <c r="GK22" i="1"/>
  <c r="GK49" i="1"/>
  <c r="GK57" i="1"/>
  <c r="GK66" i="1"/>
  <c r="GK85" i="1"/>
  <c r="GK105" i="1"/>
  <c r="GK113" i="1"/>
  <c r="GK121" i="1"/>
  <c r="GK142" i="1"/>
  <c r="GK153" i="1"/>
  <c r="GK161" i="1"/>
  <c r="GK176" i="1"/>
  <c r="GK26" i="1"/>
  <c r="GK101" i="1"/>
  <c r="GK45" i="1"/>
  <c r="GK158" i="1"/>
  <c r="GK47" i="1"/>
  <c r="GK82" i="1"/>
  <c r="GK129" i="1"/>
  <c r="GK13" i="1"/>
  <c r="GK33" i="1"/>
  <c r="GK41" i="1"/>
  <c r="GK50" i="1"/>
  <c r="GK58" i="1"/>
  <c r="GK88" i="1"/>
  <c r="GK97" i="1"/>
  <c r="GK106" i="1"/>
  <c r="GK114" i="1"/>
  <c r="GK122" i="1"/>
  <c r="GK154" i="1"/>
  <c r="GK173" i="1"/>
  <c r="GK117" i="1"/>
  <c r="GK18" i="1"/>
  <c r="GK54" i="1"/>
  <c r="GK110" i="1"/>
  <c r="GK137" i="1"/>
  <c r="GK10" i="1"/>
  <c r="GK46" i="1"/>
  <c r="GK149" i="1"/>
  <c r="GK14" i="1"/>
  <c r="GK34" i="1"/>
  <c r="GK42" i="1"/>
  <c r="GK77" i="1"/>
  <c r="GK89" i="1"/>
  <c r="GK133" i="1"/>
  <c r="GK174" i="1"/>
  <c r="GK62" i="1"/>
  <c r="GK17" i="1"/>
  <c r="GK81" i="1"/>
  <c r="GK25" i="1"/>
  <c r="GK61" i="1"/>
  <c r="GK70" i="1"/>
  <c r="GK84" i="1"/>
  <c r="GK90" i="1"/>
  <c r="GK134" i="1"/>
  <c r="GK145" i="1"/>
  <c r="GK165" i="1"/>
  <c r="GK16" i="1"/>
  <c r="GK40" i="1"/>
  <c r="GK60" i="1"/>
  <c r="GK100" i="1"/>
  <c r="GK132" i="1"/>
  <c r="GK160" i="1"/>
  <c r="GJ74" i="1"/>
  <c r="GK74" i="1" s="1"/>
  <c r="GJ98" i="1"/>
  <c r="GK98" i="1" s="1"/>
  <c r="GJ150" i="1"/>
  <c r="GK150" i="1" s="1"/>
  <c r="GJ170" i="1"/>
  <c r="GK170" i="1" s="1"/>
  <c r="GK12" i="1"/>
  <c r="GK44" i="1"/>
  <c r="GK64" i="1"/>
  <c r="GK96" i="1"/>
  <c r="GK112" i="1"/>
  <c r="GK124" i="1"/>
  <c r="GK144" i="1"/>
  <c r="GK168" i="1"/>
  <c r="GJ69" i="1"/>
  <c r="GK69" i="1" s="1"/>
  <c r="GJ78" i="1"/>
  <c r="GK78" i="1" s="1"/>
  <c r="GJ86" i="1"/>
  <c r="GK86" i="1" s="1"/>
  <c r="GJ138" i="1"/>
  <c r="GK138" i="1" s="1"/>
  <c r="GJ146" i="1"/>
  <c r="GK146" i="1" s="1"/>
  <c r="GJ162" i="1"/>
  <c r="GK162" i="1" s="1"/>
  <c r="GK30" i="1"/>
  <c r="GJ19" i="1"/>
  <c r="GK24" i="1"/>
  <c r="GK52" i="1"/>
  <c r="GK76" i="1"/>
  <c r="GK92" i="1"/>
  <c r="GK116" i="1"/>
  <c r="GK136" i="1"/>
  <c r="GK152" i="1"/>
  <c r="GJ93" i="1"/>
  <c r="GK93" i="1" s="1"/>
  <c r="GK9" i="1"/>
  <c r="GK11" i="1"/>
  <c r="GK27" i="1"/>
  <c r="GK35" i="1"/>
  <c r="GK43" i="1"/>
  <c r="GK55" i="1"/>
  <c r="GK63" i="1"/>
  <c r="GK75" i="1"/>
  <c r="GK91" i="1"/>
  <c r="GK99" i="1"/>
  <c r="GK115" i="1"/>
  <c r="GK147" i="1"/>
  <c r="GK20" i="1"/>
  <c r="GK36" i="1"/>
  <c r="GK48" i="1"/>
  <c r="GK68" i="1"/>
  <c r="GK108" i="1"/>
  <c r="GK128" i="1"/>
  <c r="GK148" i="1"/>
  <c r="GK164" i="1"/>
  <c r="GK15" i="1"/>
  <c r="GK23" i="1"/>
  <c r="GK31" i="1"/>
  <c r="GK39" i="1"/>
  <c r="GK51" i="1"/>
  <c r="GK67" i="1"/>
  <c r="GK71" i="1"/>
  <c r="GK79" i="1"/>
  <c r="GK83" i="1"/>
  <c r="GK87" i="1"/>
  <c r="GK95" i="1"/>
  <c r="GK103" i="1"/>
  <c r="GK107" i="1"/>
  <c r="GK111" i="1"/>
  <c r="GK119" i="1"/>
  <c r="GK123" i="1"/>
  <c r="GK127" i="1"/>
  <c r="GK131" i="1"/>
  <c r="GK143" i="1"/>
  <c r="GK155" i="1"/>
  <c r="GK159" i="1"/>
  <c r="GK163" i="1"/>
  <c r="GK167" i="1"/>
  <c r="GK175" i="1"/>
  <c r="GK32" i="1"/>
  <c r="GK56" i="1"/>
  <c r="GK80" i="1"/>
  <c r="GK104" i="1"/>
  <c r="GK120" i="1"/>
  <c r="GK140" i="1"/>
  <c r="GK156" i="1"/>
  <c r="GK125" i="1"/>
  <c r="GH175" i="1"/>
  <c r="GH174" i="1"/>
  <c r="GH173" i="1"/>
  <c r="GH172" i="1"/>
  <c r="GH169" i="1"/>
  <c r="GH168" i="1"/>
  <c r="GH167" i="1"/>
  <c r="GH166" i="1"/>
  <c r="GH165" i="1"/>
  <c r="GH163" i="1"/>
  <c r="GH164" i="1" s="1"/>
  <c r="GH161" i="1"/>
  <c r="GH160" i="1"/>
  <c r="GH159" i="1"/>
  <c r="GH158" i="1"/>
  <c r="GH157" i="1"/>
  <c r="GH156" i="1"/>
  <c r="GH155" i="1"/>
  <c r="GH154" i="1"/>
  <c r="GH153" i="1"/>
  <c r="GH152" i="1"/>
  <c r="GH149" i="1"/>
  <c r="GH147" i="1"/>
  <c r="GH145" i="1"/>
  <c r="GH144" i="1"/>
  <c r="GH143" i="1"/>
  <c r="GH142" i="1"/>
  <c r="GH141" i="1"/>
  <c r="GH140" i="1"/>
  <c r="GH137" i="1"/>
  <c r="GH136" i="1"/>
  <c r="GH133" i="1"/>
  <c r="GH132" i="1"/>
  <c r="GH131" i="1"/>
  <c r="GH130" i="1"/>
  <c r="GH128" i="1"/>
  <c r="GH127" i="1"/>
  <c r="GH124" i="1"/>
  <c r="GH123" i="1"/>
  <c r="GH122" i="1"/>
  <c r="GH121" i="1"/>
  <c r="GH120" i="1"/>
  <c r="GH119" i="1"/>
  <c r="GH118" i="1"/>
  <c r="GH117" i="1"/>
  <c r="GH116" i="1"/>
  <c r="GH115" i="1"/>
  <c r="GH114" i="1"/>
  <c r="GH113" i="1"/>
  <c r="GH112" i="1"/>
  <c r="GH110" i="1"/>
  <c r="GH109" i="1"/>
  <c r="GH108" i="1"/>
  <c r="GH106" i="1"/>
  <c r="GH105" i="1"/>
  <c r="GH104" i="1"/>
  <c r="GH103" i="1"/>
  <c r="GH102" i="1"/>
  <c r="GH101" i="1"/>
  <c r="GH100" i="1"/>
  <c r="GH99" i="1"/>
  <c r="GH97" i="1"/>
  <c r="GH96" i="1"/>
  <c r="GH95" i="1"/>
  <c r="GH94" i="1"/>
  <c r="GH92" i="1"/>
  <c r="GH91" i="1"/>
  <c r="GH90" i="1"/>
  <c r="GH89" i="1"/>
  <c r="GH87" i="1"/>
  <c r="GH88" i="1" s="1"/>
  <c r="GH85" i="1"/>
  <c r="GH83" i="1"/>
  <c r="GH82" i="1"/>
  <c r="GH81" i="1"/>
  <c r="GH80" i="1"/>
  <c r="GH79" i="1"/>
  <c r="GH77" i="1"/>
  <c r="GH76" i="1"/>
  <c r="GH75" i="1"/>
  <c r="GH73" i="1"/>
  <c r="GH72" i="1"/>
  <c r="GH71" i="1"/>
  <c r="GH70" i="1"/>
  <c r="GH68" i="1"/>
  <c r="GH67" i="1"/>
  <c r="GH66" i="1"/>
  <c r="GH65" i="1"/>
  <c r="GH64" i="1"/>
  <c r="GH63" i="1"/>
  <c r="GH62" i="1"/>
  <c r="GH61" i="1"/>
  <c r="GH58" i="1"/>
  <c r="GH57" i="1"/>
  <c r="GH56" i="1"/>
  <c r="GH55" i="1"/>
  <c r="GH54" i="1"/>
  <c r="GH53" i="1"/>
  <c r="GH52" i="1"/>
  <c r="GH51" i="1"/>
  <c r="GH50" i="1"/>
  <c r="GH49" i="1"/>
  <c r="GH48" i="1"/>
  <c r="GH46" i="1"/>
  <c r="GH45" i="1"/>
  <c r="GH44" i="1"/>
  <c r="GH43" i="1"/>
  <c r="GH42" i="1"/>
  <c r="GH41" i="1"/>
  <c r="GH40" i="1"/>
  <c r="GH39" i="1"/>
  <c r="GH38" i="1"/>
  <c r="GH37" i="1"/>
  <c r="GH36" i="1"/>
  <c r="GH35" i="1"/>
  <c r="GH34" i="1"/>
  <c r="GH33" i="1"/>
  <c r="GH32" i="1"/>
  <c r="GH31" i="1"/>
  <c r="GH30" i="1"/>
  <c r="GH27" i="1"/>
  <c r="GH26" i="1"/>
  <c r="GH25" i="1"/>
  <c r="GH24" i="1"/>
  <c r="GH23" i="1"/>
  <c r="GH22" i="1"/>
  <c r="GH21" i="1"/>
  <c r="GH20" i="1"/>
  <c r="GH17" i="1"/>
  <c r="GH16" i="1"/>
  <c r="GH15" i="1"/>
  <c r="GH14" i="1"/>
  <c r="GH13" i="1"/>
  <c r="GH12" i="1"/>
  <c r="GH11" i="1"/>
  <c r="GH10" i="1"/>
  <c r="GH9" i="1"/>
  <c r="GH7" i="1"/>
  <c r="GH6" i="1"/>
  <c r="GF6" i="1"/>
  <c r="GQ176" i="1"/>
  <c r="GQ170" i="1"/>
  <c r="GQ164" i="1"/>
  <c r="GQ162" i="1"/>
  <c r="GQ150" i="1"/>
  <c r="GQ148" i="1"/>
  <c r="GQ146" i="1"/>
  <c r="GQ138" i="1"/>
  <c r="GQ134" i="1"/>
  <c r="GH134" i="1" s="1"/>
  <c r="GQ129" i="1"/>
  <c r="GQ125" i="1"/>
  <c r="GQ111" i="1"/>
  <c r="GH111" i="1" s="1"/>
  <c r="GQ107" i="1"/>
  <c r="GH107" i="1" s="1"/>
  <c r="GQ98" i="1"/>
  <c r="GQ93" i="1"/>
  <c r="GQ88" i="1"/>
  <c r="GQ86" i="1"/>
  <c r="GQ84" i="1"/>
  <c r="GQ78" i="1"/>
  <c r="GQ74" i="1"/>
  <c r="GQ69" i="1"/>
  <c r="GQ59" i="1"/>
  <c r="GQ47" i="1"/>
  <c r="GQ28" i="1"/>
  <c r="GQ18" i="1"/>
  <c r="GQ8" i="1"/>
  <c r="GH60" i="1"/>
  <c r="GJ29" i="1" l="1"/>
  <c r="GK19" i="1"/>
  <c r="GH47" i="1"/>
  <c r="GH59" i="1"/>
  <c r="GH8" i="1"/>
  <c r="GI80" i="1" s="1"/>
  <c r="GQ19" i="1"/>
  <c r="GQ29" i="1" s="1"/>
  <c r="GQ126" i="1" s="1"/>
  <c r="GQ135" i="1" s="1"/>
  <c r="GQ139" i="1" s="1"/>
  <c r="GQ151" i="1" s="1"/>
  <c r="GQ171" i="1" s="1"/>
  <c r="GQ177" i="1" s="1"/>
  <c r="GH84" i="1"/>
  <c r="GH129" i="1"/>
  <c r="GH78" i="1"/>
  <c r="GH86" i="1"/>
  <c r="GH138" i="1"/>
  <c r="GH146" i="1"/>
  <c r="GH162" i="1"/>
  <c r="GH170" i="1"/>
  <c r="GH93" i="1"/>
  <c r="GH18" i="1"/>
  <c r="GH74" i="1"/>
  <c r="GH98" i="1"/>
  <c r="GH150" i="1"/>
  <c r="GH148" i="1"/>
  <c r="GH176" i="1"/>
  <c r="GI87" i="1"/>
  <c r="GH28" i="1"/>
  <c r="GH69" i="1"/>
  <c r="GH125" i="1"/>
  <c r="GO172" i="1"/>
  <c r="GI51" i="1" l="1"/>
  <c r="GK29" i="1"/>
  <c r="GJ126" i="1"/>
  <c r="GI59" i="1"/>
  <c r="GI33" i="1"/>
  <c r="GI150" i="1"/>
  <c r="GI118" i="1"/>
  <c r="GI143" i="1"/>
  <c r="GI54" i="1"/>
  <c r="GI17" i="1"/>
  <c r="GI146" i="1"/>
  <c r="GI99" i="1"/>
  <c r="GI68" i="1"/>
  <c r="GI42" i="1"/>
  <c r="GI153" i="1"/>
  <c r="GI88" i="1"/>
  <c r="GI133" i="1"/>
  <c r="GI102" i="1"/>
  <c r="GI34" i="1"/>
  <c r="GI91" i="1"/>
  <c r="GI57" i="1"/>
  <c r="GI122" i="1"/>
  <c r="GI71" i="1"/>
  <c r="GI163" i="1"/>
  <c r="GI18" i="1"/>
  <c r="GI172" i="1"/>
  <c r="GI76" i="1"/>
  <c r="GI43" i="1"/>
  <c r="GI20" i="1"/>
  <c r="GI56" i="1"/>
  <c r="GI61" i="1"/>
  <c r="GI101" i="1"/>
  <c r="GI125" i="1"/>
  <c r="GI127" i="1"/>
  <c r="GI93" i="1"/>
  <c r="GI152" i="1"/>
  <c r="GI66" i="1"/>
  <c r="GI116" i="1"/>
  <c r="GI175" i="1"/>
  <c r="GI48" i="1"/>
  <c r="GI35" i="1"/>
  <c r="GI13" i="1"/>
  <c r="GI120" i="1"/>
  <c r="GI69" i="1"/>
  <c r="GI79" i="1"/>
  <c r="GI170" i="1"/>
  <c r="GI140" i="1"/>
  <c r="GI49" i="1"/>
  <c r="GI108" i="1"/>
  <c r="GI174" i="1"/>
  <c r="GI132" i="1"/>
  <c r="GI28" i="1"/>
  <c r="GI31" i="1"/>
  <c r="GI162" i="1"/>
  <c r="GI117" i="1"/>
  <c r="GI103" i="1"/>
  <c r="GI89" i="1"/>
  <c r="GI142" i="1"/>
  <c r="GI121" i="1"/>
  <c r="GI168" i="1"/>
  <c r="GI40" i="1"/>
  <c r="GI131" i="1"/>
  <c r="GI111" i="1"/>
  <c r="GI70" i="1"/>
  <c r="GI114" i="1"/>
  <c r="GI39" i="1"/>
  <c r="GI104" i="1"/>
  <c r="GI82" i="1"/>
  <c r="GI44" i="1"/>
  <c r="GI15" i="1"/>
  <c r="GI176" i="1"/>
  <c r="GI134" i="1"/>
  <c r="GI138" i="1"/>
  <c r="GI109" i="1"/>
  <c r="GI24" i="1"/>
  <c r="GI32" i="1"/>
  <c r="GI154" i="1"/>
  <c r="GI169" i="1"/>
  <c r="GI77" i="1"/>
  <c r="GI147" i="1"/>
  <c r="GI22" i="1"/>
  <c r="GI112" i="1"/>
  <c r="GI92" i="1"/>
  <c r="GI52" i="1"/>
  <c r="GI105" i="1"/>
  <c r="GI21" i="1"/>
  <c r="GI83" i="1"/>
  <c r="GI63" i="1"/>
  <c r="GI26" i="1"/>
  <c r="GI129" i="1"/>
  <c r="GI148" i="1"/>
  <c r="GI98" i="1"/>
  <c r="GI86" i="1"/>
  <c r="GI100" i="1"/>
  <c r="GI14" i="1"/>
  <c r="GI12" i="1"/>
  <c r="GI119" i="1"/>
  <c r="GI159" i="1"/>
  <c r="GI67" i="1"/>
  <c r="GI136" i="1"/>
  <c r="GI113" i="1"/>
  <c r="GI94" i="1"/>
  <c r="GI62" i="1"/>
  <c r="GI25" i="1"/>
  <c r="GI96" i="1"/>
  <c r="GI11" i="1"/>
  <c r="GI64" i="1"/>
  <c r="GI37" i="1"/>
  <c r="GI161" i="1"/>
  <c r="GI84" i="1"/>
  <c r="GI74" i="1"/>
  <c r="GI78" i="1"/>
  <c r="GI90" i="1"/>
  <c r="GI23" i="1"/>
  <c r="GI95" i="1"/>
  <c r="GI81" i="1"/>
  <c r="GI149" i="1"/>
  <c r="GI58" i="1"/>
  <c r="GI123" i="1"/>
  <c r="GI73" i="1"/>
  <c r="GI72" i="1"/>
  <c r="GI36" i="1"/>
  <c r="GI167" i="1"/>
  <c r="GI85" i="1"/>
  <c r="GI166" i="1"/>
  <c r="GI46" i="1"/>
  <c r="GI9" i="1"/>
  <c r="GI128" i="1"/>
  <c r="GI107" i="1"/>
  <c r="GI158" i="1"/>
  <c r="GI30" i="1"/>
  <c r="GI53" i="1"/>
  <c r="GI137" i="1"/>
  <c r="GI50" i="1"/>
  <c r="GI115" i="1"/>
  <c r="GI55" i="1"/>
  <c r="GI45" i="1"/>
  <c r="GI173" i="1"/>
  <c r="GI157" i="1"/>
  <c r="GI75" i="1"/>
  <c r="GI156" i="1"/>
  <c r="GI10" i="1"/>
  <c r="GI164" i="1"/>
  <c r="GI110" i="1"/>
  <c r="GI47" i="1"/>
  <c r="GI160" i="1"/>
  <c r="GI60" i="1"/>
  <c r="GI106" i="1"/>
  <c r="GI155" i="1"/>
  <c r="GI16" i="1"/>
  <c r="GI124" i="1"/>
  <c r="GI41" i="1"/>
  <c r="GI97" i="1"/>
  <c r="GI38" i="1"/>
  <c r="GI27" i="1"/>
  <c r="GI141" i="1"/>
  <c r="GI145" i="1"/>
  <c r="GI65" i="1"/>
  <c r="GI144" i="1"/>
  <c r="GI165" i="1"/>
  <c r="GI130" i="1"/>
  <c r="GH19" i="1"/>
  <c r="GI19" i="1" s="1"/>
  <c r="C31" i="16"/>
  <c r="GJ135" i="1" l="1"/>
  <c r="GK126" i="1"/>
  <c r="GH29" i="1"/>
  <c r="GI29" i="1" s="1"/>
  <c r="GK135" i="1" l="1"/>
  <c r="GJ139" i="1"/>
  <c r="GH126" i="1"/>
  <c r="GI126" i="1" s="1"/>
  <c r="GK139" i="1" l="1"/>
  <c r="GJ151" i="1"/>
  <c r="GH135" i="1"/>
  <c r="GI135" i="1" s="1"/>
  <c r="GK151" i="1" l="1"/>
  <c r="GJ171" i="1"/>
  <c r="GH139" i="1"/>
  <c r="GI139" i="1" s="1"/>
  <c r="GK171" i="1" l="1"/>
  <c r="GJ177" i="1"/>
  <c r="GK177" i="1" s="1"/>
  <c r="GH151" i="1"/>
  <c r="GH171" i="1" s="1"/>
  <c r="GI151" i="1" l="1"/>
  <c r="GH177" i="1"/>
  <c r="GI177" i="1" s="1"/>
  <c r="GI171" i="1"/>
  <c r="FZ21" i="1" l="1"/>
  <c r="FZ9" i="1"/>
  <c r="FZ18" i="1"/>
  <c r="FZ72" i="1" l="1"/>
  <c r="B18" i="16" l="1"/>
  <c r="C17" i="16" s="1"/>
  <c r="C47" i="16" s="1"/>
  <c r="GO60" i="1" l="1"/>
  <c r="C7" i="16"/>
  <c r="GO7" i="1" s="1"/>
  <c r="GF7" i="1" s="1"/>
  <c r="G11" i="16"/>
  <c r="C13" i="16" l="1"/>
  <c r="C11" i="16" s="1"/>
  <c r="FZ28" i="1" l="1"/>
  <c r="GO123" i="1" l="1"/>
  <c r="GO125" i="1" s="1"/>
  <c r="GO85" i="1"/>
  <c r="GO71" i="1"/>
  <c r="GO61" i="1"/>
  <c r="GO11" i="1"/>
  <c r="GO13" i="1"/>
  <c r="GO15" i="1"/>
  <c r="D42" i="16"/>
  <c r="GO16" i="1" s="1"/>
  <c r="GF16" i="1" s="1"/>
  <c r="GO10" i="1" l="1"/>
  <c r="GF10" i="1"/>
  <c r="GO9" i="1"/>
  <c r="GF9" i="1" s="1"/>
  <c r="H11" i="16"/>
  <c r="D11" i="16"/>
  <c r="GF175" i="1"/>
  <c r="GF174" i="1"/>
  <c r="GF173" i="1"/>
  <c r="GF172" i="1"/>
  <c r="GF169" i="1"/>
  <c r="GF168" i="1"/>
  <c r="GF167" i="1"/>
  <c r="GF166" i="1"/>
  <c r="GF165" i="1"/>
  <c r="GF163" i="1"/>
  <c r="GF161" i="1"/>
  <c r="GF160" i="1"/>
  <c r="GF159" i="1"/>
  <c r="GF158" i="1"/>
  <c r="GF157" i="1"/>
  <c r="GF156" i="1"/>
  <c r="GF155" i="1"/>
  <c r="GF154" i="1"/>
  <c r="GF153" i="1"/>
  <c r="GF152" i="1"/>
  <c r="GF149" i="1"/>
  <c r="GF147" i="1"/>
  <c r="GF145" i="1"/>
  <c r="GF144" i="1"/>
  <c r="GF143" i="1"/>
  <c r="GF142" i="1"/>
  <c r="GF141" i="1"/>
  <c r="GF140" i="1"/>
  <c r="GF137" i="1"/>
  <c r="GF136" i="1"/>
  <c r="GF133" i="1"/>
  <c r="GF132" i="1"/>
  <c r="GF131" i="1"/>
  <c r="GF130" i="1"/>
  <c r="GF128" i="1"/>
  <c r="GF127" i="1"/>
  <c r="GF124" i="1"/>
  <c r="GF123" i="1"/>
  <c r="GF122" i="1"/>
  <c r="GF121" i="1"/>
  <c r="GF120" i="1"/>
  <c r="GF119" i="1"/>
  <c r="GF118" i="1"/>
  <c r="GF117" i="1"/>
  <c r="GF116" i="1"/>
  <c r="GF115" i="1"/>
  <c r="GF114" i="1"/>
  <c r="GF113" i="1"/>
  <c r="GF112" i="1"/>
  <c r="GF110" i="1"/>
  <c r="GF109" i="1"/>
  <c r="GF108" i="1"/>
  <c r="GF106" i="1"/>
  <c r="GF105" i="1"/>
  <c r="GF104" i="1"/>
  <c r="GF103" i="1"/>
  <c r="GF102" i="1"/>
  <c r="GF101" i="1"/>
  <c r="GF100" i="1"/>
  <c r="GF99" i="1"/>
  <c r="GF97" i="1"/>
  <c r="GF96" i="1"/>
  <c r="GF95" i="1"/>
  <c r="GF94" i="1"/>
  <c r="GF92" i="1"/>
  <c r="GF91" i="1"/>
  <c r="GF90" i="1"/>
  <c r="GF89" i="1"/>
  <c r="GF87" i="1"/>
  <c r="GF85" i="1"/>
  <c r="GF86" i="1" s="1"/>
  <c r="GF83" i="1"/>
  <c r="GF82" i="1"/>
  <c r="GF81" i="1"/>
  <c r="GF80" i="1"/>
  <c r="GF79" i="1"/>
  <c r="GF77" i="1"/>
  <c r="GF76" i="1"/>
  <c r="GF75" i="1"/>
  <c r="GF73" i="1"/>
  <c r="GF72" i="1"/>
  <c r="GF71" i="1"/>
  <c r="GF70" i="1"/>
  <c r="GF68" i="1"/>
  <c r="GF67" i="1"/>
  <c r="GF66" i="1"/>
  <c r="GF65" i="1"/>
  <c r="GF64" i="1"/>
  <c r="GF63" i="1"/>
  <c r="GF62" i="1"/>
  <c r="GF61" i="1"/>
  <c r="GF60" i="1"/>
  <c r="GF58" i="1"/>
  <c r="GF57" i="1"/>
  <c r="GF56" i="1"/>
  <c r="GF55" i="1"/>
  <c r="GF54" i="1"/>
  <c r="GF53" i="1"/>
  <c r="GF52" i="1"/>
  <c r="GF51" i="1"/>
  <c r="GF50" i="1"/>
  <c r="GF49" i="1"/>
  <c r="GF48" i="1"/>
  <c r="GF46" i="1"/>
  <c r="GF45" i="1"/>
  <c r="GF44" i="1"/>
  <c r="GF43" i="1"/>
  <c r="GF42" i="1"/>
  <c r="GF41" i="1"/>
  <c r="GF40" i="1"/>
  <c r="GF39" i="1"/>
  <c r="GF38" i="1"/>
  <c r="GF37" i="1"/>
  <c r="GF36" i="1"/>
  <c r="GF35" i="1"/>
  <c r="GF34" i="1"/>
  <c r="GF33" i="1"/>
  <c r="GF32" i="1"/>
  <c r="GF31" i="1"/>
  <c r="GF30" i="1"/>
  <c r="GF27" i="1"/>
  <c r="GF26" i="1"/>
  <c r="GF25" i="1"/>
  <c r="GF24" i="1"/>
  <c r="GF23" i="1"/>
  <c r="GF22" i="1"/>
  <c r="GF21" i="1"/>
  <c r="GF20" i="1"/>
  <c r="GF17" i="1"/>
  <c r="GF15" i="1"/>
  <c r="GF14" i="1"/>
  <c r="GF13" i="1"/>
  <c r="GF12" i="1"/>
  <c r="GF11" i="1"/>
  <c r="GO176" i="1"/>
  <c r="GO170" i="1"/>
  <c r="GO164" i="1"/>
  <c r="GO162" i="1"/>
  <c r="GO150" i="1"/>
  <c r="GO148" i="1"/>
  <c r="GO146" i="1"/>
  <c r="GO138" i="1"/>
  <c r="GO134" i="1"/>
  <c r="GO129" i="1"/>
  <c r="GO111" i="1"/>
  <c r="GO107" i="1"/>
  <c r="GO98" i="1"/>
  <c r="GO93" i="1"/>
  <c r="GO88" i="1"/>
  <c r="GO86" i="1"/>
  <c r="GO84" i="1"/>
  <c r="GO78" i="1"/>
  <c r="GO74" i="1"/>
  <c r="GO69" i="1"/>
  <c r="GO59" i="1"/>
  <c r="GO47" i="1"/>
  <c r="GO28" i="1"/>
  <c r="GF69" i="1" l="1"/>
  <c r="GF74" i="1"/>
  <c r="GF125" i="1"/>
  <c r="GF47" i="1"/>
  <c r="GO18" i="1"/>
  <c r="GO8" i="1"/>
  <c r="GB10" i="1"/>
  <c r="GO19" i="1" l="1"/>
  <c r="GO29" i="1" s="1"/>
  <c r="GO126" i="1" s="1"/>
  <c r="GO135" i="1" s="1"/>
  <c r="GO139" i="1" s="1"/>
  <c r="GO151" i="1" s="1"/>
  <c r="GO171" i="1" s="1"/>
  <c r="GO177" i="1" s="1"/>
  <c r="GH178" i="15"/>
  <c r="GF176" i="15"/>
  <c r="GF176" i="1"/>
  <c r="GH175" i="15"/>
  <c r="GH174" i="15"/>
  <c r="GH173" i="15"/>
  <c r="GH172" i="15"/>
  <c r="GH176" i="15" s="1"/>
  <c r="GH167" i="15"/>
  <c r="GH169" i="15"/>
  <c r="GH168" i="15"/>
  <c r="GH166" i="15"/>
  <c r="GH165" i="15"/>
  <c r="GF164" i="1"/>
  <c r="GH163" i="15"/>
  <c r="GH161" i="15"/>
  <c r="GH160" i="15"/>
  <c r="GH159" i="15"/>
  <c r="GH158" i="15"/>
  <c r="GH157" i="15"/>
  <c r="GH156" i="15"/>
  <c r="GH155" i="15"/>
  <c r="GH154" i="15"/>
  <c r="GH153" i="15"/>
  <c r="GH152" i="15"/>
  <c r="GH150" i="15"/>
  <c r="GF150" i="15"/>
  <c r="GF150" i="1"/>
  <c r="GH149" i="15"/>
  <c r="GH147" i="15"/>
  <c r="GH145" i="15"/>
  <c r="GH144" i="15"/>
  <c r="GH143" i="15"/>
  <c r="GH142" i="15"/>
  <c r="GH141" i="15"/>
  <c r="GH140" i="15"/>
  <c r="GH137" i="15"/>
  <c r="GH136" i="15"/>
  <c r="GH133" i="15"/>
  <c r="GH132" i="15"/>
  <c r="GH131" i="15"/>
  <c r="GH130" i="15"/>
  <c r="GH128" i="15"/>
  <c r="GH127" i="15"/>
  <c r="GH124" i="15"/>
  <c r="GH123" i="15"/>
  <c r="GH122" i="15"/>
  <c r="GH121" i="15"/>
  <c r="GH120" i="15"/>
  <c r="GH119" i="15"/>
  <c r="GH118" i="15"/>
  <c r="GH117" i="15"/>
  <c r="GH116" i="15"/>
  <c r="GH115" i="15"/>
  <c r="GH114" i="15"/>
  <c r="GH113" i="15"/>
  <c r="GH112" i="15"/>
  <c r="GH110" i="15"/>
  <c r="GH109" i="15"/>
  <c r="GH108" i="15"/>
  <c r="GF107" i="15"/>
  <c r="GF107" i="1"/>
  <c r="GH106" i="15"/>
  <c r="GH105" i="15"/>
  <c r="GH104" i="15"/>
  <c r="GH103" i="15"/>
  <c r="GH102" i="15"/>
  <c r="GH101" i="15"/>
  <c r="GH107" i="15" s="1"/>
  <c r="GH100" i="15"/>
  <c r="GH99" i="15"/>
  <c r="GH97" i="15"/>
  <c r="GH96" i="15"/>
  <c r="GH95" i="15"/>
  <c r="GH94" i="15"/>
  <c r="GH92" i="15"/>
  <c r="GH91" i="15"/>
  <c r="GH90" i="15"/>
  <c r="GH89" i="15"/>
  <c r="GH87" i="15"/>
  <c r="GH85" i="15"/>
  <c r="GH83" i="15"/>
  <c r="GH82" i="15"/>
  <c r="GH81" i="15"/>
  <c r="GH80" i="15"/>
  <c r="GH79" i="15"/>
  <c r="GH77" i="15"/>
  <c r="GH76" i="15"/>
  <c r="GH75" i="15"/>
  <c r="GH73" i="15"/>
  <c r="GH72" i="15"/>
  <c r="GH71" i="15"/>
  <c r="GH70" i="15"/>
  <c r="GH68" i="15"/>
  <c r="GH59" i="15"/>
  <c r="GH27" i="15"/>
  <c r="GF135" i="15"/>
  <c r="GF139" i="15" s="1"/>
  <c r="GF151" i="15" s="1"/>
  <c r="GF170" i="1"/>
  <c r="GF162" i="1"/>
  <c r="GF148" i="1"/>
  <c r="GF146" i="1"/>
  <c r="GF138" i="1"/>
  <c r="GF134" i="1"/>
  <c r="GF129" i="1"/>
  <c r="GF98" i="1"/>
  <c r="GF93" i="1"/>
  <c r="GF88" i="1"/>
  <c r="GF84" i="1"/>
  <c r="GF78" i="1"/>
  <c r="GF59" i="1"/>
  <c r="GF28" i="1"/>
  <c r="GF18" i="1"/>
  <c r="GF8" i="1"/>
  <c r="GG165" i="1" s="1"/>
  <c r="GG20" i="1" l="1"/>
  <c r="GG160" i="1"/>
  <c r="GG11" i="1"/>
  <c r="GG25" i="1"/>
  <c r="GG54" i="1"/>
  <c r="GG76" i="1"/>
  <c r="GG94" i="1"/>
  <c r="GG116" i="1"/>
  <c r="GG141" i="1"/>
  <c r="GG162" i="1"/>
  <c r="GG26" i="1"/>
  <c r="GG55" i="1"/>
  <c r="GG78" i="1"/>
  <c r="GG95" i="1"/>
  <c r="GG123" i="1"/>
  <c r="GG146" i="1"/>
  <c r="GG166" i="1"/>
  <c r="GG93" i="1"/>
  <c r="GG13" i="1"/>
  <c r="GG28" i="1"/>
  <c r="GG59" i="1"/>
  <c r="GG82" i="1"/>
  <c r="GG98" i="1"/>
  <c r="GG124" i="1"/>
  <c r="GG147" i="1"/>
  <c r="GG167" i="1"/>
  <c r="GG47" i="1"/>
  <c r="GG12" i="1"/>
  <c r="GG14" i="1"/>
  <c r="GG31" i="1"/>
  <c r="GG61" i="1"/>
  <c r="GG83" i="1"/>
  <c r="GG101" i="1"/>
  <c r="GG125" i="1"/>
  <c r="GG148" i="1"/>
  <c r="GG170" i="1"/>
  <c r="GG115" i="1"/>
  <c r="GG32" i="1"/>
  <c r="GG62" i="1"/>
  <c r="GG84" i="1"/>
  <c r="GG102" i="1"/>
  <c r="GG129" i="1"/>
  <c r="GG150" i="1"/>
  <c r="GG172" i="1"/>
  <c r="GG75" i="1"/>
  <c r="GG18" i="1"/>
  <c r="GG39" i="1"/>
  <c r="GG69" i="1"/>
  <c r="GG109" i="1"/>
  <c r="GG134" i="1"/>
  <c r="GG152" i="1"/>
  <c r="GG173" i="1"/>
  <c r="GG140" i="1"/>
  <c r="GF19" i="1"/>
  <c r="GF29" i="1" s="1"/>
  <c r="GG29" i="1" s="1"/>
  <c r="GG40" i="1"/>
  <c r="GG74" i="1"/>
  <c r="GG88" i="1"/>
  <c r="GG138" i="1"/>
  <c r="GG153" i="1"/>
  <c r="GG176" i="1"/>
  <c r="GG27" i="1"/>
  <c r="GG33" i="1"/>
  <c r="GG41" i="1"/>
  <c r="GG48" i="1"/>
  <c r="GG56" i="1"/>
  <c r="GG63" i="1"/>
  <c r="GG70" i="1"/>
  <c r="GG77" i="1"/>
  <c r="GG89" i="1"/>
  <c r="GG96" i="1"/>
  <c r="GG103" i="1"/>
  <c r="GG110" i="1"/>
  <c r="GG117" i="1"/>
  <c r="GG130" i="1"/>
  <c r="GG136" i="1"/>
  <c r="GG142" i="1"/>
  <c r="GG154" i="1"/>
  <c r="GG161" i="1"/>
  <c r="GG168" i="1"/>
  <c r="GG174" i="1"/>
  <c r="GG34" i="1"/>
  <c r="GG42" i="1"/>
  <c r="GG49" i="1"/>
  <c r="GG57" i="1"/>
  <c r="GG64" i="1"/>
  <c r="GG71" i="1"/>
  <c r="GG90" i="1"/>
  <c r="GG97" i="1"/>
  <c r="GG104" i="1"/>
  <c r="GF111" i="1"/>
  <c r="GG111" i="1" s="1"/>
  <c r="GG118" i="1"/>
  <c r="GG131" i="1"/>
  <c r="GG137" i="1"/>
  <c r="GG143" i="1"/>
  <c r="GG149" i="1"/>
  <c r="GG155" i="1"/>
  <c r="GG169" i="1"/>
  <c r="GG175" i="1"/>
  <c r="GG15" i="1"/>
  <c r="GG21" i="1"/>
  <c r="GG35" i="1"/>
  <c r="GG43" i="1"/>
  <c r="GG50" i="1"/>
  <c r="GG58" i="1"/>
  <c r="GG65" i="1"/>
  <c r="GG72" i="1"/>
  <c r="GG85" i="1"/>
  <c r="GG91" i="1"/>
  <c r="GG105" i="1"/>
  <c r="GG119" i="1"/>
  <c r="GG132" i="1"/>
  <c r="GG144" i="1"/>
  <c r="GG156" i="1"/>
  <c r="GG16" i="1"/>
  <c r="GG22" i="1"/>
  <c r="GG36" i="1"/>
  <c r="GG44" i="1"/>
  <c r="GG51" i="1"/>
  <c r="GG66" i="1"/>
  <c r="GG73" i="1"/>
  <c r="GG79" i="1"/>
  <c r="GG92" i="1"/>
  <c r="GG106" i="1"/>
  <c r="GG112" i="1"/>
  <c r="GG120" i="1"/>
  <c r="GG133" i="1"/>
  <c r="GG145" i="1"/>
  <c r="GG157" i="1"/>
  <c r="GG163" i="1"/>
  <c r="GG9" i="1"/>
  <c r="GG17" i="1"/>
  <c r="GG23" i="1"/>
  <c r="GG37" i="1"/>
  <c r="GG45" i="1"/>
  <c r="GG52" i="1"/>
  <c r="GG67" i="1"/>
  <c r="GG80" i="1"/>
  <c r="GG86" i="1"/>
  <c r="GG99" i="1"/>
  <c r="GG107" i="1"/>
  <c r="GG113" i="1"/>
  <c r="GG121" i="1"/>
  <c r="GG127" i="1"/>
  <c r="GG158" i="1"/>
  <c r="GG164" i="1"/>
  <c r="GG10" i="1"/>
  <c r="GG24" i="1"/>
  <c r="GG30" i="1"/>
  <c r="GG38" i="1"/>
  <c r="GG46" i="1"/>
  <c r="GG53" i="1"/>
  <c r="GG60" i="1"/>
  <c r="GG68" i="1"/>
  <c r="GG81" i="1"/>
  <c r="GG87" i="1"/>
  <c r="GG100" i="1"/>
  <c r="GG108" i="1"/>
  <c r="GG114" i="1"/>
  <c r="GG122" i="1"/>
  <c r="GG128" i="1"/>
  <c r="GG159" i="1"/>
  <c r="FV59" i="1"/>
  <c r="GG19" i="1" l="1"/>
  <c r="GF126" i="1"/>
  <c r="GF135" i="1" s="1"/>
  <c r="GF139" i="1" s="1"/>
  <c r="GF151" i="1" s="1"/>
  <c r="GG126" i="1" l="1"/>
  <c r="FZ47" i="1"/>
  <c r="GG135" i="1" l="1"/>
  <c r="GW10" i="1"/>
  <c r="GW7" i="1"/>
  <c r="GG139" i="1" l="1"/>
  <c r="FH16" i="1"/>
  <c r="GG151" i="1" l="1"/>
  <c r="GF171" i="1"/>
  <c r="GW13" i="1"/>
  <c r="GG171" i="1" l="1"/>
  <c r="GF177" i="1"/>
  <c r="FX176" i="1"/>
  <c r="FV176" i="1"/>
  <c r="GB175" i="1"/>
  <c r="GB174" i="1"/>
  <c r="GB173" i="1"/>
  <c r="FX170" i="1"/>
  <c r="FV170" i="1"/>
  <c r="GB168" i="1"/>
  <c r="GB167" i="1"/>
  <c r="GB166" i="1"/>
  <c r="GB165" i="1"/>
  <c r="GB164" i="1"/>
  <c r="GB163" i="1"/>
  <c r="GD163" i="1" s="1"/>
  <c r="GL163" i="1" s="1"/>
  <c r="FX162" i="1"/>
  <c r="FV162" i="1"/>
  <c r="GB160" i="1"/>
  <c r="GB159" i="1"/>
  <c r="GB158" i="1"/>
  <c r="GB157" i="1"/>
  <c r="GB156" i="1"/>
  <c r="GB155" i="1"/>
  <c r="GB154" i="1"/>
  <c r="GB153" i="1"/>
  <c r="GB152" i="1"/>
  <c r="FZ150" i="1"/>
  <c r="FX150" i="1"/>
  <c r="FV150" i="1"/>
  <c r="GB149" i="1"/>
  <c r="GB150" i="1" s="1"/>
  <c r="FX148" i="1"/>
  <c r="FV148" i="1"/>
  <c r="FX146" i="1"/>
  <c r="FV146" i="1"/>
  <c r="GB143" i="1"/>
  <c r="GB142" i="1"/>
  <c r="GB141" i="1"/>
  <c r="FX138" i="1"/>
  <c r="FV138" i="1"/>
  <c r="FZ134" i="1"/>
  <c r="FX134" i="1"/>
  <c r="FV134" i="1"/>
  <c r="GB133" i="1"/>
  <c r="GB132" i="1"/>
  <c r="GB131" i="1"/>
  <c r="GB130" i="1"/>
  <c r="FZ129" i="1"/>
  <c r="FX129" i="1"/>
  <c r="FV129" i="1"/>
  <c r="GB128" i="1"/>
  <c r="GB127" i="1"/>
  <c r="FX125" i="1"/>
  <c r="FV125" i="1"/>
  <c r="GB122" i="1"/>
  <c r="GB121" i="1"/>
  <c r="GB120" i="1"/>
  <c r="GB119" i="1"/>
  <c r="GB118" i="1"/>
  <c r="GB117" i="1"/>
  <c r="GB116" i="1"/>
  <c r="GB115" i="1"/>
  <c r="GB114" i="1"/>
  <c r="GB113" i="1"/>
  <c r="GB112" i="1"/>
  <c r="FZ110" i="1"/>
  <c r="FZ111" i="1" s="1"/>
  <c r="FX110" i="1"/>
  <c r="FX111" i="1" s="1"/>
  <c r="FV110" i="1"/>
  <c r="FV111" i="1" s="1"/>
  <c r="GB109" i="1"/>
  <c r="GB108" i="1"/>
  <c r="GB106" i="1"/>
  <c r="GB105" i="1"/>
  <c r="GB104" i="1"/>
  <c r="GB103" i="1"/>
  <c r="GB102" i="1"/>
  <c r="GB101" i="1"/>
  <c r="GB100" i="1"/>
  <c r="GB99" i="1"/>
  <c r="FX98" i="1"/>
  <c r="FV98" i="1"/>
  <c r="FX93" i="1"/>
  <c r="FV93" i="1"/>
  <c r="GB92" i="1"/>
  <c r="GB90" i="1"/>
  <c r="GB89" i="1"/>
  <c r="FX88" i="1"/>
  <c r="FV88" i="1"/>
  <c r="FX86" i="1"/>
  <c r="FV86" i="1"/>
  <c r="FX84" i="1"/>
  <c r="FV84" i="1"/>
  <c r="GB83" i="1"/>
  <c r="GB82" i="1"/>
  <c r="FX78" i="1"/>
  <c r="FV78" i="1"/>
  <c r="FX74" i="1"/>
  <c r="FV74" i="1"/>
  <c r="FX69" i="1"/>
  <c r="FV69" i="1"/>
  <c r="GB68" i="1"/>
  <c r="GB67" i="1"/>
  <c r="GB66" i="1"/>
  <c r="GB65" i="1"/>
  <c r="GB64" i="1"/>
  <c r="GB63" i="1"/>
  <c r="GB62" i="1"/>
  <c r="FX59" i="1"/>
  <c r="FX47" i="1"/>
  <c r="FV47" i="1"/>
  <c r="GB46" i="1"/>
  <c r="GB45" i="1"/>
  <c r="GB44" i="1"/>
  <c r="GB43" i="1"/>
  <c r="GB42" i="1"/>
  <c r="GB41" i="1"/>
  <c r="GB40" i="1"/>
  <c r="GB39" i="1"/>
  <c r="GB38" i="1"/>
  <c r="GB37" i="1"/>
  <c r="GB36" i="1"/>
  <c r="GB35" i="1"/>
  <c r="GB34" i="1"/>
  <c r="GB33" i="1"/>
  <c r="GB32" i="1"/>
  <c r="GB31" i="1"/>
  <c r="GB30" i="1"/>
  <c r="FX28" i="1"/>
  <c r="FV28" i="1"/>
  <c r="GB27" i="1"/>
  <c r="GB26" i="1"/>
  <c r="GB25" i="1"/>
  <c r="GB24" i="1"/>
  <c r="GB23" i="1"/>
  <c r="GB22" i="1"/>
  <c r="FX18" i="1"/>
  <c r="FV18" i="1"/>
  <c r="FZ8" i="1"/>
  <c r="FX8" i="1"/>
  <c r="FY61" i="1" s="1"/>
  <c r="FV8" i="1"/>
  <c r="FW92" i="1" s="1"/>
  <c r="GB7" i="1"/>
  <c r="GB6" i="1"/>
  <c r="GW8" i="1"/>
  <c r="GW9" i="1"/>
  <c r="GW86" i="1"/>
  <c r="GW88" i="1"/>
  <c r="GW93" i="1"/>
  <c r="GW107" i="1"/>
  <c r="GW111" i="1"/>
  <c r="GW134" i="1"/>
  <c r="GW162" i="1"/>
  <c r="FN176" i="1"/>
  <c r="FL176" i="1"/>
  <c r="FR175" i="1"/>
  <c r="FR174" i="1"/>
  <c r="FR173" i="1"/>
  <c r="FN170" i="1"/>
  <c r="FL170" i="1"/>
  <c r="FR168" i="1"/>
  <c r="FR167" i="1"/>
  <c r="FR166" i="1"/>
  <c r="FR165" i="1"/>
  <c r="FR164" i="1"/>
  <c r="FR163" i="1"/>
  <c r="FT163" i="1" s="1"/>
  <c r="FT164" i="1" s="1"/>
  <c r="FN162" i="1"/>
  <c r="FL162" i="1"/>
  <c r="FR160" i="1"/>
  <c r="FR159" i="1"/>
  <c r="FR158" i="1"/>
  <c r="FR157" i="1"/>
  <c r="FR156" i="1"/>
  <c r="FR155" i="1"/>
  <c r="FR154" i="1"/>
  <c r="FR153" i="1"/>
  <c r="FR152" i="1"/>
  <c r="FP150" i="1"/>
  <c r="FN150" i="1"/>
  <c r="FL150" i="1"/>
  <c r="FR149" i="1"/>
  <c r="FN148" i="1"/>
  <c r="FL148" i="1"/>
  <c r="FN146" i="1"/>
  <c r="FL146" i="1"/>
  <c r="FR143" i="1"/>
  <c r="FR142" i="1"/>
  <c r="FR141" i="1"/>
  <c r="FN138" i="1"/>
  <c r="FL138" i="1"/>
  <c r="FP134" i="1"/>
  <c r="FN134" i="1"/>
  <c r="FL134" i="1"/>
  <c r="FR133" i="1"/>
  <c r="FR132" i="1"/>
  <c r="FR131" i="1"/>
  <c r="FR130" i="1"/>
  <c r="FP129" i="1"/>
  <c r="FN129" i="1"/>
  <c r="FL129" i="1"/>
  <c r="FR128" i="1"/>
  <c r="FR127" i="1"/>
  <c r="FN125" i="1"/>
  <c r="FL125" i="1"/>
  <c r="FR124" i="1"/>
  <c r="FR122" i="1"/>
  <c r="FR121" i="1"/>
  <c r="FR120" i="1"/>
  <c r="FR119" i="1"/>
  <c r="FR118" i="1"/>
  <c r="FR117" i="1"/>
  <c r="FR116" i="1"/>
  <c r="FR115" i="1"/>
  <c r="FR114" i="1"/>
  <c r="FR113" i="1"/>
  <c r="FR112" i="1"/>
  <c r="FP110" i="1"/>
  <c r="FP111" i="1" s="1"/>
  <c r="FN110" i="1"/>
  <c r="FN111" i="1" s="1"/>
  <c r="FL110" i="1"/>
  <c r="FL111" i="1" s="1"/>
  <c r="FR109" i="1"/>
  <c r="FR108" i="1"/>
  <c r="FR106" i="1"/>
  <c r="FR105" i="1"/>
  <c r="FR104" i="1"/>
  <c r="FR103" i="1"/>
  <c r="FR102" i="1"/>
  <c r="FR101" i="1"/>
  <c r="FR100" i="1"/>
  <c r="FR99" i="1"/>
  <c r="FN98" i="1"/>
  <c r="FL98" i="1"/>
  <c r="FR97" i="1"/>
  <c r="FN93" i="1"/>
  <c r="FL93" i="1"/>
  <c r="FR92" i="1"/>
  <c r="FR90" i="1"/>
  <c r="FR89" i="1"/>
  <c r="FN88" i="1"/>
  <c r="FL88" i="1"/>
  <c r="FN86" i="1"/>
  <c r="FL86" i="1"/>
  <c r="FN84" i="1"/>
  <c r="FL84" i="1"/>
  <c r="FR83" i="1"/>
  <c r="FR82" i="1"/>
  <c r="FN78" i="1"/>
  <c r="FL78" i="1"/>
  <c r="FN74" i="1"/>
  <c r="FL74" i="1"/>
  <c r="FN69" i="1"/>
  <c r="FL69" i="1"/>
  <c r="FR68" i="1"/>
  <c r="FR67" i="1"/>
  <c r="FR66" i="1"/>
  <c r="FR65" i="1"/>
  <c r="FR64" i="1"/>
  <c r="FR63" i="1"/>
  <c r="FR62" i="1"/>
  <c r="FN59" i="1"/>
  <c r="FL59" i="1"/>
  <c r="FP47" i="1"/>
  <c r="FN47" i="1"/>
  <c r="FL47" i="1"/>
  <c r="FR46" i="1"/>
  <c r="FR45" i="1"/>
  <c r="FR44" i="1"/>
  <c r="FR43" i="1"/>
  <c r="FR42" i="1"/>
  <c r="FR41" i="1"/>
  <c r="FR40" i="1"/>
  <c r="FR39" i="1"/>
  <c r="FR38" i="1"/>
  <c r="FR37" i="1"/>
  <c r="FR36" i="1"/>
  <c r="FR35" i="1"/>
  <c r="FR34" i="1"/>
  <c r="FR33" i="1"/>
  <c r="FR32" i="1"/>
  <c r="FR31" i="1"/>
  <c r="FR30" i="1"/>
  <c r="FN28" i="1"/>
  <c r="FL28" i="1"/>
  <c r="FR27" i="1"/>
  <c r="FR26" i="1"/>
  <c r="FR25" i="1"/>
  <c r="FR24" i="1"/>
  <c r="FR23" i="1"/>
  <c r="FR22" i="1"/>
  <c r="FN18" i="1"/>
  <c r="FL18" i="1"/>
  <c r="FP8" i="1"/>
  <c r="FN8" i="1"/>
  <c r="FO34" i="1" s="1"/>
  <c r="FL8" i="1"/>
  <c r="FM30" i="1" s="1"/>
  <c r="FR7" i="1"/>
  <c r="FR6" i="1"/>
  <c r="GY56" i="1"/>
  <c r="GY72" i="1"/>
  <c r="GY91" i="1"/>
  <c r="GY107" i="1"/>
  <c r="GY111" i="1"/>
  <c r="GY129" i="1"/>
  <c r="GY134" i="1"/>
  <c r="GY161" i="1"/>
  <c r="GL164" i="1" l="1"/>
  <c r="GG177" i="1"/>
  <c r="GA164" i="1"/>
  <c r="GX118" i="1"/>
  <c r="GX91" i="1"/>
  <c r="GX157" i="1"/>
  <c r="GX132" i="1"/>
  <c r="GX130" i="1"/>
  <c r="GX116" i="1"/>
  <c r="GX164" i="1"/>
  <c r="FQ17" i="1"/>
  <c r="FY74" i="1"/>
  <c r="FR129" i="1"/>
  <c r="GB110" i="1"/>
  <c r="GB111" i="1" s="1"/>
  <c r="GA120" i="1"/>
  <c r="FQ99" i="1"/>
  <c r="FM9" i="1"/>
  <c r="FQ26" i="1"/>
  <c r="FQ32" i="1"/>
  <c r="GX178" i="1"/>
  <c r="GX156" i="1"/>
  <c r="GX115" i="1"/>
  <c r="GX68" i="1"/>
  <c r="FY27" i="1"/>
  <c r="GA40" i="1"/>
  <c r="FW47" i="1"/>
  <c r="FY52" i="1"/>
  <c r="GA64" i="1"/>
  <c r="FM69" i="1"/>
  <c r="FM38" i="1"/>
  <c r="FM142" i="1"/>
  <c r="FQ152" i="1"/>
  <c r="GX175" i="1"/>
  <c r="GX150" i="1"/>
  <c r="GX46" i="1"/>
  <c r="GA34" i="1"/>
  <c r="FQ37" i="1"/>
  <c r="FM59" i="1"/>
  <c r="GX167" i="1"/>
  <c r="GX141" i="1"/>
  <c r="GX107" i="1"/>
  <c r="GX38" i="1"/>
  <c r="FM11" i="1"/>
  <c r="FM17" i="1"/>
  <c r="FQ22" i="1"/>
  <c r="FM28" i="1"/>
  <c r="FM34" i="1"/>
  <c r="FM47" i="1"/>
  <c r="GX165" i="1"/>
  <c r="GX134" i="1"/>
  <c r="GX30" i="1"/>
  <c r="FY72" i="1"/>
  <c r="GB107" i="1"/>
  <c r="FM68" i="1"/>
  <c r="FR110" i="1"/>
  <c r="GX159" i="1"/>
  <c r="FW69" i="1"/>
  <c r="FO16" i="1"/>
  <c r="FO27" i="1"/>
  <c r="FO47" i="1"/>
  <c r="FO129" i="1"/>
  <c r="FO9" i="1"/>
  <c r="FM18" i="1"/>
  <c r="FO28" i="1"/>
  <c r="FM36" i="1"/>
  <c r="FQ39" i="1"/>
  <c r="FQ44" i="1"/>
  <c r="FQ47" i="1"/>
  <c r="FO54" i="1"/>
  <c r="FM74" i="1"/>
  <c r="FO14" i="1"/>
  <c r="FO31" i="1"/>
  <c r="FO12" i="1"/>
  <c r="FO18" i="1"/>
  <c r="FM23" i="1"/>
  <c r="FM26" i="1"/>
  <c r="FO33" i="1"/>
  <c r="FO36" i="1"/>
  <c r="FO74" i="1"/>
  <c r="GX17" i="1"/>
  <c r="GX31" i="1"/>
  <c r="GX39" i="1"/>
  <c r="GX47" i="1"/>
  <c r="GX53" i="1"/>
  <c r="GX70" i="1"/>
  <c r="GX85" i="1"/>
  <c r="GX92" i="1"/>
  <c r="GX101" i="1"/>
  <c r="GX108" i="1"/>
  <c r="GX22" i="1"/>
  <c r="GX32" i="1"/>
  <c r="GX40" i="1"/>
  <c r="GX54" i="1"/>
  <c r="GX62" i="1"/>
  <c r="GX102" i="1"/>
  <c r="GX109" i="1"/>
  <c r="GX117" i="1"/>
  <c r="GX124" i="1"/>
  <c r="GX131" i="1"/>
  <c r="GX149" i="1"/>
  <c r="GX158" i="1"/>
  <c r="GX166" i="1"/>
  <c r="GX23" i="1"/>
  <c r="GX33" i="1"/>
  <c r="GX41" i="1"/>
  <c r="GX55" i="1"/>
  <c r="GX63" i="1"/>
  <c r="GX72" i="1"/>
  <c r="GX86" i="1"/>
  <c r="GX103" i="1"/>
  <c r="GX110" i="1"/>
  <c r="GX13" i="1"/>
  <c r="GX24" i="1"/>
  <c r="GX34" i="1"/>
  <c r="GX42" i="1"/>
  <c r="GX50" i="1"/>
  <c r="GX56" i="1"/>
  <c r="GX64" i="1"/>
  <c r="GX80" i="1"/>
  <c r="GX87" i="1"/>
  <c r="GX104" i="1"/>
  <c r="GX119" i="1"/>
  <c r="GX127" i="1"/>
  <c r="GX133" i="1"/>
  <c r="GX142" i="1"/>
  <c r="GX152" i="1"/>
  <c r="GX160" i="1"/>
  <c r="GX168" i="1"/>
  <c r="GX25" i="1"/>
  <c r="GX35" i="1"/>
  <c r="GX43" i="1"/>
  <c r="GX57" i="1"/>
  <c r="GX65" i="1"/>
  <c r="GX105" i="1"/>
  <c r="GX112" i="1"/>
  <c r="GX120" i="1"/>
  <c r="GX143" i="1"/>
  <c r="GX153" i="1"/>
  <c r="GX161" i="1"/>
  <c r="GW16" i="1"/>
  <c r="GX26" i="1"/>
  <c r="GX36" i="1"/>
  <c r="GX44" i="1"/>
  <c r="GX66" i="1"/>
  <c r="GX82" i="1"/>
  <c r="GX89" i="1"/>
  <c r="GX97" i="1"/>
  <c r="GX106" i="1"/>
  <c r="GX113" i="1"/>
  <c r="GX121" i="1"/>
  <c r="GX154" i="1"/>
  <c r="GX173" i="1"/>
  <c r="GX27" i="1"/>
  <c r="GX37" i="1"/>
  <c r="GX45" i="1"/>
  <c r="GX67" i="1"/>
  <c r="GX83" i="1"/>
  <c r="GX90" i="1"/>
  <c r="GX99" i="1"/>
  <c r="GX114" i="1"/>
  <c r="GX122" i="1"/>
  <c r="GX155" i="1"/>
  <c r="GX163" i="1"/>
  <c r="GX174" i="1"/>
  <c r="FR8" i="1"/>
  <c r="FM16" i="1"/>
  <c r="FO23" i="1"/>
  <c r="FO26" i="1"/>
  <c r="FQ40" i="1"/>
  <c r="FO45" i="1"/>
  <c r="FQ66" i="1"/>
  <c r="FO89" i="1"/>
  <c r="GX100" i="1"/>
  <c r="FO30" i="1"/>
  <c r="FO127" i="1"/>
  <c r="FO10" i="1"/>
  <c r="FO169" i="1"/>
  <c r="FM153" i="1"/>
  <c r="FM118" i="1"/>
  <c r="FM79" i="1"/>
  <c r="FM83" i="1"/>
  <c r="FM70" i="1"/>
  <c r="FO21" i="1"/>
  <c r="FM24" i="1"/>
  <c r="FM176" i="1"/>
  <c r="FO157" i="1"/>
  <c r="FO152" i="1"/>
  <c r="FO132" i="1"/>
  <c r="FO77" i="1"/>
  <c r="FO117" i="1"/>
  <c r="FO121" i="1"/>
  <c r="FO94" i="1"/>
  <c r="FO103" i="1"/>
  <c r="FO83" i="1"/>
  <c r="FO145" i="1"/>
  <c r="FO42" i="1"/>
  <c r="FO24" i="1"/>
  <c r="FO72" i="1"/>
  <c r="FQ159" i="1"/>
  <c r="FQ112" i="1"/>
  <c r="FQ106" i="1"/>
  <c r="FQ155" i="1"/>
  <c r="FQ160" i="1"/>
  <c r="FQ164" i="1"/>
  <c r="FQ120" i="1"/>
  <c r="FQ89" i="1"/>
  <c r="FO11" i="1"/>
  <c r="FO17" i="1"/>
  <c r="FQ24" i="1"/>
  <c r="FM35" i="1"/>
  <c r="FO38" i="1"/>
  <c r="FO63" i="1"/>
  <c r="FQ92" i="1"/>
  <c r="FQ97" i="1"/>
  <c r="FQ124" i="1"/>
  <c r="FO134" i="1"/>
  <c r="FM170" i="1"/>
  <c r="GA31" i="1"/>
  <c r="FW38" i="1"/>
  <c r="FW45" i="1"/>
  <c r="FW56" i="1"/>
  <c r="FW68" i="1"/>
  <c r="FW70" i="1"/>
  <c r="FO170" i="1"/>
  <c r="GX162" i="1"/>
  <c r="FW10" i="1"/>
  <c r="GA25" i="1"/>
  <c r="GA38" i="1"/>
  <c r="GB47" i="1"/>
  <c r="FW59" i="1"/>
  <c r="GA68" i="1"/>
  <c r="FW83" i="1"/>
  <c r="FW104" i="1"/>
  <c r="FW138" i="1"/>
  <c r="GA153" i="1"/>
  <c r="FO111" i="1"/>
  <c r="GX88" i="1"/>
  <c r="FW13" i="1"/>
  <c r="FW23" i="1"/>
  <c r="FW32" i="1"/>
  <c r="GA35" i="1"/>
  <c r="GA42" i="1"/>
  <c r="FY59" i="1"/>
  <c r="GA65" i="1"/>
  <c r="FW73" i="1"/>
  <c r="GA83" i="1"/>
  <c r="GA92" i="1"/>
  <c r="FQ134" i="1"/>
  <c r="GX111" i="1"/>
  <c r="FW26" i="1"/>
  <c r="GA32" i="1"/>
  <c r="FW46" i="1"/>
  <c r="FW48" i="1"/>
  <c r="FW57" i="1"/>
  <c r="FW62" i="1"/>
  <c r="FW71" i="1"/>
  <c r="FW86" i="1"/>
  <c r="FW129" i="1"/>
  <c r="FW11" i="1"/>
  <c r="GA26" i="1"/>
  <c r="FW30" i="1"/>
  <c r="GA39" i="1"/>
  <c r="GA46" i="1"/>
  <c r="FW51" i="1"/>
  <c r="FW60" i="1"/>
  <c r="GA62" i="1"/>
  <c r="GA106" i="1"/>
  <c r="FW111" i="1"/>
  <c r="FW118" i="1"/>
  <c r="FW134" i="1"/>
  <c r="FW176" i="1"/>
  <c r="GX93" i="1"/>
  <c r="FY84" i="1"/>
  <c r="FY14" i="1"/>
  <c r="FW24" i="1"/>
  <c r="GA30" i="1"/>
  <c r="FY33" i="1"/>
  <c r="FW37" i="1"/>
  <c r="GA43" i="1"/>
  <c r="FW67" i="1"/>
  <c r="FW18" i="1"/>
  <c r="GA24" i="1"/>
  <c r="FW40" i="1"/>
  <c r="FW49" i="1"/>
  <c r="FW84" i="1"/>
  <c r="FW90" i="1"/>
  <c r="GA110" i="1"/>
  <c r="FW125" i="1"/>
  <c r="GA129" i="1"/>
  <c r="GA141" i="1"/>
  <c r="GA150" i="1"/>
  <c r="FY82" i="1"/>
  <c r="FY12" i="1"/>
  <c r="FY31" i="1"/>
  <c r="FY38" i="1"/>
  <c r="GB8" i="1"/>
  <c r="FY25" i="1"/>
  <c r="FY172" i="1"/>
  <c r="FY166" i="1"/>
  <c r="FY155" i="1"/>
  <c r="FY149" i="1"/>
  <c r="FY143" i="1"/>
  <c r="FY137" i="1"/>
  <c r="FY131" i="1"/>
  <c r="FY128" i="1"/>
  <c r="FY122" i="1"/>
  <c r="FY114" i="1"/>
  <c r="FY110" i="1"/>
  <c r="FY108" i="1"/>
  <c r="FY100" i="1"/>
  <c r="FY97" i="1"/>
  <c r="FY173" i="1"/>
  <c r="FY167" i="1"/>
  <c r="FY156" i="1"/>
  <c r="FY147" i="1"/>
  <c r="FY144" i="1"/>
  <c r="FY132" i="1"/>
  <c r="FY123" i="1"/>
  <c r="FY115" i="1"/>
  <c r="FY109" i="1"/>
  <c r="FY101" i="1"/>
  <c r="FY174" i="1"/>
  <c r="FY168" i="1"/>
  <c r="FY157" i="1"/>
  <c r="FY145" i="1"/>
  <c r="FY133" i="1"/>
  <c r="FY124" i="1"/>
  <c r="FY116" i="1"/>
  <c r="FY102" i="1"/>
  <c r="FY175" i="1"/>
  <c r="FY169" i="1"/>
  <c r="FY158" i="1"/>
  <c r="FY117" i="1"/>
  <c r="FY103" i="1"/>
  <c r="FY89" i="1"/>
  <c r="FY80" i="1"/>
  <c r="FY77" i="1"/>
  <c r="FY159" i="1"/>
  <c r="FY118" i="1"/>
  <c r="FY104" i="1"/>
  <c r="FY90" i="1"/>
  <c r="FY87" i="1"/>
  <c r="FY81" i="1"/>
  <c r="FY164" i="1"/>
  <c r="FY161" i="1"/>
  <c r="FY153" i="1"/>
  <c r="FY141" i="1"/>
  <c r="FY120" i="1"/>
  <c r="FY112" i="1"/>
  <c r="FY106" i="1"/>
  <c r="FY95" i="1"/>
  <c r="FY92" i="1"/>
  <c r="FY83" i="1"/>
  <c r="FY165" i="1"/>
  <c r="FY154" i="1"/>
  <c r="FY150" i="1"/>
  <c r="FY142" i="1"/>
  <c r="FY138" i="1"/>
  <c r="FY136" i="1"/>
  <c r="FY130" i="1"/>
  <c r="FY129" i="1"/>
  <c r="FY127" i="1"/>
  <c r="FY121" i="1"/>
  <c r="FY113" i="1"/>
  <c r="FY107" i="1"/>
  <c r="FY99" i="1"/>
  <c r="FY98" i="1"/>
  <c r="FY96" i="1"/>
  <c r="FY79" i="1"/>
  <c r="FY64" i="1"/>
  <c r="FY53" i="1"/>
  <c r="FY42" i="1"/>
  <c r="FY34" i="1"/>
  <c r="FY20" i="1"/>
  <c r="FY15" i="1"/>
  <c r="FY160" i="1"/>
  <c r="FY57" i="1"/>
  <c r="FY65" i="1"/>
  <c r="FY54" i="1"/>
  <c r="FY43" i="1"/>
  <c r="FY35" i="1"/>
  <c r="FY21" i="1"/>
  <c r="FX19" i="1"/>
  <c r="FY16" i="1"/>
  <c r="FY163" i="1"/>
  <c r="FY119" i="1"/>
  <c r="FY105" i="1"/>
  <c r="FY94" i="1"/>
  <c r="FY85" i="1"/>
  <c r="FY75" i="1"/>
  <c r="FY66" i="1"/>
  <c r="FY55" i="1"/>
  <c r="FY44" i="1"/>
  <c r="FY36" i="1"/>
  <c r="FY22" i="1"/>
  <c r="FY17" i="1"/>
  <c r="FY9" i="1"/>
  <c r="FY93" i="1"/>
  <c r="FY78" i="1"/>
  <c r="FY68" i="1"/>
  <c r="FY49" i="1"/>
  <c r="FY70" i="1"/>
  <c r="FY67" i="1"/>
  <c r="FY56" i="1"/>
  <c r="FY48" i="1"/>
  <c r="FY45" i="1"/>
  <c r="FY37" i="1"/>
  <c r="FY23" i="1"/>
  <c r="FY10" i="1"/>
  <c r="FY162" i="1"/>
  <c r="FY91" i="1"/>
  <c r="FY71" i="1"/>
  <c r="FY60" i="1"/>
  <c r="FY152" i="1"/>
  <c r="FY76" i="1"/>
  <c r="FY73" i="1"/>
  <c r="FY62" i="1"/>
  <c r="FY51" i="1"/>
  <c r="FY40" i="1"/>
  <c r="FY32" i="1"/>
  <c r="FY26" i="1"/>
  <c r="FY13" i="1"/>
  <c r="FY140" i="1"/>
  <c r="FY50" i="1"/>
  <c r="FY58" i="1"/>
  <c r="FY69" i="1"/>
  <c r="FY11" i="1"/>
  <c r="FY30" i="1"/>
  <c r="FY28" i="1"/>
  <c r="FY41" i="1"/>
  <c r="FY18" i="1"/>
  <c r="FY24" i="1"/>
  <c r="FY63" i="1"/>
  <c r="FY88" i="1"/>
  <c r="FY39" i="1"/>
  <c r="FY46" i="1"/>
  <c r="FY146" i="1"/>
  <c r="GA173" i="1"/>
  <c r="GA167" i="1"/>
  <c r="GA156" i="1"/>
  <c r="GA132" i="1"/>
  <c r="GA115" i="1"/>
  <c r="GA109" i="1"/>
  <c r="GA101" i="1"/>
  <c r="GA174" i="1"/>
  <c r="GA168" i="1"/>
  <c r="GA157" i="1"/>
  <c r="GA133" i="1"/>
  <c r="GA116" i="1"/>
  <c r="GA102" i="1"/>
  <c r="GA175" i="1"/>
  <c r="GA158" i="1"/>
  <c r="GA117" i="1"/>
  <c r="GA103" i="1"/>
  <c r="GA89" i="1"/>
  <c r="GA159" i="1"/>
  <c r="GA118" i="1"/>
  <c r="GA104" i="1"/>
  <c r="GA90" i="1"/>
  <c r="GA163" i="1"/>
  <c r="GA160" i="1"/>
  <c r="GA152" i="1"/>
  <c r="GA119" i="1"/>
  <c r="GA105" i="1"/>
  <c r="GA82" i="1"/>
  <c r="GA165" i="1"/>
  <c r="GA154" i="1"/>
  <c r="GA142" i="1"/>
  <c r="GA130" i="1"/>
  <c r="GA127" i="1"/>
  <c r="GA121" i="1"/>
  <c r="GA113" i="1"/>
  <c r="GA107" i="1"/>
  <c r="GA99" i="1"/>
  <c r="GA166" i="1"/>
  <c r="GA155" i="1"/>
  <c r="GA149" i="1"/>
  <c r="GA143" i="1"/>
  <c r="GA134" i="1"/>
  <c r="GA131" i="1"/>
  <c r="GA128" i="1"/>
  <c r="GA122" i="1"/>
  <c r="GA114" i="1"/>
  <c r="GA108" i="1"/>
  <c r="GA100" i="1"/>
  <c r="FW12" i="1"/>
  <c r="FW25" i="1"/>
  <c r="GA27" i="1"/>
  <c r="FW31" i="1"/>
  <c r="GA33" i="1"/>
  <c r="FW39" i="1"/>
  <c r="GA41" i="1"/>
  <c r="FW50" i="1"/>
  <c r="FW58" i="1"/>
  <c r="FW61" i="1"/>
  <c r="GA63" i="1"/>
  <c r="FW72" i="1"/>
  <c r="FW78" i="1"/>
  <c r="FY86" i="1"/>
  <c r="FW88" i="1"/>
  <c r="FY125" i="1"/>
  <c r="GD150" i="1"/>
  <c r="FW159" i="1"/>
  <c r="FW9" i="1"/>
  <c r="FW17" i="1"/>
  <c r="FV19" i="1"/>
  <c r="FW22" i="1"/>
  <c r="FW36" i="1"/>
  <c r="FW44" i="1"/>
  <c r="FY47" i="1"/>
  <c r="FW55" i="1"/>
  <c r="FW66" i="1"/>
  <c r="FW75" i="1"/>
  <c r="FY111" i="1"/>
  <c r="GB134" i="1"/>
  <c r="FY134" i="1"/>
  <c r="FW150" i="1"/>
  <c r="FW170" i="1"/>
  <c r="FY176" i="1"/>
  <c r="FW16" i="1"/>
  <c r="FW21" i="1"/>
  <c r="GA23" i="1"/>
  <c r="FW35" i="1"/>
  <c r="GA37" i="1"/>
  <c r="FW43" i="1"/>
  <c r="GA45" i="1"/>
  <c r="FW54" i="1"/>
  <c r="FW65" i="1"/>
  <c r="GA67" i="1"/>
  <c r="FW81" i="1"/>
  <c r="FW87" i="1"/>
  <c r="FW98" i="1"/>
  <c r="GA111" i="1"/>
  <c r="GB129" i="1"/>
  <c r="FW148" i="1"/>
  <c r="FY170" i="1"/>
  <c r="FW15" i="1"/>
  <c r="FW20" i="1"/>
  <c r="GA22" i="1"/>
  <c r="FW34" i="1"/>
  <c r="GA36" i="1"/>
  <c r="FW42" i="1"/>
  <c r="GA44" i="1"/>
  <c r="GA47" i="1"/>
  <c r="FW53" i="1"/>
  <c r="FW64" i="1"/>
  <c r="GA66" i="1"/>
  <c r="FW74" i="1"/>
  <c r="GA112" i="1"/>
  <c r="FY148" i="1"/>
  <c r="FW165" i="1"/>
  <c r="FW154" i="1"/>
  <c r="FW142" i="1"/>
  <c r="FW136" i="1"/>
  <c r="FW130" i="1"/>
  <c r="FW127" i="1"/>
  <c r="FW121" i="1"/>
  <c r="FW113" i="1"/>
  <c r="FW107" i="1"/>
  <c r="FW99" i="1"/>
  <c r="FW96" i="1"/>
  <c r="FW172" i="1"/>
  <c r="FW166" i="1"/>
  <c r="FW155" i="1"/>
  <c r="FW149" i="1"/>
  <c r="FW143" i="1"/>
  <c r="FW137" i="1"/>
  <c r="FW131" i="1"/>
  <c r="FW128" i="1"/>
  <c r="FW122" i="1"/>
  <c r="FW114" i="1"/>
  <c r="FW108" i="1"/>
  <c r="FW100" i="1"/>
  <c r="FW97" i="1"/>
  <c r="FW173" i="1"/>
  <c r="FW167" i="1"/>
  <c r="FW156" i="1"/>
  <c r="FW147" i="1"/>
  <c r="FW144" i="1"/>
  <c r="FW132" i="1"/>
  <c r="FW123" i="1"/>
  <c r="FW115" i="1"/>
  <c r="FW110" i="1"/>
  <c r="FW109" i="1"/>
  <c r="FW101" i="1"/>
  <c r="FW174" i="1"/>
  <c r="FW168" i="1"/>
  <c r="FW157" i="1"/>
  <c r="FW145" i="1"/>
  <c r="FW133" i="1"/>
  <c r="FW124" i="1"/>
  <c r="FW116" i="1"/>
  <c r="FW102" i="1"/>
  <c r="FW79" i="1"/>
  <c r="FW76" i="1"/>
  <c r="FW175" i="1"/>
  <c r="FW169" i="1"/>
  <c r="FW158" i="1"/>
  <c r="FW117" i="1"/>
  <c r="FW103" i="1"/>
  <c r="FW89" i="1"/>
  <c r="FW80" i="1"/>
  <c r="FW77" i="1"/>
  <c r="FW163" i="1"/>
  <c r="FW160" i="1"/>
  <c r="FW152" i="1"/>
  <c r="FW140" i="1"/>
  <c r="FW119" i="1"/>
  <c r="FW105" i="1"/>
  <c r="FW94" i="1"/>
  <c r="FW91" i="1"/>
  <c r="FW85" i="1"/>
  <c r="FW82" i="1"/>
  <c r="FW164" i="1"/>
  <c r="FW162" i="1"/>
  <c r="FW161" i="1"/>
  <c r="FW153" i="1"/>
  <c r="FW141" i="1"/>
  <c r="FW120" i="1"/>
  <c r="FW112" i="1"/>
  <c r="FW106" i="1"/>
  <c r="FW95" i="1"/>
  <c r="FW93" i="1"/>
  <c r="FW14" i="1"/>
  <c r="FW27" i="1"/>
  <c r="FW28" i="1"/>
  <c r="FW33" i="1"/>
  <c r="FW41" i="1"/>
  <c r="FW52" i="1"/>
  <c r="FW63" i="1"/>
  <c r="FW146" i="1"/>
  <c r="GD164" i="1"/>
  <c r="GW15" i="1"/>
  <c r="GX10" i="1"/>
  <c r="GX9" i="1"/>
  <c r="GY6" i="1"/>
  <c r="GY8" i="1" s="1"/>
  <c r="GZ72" i="1" s="1"/>
  <c r="GY9" i="1"/>
  <c r="GY162" i="1"/>
  <c r="GY93" i="1"/>
  <c r="FM13" i="1"/>
  <c r="FL19" i="1"/>
  <c r="FM51" i="1"/>
  <c r="FM60" i="1"/>
  <c r="FM95" i="1"/>
  <c r="FM122" i="1"/>
  <c r="FM148" i="1"/>
  <c r="FO174" i="1"/>
  <c r="FO164" i="1"/>
  <c r="FO155" i="1"/>
  <c r="FO143" i="1"/>
  <c r="FO131" i="1"/>
  <c r="FO120" i="1"/>
  <c r="FO112" i="1"/>
  <c r="FO102" i="1"/>
  <c r="FO92" i="1"/>
  <c r="FO81" i="1"/>
  <c r="FO78" i="1"/>
  <c r="FO71" i="1"/>
  <c r="FO62" i="1"/>
  <c r="FO59" i="1"/>
  <c r="FO53" i="1"/>
  <c r="FO44" i="1"/>
  <c r="FO167" i="1"/>
  <c r="FO158" i="1"/>
  <c r="FO147" i="1"/>
  <c r="FO136" i="1"/>
  <c r="FO123" i="1"/>
  <c r="FO115" i="1"/>
  <c r="FO105" i="1"/>
  <c r="FO96" i="1"/>
  <c r="FO85" i="1"/>
  <c r="FO75" i="1"/>
  <c r="FO65" i="1"/>
  <c r="FO56" i="1"/>
  <c r="FO48" i="1"/>
  <c r="FO39" i="1"/>
  <c r="FO172" i="1"/>
  <c r="FO161" i="1"/>
  <c r="FO153" i="1"/>
  <c r="FO141" i="1"/>
  <c r="FO128" i="1"/>
  <c r="FO118" i="1"/>
  <c r="FO108" i="1"/>
  <c r="FO100" i="1"/>
  <c r="FO90" i="1"/>
  <c r="FO79" i="1"/>
  <c r="FO68" i="1"/>
  <c r="FO60" i="1"/>
  <c r="FO51" i="1"/>
  <c r="FO168" i="1"/>
  <c r="FO159" i="1"/>
  <c r="FO149" i="1"/>
  <c r="FO137" i="1"/>
  <c r="FO124" i="1"/>
  <c r="FO116" i="1"/>
  <c r="FO106" i="1"/>
  <c r="FO97" i="1"/>
  <c r="FO87" i="1"/>
  <c r="FO76" i="1"/>
  <c r="FO66" i="1"/>
  <c r="FO57" i="1"/>
  <c r="FO49" i="1"/>
  <c r="FO40" i="1"/>
  <c r="FO32" i="1"/>
  <c r="FO173" i="1"/>
  <c r="FO163" i="1"/>
  <c r="FO154" i="1"/>
  <c r="FO142" i="1"/>
  <c r="FO130" i="1"/>
  <c r="FO119" i="1"/>
  <c r="FO109" i="1"/>
  <c r="FO101" i="1"/>
  <c r="FO91" i="1"/>
  <c r="FO80" i="1"/>
  <c r="FO70" i="1"/>
  <c r="FO61" i="1"/>
  <c r="FO52" i="1"/>
  <c r="FO43" i="1"/>
  <c r="FO35" i="1"/>
  <c r="FM10" i="1"/>
  <c r="FO13" i="1"/>
  <c r="FO20" i="1"/>
  <c r="FQ23" i="1"/>
  <c r="FM25" i="1"/>
  <c r="FQ34" i="1"/>
  <c r="FQ36" i="1"/>
  <c r="FM41" i="1"/>
  <c r="FM43" i="1"/>
  <c r="FO46" i="1"/>
  <c r="FM55" i="1"/>
  <c r="FO58" i="1"/>
  <c r="FM64" i="1"/>
  <c r="FO67" i="1"/>
  <c r="FO69" i="1"/>
  <c r="FM80" i="1"/>
  <c r="FM90" i="1"/>
  <c r="FM93" i="1"/>
  <c r="FO95" i="1"/>
  <c r="FM98" i="1"/>
  <c r="FM104" i="1"/>
  <c r="FO107" i="1"/>
  <c r="FO122" i="1"/>
  <c r="FM125" i="1"/>
  <c r="FQ127" i="1"/>
  <c r="FQ129" i="1"/>
  <c r="FM133" i="1"/>
  <c r="FO140" i="1"/>
  <c r="FQ143" i="1"/>
  <c r="FM146" i="1"/>
  <c r="FO148" i="1"/>
  <c r="FO150" i="1"/>
  <c r="FO156" i="1"/>
  <c r="FM162" i="1"/>
  <c r="FM173" i="1"/>
  <c r="FO176" i="1"/>
  <c r="FM20" i="1"/>
  <c r="FM100" i="1"/>
  <c r="FQ167" i="1"/>
  <c r="FQ158" i="1"/>
  <c r="FQ115" i="1"/>
  <c r="FQ105" i="1"/>
  <c r="FQ65" i="1"/>
  <c r="FQ153" i="1"/>
  <c r="FQ141" i="1"/>
  <c r="FQ128" i="1"/>
  <c r="FQ118" i="1"/>
  <c r="FQ108" i="1"/>
  <c r="FQ100" i="1"/>
  <c r="FQ90" i="1"/>
  <c r="FQ68" i="1"/>
  <c r="FQ42" i="1"/>
  <c r="FQ175" i="1"/>
  <c r="FQ165" i="1"/>
  <c r="FQ156" i="1"/>
  <c r="FQ132" i="1"/>
  <c r="FQ121" i="1"/>
  <c r="FQ113" i="1"/>
  <c r="FQ103" i="1"/>
  <c r="FQ82" i="1"/>
  <c r="FQ63" i="1"/>
  <c r="FQ45" i="1"/>
  <c r="FQ173" i="1"/>
  <c r="FQ163" i="1"/>
  <c r="FQ154" i="1"/>
  <c r="FQ142" i="1"/>
  <c r="FQ130" i="1"/>
  <c r="FQ119" i="1"/>
  <c r="FQ110" i="1"/>
  <c r="FQ109" i="1"/>
  <c r="FQ101" i="1"/>
  <c r="FQ43" i="1"/>
  <c r="FQ35" i="1"/>
  <c r="FQ166" i="1"/>
  <c r="FQ157" i="1"/>
  <c r="FQ133" i="1"/>
  <c r="FQ122" i="1"/>
  <c r="FQ114" i="1"/>
  <c r="FQ104" i="1"/>
  <c r="FQ83" i="1"/>
  <c r="FQ64" i="1"/>
  <c r="FQ46" i="1"/>
  <c r="FQ38" i="1"/>
  <c r="FQ30" i="1"/>
  <c r="FM15" i="1"/>
  <c r="FN19" i="1"/>
  <c r="FM22" i="1"/>
  <c r="FO25" i="1"/>
  <c r="FO41" i="1"/>
  <c r="FO55" i="1"/>
  <c r="FO64" i="1"/>
  <c r="FQ67" i="1"/>
  <c r="FM73" i="1"/>
  <c r="FM78" i="1"/>
  <c r="FM86" i="1"/>
  <c r="FM88" i="1"/>
  <c r="FO93" i="1"/>
  <c r="FO98" i="1"/>
  <c r="FO104" i="1"/>
  <c r="FQ107" i="1"/>
  <c r="FO110" i="1"/>
  <c r="FO113" i="1"/>
  <c r="FQ116" i="1"/>
  <c r="FM119" i="1"/>
  <c r="FO125" i="1"/>
  <c r="FO133" i="1"/>
  <c r="FM138" i="1"/>
  <c r="FO165" i="1"/>
  <c r="FQ168" i="1"/>
  <c r="FM169" i="1"/>
  <c r="FM160" i="1"/>
  <c r="FM152" i="1"/>
  <c r="FM140" i="1"/>
  <c r="FM127" i="1"/>
  <c r="FM117" i="1"/>
  <c r="FM110" i="1"/>
  <c r="FM107" i="1"/>
  <c r="FM99" i="1"/>
  <c r="FM89" i="1"/>
  <c r="FM77" i="1"/>
  <c r="FM67" i="1"/>
  <c r="FM58" i="1"/>
  <c r="FM50" i="1"/>
  <c r="FM174" i="1"/>
  <c r="FM164" i="1"/>
  <c r="FM155" i="1"/>
  <c r="FM143" i="1"/>
  <c r="FM131" i="1"/>
  <c r="FM120" i="1"/>
  <c r="FM112" i="1"/>
  <c r="FM102" i="1"/>
  <c r="FM92" i="1"/>
  <c r="FM81" i="1"/>
  <c r="FM71" i="1"/>
  <c r="FM62" i="1"/>
  <c r="FM53" i="1"/>
  <c r="FM44" i="1"/>
  <c r="FM167" i="1"/>
  <c r="FM158" i="1"/>
  <c r="FM147" i="1"/>
  <c r="FM136" i="1"/>
  <c r="FM123" i="1"/>
  <c r="FM115" i="1"/>
  <c r="FM105" i="1"/>
  <c r="FM96" i="1"/>
  <c r="FM85" i="1"/>
  <c r="FM75" i="1"/>
  <c r="FM65" i="1"/>
  <c r="FM56" i="1"/>
  <c r="FM48" i="1"/>
  <c r="FM175" i="1"/>
  <c r="FM165" i="1"/>
  <c r="FM156" i="1"/>
  <c r="FM144" i="1"/>
  <c r="FM132" i="1"/>
  <c r="FM121" i="1"/>
  <c r="FM113" i="1"/>
  <c r="FM103" i="1"/>
  <c r="FM94" i="1"/>
  <c r="FM82" i="1"/>
  <c r="FM72" i="1"/>
  <c r="FM63" i="1"/>
  <c r="FM54" i="1"/>
  <c r="FM45" i="1"/>
  <c r="FM37" i="1"/>
  <c r="FM168" i="1"/>
  <c r="FM159" i="1"/>
  <c r="FM149" i="1"/>
  <c r="FM137" i="1"/>
  <c r="FM124" i="1"/>
  <c r="FM116" i="1"/>
  <c r="FM106" i="1"/>
  <c r="FM97" i="1"/>
  <c r="FM87" i="1"/>
  <c r="FM76" i="1"/>
  <c r="FM66" i="1"/>
  <c r="FM57" i="1"/>
  <c r="FM49" i="1"/>
  <c r="FM40" i="1"/>
  <c r="FM32" i="1"/>
  <c r="FM46" i="1"/>
  <c r="FM111" i="1"/>
  <c r="FM150" i="1"/>
  <c r="FM12" i="1"/>
  <c r="FO15" i="1"/>
  <c r="FO22" i="1"/>
  <c r="FQ25" i="1"/>
  <c r="FM27" i="1"/>
  <c r="FM31" i="1"/>
  <c r="FM33" i="1"/>
  <c r="FO37" i="1"/>
  <c r="FM39" i="1"/>
  <c r="FQ41" i="1"/>
  <c r="FM52" i="1"/>
  <c r="FM61" i="1"/>
  <c r="FO73" i="1"/>
  <c r="FM84" i="1"/>
  <c r="FO86" i="1"/>
  <c r="FO88" i="1"/>
  <c r="FM101" i="1"/>
  <c r="FM108" i="1"/>
  <c r="FQ111" i="1"/>
  <c r="FM128" i="1"/>
  <c r="FM130" i="1"/>
  <c r="FO138" i="1"/>
  <c r="FO144" i="1"/>
  <c r="FO146" i="1"/>
  <c r="FQ150" i="1"/>
  <c r="FM157" i="1"/>
  <c r="FO160" i="1"/>
  <c r="FO162" i="1"/>
  <c r="FQ174" i="1"/>
  <c r="FM114" i="1"/>
  <c r="FR134" i="1"/>
  <c r="FM141" i="1"/>
  <c r="FM166" i="1"/>
  <c r="FM91" i="1"/>
  <c r="FM14" i="1"/>
  <c r="FM21" i="1"/>
  <c r="FQ27" i="1"/>
  <c r="FQ31" i="1"/>
  <c r="FQ33" i="1"/>
  <c r="FM42" i="1"/>
  <c r="FO50" i="1"/>
  <c r="FQ62" i="1"/>
  <c r="FO82" i="1"/>
  <c r="FO84" i="1"/>
  <c r="FO99" i="1"/>
  <c r="FQ102" i="1"/>
  <c r="FO114" i="1"/>
  <c r="FQ117" i="1"/>
  <c r="FQ131" i="1"/>
  <c r="FM134" i="1"/>
  <c r="FM145" i="1"/>
  <c r="FQ149" i="1"/>
  <c r="FM154" i="1"/>
  <c r="FO166" i="1"/>
  <c r="FO175" i="1"/>
  <c r="FM109" i="1"/>
  <c r="FM129" i="1"/>
  <c r="FM161" i="1"/>
  <c r="FM163" i="1"/>
  <c r="FM172" i="1"/>
  <c r="FR107" i="1"/>
  <c r="FR47" i="1"/>
  <c r="FR150" i="1"/>
  <c r="FJ17" i="1"/>
  <c r="FH175" i="1"/>
  <c r="FH174" i="1"/>
  <c r="FH173" i="1"/>
  <c r="FH172" i="1"/>
  <c r="FH169" i="1"/>
  <c r="FH168" i="1"/>
  <c r="FH167" i="1"/>
  <c r="FH166" i="1"/>
  <c r="FH165" i="1"/>
  <c r="FH164" i="1"/>
  <c r="FH163" i="1"/>
  <c r="FJ163" i="1" s="1"/>
  <c r="GV163" i="1" s="1"/>
  <c r="FH161" i="1"/>
  <c r="FH160" i="1"/>
  <c r="FH159" i="1"/>
  <c r="FH158" i="1"/>
  <c r="FH157" i="1"/>
  <c r="FH156" i="1"/>
  <c r="FH155" i="1"/>
  <c r="FH154" i="1"/>
  <c r="FH153" i="1"/>
  <c r="FH152" i="1"/>
  <c r="FH149" i="1"/>
  <c r="FH150" i="1" s="1"/>
  <c r="FH147" i="1"/>
  <c r="FH148" i="1" s="1"/>
  <c r="FH145" i="1"/>
  <c r="FH143" i="1"/>
  <c r="FH142" i="1"/>
  <c r="FH141" i="1"/>
  <c r="FH140" i="1"/>
  <c r="FH133" i="1"/>
  <c r="FH132" i="1"/>
  <c r="FH131" i="1"/>
  <c r="FH130" i="1"/>
  <c r="FH128" i="1"/>
  <c r="FH127" i="1"/>
  <c r="FH124" i="1"/>
  <c r="FH123" i="1"/>
  <c r="FH122" i="1"/>
  <c r="FH121" i="1"/>
  <c r="FH120" i="1"/>
  <c r="FH119" i="1"/>
  <c r="FH118" i="1"/>
  <c r="FH117" i="1"/>
  <c r="FH116" i="1"/>
  <c r="FH115" i="1"/>
  <c r="FH114" i="1"/>
  <c r="FH113" i="1"/>
  <c r="FH112" i="1"/>
  <c r="FH109" i="1"/>
  <c r="FH108" i="1"/>
  <c r="FH106" i="1"/>
  <c r="FH105" i="1"/>
  <c r="FH104" i="1"/>
  <c r="FH103" i="1"/>
  <c r="FH102" i="1"/>
  <c r="FH101" i="1"/>
  <c r="FH100" i="1"/>
  <c r="FH99" i="1"/>
  <c r="FH97" i="1"/>
  <c r="FH96" i="1"/>
  <c r="FH95" i="1"/>
  <c r="FH94" i="1"/>
  <c r="FH92" i="1"/>
  <c r="FH91" i="1"/>
  <c r="FH90" i="1"/>
  <c r="FH89" i="1"/>
  <c r="FH87" i="1"/>
  <c r="FH88" i="1" s="1"/>
  <c r="FH85" i="1"/>
  <c r="FH86" i="1" s="1"/>
  <c r="FH83" i="1"/>
  <c r="FH82" i="1"/>
  <c r="FH81" i="1"/>
  <c r="FH80" i="1"/>
  <c r="FH79" i="1"/>
  <c r="FH77" i="1"/>
  <c r="FH76" i="1"/>
  <c r="FH75" i="1"/>
  <c r="FH73" i="1"/>
  <c r="FH72" i="1"/>
  <c r="FH71" i="1"/>
  <c r="FH70" i="1"/>
  <c r="FH68" i="1"/>
  <c r="FH67" i="1"/>
  <c r="FH66" i="1"/>
  <c r="FH65" i="1"/>
  <c r="FH64" i="1"/>
  <c r="FH63" i="1"/>
  <c r="FH62" i="1"/>
  <c r="FH61" i="1"/>
  <c r="FH60" i="1"/>
  <c r="FH58" i="1"/>
  <c r="FH57" i="1"/>
  <c r="FH56" i="1"/>
  <c r="FH55" i="1"/>
  <c r="FH54" i="1"/>
  <c r="FH53" i="1"/>
  <c r="FH52" i="1"/>
  <c r="FH51" i="1"/>
  <c r="FH50" i="1"/>
  <c r="FH49" i="1"/>
  <c r="FH48" i="1"/>
  <c r="FH46" i="1"/>
  <c r="FH45" i="1"/>
  <c r="FH44" i="1"/>
  <c r="FH43" i="1"/>
  <c r="FH42" i="1"/>
  <c r="FH41" i="1"/>
  <c r="FH40" i="1"/>
  <c r="FH39" i="1"/>
  <c r="FH38" i="1"/>
  <c r="FH37" i="1"/>
  <c r="FH36" i="1"/>
  <c r="FH35" i="1"/>
  <c r="FH34" i="1"/>
  <c r="FH33" i="1"/>
  <c r="FH32" i="1"/>
  <c r="FH31" i="1"/>
  <c r="FH30" i="1"/>
  <c r="FH27" i="1"/>
  <c r="FH26" i="1"/>
  <c r="FH25" i="1"/>
  <c r="FH24" i="1"/>
  <c r="FH23" i="1"/>
  <c r="FH22" i="1"/>
  <c r="FH9" i="1"/>
  <c r="FH7" i="1"/>
  <c r="FH6" i="1"/>
  <c r="FF176" i="1"/>
  <c r="FD176" i="1"/>
  <c r="FF170" i="1"/>
  <c r="FD170" i="1"/>
  <c r="FF162" i="1"/>
  <c r="FD162" i="1"/>
  <c r="FF150" i="1"/>
  <c r="FD150" i="1"/>
  <c r="FF148" i="1"/>
  <c r="FD148" i="1"/>
  <c r="FD146" i="1"/>
  <c r="FD138" i="1"/>
  <c r="FF134" i="1"/>
  <c r="FD134" i="1"/>
  <c r="FF129" i="1"/>
  <c r="FD129" i="1"/>
  <c r="FF125" i="1"/>
  <c r="FD125" i="1"/>
  <c r="FF110" i="1"/>
  <c r="FF111" i="1" s="1"/>
  <c r="FD110" i="1"/>
  <c r="FF98" i="1"/>
  <c r="FD98" i="1"/>
  <c r="FF93" i="1"/>
  <c r="FD93" i="1"/>
  <c r="FF88" i="1"/>
  <c r="FD88" i="1"/>
  <c r="FF86" i="1"/>
  <c r="FD86" i="1"/>
  <c r="FF84" i="1"/>
  <c r="FD84" i="1"/>
  <c r="FF78" i="1"/>
  <c r="FD78" i="1"/>
  <c r="FF74" i="1"/>
  <c r="FD74" i="1"/>
  <c r="FF69" i="1"/>
  <c r="FD69" i="1"/>
  <c r="FF59" i="1"/>
  <c r="FD59" i="1"/>
  <c r="FF47" i="1"/>
  <c r="FD47" i="1"/>
  <c r="FD28" i="1"/>
  <c r="FD18" i="1"/>
  <c r="FF8" i="1"/>
  <c r="FD8" i="1"/>
  <c r="FE175" i="1" s="1"/>
  <c r="FB176" i="1"/>
  <c r="FB170" i="1"/>
  <c r="FB162" i="1"/>
  <c r="FB150" i="1"/>
  <c r="FB148" i="1"/>
  <c r="FB146" i="1"/>
  <c r="FB138" i="1"/>
  <c r="FB134" i="1"/>
  <c r="FB129" i="1"/>
  <c r="FB125" i="1"/>
  <c r="FB110" i="1"/>
  <c r="FB111" i="1" s="1"/>
  <c r="FB98" i="1"/>
  <c r="FB93" i="1"/>
  <c r="FB88" i="1"/>
  <c r="FB86" i="1"/>
  <c r="FB84" i="1"/>
  <c r="FB78" i="1"/>
  <c r="FB74" i="1"/>
  <c r="FB69" i="1"/>
  <c r="FB59" i="1"/>
  <c r="FB47" i="1"/>
  <c r="FB28" i="1"/>
  <c r="FB18" i="1"/>
  <c r="FB8" i="1"/>
  <c r="FC164" i="1" s="1"/>
  <c r="GU6" i="1" l="1"/>
  <c r="GT8" i="1" s="1"/>
  <c r="GT163" i="1" s="1"/>
  <c r="GY10" i="1"/>
  <c r="GZ10" i="1" s="1"/>
  <c r="GZ24" i="1"/>
  <c r="GZ114" i="1"/>
  <c r="GZ109" i="1"/>
  <c r="GZ153" i="1"/>
  <c r="GZ82" i="1"/>
  <c r="GZ118" i="1"/>
  <c r="GX15" i="1"/>
  <c r="FJ164" i="1"/>
  <c r="GV164" i="1" s="1"/>
  <c r="FT17" i="1"/>
  <c r="GD17" i="1" s="1"/>
  <c r="GL17" i="1" s="1"/>
  <c r="GV17" i="1"/>
  <c r="GX16" i="1"/>
  <c r="FG10" i="1"/>
  <c r="FH13" i="1"/>
  <c r="FG107" i="1"/>
  <c r="FH11" i="1"/>
  <c r="FH15" i="1"/>
  <c r="FH21" i="1"/>
  <c r="FH14" i="1"/>
  <c r="FH12" i="1"/>
  <c r="GC121" i="1"/>
  <c r="FS89" i="1"/>
  <c r="FS129" i="1"/>
  <c r="FS33" i="1"/>
  <c r="FS116" i="1"/>
  <c r="FS82" i="1"/>
  <c r="FS166" i="1"/>
  <c r="GC104" i="1"/>
  <c r="GC154" i="1"/>
  <c r="GC142" i="1"/>
  <c r="GC160" i="1"/>
  <c r="FS142" i="1"/>
  <c r="GC175" i="1"/>
  <c r="FS110" i="1"/>
  <c r="FS100" i="1"/>
  <c r="GC112" i="1"/>
  <c r="GC26" i="1"/>
  <c r="GC109" i="1"/>
  <c r="GC43" i="1"/>
  <c r="FS149" i="1"/>
  <c r="GC92" i="1"/>
  <c r="FS131" i="1"/>
  <c r="FS164" i="1"/>
  <c r="FS26" i="1"/>
  <c r="FS65" i="1"/>
  <c r="FS41" i="1"/>
  <c r="FS40" i="1"/>
  <c r="FS133" i="1"/>
  <c r="FS107" i="1"/>
  <c r="FS42" i="1"/>
  <c r="FS114" i="1"/>
  <c r="FS108" i="1"/>
  <c r="FS117" i="1"/>
  <c r="FS175" i="1"/>
  <c r="FS106" i="1"/>
  <c r="FS118" i="1"/>
  <c r="FS68" i="1"/>
  <c r="FS127" i="1"/>
  <c r="FS150" i="1"/>
  <c r="FS174" i="1"/>
  <c r="FS27" i="1"/>
  <c r="FS153" i="1"/>
  <c r="FS159" i="1"/>
  <c r="FS113" i="1"/>
  <c r="FS134" i="1"/>
  <c r="FS109" i="1"/>
  <c r="FS92" i="1"/>
  <c r="FS38" i="1"/>
  <c r="FS22" i="1"/>
  <c r="FS121" i="1"/>
  <c r="FE93" i="1"/>
  <c r="GY15" i="1"/>
  <c r="GZ15" i="1" s="1"/>
  <c r="FS152" i="1"/>
  <c r="FS130" i="1"/>
  <c r="FS143" i="1"/>
  <c r="FS163" i="1"/>
  <c r="FS35" i="1"/>
  <c r="FS141" i="1"/>
  <c r="FS45" i="1"/>
  <c r="FS132" i="1"/>
  <c r="FS124" i="1"/>
  <c r="FS30" i="1"/>
  <c r="FS128" i="1"/>
  <c r="FS103" i="1"/>
  <c r="FS156" i="1"/>
  <c r="FS32" i="1"/>
  <c r="FS105" i="1"/>
  <c r="FS160" i="1"/>
  <c r="FS44" i="1"/>
  <c r="FS165" i="1"/>
  <c r="FS66" i="1"/>
  <c r="FS90" i="1"/>
  <c r="GZ89" i="1"/>
  <c r="FS62" i="1"/>
  <c r="FS36" i="1"/>
  <c r="FS99" i="1"/>
  <c r="FS122" i="1"/>
  <c r="FS64" i="1"/>
  <c r="FS37" i="1"/>
  <c r="FS157" i="1"/>
  <c r="FS158" i="1"/>
  <c r="FR111" i="1"/>
  <c r="FS111" i="1" s="1"/>
  <c r="FS24" i="1"/>
  <c r="FS97" i="1"/>
  <c r="FS46" i="1"/>
  <c r="FS102" i="1"/>
  <c r="FS120" i="1"/>
  <c r="FS101" i="1"/>
  <c r="FS31" i="1"/>
  <c r="FS168" i="1"/>
  <c r="GZ173" i="1"/>
  <c r="FS47" i="1"/>
  <c r="FS154" i="1"/>
  <c r="FS119" i="1"/>
  <c r="FS173" i="1"/>
  <c r="FS155" i="1"/>
  <c r="FS112" i="1"/>
  <c r="FS83" i="1"/>
  <c r="FS17" i="1"/>
  <c r="FS104" i="1"/>
  <c r="FS39" i="1"/>
  <c r="FS67" i="1"/>
  <c r="FS63" i="1"/>
  <c r="FS23" i="1"/>
  <c r="FS115" i="1"/>
  <c r="FS25" i="1"/>
  <c r="FE146" i="1"/>
  <c r="FE148" i="1"/>
  <c r="FE98" i="1"/>
  <c r="FE74" i="1"/>
  <c r="FE87" i="1"/>
  <c r="FE134" i="1"/>
  <c r="GC90" i="1"/>
  <c r="GC83" i="1"/>
  <c r="GC63" i="1"/>
  <c r="GC35" i="1"/>
  <c r="GC33" i="1"/>
  <c r="FE10" i="1"/>
  <c r="FE110" i="1"/>
  <c r="GC158" i="1"/>
  <c r="GC150" i="1"/>
  <c r="GC65" i="1"/>
  <c r="FE18" i="1"/>
  <c r="FE57" i="1"/>
  <c r="FE149" i="1"/>
  <c r="FE59" i="1"/>
  <c r="FE90" i="1"/>
  <c r="FD111" i="1"/>
  <c r="FE111" i="1" s="1"/>
  <c r="GC127" i="1"/>
  <c r="GC39" i="1"/>
  <c r="FE84" i="1"/>
  <c r="FE125" i="1"/>
  <c r="FE46" i="1"/>
  <c r="FE64" i="1"/>
  <c r="FE155" i="1"/>
  <c r="FE34" i="1"/>
  <c r="FE69" i="1"/>
  <c r="FE86" i="1"/>
  <c r="FE129" i="1"/>
  <c r="FE162" i="1"/>
  <c r="FE24" i="1"/>
  <c r="FE49" i="1"/>
  <c r="FE122" i="1"/>
  <c r="FE137" i="1"/>
  <c r="FE166" i="1"/>
  <c r="GC132" i="1"/>
  <c r="GC89" i="1"/>
  <c r="GC167" i="1"/>
  <c r="GC31" i="1"/>
  <c r="GC111" i="1"/>
  <c r="GC141" i="1"/>
  <c r="GC62" i="1"/>
  <c r="GC106" i="1"/>
  <c r="GC27" i="1"/>
  <c r="FG77" i="1"/>
  <c r="GC163" i="1"/>
  <c r="GC115" i="1"/>
  <c r="GC25" i="1"/>
  <c r="GC99" i="1"/>
  <c r="GC107" i="1"/>
  <c r="FS167" i="1"/>
  <c r="GC159" i="1"/>
  <c r="GC120" i="1"/>
  <c r="GC156" i="1"/>
  <c r="GC32" i="1"/>
  <c r="GC40" i="1"/>
  <c r="FS43" i="1"/>
  <c r="FJ150" i="1"/>
  <c r="GV150" i="1" s="1"/>
  <c r="FE30" i="1"/>
  <c r="FE104" i="1"/>
  <c r="FG125" i="1"/>
  <c r="FE172" i="1"/>
  <c r="FH129" i="1"/>
  <c r="GC118" i="1"/>
  <c r="GC110" i="1"/>
  <c r="GC101" i="1"/>
  <c r="GC173" i="1"/>
  <c r="GC130" i="1"/>
  <c r="GC165" i="1"/>
  <c r="FS34" i="1"/>
  <c r="FH47" i="1"/>
  <c r="GC129" i="1"/>
  <c r="GC113" i="1"/>
  <c r="FT150" i="1"/>
  <c r="FW19" i="1"/>
  <c r="FV29" i="1"/>
  <c r="FY19" i="1"/>
  <c r="FX29" i="1"/>
  <c r="GC134" i="1"/>
  <c r="GC117" i="1"/>
  <c r="GC103" i="1"/>
  <c r="GC152" i="1"/>
  <c r="GC119" i="1"/>
  <c r="GC105" i="1"/>
  <c r="GC82" i="1"/>
  <c r="GC164" i="1"/>
  <c r="GC153" i="1"/>
  <c r="GC174" i="1"/>
  <c r="GC168" i="1"/>
  <c r="GC157" i="1"/>
  <c r="GC133" i="1"/>
  <c r="GC116" i="1"/>
  <c r="GC102" i="1"/>
  <c r="GC128" i="1"/>
  <c r="GC67" i="1"/>
  <c r="GC45" i="1"/>
  <c r="GC37" i="1"/>
  <c r="GC23" i="1"/>
  <c r="GC17" i="1"/>
  <c r="GC131" i="1"/>
  <c r="GC68" i="1"/>
  <c r="GC46" i="1"/>
  <c r="GC38" i="1"/>
  <c r="GC30" i="1"/>
  <c r="GC24" i="1"/>
  <c r="GC122" i="1"/>
  <c r="GC166" i="1"/>
  <c r="GC108" i="1"/>
  <c r="GC114" i="1"/>
  <c r="GC100" i="1"/>
  <c r="GC155" i="1"/>
  <c r="GC143" i="1"/>
  <c r="GC41" i="1"/>
  <c r="GC66" i="1"/>
  <c r="GC34" i="1"/>
  <c r="GC36" i="1"/>
  <c r="GC149" i="1"/>
  <c r="GC44" i="1"/>
  <c r="GC64" i="1"/>
  <c r="GC42" i="1"/>
  <c r="GC47" i="1"/>
  <c r="GC22" i="1"/>
  <c r="GZ45" i="1"/>
  <c r="GZ64" i="1"/>
  <c r="GZ36" i="1"/>
  <c r="GZ102" i="1"/>
  <c r="GZ168" i="1"/>
  <c r="GZ93" i="1"/>
  <c r="GZ41" i="1"/>
  <c r="GZ133" i="1"/>
  <c r="GZ55" i="1"/>
  <c r="GZ66" i="1"/>
  <c r="GZ119" i="1"/>
  <c r="GZ162" i="1"/>
  <c r="GZ50" i="1"/>
  <c r="GZ174" i="1"/>
  <c r="GZ43" i="1"/>
  <c r="GZ131" i="1"/>
  <c r="GZ115" i="1"/>
  <c r="GZ107" i="1"/>
  <c r="GZ32" i="1"/>
  <c r="GZ113" i="1"/>
  <c r="GZ39" i="1"/>
  <c r="GZ83" i="1"/>
  <c r="GZ65" i="1"/>
  <c r="GZ161" i="1"/>
  <c r="GZ26" i="1"/>
  <c r="GZ103" i="1"/>
  <c r="GZ142" i="1"/>
  <c r="GZ80" i="1"/>
  <c r="GY16" i="1"/>
  <c r="GZ16" i="1" s="1"/>
  <c r="GZ157" i="1"/>
  <c r="GZ127" i="1"/>
  <c r="GZ99" i="1"/>
  <c r="GZ34" i="1"/>
  <c r="GZ9" i="1"/>
  <c r="GZ152" i="1"/>
  <c r="GZ53" i="1"/>
  <c r="GZ40" i="1"/>
  <c r="GZ122" i="1"/>
  <c r="GZ160" i="1"/>
  <c r="GZ110" i="1"/>
  <c r="GY13" i="1"/>
  <c r="GZ13" i="1" s="1"/>
  <c r="GZ47" i="1"/>
  <c r="GZ129" i="1"/>
  <c r="GZ106" i="1"/>
  <c r="GZ128" i="1"/>
  <c r="GZ30" i="1"/>
  <c r="GZ164" i="1"/>
  <c r="GZ57" i="1"/>
  <c r="GZ150" i="1"/>
  <c r="GZ37" i="1"/>
  <c r="GZ22" i="1"/>
  <c r="GZ104" i="1"/>
  <c r="GZ166" i="1"/>
  <c r="GZ92" i="1"/>
  <c r="GZ159" i="1"/>
  <c r="GZ35" i="1"/>
  <c r="GZ165" i="1"/>
  <c r="GZ62" i="1"/>
  <c r="GZ54" i="1"/>
  <c r="GZ149" i="1"/>
  <c r="GZ108" i="1"/>
  <c r="GZ143" i="1"/>
  <c r="GZ33" i="1"/>
  <c r="GZ175" i="1"/>
  <c r="GZ100" i="1"/>
  <c r="GZ124" i="1"/>
  <c r="GZ70" i="1"/>
  <c r="GZ155" i="1"/>
  <c r="GZ31" i="1"/>
  <c r="GZ120" i="1"/>
  <c r="GZ156" i="1"/>
  <c r="GZ46" i="1"/>
  <c r="GZ105" i="1"/>
  <c r="GY87" i="1"/>
  <c r="GZ134" i="1"/>
  <c r="GZ56" i="1"/>
  <c r="GZ91" i="1"/>
  <c r="GZ130" i="1"/>
  <c r="GZ27" i="1"/>
  <c r="GZ167" i="1"/>
  <c r="GZ97" i="1"/>
  <c r="GZ121" i="1"/>
  <c r="GZ67" i="1"/>
  <c r="GZ141" i="1"/>
  <c r="GZ25" i="1"/>
  <c r="GZ116" i="1"/>
  <c r="GZ158" i="1"/>
  <c r="GZ42" i="1"/>
  <c r="GZ44" i="1"/>
  <c r="GZ101" i="1"/>
  <c r="GZ111" i="1"/>
  <c r="GZ90" i="1"/>
  <c r="GZ23" i="1"/>
  <c r="GZ163" i="1"/>
  <c r="GZ68" i="1"/>
  <c r="GZ117" i="1"/>
  <c r="GZ63" i="1"/>
  <c r="GZ132" i="1"/>
  <c r="GZ17" i="1"/>
  <c r="GZ112" i="1"/>
  <c r="GZ154" i="1"/>
  <c r="GZ38" i="1"/>
  <c r="GZ178" i="1"/>
  <c r="GY85" i="1"/>
  <c r="FL29" i="1"/>
  <c r="FM19" i="1"/>
  <c r="FO19" i="1"/>
  <c r="FN29" i="1"/>
  <c r="FH110" i="1"/>
  <c r="FH111" i="1" s="1"/>
  <c r="FE14" i="1"/>
  <c r="FG33" i="1"/>
  <c r="FE53" i="1"/>
  <c r="FE68" i="1"/>
  <c r="FE78" i="1"/>
  <c r="FE97" i="1"/>
  <c r="FG111" i="1"/>
  <c r="FE128" i="1"/>
  <c r="FE138" i="1"/>
  <c r="FH134" i="1"/>
  <c r="FE38" i="1"/>
  <c r="FE81" i="1"/>
  <c r="FE88" i="1"/>
  <c r="FE114" i="1"/>
  <c r="FE143" i="1"/>
  <c r="FE150" i="1"/>
  <c r="FE170" i="1"/>
  <c r="FE20" i="1"/>
  <c r="FE42" i="1"/>
  <c r="FE71" i="1"/>
  <c r="FE100" i="1"/>
  <c r="FE118" i="1"/>
  <c r="FE131" i="1"/>
  <c r="FE28" i="1"/>
  <c r="FE47" i="1"/>
  <c r="FE60" i="1"/>
  <c r="FE108" i="1"/>
  <c r="FE159" i="1"/>
  <c r="FE176" i="1"/>
  <c r="FH107" i="1"/>
  <c r="FG63" i="1"/>
  <c r="FH170" i="1"/>
  <c r="FH125" i="1"/>
  <c r="FH93" i="1"/>
  <c r="FH78" i="1"/>
  <c r="FH69" i="1"/>
  <c r="FH8" i="1"/>
  <c r="FI81" i="1" s="1"/>
  <c r="FH74" i="1"/>
  <c r="FH98" i="1"/>
  <c r="FH162" i="1"/>
  <c r="FH59" i="1"/>
  <c r="FH84" i="1"/>
  <c r="FH176" i="1"/>
  <c r="FG162" i="1"/>
  <c r="FG12" i="1"/>
  <c r="FG23" i="1"/>
  <c r="FG37" i="1"/>
  <c r="FG48" i="1"/>
  <c r="FG78" i="1"/>
  <c r="FG103" i="1"/>
  <c r="FG59" i="1"/>
  <c r="FG70" i="1"/>
  <c r="FG80" i="1"/>
  <c r="FG86" i="1"/>
  <c r="FG93" i="1"/>
  <c r="FG117" i="1"/>
  <c r="FG99" i="1"/>
  <c r="FG27" i="1"/>
  <c r="FG17" i="1"/>
  <c r="FG41" i="1"/>
  <c r="FG52" i="1"/>
  <c r="FG96" i="1"/>
  <c r="FG170" i="1"/>
  <c r="FG174" i="1"/>
  <c r="FG168" i="1"/>
  <c r="FG164" i="1"/>
  <c r="FG161" i="1"/>
  <c r="FG157" i="1"/>
  <c r="FG153" i="1"/>
  <c r="FG150" i="1"/>
  <c r="FG145" i="1"/>
  <c r="FG141" i="1"/>
  <c r="FG133" i="1"/>
  <c r="FG129" i="1"/>
  <c r="FG124" i="1"/>
  <c r="FG120" i="1"/>
  <c r="FG116" i="1"/>
  <c r="FG112" i="1"/>
  <c r="FG106" i="1"/>
  <c r="FG102" i="1"/>
  <c r="FG98" i="1"/>
  <c r="FG95" i="1"/>
  <c r="FG92" i="1"/>
  <c r="FG88" i="1"/>
  <c r="FG83" i="1"/>
  <c r="FG79" i="1"/>
  <c r="FG76" i="1"/>
  <c r="FG73" i="1"/>
  <c r="FG69" i="1"/>
  <c r="FG66" i="1"/>
  <c r="FG62" i="1"/>
  <c r="FG55" i="1"/>
  <c r="FG51" i="1"/>
  <c r="FG47" i="1"/>
  <c r="FG44" i="1"/>
  <c r="FG40" i="1"/>
  <c r="FG36" i="1"/>
  <c r="FG32" i="1"/>
  <c r="FG26" i="1"/>
  <c r="FG22" i="1"/>
  <c r="FG16" i="1"/>
  <c r="FG127" i="1"/>
  <c r="FG110" i="1"/>
  <c r="FG173" i="1"/>
  <c r="FG167" i="1"/>
  <c r="FG163" i="1"/>
  <c r="FG160" i="1"/>
  <c r="FG156" i="1"/>
  <c r="FG152" i="1"/>
  <c r="FG147" i="1"/>
  <c r="FG140" i="1"/>
  <c r="FG132" i="1"/>
  <c r="FG123" i="1"/>
  <c r="FG119" i="1"/>
  <c r="FG115" i="1"/>
  <c r="FG109" i="1"/>
  <c r="FG105" i="1"/>
  <c r="FG101" i="1"/>
  <c r="FG94" i="1"/>
  <c r="FG91" i="1"/>
  <c r="FG85" i="1"/>
  <c r="FG82" i="1"/>
  <c r="FG75" i="1"/>
  <c r="FG72" i="1"/>
  <c r="FG65" i="1"/>
  <c r="FG61" i="1"/>
  <c r="FG58" i="1"/>
  <c r="FG54" i="1"/>
  <c r="FG50" i="1"/>
  <c r="FG43" i="1"/>
  <c r="FG39" i="1"/>
  <c r="FG35" i="1"/>
  <c r="FG31" i="1"/>
  <c r="FG25" i="1"/>
  <c r="FG21" i="1"/>
  <c r="FG15" i="1"/>
  <c r="FG11" i="1"/>
  <c r="FG169" i="1"/>
  <c r="FG130" i="1"/>
  <c r="FG121" i="1"/>
  <c r="FG158" i="1"/>
  <c r="FG148" i="1"/>
  <c r="FG172" i="1"/>
  <c r="FG166" i="1"/>
  <c r="FG159" i="1"/>
  <c r="FG155" i="1"/>
  <c r="FG149" i="1"/>
  <c r="FG143" i="1"/>
  <c r="FG131" i="1"/>
  <c r="FG128" i="1"/>
  <c r="FG122" i="1"/>
  <c r="FG118" i="1"/>
  <c r="FG114" i="1"/>
  <c r="FG108" i="1"/>
  <c r="FG104" i="1"/>
  <c r="FG100" i="1"/>
  <c r="FG97" i="1"/>
  <c r="FG90" i="1"/>
  <c r="FG87" i="1"/>
  <c r="FG81" i="1"/>
  <c r="FG71" i="1"/>
  <c r="FG68" i="1"/>
  <c r="FG64" i="1"/>
  <c r="FG60" i="1"/>
  <c r="FG57" i="1"/>
  <c r="FG53" i="1"/>
  <c r="FG49" i="1"/>
  <c r="FG46" i="1"/>
  <c r="FG42" i="1"/>
  <c r="FG38" i="1"/>
  <c r="FG34" i="1"/>
  <c r="FG30" i="1"/>
  <c r="FG24" i="1"/>
  <c r="FG20" i="1"/>
  <c r="FG14" i="1"/>
  <c r="FG175" i="1"/>
  <c r="FG165" i="1"/>
  <c r="FG154" i="1"/>
  <c r="FG142" i="1"/>
  <c r="FG113" i="1"/>
  <c r="FG45" i="1"/>
  <c r="FG56" i="1"/>
  <c r="FG9" i="1"/>
  <c r="FG67" i="1"/>
  <c r="FG74" i="1"/>
  <c r="FG84" i="1"/>
  <c r="FG89" i="1"/>
  <c r="FG134" i="1"/>
  <c r="FG176" i="1"/>
  <c r="FE11" i="1"/>
  <c r="FE15" i="1"/>
  <c r="FE21" i="1"/>
  <c r="FE25" i="1"/>
  <c r="FE31" i="1"/>
  <c r="FE35" i="1"/>
  <c r="FE39" i="1"/>
  <c r="FE43" i="1"/>
  <c r="FE50" i="1"/>
  <c r="FE54" i="1"/>
  <c r="FE58" i="1"/>
  <c r="FE61" i="1"/>
  <c r="FE65" i="1"/>
  <c r="FE72" i="1"/>
  <c r="FE75" i="1"/>
  <c r="FE82" i="1"/>
  <c r="FE85" i="1"/>
  <c r="FE91" i="1"/>
  <c r="FE94" i="1"/>
  <c r="FE101" i="1"/>
  <c r="FE105" i="1"/>
  <c r="FE109" i="1"/>
  <c r="FE115" i="1"/>
  <c r="FE119" i="1"/>
  <c r="FE123" i="1"/>
  <c r="FE132" i="1"/>
  <c r="FE140" i="1"/>
  <c r="FE144" i="1"/>
  <c r="FE147" i="1"/>
  <c r="FE152" i="1"/>
  <c r="FE156" i="1"/>
  <c r="FE160" i="1"/>
  <c r="FE163" i="1"/>
  <c r="FE167" i="1"/>
  <c r="FE173" i="1"/>
  <c r="FE12" i="1"/>
  <c r="FE16" i="1"/>
  <c r="FD19" i="1"/>
  <c r="FE22" i="1"/>
  <c r="FE26" i="1"/>
  <c r="FE32" i="1"/>
  <c r="FE36" i="1"/>
  <c r="FE40" i="1"/>
  <c r="FE44" i="1"/>
  <c r="FE51" i="1"/>
  <c r="FE55" i="1"/>
  <c r="FE62" i="1"/>
  <c r="FE66" i="1"/>
  <c r="FE73" i="1"/>
  <c r="FE76" i="1"/>
  <c r="FE79" i="1"/>
  <c r="FE83" i="1"/>
  <c r="FE92" i="1"/>
  <c r="FE95" i="1"/>
  <c r="FE102" i="1"/>
  <c r="FE106" i="1"/>
  <c r="FE112" i="1"/>
  <c r="FE116" i="1"/>
  <c r="FE120" i="1"/>
  <c r="FE124" i="1"/>
  <c r="FE133" i="1"/>
  <c r="FE141" i="1"/>
  <c r="FE145" i="1"/>
  <c r="FE153" i="1"/>
  <c r="FE157" i="1"/>
  <c r="FE161" i="1"/>
  <c r="FE164" i="1"/>
  <c r="FE168" i="1"/>
  <c r="FE174" i="1"/>
  <c r="FE9" i="1"/>
  <c r="FE13" i="1"/>
  <c r="FE17" i="1"/>
  <c r="FE23" i="1"/>
  <c r="FE27" i="1"/>
  <c r="FE33" i="1"/>
  <c r="FE37" i="1"/>
  <c r="FE41" i="1"/>
  <c r="FE45" i="1"/>
  <c r="FE48" i="1"/>
  <c r="FE52" i="1"/>
  <c r="FE56" i="1"/>
  <c r="FE63" i="1"/>
  <c r="FE67" i="1"/>
  <c r="FE70" i="1"/>
  <c r="FE77" i="1"/>
  <c r="FE80" i="1"/>
  <c r="FE89" i="1"/>
  <c r="FE96" i="1"/>
  <c r="FE99" i="1"/>
  <c r="FE103" i="1"/>
  <c r="FE107" i="1"/>
  <c r="FE113" i="1"/>
  <c r="FE117" i="1"/>
  <c r="FE121" i="1"/>
  <c r="FE127" i="1"/>
  <c r="FE130" i="1"/>
  <c r="FE136" i="1"/>
  <c r="FE142" i="1"/>
  <c r="FE154" i="1"/>
  <c r="FE158" i="1"/>
  <c r="FE165" i="1"/>
  <c r="FE169" i="1"/>
  <c r="FC78" i="1"/>
  <c r="FC129" i="1"/>
  <c r="FC18" i="1"/>
  <c r="FC86" i="1"/>
  <c r="FC88" i="1"/>
  <c r="FC47" i="1"/>
  <c r="FC148" i="1"/>
  <c r="FC59" i="1"/>
  <c r="FC28" i="1"/>
  <c r="FC69" i="1"/>
  <c r="FC111" i="1"/>
  <c r="FC162" i="1"/>
  <c r="FC30" i="1"/>
  <c r="FC60" i="1"/>
  <c r="FC87" i="1"/>
  <c r="FC114" i="1"/>
  <c r="FC146" i="1"/>
  <c r="FC25" i="1"/>
  <c r="FC39" i="1"/>
  <c r="FC61" i="1"/>
  <c r="FC115" i="1"/>
  <c r="FC140" i="1"/>
  <c r="FC147" i="1"/>
  <c r="FC172" i="1"/>
  <c r="FC12" i="1"/>
  <c r="FB19" i="1"/>
  <c r="FC26" i="1"/>
  <c r="FC32" i="1"/>
  <c r="FC40" i="1"/>
  <c r="FC55" i="1"/>
  <c r="FC62" i="1"/>
  <c r="FC76" i="1"/>
  <c r="FC83" i="1"/>
  <c r="FC95" i="1"/>
  <c r="FC102" i="1"/>
  <c r="FC116" i="1"/>
  <c r="FC124" i="1"/>
  <c r="FC141" i="1"/>
  <c r="FC153" i="1"/>
  <c r="FC167" i="1"/>
  <c r="FC173" i="1"/>
  <c r="FC46" i="1"/>
  <c r="FC74" i="1"/>
  <c r="FC93" i="1"/>
  <c r="FC122" i="1"/>
  <c r="FC165" i="1"/>
  <c r="FC75" i="1"/>
  <c r="FC94" i="1"/>
  <c r="FC123" i="1"/>
  <c r="FC166" i="1"/>
  <c r="FC13" i="1"/>
  <c r="FC27" i="1"/>
  <c r="FC33" i="1"/>
  <c r="FC41" i="1"/>
  <c r="FC48" i="1"/>
  <c r="FC56" i="1"/>
  <c r="FC63" i="1"/>
  <c r="FC70" i="1"/>
  <c r="FC77" i="1"/>
  <c r="FC89" i="1"/>
  <c r="FC96" i="1"/>
  <c r="FC103" i="1"/>
  <c r="FC110" i="1"/>
  <c r="FC117" i="1"/>
  <c r="FC130" i="1"/>
  <c r="FC136" i="1"/>
  <c r="FC142" i="1"/>
  <c r="FC154" i="1"/>
  <c r="FC161" i="1"/>
  <c r="FC168" i="1"/>
  <c r="FC174" i="1"/>
  <c r="FC10" i="1"/>
  <c r="FC38" i="1"/>
  <c r="FC68" i="1"/>
  <c r="FC100" i="1"/>
  <c r="FC134" i="1"/>
  <c r="FC159" i="1"/>
  <c r="FC11" i="1"/>
  <c r="FC54" i="1"/>
  <c r="FC101" i="1"/>
  <c r="FC152" i="1"/>
  <c r="FC20" i="1"/>
  <c r="FC34" i="1"/>
  <c r="FC42" i="1"/>
  <c r="FC49" i="1"/>
  <c r="FC57" i="1"/>
  <c r="FC64" i="1"/>
  <c r="FC71" i="1"/>
  <c r="FC84" i="1"/>
  <c r="FC90" i="1"/>
  <c r="FC97" i="1"/>
  <c r="FC104" i="1"/>
  <c r="FC118" i="1"/>
  <c r="FC125" i="1"/>
  <c r="FC131" i="1"/>
  <c r="FC137" i="1"/>
  <c r="FC143" i="1"/>
  <c r="FC149" i="1"/>
  <c r="FC155" i="1"/>
  <c r="FC169" i="1"/>
  <c r="FC175" i="1"/>
  <c r="FC16" i="1"/>
  <c r="FC24" i="1"/>
  <c r="FC53" i="1"/>
  <c r="FC81" i="1"/>
  <c r="FC108" i="1"/>
  <c r="FC128" i="1"/>
  <c r="FC31" i="1"/>
  <c r="FC82" i="1"/>
  <c r="FC109" i="1"/>
  <c r="FC160" i="1"/>
  <c r="FC14" i="1"/>
  <c r="FC15" i="1"/>
  <c r="FC21" i="1"/>
  <c r="FC35" i="1"/>
  <c r="FC43" i="1"/>
  <c r="FC50" i="1"/>
  <c r="FC58" i="1"/>
  <c r="FC65" i="1"/>
  <c r="FC72" i="1"/>
  <c r="FC85" i="1"/>
  <c r="FC91" i="1"/>
  <c r="FC105" i="1"/>
  <c r="FC119" i="1"/>
  <c r="FC132" i="1"/>
  <c r="FC144" i="1"/>
  <c r="FC156" i="1"/>
  <c r="FC22" i="1"/>
  <c r="FC36" i="1"/>
  <c r="FC44" i="1"/>
  <c r="FC51" i="1"/>
  <c r="FC66" i="1"/>
  <c r="FC73" i="1"/>
  <c r="FC79" i="1"/>
  <c r="FC92" i="1"/>
  <c r="FC98" i="1"/>
  <c r="FC106" i="1"/>
  <c r="FC112" i="1"/>
  <c r="FC120" i="1"/>
  <c r="FC133" i="1"/>
  <c r="FC138" i="1"/>
  <c r="FC145" i="1"/>
  <c r="FC150" i="1"/>
  <c r="FC157" i="1"/>
  <c r="FC163" i="1"/>
  <c r="FC170" i="1"/>
  <c r="FC176" i="1"/>
  <c r="FC9" i="1"/>
  <c r="FC17" i="1"/>
  <c r="FC23" i="1"/>
  <c r="FC37" i="1"/>
  <c r="FC45" i="1"/>
  <c r="FC52" i="1"/>
  <c r="FC67" i="1"/>
  <c r="FC80" i="1"/>
  <c r="FC99" i="1"/>
  <c r="FC107" i="1"/>
  <c r="FC113" i="1"/>
  <c r="FC121" i="1"/>
  <c r="FC127" i="1"/>
  <c r="FC158" i="1"/>
  <c r="GU8" i="1" l="1"/>
  <c r="GU163" i="1" s="1"/>
  <c r="FG13" i="1"/>
  <c r="GT150" i="1"/>
  <c r="GT164" i="1"/>
  <c r="GT17" i="1"/>
  <c r="FH20" i="1"/>
  <c r="FH28" i="1" s="1"/>
  <c r="FI28" i="1" s="1"/>
  <c r="FF28" i="1"/>
  <c r="FG28" i="1" s="1"/>
  <c r="FH10" i="1"/>
  <c r="FH18" i="1" s="1"/>
  <c r="FI18" i="1" s="1"/>
  <c r="FF18" i="1"/>
  <c r="FI141" i="1"/>
  <c r="FI113" i="1"/>
  <c r="FI159" i="1"/>
  <c r="FI25" i="1"/>
  <c r="FI119" i="1"/>
  <c r="FI112" i="1"/>
  <c r="FI82" i="1"/>
  <c r="FI105" i="1"/>
  <c r="FI48" i="1"/>
  <c r="FI35" i="1"/>
  <c r="FI56" i="1"/>
  <c r="FI149" i="1"/>
  <c r="FI23" i="1"/>
  <c r="FI94" i="1"/>
  <c r="FI155" i="1"/>
  <c r="FI106" i="1"/>
  <c r="FI54" i="1"/>
  <c r="FI67" i="1"/>
  <c r="FI50" i="1"/>
  <c r="FI53" i="1"/>
  <c r="FI45" i="1"/>
  <c r="FI172" i="1"/>
  <c r="FI111" i="1"/>
  <c r="FV126" i="1"/>
  <c r="FW29" i="1"/>
  <c r="FX126" i="1"/>
  <c r="FY29" i="1"/>
  <c r="GY88" i="1"/>
  <c r="GZ88" i="1" s="1"/>
  <c r="GZ87" i="1"/>
  <c r="GY86" i="1"/>
  <c r="GZ86" i="1" s="1"/>
  <c r="GZ85" i="1"/>
  <c r="FO29" i="1"/>
  <c r="FN126" i="1"/>
  <c r="FL126" i="1"/>
  <c r="FM29" i="1"/>
  <c r="FI143" i="1"/>
  <c r="FI27" i="1"/>
  <c r="FI73" i="1"/>
  <c r="FI154" i="1"/>
  <c r="FI40" i="1"/>
  <c r="FI15" i="1"/>
  <c r="FI121" i="1"/>
  <c r="FI87" i="1"/>
  <c r="FI34" i="1"/>
  <c r="FI22" i="1"/>
  <c r="FI109" i="1"/>
  <c r="FI115" i="1"/>
  <c r="FI63" i="1"/>
  <c r="FI174" i="1"/>
  <c r="FI13" i="1"/>
  <c r="FI62" i="1"/>
  <c r="FI69" i="1"/>
  <c r="FI173" i="1"/>
  <c r="FI77" i="1"/>
  <c r="FI103" i="1"/>
  <c r="FI89" i="1"/>
  <c r="FI55" i="1"/>
  <c r="FI98" i="1"/>
  <c r="FI156" i="1"/>
  <c r="FI164" i="1"/>
  <c r="FI21" i="1"/>
  <c r="FI57" i="1"/>
  <c r="FI132" i="1"/>
  <c r="FI64" i="1"/>
  <c r="FI52" i="1"/>
  <c r="FI107" i="1"/>
  <c r="FI129" i="1"/>
  <c r="FI95" i="1"/>
  <c r="FI72" i="1"/>
  <c r="FI131" i="1"/>
  <c r="FI16" i="1"/>
  <c r="FI76" i="1"/>
  <c r="FI80" i="1"/>
  <c r="FI101" i="1"/>
  <c r="FI169" i="1"/>
  <c r="FI12" i="1"/>
  <c r="FI91" i="1"/>
  <c r="FI47" i="1"/>
  <c r="FI68" i="1"/>
  <c r="FI102" i="1"/>
  <c r="FI41" i="1"/>
  <c r="FI114" i="1"/>
  <c r="FI150" i="1"/>
  <c r="FI166" i="1"/>
  <c r="FI93" i="1"/>
  <c r="FI59" i="1"/>
  <c r="FI42" i="1"/>
  <c r="FI46" i="1"/>
  <c r="FI153" i="1"/>
  <c r="FI142" i="1"/>
  <c r="FI110" i="1"/>
  <c r="FI162" i="1"/>
  <c r="FI37" i="1"/>
  <c r="FI66" i="1"/>
  <c r="FI11" i="1"/>
  <c r="FI36" i="1"/>
  <c r="FI165" i="1"/>
  <c r="FI163" i="1"/>
  <c r="FI75" i="1"/>
  <c r="FI84" i="1"/>
  <c r="FI31" i="1"/>
  <c r="FI161" i="1"/>
  <c r="FI60" i="1"/>
  <c r="FI116" i="1"/>
  <c r="FI38" i="1"/>
  <c r="FI33" i="1"/>
  <c r="FI104" i="1"/>
  <c r="FI92" i="1"/>
  <c r="FI90" i="1"/>
  <c r="FI125" i="1"/>
  <c r="FI26" i="1"/>
  <c r="FI134" i="1"/>
  <c r="FI157" i="1"/>
  <c r="FI97" i="1"/>
  <c r="FI147" i="1"/>
  <c r="FI83" i="1"/>
  <c r="FI117" i="1"/>
  <c r="FI99" i="1"/>
  <c r="FI39" i="1"/>
  <c r="FI130" i="1"/>
  <c r="FI85" i="1"/>
  <c r="FI14" i="1"/>
  <c r="FI124" i="1"/>
  <c r="FI24" i="1"/>
  <c r="FI49" i="1"/>
  <c r="FI158" i="1"/>
  <c r="FI122" i="1"/>
  <c r="FI32" i="1"/>
  <c r="FI120" i="1"/>
  <c r="FI118" i="1"/>
  <c r="FI148" i="1"/>
  <c r="FI78" i="1"/>
  <c r="FI175" i="1"/>
  <c r="FI127" i="1"/>
  <c r="FI51" i="1"/>
  <c r="FI17" i="1"/>
  <c r="FI79" i="1"/>
  <c r="FI145" i="1"/>
  <c r="FI74" i="1"/>
  <c r="FI108" i="1"/>
  <c r="FI88" i="1"/>
  <c r="FI160" i="1"/>
  <c r="FI152" i="1"/>
  <c r="FI86" i="1"/>
  <c r="FI30" i="1"/>
  <c r="FI100" i="1"/>
  <c r="FI128" i="1"/>
  <c r="FI133" i="1"/>
  <c r="FI167" i="1"/>
  <c r="FI123" i="1"/>
  <c r="FI43" i="1"/>
  <c r="FI176" i="1"/>
  <c r="FI71" i="1"/>
  <c r="FI61" i="1"/>
  <c r="FI9" i="1"/>
  <c r="FI58" i="1"/>
  <c r="FI96" i="1"/>
  <c r="FI168" i="1"/>
  <c r="FI65" i="1"/>
  <c r="FI140" i="1"/>
  <c r="FI44" i="1"/>
  <c r="FI70" i="1"/>
  <c r="FI170" i="1"/>
  <c r="FE19" i="1"/>
  <c r="FD29" i="1"/>
  <c r="FB29" i="1"/>
  <c r="FC19" i="1"/>
  <c r="HA72" i="1"/>
  <c r="HA161" i="1"/>
  <c r="HA91" i="1"/>
  <c r="HA87" i="1"/>
  <c r="HA85" i="1"/>
  <c r="HA56" i="1"/>
  <c r="HA9" i="1"/>
  <c r="HA7" i="1"/>
  <c r="HA6" i="1"/>
  <c r="GU17" i="1" l="1"/>
  <c r="GA17" i="1" s="1"/>
  <c r="GU164" i="1"/>
  <c r="GU150" i="1"/>
  <c r="FI20" i="1"/>
  <c r="FH19" i="1"/>
  <c r="FI19" i="1" s="1"/>
  <c r="FI10" i="1"/>
  <c r="FF19" i="1"/>
  <c r="FG18" i="1"/>
  <c r="FW126" i="1"/>
  <c r="FV135" i="1"/>
  <c r="FX135" i="1"/>
  <c r="FY126" i="1"/>
  <c r="FL135" i="1"/>
  <c r="FM126" i="1"/>
  <c r="FN135" i="1"/>
  <c r="FO126" i="1"/>
  <c r="FE29" i="1"/>
  <c r="FD126" i="1"/>
  <c r="FC29" i="1"/>
  <c r="FB126" i="1"/>
  <c r="FH29" i="1" l="1"/>
  <c r="FI29" i="1" s="1"/>
  <c r="FF29" i="1"/>
  <c r="FG19" i="1"/>
  <c r="FX139" i="1"/>
  <c r="FY135" i="1"/>
  <c r="FV139" i="1"/>
  <c r="FW135" i="1"/>
  <c r="FL139" i="1"/>
  <c r="FM135" i="1"/>
  <c r="FN139" i="1"/>
  <c r="FO135" i="1"/>
  <c r="FE126" i="1"/>
  <c r="FD135" i="1"/>
  <c r="FC126" i="1"/>
  <c r="FB135" i="1"/>
  <c r="FH126" i="1" l="1"/>
  <c r="FI126" i="1" s="1"/>
  <c r="FF126" i="1"/>
  <c r="FG29" i="1"/>
  <c r="FV151" i="1"/>
  <c r="FW139" i="1"/>
  <c r="FX151" i="1"/>
  <c r="FY139" i="1"/>
  <c r="FO139" i="1"/>
  <c r="FN151" i="1"/>
  <c r="FL151" i="1"/>
  <c r="FM139" i="1"/>
  <c r="FD139" i="1"/>
  <c r="FE135" i="1"/>
  <c r="FB139" i="1"/>
  <c r="FC135" i="1"/>
  <c r="HA162" i="1"/>
  <c r="HA134" i="1"/>
  <c r="HA129" i="1"/>
  <c r="HA111" i="1"/>
  <c r="HA107" i="1"/>
  <c r="HA93" i="1"/>
  <c r="HA88" i="1"/>
  <c r="HA86" i="1"/>
  <c r="HA8" i="1"/>
  <c r="HA15" i="1" s="1"/>
  <c r="FH135" i="1" l="1"/>
  <c r="FI135" i="1" s="1"/>
  <c r="FF135" i="1"/>
  <c r="FG126" i="1"/>
  <c r="FX171" i="1"/>
  <c r="FY151" i="1"/>
  <c r="FV171" i="1"/>
  <c r="FW151" i="1"/>
  <c r="FN171" i="1"/>
  <c r="FO151" i="1"/>
  <c r="FM151" i="1"/>
  <c r="FL171" i="1"/>
  <c r="FD151" i="1"/>
  <c r="FE139" i="1"/>
  <c r="FB151" i="1"/>
  <c r="FC139" i="1"/>
  <c r="HB165" i="1"/>
  <c r="HB13" i="1"/>
  <c r="HA16" i="1"/>
  <c r="HB16" i="1" s="1"/>
  <c r="HB134" i="1"/>
  <c r="HB107" i="1"/>
  <c r="HB93" i="1"/>
  <c r="HB22" i="1"/>
  <c r="HB80" i="1"/>
  <c r="HB99" i="1"/>
  <c r="HB127" i="1"/>
  <c r="HB23" i="1"/>
  <c r="HB45" i="1"/>
  <c r="HB68" i="1"/>
  <c r="HB114" i="1"/>
  <c r="HB173" i="1"/>
  <c r="HB24" i="1"/>
  <c r="HB30" i="1"/>
  <c r="HB38" i="1"/>
  <c r="HB46" i="1"/>
  <c r="HB54" i="1"/>
  <c r="HB82" i="1"/>
  <c r="HB101" i="1"/>
  <c r="HB108" i="1"/>
  <c r="HB115" i="1"/>
  <c r="HB153" i="1"/>
  <c r="HB161" i="1"/>
  <c r="HB168" i="1"/>
  <c r="HB174" i="1"/>
  <c r="HB36" i="1"/>
  <c r="HB67" i="1"/>
  <c r="HB178" i="1"/>
  <c r="HB53" i="1"/>
  <c r="HB87" i="1"/>
  <c r="HB128" i="1"/>
  <c r="HB152" i="1"/>
  <c r="HB167" i="1"/>
  <c r="HB25" i="1"/>
  <c r="HB31" i="1"/>
  <c r="HB39" i="1"/>
  <c r="HB47" i="1"/>
  <c r="HB55" i="1"/>
  <c r="HB62" i="1"/>
  <c r="HB83" i="1"/>
  <c r="HB88" i="1"/>
  <c r="HB102" i="1"/>
  <c r="HB109" i="1"/>
  <c r="HB116" i="1"/>
  <c r="HB124" i="1"/>
  <c r="HB129" i="1"/>
  <c r="HB141" i="1"/>
  <c r="HB154" i="1"/>
  <c r="HB175" i="1"/>
  <c r="HB44" i="1"/>
  <c r="HB86" i="1"/>
  <c r="HB113" i="1"/>
  <c r="HB159" i="1"/>
  <c r="HB9" i="1"/>
  <c r="HB26" i="1"/>
  <c r="HB32" i="1"/>
  <c r="HB40" i="1"/>
  <c r="HB56" i="1"/>
  <c r="HB63" i="1"/>
  <c r="HB70" i="1"/>
  <c r="HB89" i="1"/>
  <c r="HB103" i="1"/>
  <c r="HB110" i="1"/>
  <c r="HB117" i="1"/>
  <c r="HB130" i="1"/>
  <c r="HB142" i="1"/>
  <c r="HB155" i="1"/>
  <c r="HB162" i="1"/>
  <c r="HB121" i="1"/>
  <c r="HB166" i="1"/>
  <c r="HB17" i="1"/>
  <c r="HB37" i="1"/>
  <c r="HB100" i="1"/>
  <c r="HB122" i="1"/>
  <c r="HB160" i="1"/>
  <c r="HB27" i="1"/>
  <c r="HB33" i="1"/>
  <c r="HB41" i="1"/>
  <c r="HB57" i="1"/>
  <c r="HB64" i="1"/>
  <c r="HB90" i="1"/>
  <c r="HB97" i="1"/>
  <c r="HB104" i="1"/>
  <c r="HB118" i="1"/>
  <c r="HB131" i="1"/>
  <c r="HB143" i="1"/>
  <c r="HB149" i="1"/>
  <c r="HB156" i="1"/>
  <c r="HB163" i="1"/>
  <c r="HB34" i="1"/>
  <c r="HB42" i="1"/>
  <c r="HB50" i="1"/>
  <c r="HB65" i="1"/>
  <c r="HB72" i="1"/>
  <c r="HB85" i="1"/>
  <c r="HB91" i="1"/>
  <c r="HB105" i="1"/>
  <c r="HB111" i="1"/>
  <c r="HB119" i="1"/>
  <c r="HB132" i="1"/>
  <c r="HB150" i="1"/>
  <c r="HB157" i="1"/>
  <c r="HB164" i="1"/>
  <c r="HB35" i="1"/>
  <c r="HB43" i="1"/>
  <c r="HB66" i="1"/>
  <c r="HB92" i="1"/>
  <c r="HB106" i="1"/>
  <c r="HB112" i="1"/>
  <c r="HB120" i="1"/>
  <c r="HB133" i="1"/>
  <c r="HB158" i="1"/>
  <c r="FG135" i="1" l="1"/>
  <c r="FW171" i="1"/>
  <c r="FV177" i="1"/>
  <c r="FY171" i="1"/>
  <c r="FX177" i="1"/>
  <c r="FY177" i="1" s="1"/>
  <c r="FM171" i="1"/>
  <c r="FL177" i="1"/>
  <c r="FO171" i="1"/>
  <c r="FN177" i="1"/>
  <c r="FO177" i="1" s="1"/>
  <c r="FD171" i="1"/>
  <c r="FE151" i="1"/>
  <c r="FB171" i="1"/>
  <c r="FC151" i="1"/>
  <c r="HB10" i="1"/>
  <c r="FW177" i="1" l="1"/>
  <c r="FM177" i="1"/>
  <c r="FE171" i="1"/>
  <c r="FD177" i="1"/>
  <c r="FE177" i="1" s="1"/>
  <c r="FB177" i="1"/>
  <c r="FC177" i="1" s="1"/>
  <c r="FC171" i="1"/>
  <c r="EX7" i="1"/>
  <c r="EX161" i="1" l="1"/>
  <c r="EP171" i="1" l="1"/>
  <c r="EX47" i="1"/>
  <c r="EV47" i="1"/>
  <c r="ET47" i="1"/>
  <c r="EV176" i="1"/>
  <c r="ET176" i="1"/>
  <c r="EZ167" i="1"/>
  <c r="FJ167" i="1" s="1"/>
  <c r="GV167" i="1" s="1"/>
  <c r="EV170" i="1"/>
  <c r="ET170" i="1"/>
  <c r="ET162" i="1"/>
  <c r="ET146" i="1"/>
  <c r="EV146" i="1"/>
  <c r="EX146" i="1"/>
  <c r="EX150" i="1"/>
  <c r="EV150" i="1"/>
  <c r="ET148" i="1"/>
  <c r="ET150" i="1"/>
  <c r="EX134" i="1"/>
  <c r="EV134" i="1"/>
  <c r="ET134" i="1"/>
  <c r="ET129" i="1"/>
  <c r="EX110" i="1"/>
  <c r="EV110" i="1"/>
  <c r="ET110" i="1"/>
  <c r="ET125" i="1"/>
  <c r="ET93" i="1"/>
  <c r="EV93" i="1"/>
  <c r="EX93" i="1"/>
  <c r="ET84" i="1"/>
  <c r="EV74" i="1"/>
  <c r="EX74" i="1"/>
  <c r="EZ174" i="1"/>
  <c r="FJ174" i="1" s="1"/>
  <c r="GV174" i="1" s="1"/>
  <c r="EX170" i="1"/>
  <c r="EZ169" i="1"/>
  <c r="GW169" i="1" s="1"/>
  <c r="EX162" i="1"/>
  <c r="EV162" i="1"/>
  <c r="EZ161" i="1"/>
  <c r="FJ161" i="1" s="1"/>
  <c r="GV161" i="1" s="1"/>
  <c r="GU161" i="1" s="1"/>
  <c r="EZ160" i="1"/>
  <c r="FJ160" i="1" s="1"/>
  <c r="GV160" i="1" s="1"/>
  <c r="EZ159" i="1"/>
  <c r="FJ159" i="1" s="1"/>
  <c r="GV159" i="1" s="1"/>
  <c r="EZ158" i="1"/>
  <c r="FJ158" i="1" s="1"/>
  <c r="GV158" i="1" s="1"/>
  <c r="EZ157" i="1"/>
  <c r="FJ157" i="1" s="1"/>
  <c r="GV157" i="1" s="1"/>
  <c r="EZ156" i="1"/>
  <c r="FJ156" i="1" s="1"/>
  <c r="GV156" i="1" s="1"/>
  <c r="EZ155" i="1"/>
  <c r="FJ155" i="1" s="1"/>
  <c r="GV155" i="1" s="1"/>
  <c r="EZ154" i="1"/>
  <c r="FJ154" i="1" s="1"/>
  <c r="GV154" i="1" s="1"/>
  <c r="EZ153" i="1"/>
  <c r="FJ153" i="1" s="1"/>
  <c r="GV153" i="1" s="1"/>
  <c r="EZ152" i="1"/>
  <c r="FJ152" i="1" s="1"/>
  <c r="GV152" i="1" s="1"/>
  <c r="EX148" i="1"/>
  <c r="EV148" i="1"/>
  <c r="EZ147" i="1"/>
  <c r="EZ145" i="1"/>
  <c r="EZ144" i="1"/>
  <c r="EZ140" i="1"/>
  <c r="GW140" i="1" s="1"/>
  <c r="EX138" i="1"/>
  <c r="EV138" i="1"/>
  <c r="ET138" i="1"/>
  <c r="EZ137" i="1"/>
  <c r="EZ136" i="1"/>
  <c r="EX129" i="1"/>
  <c r="EZ127" i="1"/>
  <c r="FJ127" i="1" s="1"/>
  <c r="GV127" i="1" s="1"/>
  <c r="EZ123" i="1"/>
  <c r="GW123" i="1" s="1"/>
  <c r="EZ122" i="1"/>
  <c r="FJ122" i="1" s="1"/>
  <c r="GV122" i="1" s="1"/>
  <c r="EV98" i="1"/>
  <c r="EZ96" i="1"/>
  <c r="GW96" i="1" s="1"/>
  <c r="EZ95" i="1"/>
  <c r="GW95" i="1" s="1"/>
  <c r="EZ94" i="1"/>
  <c r="GW94" i="1" s="1"/>
  <c r="EZ91" i="1"/>
  <c r="FJ91" i="1" s="1"/>
  <c r="GV91" i="1" s="1"/>
  <c r="EZ89" i="1"/>
  <c r="FJ89" i="1" s="1"/>
  <c r="GV89" i="1" s="1"/>
  <c r="EX88" i="1"/>
  <c r="EV88" i="1"/>
  <c r="ET88" i="1"/>
  <c r="EZ87" i="1"/>
  <c r="FJ87" i="1" s="1"/>
  <c r="GV87" i="1" s="1"/>
  <c r="EX86" i="1"/>
  <c r="EV86" i="1"/>
  <c r="ET86" i="1"/>
  <c r="EZ85" i="1"/>
  <c r="FJ85" i="1" s="1"/>
  <c r="GV85" i="1" s="1"/>
  <c r="EZ81" i="1"/>
  <c r="GW81" i="1" s="1"/>
  <c r="EZ80" i="1"/>
  <c r="FJ80" i="1" s="1"/>
  <c r="GV80" i="1" s="1"/>
  <c r="EZ79" i="1"/>
  <c r="GW79" i="1" s="1"/>
  <c r="EX78" i="1"/>
  <c r="EV78" i="1"/>
  <c r="ET78" i="1"/>
  <c r="EZ77" i="1"/>
  <c r="GW77" i="1" s="1"/>
  <c r="EZ76" i="1"/>
  <c r="GW76" i="1" s="1"/>
  <c r="EZ75" i="1"/>
  <c r="GW75" i="1" s="1"/>
  <c r="ET74" i="1"/>
  <c r="EZ73" i="1"/>
  <c r="GW73" i="1" s="1"/>
  <c r="EZ72" i="1"/>
  <c r="FJ72" i="1" s="1"/>
  <c r="GV72" i="1" s="1"/>
  <c r="EZ71" i="1"/>
  <c r="GW71" i="1" s="1"/>
  <c r="EZ70" i="1"/>
  <c r="FJ70" i="1" s="1"/>
  <c r="GV70" i="1" s="1"/>
  <c r="EX69" i="1"/>
  <c r="EV69" i="1"/>
  <c r="EZ68" i="1"/>
  <c r="FJ68" i="1" s="1"/>
  <c r="GV68" i="1" s="1"/>
  <c r="EZ67" i="1"/>
  <c r="FJ67" i="1" s="1"/>
  <c r="GV67" i="1" s="1"/>
  <c r="EZ66" i="1"/>
  <c r="FJ66" i="1" s="1"/>
  <c r="GV66" i="1" s="1"/>
  <c r="EZ65" i="1"/>
  <c r="FJ65" i="1" s="1"/>
  <c r="GV65" i="1" s="1"/>
  <c r="EZ64" i="1"/>
  <c r="FJ64" i="1" s="1"/>
  <c r="GV64" i="1" s="1"/>
  <c r="EZ63" i="1"/>
  <c r="FJ63" i="1" s="1"/>
  <c r="GV63" i="1" s="1"/>
  <c r="EZ62" i="1"/>
  <c r="FJ62" i="1" s="1"/>
  <c r="GV62" i="1" s="1"/>
  <c r="EZ61" i="1"/>
  <c r="GW61" i="1" s="1"/>
  <c r="EZ60" i="1"/>
  <c r="GW60" i="1" s="1"/>
  <c r="EX59" i="1"/>
  <c r="EV59" i="1"/>
  <c r="EZ58" i="1"/>
  <c r="GW58" i="1" s="1"/>
  <c r="EZ57" i="1"/>
  <c r="FJ57" i="1" s="1"/>
  <c r="GV57" i="1" s="1"/>
  <c r="EZ56" i="1"/>
  <c r="FJ56" i="1" s="1"/>
  <c r="GV56" i="1" s="1"/>
  <c r="EZ55" i="1"/>
  <c r="FJ55" i="1" s="1"/>
  <c r="GV55" i="1" s="1"/>
  <c r="EZ54" i="1"/>
  <c r="FJ54" i="1" s="1"/>
  <c r="GV54" i="1" s="1"/>
  <c r="EZ52" i="1"/>
  <c r="GW52" i="1" s="1"/>
  <c r="EZ51" i="1"/>
  <c r="GW51" i="1" s="1"/>
  <c r="ET59" i="1"/>
  <c r="EZ49" i="1"/>
  <c r="GW49" i="1" s="1"/>
  <c r="EZ48" i="1"/>
  <c r="GW48" i="1" s="1"/>
  <c r="EZ46" i="1"/>
  <c r="FJ46" i="1" s="1"/>
  <c r="GV46" i="1" s="1"/>
  <c r="EZ45" i="1"/>
  <c r="FJ45" i="1" s="1"/>
  <c r="GV45" i="1" s="1"/>
  <c r="EZ44" i="1"/>
  <c r="FJ44" i="1" s="1"/>
  <c r="GV44" i="1" s="1"/>
  <c r="EZ43" i="1"/>
  <c r="FJ43" i="1" s="1"/>
  <c r="GV43" i="1" s="1"/>
  <c r="EZ42" i="1"/>
  <c r="FJ42" i="1" s="1"/>
  <c r="GV42" i="1" s="1"/>
  <c r="EZ41" i="1"/>
  <c r="FJ41" i="1" s="1"/>
  <c r="GV41" i="1" s="1"/>
  <c r="EZ40" i="1"/>
  <c r="FJ40" i="1" s="1"/>
  <c r="GV40" i="1" s="1"/>
  <c r="EZ39" i="1"/>
  <c r="FJ39" i="1" s="1"/>
  <c r="GV39" i="1" s="1"/>
  <c r="EZ38" i="1"/>
  <c r="FJ38" i="1" s="1"/>
  <c r="GV38" i="1" s="1"/>
  <c r="EZ37" i="1"/>
  <c r="FJ37" i="1" s="1"/>
  <c r="GV37" i="1" s="1"/>
  <c r="EZ36" i="1"/>
  <c r="FJ36" i="1" s="1"/>
  <c r="GV36" i="1" s="1"/>
  <c r="EZ35" i="1"/>
  <c r="FJ35" i="1" s="1"/>
  <c r="GV35" i="1" s="1"/>
  <c r="EZ34" i="1"/>
  <c r="FJ34" i="1" s="1"/>
  <c r="GV34" i="1" s="1"/>
  <c r="EZ33" i="1"/>
  <c r="FJ33" i="1" s="1"/>
  <c r="GV33" i="1" s="1"/>
  <c r="EZ31" i="1"/>
  <c r="FJ31" i="1" s="1"/>
  <c r="GV31" i="1" s="1"/>
  <c r="EZ30" i="1"/>
  <c r="FJ30" i="1" s="1"/>
  <c r="GV30" i="1" s="1"/>
  <c r="ET28" i="1"/>
  <c r="EZ21" i="1"/>
  <c r="GW21" i="1" s="1"/>
  <c r="EZ20" i="1"/>
  <c r="GW20" i="1" s="1"/>
  <c r="EV18" i="1"/>
  <c r="ET18" i="1"/>
  <c r="EZ16" i="1"/>
  <c r="FJ16" i="1" s="1"/>
  <c r="EZ15" i="1"/>
  <c r="FJ15" i="1" s="1"/>
  <c r="EZ14" i="1"/>
  <c r="GW14" i="1" s="1"/>
  <c r="EZ13" i="1"/>
  <c r="FJ13" i="1" s="1"/>
  <c r="EZ12" i="1"/>
  <c r="FJ12" i="1" s="1"/>
  <c r="EZ11" i="1"/>
  <c r="GW11" i="1" s="1"/>
  <c r="EX18" i="1"/>
  <c r="EZ9" i="1"/>
  <c r="EX8" i="1"/>
  <c r="EY40" i="1" s="1"/>
  <c r="EV8" i="1"/>
  <c r="EW141" i="1" s="1"/>
  <c r="ET8" i="1"/>
  <c r="EU128" i="1" s="1"/>
  <c r="EZ7" i="1"/>
  <c r="FJ7" i="1" s="1"/>
  <c r="FT7" i="1" s="1"/>
  <c r="GD7" i="1" s="1"/>
  <c r="GL7" i="1" s="1"/>
  <c r="EZ6" i="1"/>
  <c r="FJ6" i="1" s="1"/>
  <c r="FT6" i="1" s="1"/>
  <c r="GW145" i="1" l="1"/>
  <c r="GX145" i="1" s="1"/>
  <c r="FJ145" i="1"/>
  <c r="GU30" i="1"/>
  <c r="GT30" i="1"/>
  <c r="GT158" i="1"/>
  <c r="GU158" i="1"/>
  <c r="GU174" i="1"/>
  <c r="GT174" i="1"/>
  <c r="GT31" i="1"/>
  <c r="GU31" i="1"/>
  <c r="GU40" i="1"/>
  <c r="GT40" i="1"/>
  <c r="GT65" i="1"/>
  <c r="GU65" i="1"/>
  <c r="GU72" i="1"/>
  <c r="GT72" i="1"/>
  <c r="GU87" i="1"/>
  <c r="GT87" i="1"/>
  <c r="GT159" i="1"/>
  <c r="GU159" i="1"/>
  <c r="GT167" i="1"/>
  <c r="GU167" i="1"/>
  <c r="GT64" i="1"/>
  <c r="GU64" i="1"/>
  <c r="GT41" i="1"/>
  <c r="GU41" i="1"/>
  <c r="GT34" i="1"/>
  <c r="GU34" i="1"/>
  <c r="GT42" i="1"/>
  <c r="GU42" i="1"/>
  <c r="GT67" i="1"/>
  <c r="GU67" i="1"/>
  <c r="GT80" i="1"/>
  <c r="GU80" i="1"/>
  <c r="GT122" i="1"/>
  <c r="GU122" i="1"/>
  <c r="GT153" i="1"/>
  <c r="GU153" i="1"/>
  <c r="GU160" i="1"/>
  <c r="GT160" i="1"/>
  <c r="GU35" i="1"/>
  <c r="GT35" i="1"/>
  <c r="GT43" i="1"/>
  <c r="GU43" i="1"/>
  <c r="GT68" i="1"/>
  <c r="GU68" i="1"/>
  <c r="GT154" i="1"/>
  <c r="GU154" i="1"/>
  <c r="GT39" i="1"/>
  <c r="GU39" i="1"/>
  <c r="GT36" i="1"/>
  <c r="GU36" i="1"/>
  <c r="GT44" i="1"/>
  <c r="GU44" i="1"/>
  <c r="GU54" i="1"/>
  <c r="GT54" i="1"/>
  <c r="GT85" i="1"/>
  <c r="GU85" i="1"/>
  <c r="GT89" i="1"/>
  <c r="GU89" i="1"/>
  <c r="GU127" i="1"/>
  <c r="GT127" i="1"/>
  <c r="GU155" i="1"/>
  <c r="GT155" i="1"/>
  <c r="GT57" i="1"/>
  <c r="GU57" i="1"/>
  <c r="GT33" i="1"/>
  <c r="GU33" i="1"/>
  <c r="GT66" i="1"/>
  <c r="GU66" i="1"/>
  <c r="GT37" i="1"/>
  <c r="GU37" i="1"/>
  <c r="GT45" i="1"/>
  <c r="GU45" i="1"/>
  <c r="GT55" i="1"/>
  <c r="GU55" i="1"/>
  <c r="GT62" i="1"/>
  <c r="GU62" i="1"/>
  <c r="GU91" i="1"/>
  <c r="GT91" i="1"/>
  <c r="GT156" i="1"/>
  <c r="GU156" i="1"/>
  <c r="GT152" i="1"/>
  <c r="GU152" i="1"/>
  <c r="GU38" i="1"/>
  <c r="GT38" i="1"/>
  <c r="GT46" i="1"/>
  <c r="GU46" i="1"/>
  <c r="GU56" i="1"/>
  <c r="GT56" i="1"/>
  <c r="GT63" i="1"/>
  <c r="GU63" i="1"/>
  <c r="GT70" i="1"/>
  <c r="GU70" i="1"/>
  <c r="GT157" i="1"/>
  <c r="GU157" i="1"/>
  <c r="FT30" i="1"/>
  <c r="GD30" i="1" s="1"/>
  <c r="GL30" i="1" s="1"/>
  <c r="FT39" i="1"/>
  <c r="GD39" i="1" s="1"/>
  <c r="GL39" i="1" s="1"/>
  <c r="FT64" i="1"/>
  <c r="GD64" i="1" s="1"/>
  <c r="GL64" i="1" s="1"/>
  <c r="FT158" i="1"/>
  <c r="GD158" i="1" s="1"/>
  <c r="GL158" i="1" s="1"/>
  <c r="FT174" i="1"/>
  <c r="GD174" i="1" s="1"/>
  <c r="GL174" i="1" s="1"/>
  <c r="FT40" i="1"/>
  <c r="GD40" i="1" s="1"/>
  <c r="GL40" i="1" s="1"/>
  <c r="FT65" i="1"/>
  <c r="GD65" i="1" s="1"/>
  <c r="GL65" i="1" s="1"/>
  <c r="FT159" i="1"/>
  <c r="GD159" i="1" s="1"/>
  <c r="GL159" i="1" s="1"/>
  <c r="FT167" i="1"/>
  <c r="GD167" i="1" s="1"/>
  <c r="GL167" i="1" s="1"/>
  <c r="FT31" i="1"/>
  <c r="GD31" i="1" s="1"/>
  <c r="GL31" i="1" s="1"/>
  <c r="GV16" i="1"/>
  <c r="FT33" i="1"/>
  <c r="GD33" i="1" s="1"/>
  <c r="GL33" i="1" s="1"/>
  <c r="FT41" i="1"/>
  <c r="GD41" i="1" s="1"/>
  <c r="GL41" i="1" s="1"/>
  <c r="FT66" i="1"/>
  <c r="GD66" i="1" s="1"/>
  <c r="GL66" i="1" s="1"/>
  <c r="FT152" i="1"/>
  <c r="GD152" i="1" s="1"/>
  <c r="GL152" i="1" s="1"/>
  <c r="FT160" i="1"/>
  <c r="GD160" i="1" s="1"/>
  <c r="GL160" i="1" s="1"/>
  <c r="FT34" i="1"/>
  <c r="GD34" i="1" s="1"/>
  <c r="GL34" i="1" s="1"/>
  <c r="FT42" i="1"/>
  <c r="GD42" i="1" s="1"/>
  <c r="GL42" i="1" s="1"/>
  <c r="FT67" i="1"/>
  <c r="GD67" i="1" s="1"/>
  <c r="GL67" i="1" s="1"/>
  <c r="FT122" i="1"/>
  <c r="GD122" i="1" s="1"/>
  <c r="GL122" i="1" s="1"/>
  <c r="FT153" i="1"/>
  <c r="FT35" i="1"/>
  <c r="GD35" i="1" s="1"/>
  <c r="GL35" i="1" s="1"/>
  <c r="FT43" i="1"/>
  <c r="GD43" i="1" s="1"/>
  <c r="GL43" i="1" s="1"/>
  <c r="FT68" i="1"/>
  <c r="GD68" i="1" s="1"/>
  <c r="GL68" i="1" s="1"/>
  <c r="FT154" i="1"/>
  <c r="GD154" i="1" s="1"/>
  <c r="GL154" i="1" s="1"/>
  <c r="GV15" i="1"/>
  <c r="FT36" i="1"/>
  <c r="GD36" i="1" s="1"/>
  <c r="GL36" i="1" s="1"/>
  <c r="FT44" i="1"/>
  <c r="GD44" i="1" s="1"/>
  <c r="GL44" i="1" s="1"/>
  <c r="FT89" i="1"/>
  <c r="GD89" i="1" s="1"/>
  <c r="GL89" i="1" s="1"/>
  <c r="FT127" i="1"/>
  <c r="GD127" i="1" s="1"/>
  <c r="GL127" i="1" s="1"/>
  <c r="FT155" i="1"/>
  <c r="GD155" i="1" s="1"/>
  <c r="GL155" i="1" s="1"/>
  <c r="FT37" i="1"/>
  <c r="GD37" i="1" s="1"/>
  <c r="GL37" i="1" s="1"/>
  <c r="FT45" i="1"/>
  <c r="GD45" i="1" s="1"/>
  <c r="GL45" i="1" s="1"/>
  <c r="FT62" i="1"/>
  <c r="GD62" i="1" s="1"/>
  <c r="GL62" i="1" s="1"/>
  <c r="FT156" i="1"/>
  <c r="GD156" i="1" s="1"/>
  <c r="GL156" i="1" s="1"/>
  <c r="GV13" i="1"/>
  <c r="FT38" i="1"/>
  <c r="GD38" i="1" s="1"/>
  <c r="GL38" i="1" s="1"/>
  <c r="FT46" i="1"/>
  <c r="GD46" i="1" s="1"/>
  <c r="GL46" i="1" s="1"/>
  <c r="FT63" i="1"/>
  <c r="GD63" i="1" s="1"/>
  <c r="GL63" i="1" s="1"/>
  <c r="FT157" i="1"/>
  <c r="GD157" i="1" s="1"/>
  <c r="GL157" i="1" s="1"/>
  <c r="GW137" i="1"/>
  <c r="GX137" i="1" s="1"/>
  <c r="FJ9" i="1"/>
  <c r="GV9" i="1" s="1"/>
  <c r="GW144" i="1"/>
  <c r="GW136" i="1"/>
  <c r="GX51" i="1"/>
  <c r="GY51" i="1"/>
  <c r="GZ51" i="1" s="1"/>
  <c r="GX79" i="1"/>
  <c r="GY79" i="1"/>
  <c r="HA79" i="1" s="1"/>
  <c r="GW84" i="1"/>
  <c r="GX52" i="1"/>
  <c r="GY52" i="1"/>
  <c r="GZ52" i="1" s="1"/>
  <c r="GX60" i="1"/>
  <c r="GW69" i="1"/>
  <c r="GY60" i="1"/>
  <c r="HA60" i="1" s="1"/>
  <c r="GX75" i="1"/>
  <c r="GY75" i="1"/>
  <c r="HA75" i="1" s="1"/>
  <c r="GX81" i="1"/>
  <c r="GY81" i="1"/>
  <c r="GZ81" i="1" s="1"/>
  <c r="GX123" i="1"/>
  <c r="GW125" i="1"/>
  <c r="GY123" i="1"/>
  <c r="HA123" i="1" s="1"/>
  <c r="GX140" i="1"/>
  <c r="GY140" i="1"/>
  <c r="HA140" i="1" s="1"/>
  <c r="GY11" i="1"/>
  <c r="HA11" i="1" s="1"/>
  <c r="GX11" i="1"/>
  <c r="GY20" i="1"/>
  <c r="HA20" i="1" s="1"/>
  <c r="GW28" i="1"/>
  <c r="GX20" i="1"/>
  <c r="GX61" i="1"/>
  <c r="GY61" i="1"/>
  <c r="GZ61" i="1" s="1"/>
  <c r="GW78" i="1"/>
  <c r="GX76" i="1"/>
  <c r="GY76" i="1"/>
  <c r="GZ76" i="1" s="1"/>
  <c r="GX21" i="1"/>
  <c r="GY21" i="1"/>
  <c r="GZ21" i="1" s="1"/>
  <c r="GX77" i="1"/>
  <c r="GY77" i="1"/>
  <c r="GZ77" i="1" s="1"/>
  <c r="GX169" i="1"/>
  <c r="GY169" i="1"/>
  <c r="HA169" i="1" s="1"/>
  <c r="GW170" i="1"/>
  <c r="GX94" i="1"/>
  <c r="GY94" i="1"/>
  <c r="HA94" i="1" s="1"/>
  <c r="FJ147" i="1"/>
  <c r="GW147" i="1"/>
  <c r="GX73" i="1"/>
  <c r="GY73" i="1"/>
  <c r="GZ73" i="1" s="1"/>
  <c r="FT8" i="1"/>
  <c r="GD6" i="1"/>
  <c r="GL6" i="1" s="1"/>
  <c r="GX14" i="1"/>
  <c r="GY14" i="1"/>
  <c r="GZ14" i="1" s="1"/>
  <c r="GX48" i="1"/>
  <c r="GW59" i="1"/>
  <c r="GY48" i="1"/>
  <c r="HA48" i="1" s="1"/>
  <c r="GW74" i="1"/>
  <c r="GX71" i="1"/>
  <c r="GY71" i="1"/>
  <c r="HA71" i="1" s="1"/>
  <c r="GW98" i="1"/>
  <c r="GX95" i="1"/>
  <c r="GY95" i="1"/>
  <c r="GZ95" i="1" s="1"/>
  <c r="GX49" i="1"/>
  <c r="GY49" i="1"/>
  <c r="GZ49" i="1" s="1"/>
  <c r="GX58" i="1"/>
  <c r="GY58" i="1"/>
  <c r="GZ58" i="1" s="1"/>
  <c r="GX96" i="1"/>
  <c r="GY96" i="1"/>
  <c r="GZ96" i="1" s="1"/>
  <c r="FJ8" i="1"/>
  <c r="FK15" i="1" s="1"/>
  <c r="FJ49" i="1"/>
  <c r="GV49" i="1" s="1"/>
  <c r="FJ73" i="1"/>
  <c r="FJ79" i="1"/>
  <c r="FJ51" i="1"/>
  <c r="FJ52" i="1"/>
  <c r="GV52" i="1" s="1"/>
  <c r="FJ60" i="1"/>
  <c r="FJ75" i="1"/>
  <c r="FJ81" i="1"/>
  <c r="GV81" i="1" s="1"/>
  <c r="FJ123" i="1"/>
  <c r="FJ140" i="1"/>
  <c r="FJ162" i="1"/>
  <c r="GV162" i="1" s="1"/>
  <c r="FJ96" i="1"/>
  <c r="GV96" i="1" s="1"/>
  <c r="FJ20" i="1"/>
  <c r="FJ61" i="1"/>
  <c r="FJ76" i="1"/>
  <c r="GV76" i="1" s="1"/>
  <c r="FJ86" i="1"/>
  <c r="GV86" i="1" s="1"/>
  <c r="FJ21" i="1"/>
  <c r="FJ77" i="1"/>
  <c r="GV77" i="1" s="1"/>
  <c r="FJ169" i="1"/>
  <c r="FJ58" i="1"/>
  <c r="GV58" i="1" s="1"/>
  <c r="FJ11" i="1"/>
  <c r="FJ94" i="1"/>
  <c r="FJ88" i="1"/>
  <c r="GV88" i="1" s="1"/>
  <c r="FJ14" i="1"/>
  <c r="FJ48" i="1"/>
  <c r="FJ71" i="1"/>
  <c r="FJ95" i="1"/>
  <c r="GV95" i="1" s="1"/>
  <c r="EZ86" i="1"/>
  <c r="EZ148" i="1"/>
  <c r="FJ148" i="1" s="1"/>
  <c r="EY26" i="1"/>
  <c r="EW82" i="1"/>
  <c r="EW15" i="1"/>
  <c r="EW10" i="1"/>
  <c r="EW45" i="1"/>
  <c r="EW53" i="1"/>
  <c r="EW54" i="1"/>
  <c r="EW60" i="1"/>
  <c r="EW18" i="1"/>
  <c r="EW33" i="1"/>
  <c r="EW75" i="1"/>
  <c r="EW20" i="1"/>
  <c r="EW41" i="1"/>
  <c r="EZ47" i="1"/>
  <c r="FJ47" i="1" s="1"/>
  <c r="GV47" i="1" s="1"/>
  <c r="EU39" i="1"/>
  <c r="EU79" i="1"/>
  <c r="EU13" i="1"/>
  <c r="EU27" i="1"/>
  <c r="EU35" i="1"/>
  <c r="EU76" i="1"/>
  <c r="EU26" i="1"/>
  <c r="EU62" i="1"/>
  <c r="EU37" i="1"/>
  <c r="EU71" i="1"/>
  <c r="EU42" i="1"/>
  <c r="EU22" i="1"/>
  <c r="EU38" i="1"/>
  <c r="EU48" i="1"/>
  <c r="EU78" i="1"/>
  <c r="EU83" i="1"/>
  <c r="EU9" i="1"/>
  <c r="EU93" i="1"/>
  <c r="EU28" i="1"/>
  <c r="EU23" i="1"/>
  <c r="EU89" i="1"/>
  <c r="EU45" i="1"/>
  <c r="EU53" i="1"/>
  <c r="EU31" i="1"/>
  <c r="EZ162" i="1"/>
  <c r="EZ142" i="1"/>
  <c r="FJ142" i="1" s="1"/>
  <c r="GV142" i="1" s="1"/>
  <c r="EZ141" i="1"/>
  <c r="FJ141" i="1" s="1"/>
  <c r="GV141" i="1" s="1"/>
  <c r="EZ138" i="1"/>
  <c r="EX98" i="1"/>
  <c r="EY98" i="1" s="1"/>
  <c r="EZ90" i="1"/>
  <c r="FJ90" i="1" s="1"/>
  <c r="GV90" i="1" s="1"/>
  <c r="EZ8" i="1"/>
  <c r="FA46" i="1" s="1"/>
  <c r="EW14" i="1"/>
  <c r="EU17" i="1"/>
  <c r="EW37" i="1"/>
  <c r="EU46" i="1"/>
  <c r="EU59" i="1"/>
  <c r="EW58" i="1"/>
  <c r="EW62" i="1"/>
  <c r="EU66" i="1"/>
  <c r="EW69" i="1"/>
  <c r="EU96" i="1"/>
  <c r="EU11" i="1"/>
  <c r="ET19" i="1"/>
  <c r="EU19" i="1" s="1"/>
  <c r="EW21" i="1"/>
  <c r="EU24" i="1"/>
  <c r="EU30" i="1"/>
  <c r="EU50" i="1"/>
  <c r="EW55" i="1"/>
  <c r="EU140" i="1"/>
  <c r="EU18" i="1"/>
  <c r="EU34" i="1"/>
  <c r="EU43" i="1"/>
  <c r="EW59" i="1"/>
  <c r="EU70" i="1"/>
  <c r="EU74" i="1"/>
  <c r="EW77" i="1"/>
  <c r="EU12" i="1"/>
  <c r="EU15" i="1"/>
  <c r="EU25" i="1"/>
  <c r="EU41" i="1"/>
  <c r="EU47" i="1"/>
  <c r="EW56" i="1"/>
  <c r="EU63" i="1"/>
  <c r="EU67" i="1"/>
  <c r="EW74" i="1"/>
  <c r="EU82" i="1"/>
  <c r="EU10" i="1"/>
  <c r="EW13" i="1"/>
  <c r="EU20" i="1"/>
  <c r="EU33" i="1"/>
  <c r="EU49" i="1"/>
  <c r="EW57" i="1"/>
  <c r="EU64" i="1"/>
  <c r="EU68" i="1"/>
  <c r="EW72" i="1"/>
  <c r="EY157" i="1"/>
  <c r="EY144" i="1"/>
  <c r="EY123" i="1"/>
  <c r="EY91" i="1"/>
  <c r="EY160" i="1"/>
  <c r="EY152" i="1"/>
  <c r="EY174" i="1"/>
  <c r="EY155" i="1"/>
  <c r="EY137" i="1"/>
  <c r="EY97" i="1"/>
  <c r="EY87" i="1"/>
  <c r="EY158" i="1"/>
  <c r="EY145" i="1"/>
  <c r="EY127" i="1"/>
  <c r="EY162" i="1"/>
  <c r="EY161" i="1"/>
  <c r="EY153" i="1"/>
  <c r="EY129" i="1"/>
  <c r="EY128" i="1"/>
  <c r="EY156" i="1"/>
  <c r="EY140" i="1"/>
  <c r="EY122" i="1"/>
  <c r="EY159" i="1"/>
  <c r="EY147" i="1"/>
  <c r="EY95" i="1"/>
  <c r="EY79" i="1"/>
  <c r="EY75" i="1"/>
  <c r="EY72" i="1"/>
  <c r="EY57" i="1"/>
  <c r="EY54" i="1"/>
  <c r="EY20" i="1"/>
  <c r="EY13" i="1"/>
  <c r="EY61" i="1"/>
  <c r="EY51" i="1"/>
  <c r="EY44" i="1"/>
  <c r="EY170" i="1"/>
  <c r="EY65" i="1"/>
  <c r="EY70" i="1"/>
  <c r="EY48" i="1"/>
  <c r="EY11" i="1"/>
  <c r="EY154" i="1"/>
  <c r="EY94" i="1"/>
  <c r="EY81" i="1"/>
  <c r="EY73" i="1"/>
  <c r="EY66" i="1"/>
  <c r="EY62" i="1"/>
  <c r="EY58" i="1"/>
  <c r="EY55" i="1"/>
  <c r="EY45" i="1"/>
  <c r="EY41" i="1"/>
  <c r="EY37" i="1"/>
  <c r="EY33" i="1"/>
  <c r="EY21" i="1"/>
  <c r="EY14" i="1"/>
  <c r="EY52" i="1"/>
  <c r="EY71" i="1"/>
  <c r="EY67" i="1"/>
  <c r="EY63" i="1"/>
  <c r="EY49" i="1"/>
  <c r="EY46" i="1"/>
  <c r="EY42" i="1"/>
  <c r="EY38" i="1"/>
  <c r="EY34" i="1"/>
  <c r="EY30" i="1"/>
  <c r="EY12" i="1"/>
  <c r="EY9" i="1"/>
  <c r="EY15" i="1"/>
  <c r="EY90" i="1"/>
  <c r="EY80" i="1"/>
  <c r="EY69" i="1"/>
  <c r="EY64" i="1"/>
  <c r="EY50" i="1"/>
  <c r="EY47" i="1"/>
  <c r="EY169" i="1"/>
  <c r="EY136" i="1"/>
  <c r="EY89" i="1"/>
  <c r="EY77" i="1"/>
  <c r="EY60" i="1"/>
  <c r="EY56" i="1"/>
  <c r="EY53" i="1"/>
  <c r="EX19" i="1"/>
  <c r="EY86" i="1"/>
  <c r="EY85" i="1"/>
  <c r="EY68" i="1"/>
  <c r="EY35" i="1"/>
  <c r="EY43" i="1"/>
  <c r="EZ24" i="1"/>
  <c r="FJ24" i="1" s="1"/>
  <c r="EW24" i="1"/>
  <c r="EY36" i="1"/>
  <c r="EY31" i="1"/>
  <c r="EY59" i="1"/>
  <c r="EY24" i="1"/>
  <c r="EZ25" i="1"/>
  <c r="FJ25" i="1" s="1"/>
  <c r="GV25" i="1" s="1"/>
  <c r="EW25" i="1"/>
  <c r="EW27" i="1"/>
  <c r="EZ32" i="1"/>
  <c r="FJ32" i="1" s="1"/>
  <c r="GV32" i="1" s="1"/>
  <c r="EU32" i="1"/>
  <c r="EY74" i="1"/>
  <c r="EZ26" i="1"/>
  <c r="FJ26" i="1" s="1"/>
  <c r="EW26" i="1"/>
  <c r="EY76" i="1"/>
  <c r="EY18" i="1"/>
  <c r="EY16" i="1"/>
  <c r="EY39" i="1"/>
  <c r="EY17" i="1"/>
  <c r="EY32" i="1"/>
  <c r="EZ69" i="1"/>
  <c r="EY10" i="1"/>
  <c r="EY25" i="1"/>
  <c r="EY27" i="1"/>
  <c r="EY78" i="1"/>
  <c r="EZ99" i="1"/>
  <c r="FJ99" i="1" s="1"/>
  <c r="GV99" i="1" s="1"/>
  <c r="EU99" i="1"/>
  <c r="EW120" i="1"/>
  <c r="EU120" i="1"/>
  <c r="EY143" i="1"/>
  <c r="EZ10" i="1"/>
  <c r="FJ10" i="1" s="1"/>
  <c r="EW30" i="1"/>
  <c r="EW34" i="1"/>
  <c r="EW38" i="1"/>
  <c r="EW42" i="1"/>
  <c r="EW46" i="1"/>
  <c r="EW49" i="1"/>
  <c r="EZ50" i="1"/>
  <c r="FJ50" i="1" s="1"/>
  <c r="GV50" i="1" s="1"/>
  <c r="EU52" i="1"/>
  <c r="EW63" i="1"/>
  <c r="EW67" i="1"/>
  <c r="EW71" i="1"/>
  <c r="EZ78" i="1"/>
  <c r="EY96" i="1"/>
  <c r="EW105" i="1"/>
  <c r="EU105" i="1"/>
  <c r="EW113" i="1"/>
  <c r="EU113" i="1"/>
  <c r="EW121" i="1"/>
  <c r="EU121" i="1"/>
  <c r="EW131" i="1"/>
  <c r="EZ143" i="1"/>
  <c r="FJ143" i="1" s="1"/>
  <c r="GV143" i="1" s="1"/>
  <c r="EU148" i="1"/>
  <c r="EW162" i="1"/>
  <c r="EY166" i="1"/>
  <c r="EW104" i="1"/>
  <c r="EU104" i="1"/>
  <c r="EU125" i="1"/>
  <c r="EU112" i="1"/>
  <c r="EW165" i="1"/>
  <c r="EW9" i="1"/>
  <c r="EW12" i="1"/>
  <c r="EU14" i="1"/>
  <c r="EW17" i="1"/>
  <c r="EU21" i="1"/>
  <c r="EW52" i="1"/>
  <c r="EZ53" i="1"/>
  <c r="FJ53" i="1" s="1"/>
  <c r="GV53" i="1" s="1"/>
  <c r="EU55" i="1"/>
  <c r="EU58" i="1"/>
  <c r="EU73" i="1"/>
  <c r="EU84" i="1"/>
  <c r="EW87" i="1"/>
  <c r="EW91" i="1"/>
  <c r="EY100" i="1"/>
  <c r="EU100" i="1"/>
  <c r="EW106" i="1"/>
  <c r="EU106" i="1"/>
  <c r="EW114" i="1"/>
  <c r="EU114" i="1"/>
  <c r="EU122" i="1"/>
  <c r="EU129" i="1"/>
  <c r="EY146" i="1"/>
  <c r="EY141" i="1"/>
  <c r="EW143" i="1"/>
  <c r="EW166" i="1"/>
  <c r="EU94" i="1"/>
  <c r="EZ97" i="1"/>
  <c r="FJ97" i="1" s="1"/>
  <c r="GV97" i="1" s="1"/>
  <c r="EU97" i="1"/>
  <c r="EW100" i="1"/>
  <c r="ET107" i="1"/>
  <c r="EU107" i="1" s="1"/>
  <c r="EY115" i="1"/>
  <c r="EW115" i="1"/>
  <c r="EU115" i="1"/>
  <c r="EW132" i="1"/>
  <c r="EY148" i="1"/>
  <c r="EW159" i="1"/>
  <c r="EU164" i="1"/>
  <c r="EU170" i="1"/>
  <c r="EW66" i="1"/>
  <c r="ET69" i="1"/>
  <c r="EU69" i="1" s="1"/>
  <c r="EW73" i="1"/>
  <c r="EW81" i="1"/>
  <c r="EU168" i="1"/>
  <c r="EU167" i="1"/>
  <c r="EU166" i="1"/>
  <c r="EU165" i="1"/>
  <c r="EU163" i="1"/>
  <c r="EU162" i="1"/>
  <c r="EU159" i="1"/>
  <c r="EU147" i="1"/>
  <c r="EU134" i="1"/>
  <c r="EU133" i="1"/>
  <c r="EU132" i="1"/>
  <c r="EU131" i="1"/>
  <c r="EU130" i="1"/>
  <c r="EU95" i="1"/>
  <c r="EU169" i="1"/>
  <c r="EU154" i="1"/>
  <c r="EU143" i="1"/>
  <c r="EU142" i="1"/>
  <c r="EU141" i="1"/>
  <c r="EU136" i="1"/>
  <c r="EU157" i="1"/>
  <c r="EU144" i="1"/>
  <c r="EU123" i="1"/>
  <c r="EU91" i="1"/>
  <c r="EU160" i="1"/>
  <c r="EU152" i="1"/>
  <c r="EU174" i="1"/>
  <c r="EU155" i="1"/>
  <c r="EU137" i="1"/>
  <c r="EU124" i="1"/>
  <c r="EU87" i="1"/>
  <c r="EU158" i="1"/>
  <c r="EU145" i="1"/>
  <c r="EU127" i="1"/>
  <c r="EU161" i="1"/>
  <c r="EU153" i="1"/>
  <c r="EU81" i="1"/>
  <c r="EW11" i="1"/>
  <c r="EU16" i="1"/>
  <c r="EU36" i="1"/>
  <c r="EU40" i="1"/>
  <c r="EU44" i="1"/>
  <c r="EW48" i="1"/>
  <c r="EU51" i="1"/>
  <c r="EU61" i="1"/>
  <c r="EU65" i="1"/>
  <c r="EW70" i="1"/>
  <c r="EW79" i="1"/>
  <c r="EV84" i="1"/>
  <c r="EW84" i="1" s="1"/>
  <c r="EU86" i="1"/>
  <c r="EU88" i="1"/>
  <c r="EU92" i="1"/>
  <c r="EW97" i="1"/>
  <c r="EU101" i="1"/>
  <c r="EU108" i="1"/>
  <c r="EW116" i="1"/>
  <c r="EU116" i="1"/>
  <c r="EY133" i="1"/>
  <c r="EU138" i="1"/>
  <c r="EW149" i="1"/>
  <c r="EW163" i="1"/>
  <c r="EW169" i="1"/>
  <c r="EW154" i="1"/>
  <c r="EW148" i="1"/>
  <c r="EW136" i="1"/>
  <c r="EW85" i="1"/>
  <c r="EW170" i="1"/>
  <c r="EW157" i="1"/>
  <c r="EW144" i="1"/>
  <c r="EW123" i="1"/>
  <c r="EW160" i="1"/>
  <c r="EW152" i="1"/>
  <c r="EW96" i="1"/>
  <c r="EW80" i="1"/>
  <c r="EW76" i="1"/>
  <c r="EW174" i="1"/>
  <c r="EW155" i="1"/>
  <c r="EW137" i="1"/>
  <c r="EW158" i="1"/>
  <c r="EW145" i="1"/>
  <c r="EW138" i="1"/>
  <c r="EW127" i="1"/>
  <c r="EW94" i="1"/>
  <c r="EW161" i="1"/>
  <c r="EW153" i="1"/>
  <c r="EW156" i="1"/>
  <c r="EW140" i="1"/>
  <c r="EW122" i="1"/>
  <c r="EW89" i="1"/>
  <c r="EW16" i="1"/>
  <c r="EW32" i="1"/>
  <c r="EW36" i="1"/>
  <c r="EW40" i="1"/>
  <c r="EW44" i="1"/>
  <c r="EW51" i="1"/>
  <c r="EU54" i="1"/>
  <c r="EU57" i="1"/>
  <c r="EW61" i="1"/>
  <c r="EW65" i="1"/>
  <c r="EU72" i="1"/>
  <c r="EZ74" i="1"/>
  <c r="EW88" i="1"/>
  <c r="EU90" i="1"/>
  <c r="ET98" i="1"/>
  <c r="EU98" i="1" s="1"/>
  <c r="EW101" i="1"/>
  <c r="EW109" i="1"/>
  <c r="EU109" i="1"/>
  <c r="EW117" i="1"/>
  <c r="EU117" i="1"/>
  <c r="EZ133" i="1"/>
  <c r="FJ133" i="1" s="1"/>
  <c r="GV133" i="1" s="1"/>
  <c r="EW133" i="1"/>
  <c r="EY142" i="1"/>
  <c r="EY149" i="1"/>
  <c r="EW164" i="1"/>
  <c r="EW167" i="1"/>
  <c r="EW175" i="1"/>
  <c r="EU175" i="1"/>
  <c r="EW83" i="1"/>
  <c r="EW86" i="1"/>
  <c r="EY88" i="1"/>
  <c r="EW95" i="1"/>
  <c r="EW98" i="1"/>
  <c r="EW102" i="1"/>
  <c r="EU102" i="1"/>
  <c r="EW110" i="1"/>
  <c r="EU110" i="1"/>
  <c r="EW118" i="1"/>
  <c r="EU118" i="1"/>
  <c r="EY134" i="1"/>
  <c r="EY138" i="1"/>
  <c r="EU146" i="1"/>
  <c r="EW150" i="1"/>
  <c r="EY168" i="1"/>
  <c r="EU176" i="1"/>
  <c r="EV19" i="1"/>
  <c r="EW31" i="1"/>
  <c r="EW35" i="1"/>
  <c r="EW39" i="1"/>
  <c r="EW43" i="1"/>
  <c r="EW47" i="1"/>
  <c r="EW50" i="1"/>
  <c r="EU56" i="1"/>
  <c r="EU60" i="1"/>
  <c r="EW64" i="1"/>
  <c r="EW68" i="1"/>
  <c r="EU75" i="1"/>
  <c r="EU77" i="1"/>
  <c r="EW78" i="1"/>
  <c r="EU80" i="1"/>
  <c r="EY83" i="1"/>
  <c r="EU85" i="1"/>
  <c r="EZ88" i="1"/>
  <c r="EW90" i="1"/>
  <c r="EW103" i="1"/>
  <c r="EU103" i="1"/>
  <c r="ET111" i="1"/>
  <c r="EU111" i="1" s="1"/>
  <c r="EW119" i="1"/>
  <c r="EU119" i="1"/>
  <c r="EW130" i="1"/>
  <c r="EW134" i="1"/>
  <c r="EW142" i="1"/>
  <c r="EW147" i="1"/>
  <c r="EY150" i="1"/>
  <c r="EU156" i="1"/>
  <c r="EW168" i="1"/>
  <c r="EZ128" i="1"/>
  <c r="GW128" i="1" s="1"/>
  <c r="EW146" i="1"/>
  <c r="EZ170" i="1"/>
  <c r="EY130" i="1"/>
  <c r="EY131" i="1"/>
  <c r="EY132" i="1"/>
  <c r="EZ149" i="1"/>
  <c r="FJ149" i="1" s="1"/>
  <c r="GV149" i="1" s="1"/>
  <c r="EZ163" i="1"/>
  <c r="EY165" i="1"/>
  <c r="EY167" i="1"/>
  <c r="EY124" i="1"/>
  <c r="EU172" i="1"/>
  <c r="EU173" i="1"/>
  <c r="EU149" i="1"/>
  <c r="EU150" i="1"/>
  <c r="EW173" i="1"/>
  <c r="GD8" i="1" l="1"/>
  <c r="GL8" i="1"/>
  <c r="GM43" i="1" s="1"/>
  <c r="GY145" i="1"/>
  <c r="GZ145" i="1" s="1"/>
  <c r="GW146" i="1"/>
  <c r="GX146" i="1" s="1"/>
  <c r="GT9" i="1"/>
  <c r="GU9" i="1"/>
  <c r="GB54" i="1"/>
  <c r="GC54" i="1" s="1"/>
  <c r="GA54" i="1"/>
  <c r="GB70" i="1"/>
  <c r="GC70" i="1" s="1"/>
  <c r="GA70" i="1"/>
  <c r="FR70" i="1"/>
  <c r="FQ70" i="1"/>
  <c r="GB55" i="1"/>
  <c r="GC55" i="1" s="1"/>
  <c r="GA55" i="1"/>
  <c r="FR55" i="1"/>
  <c r="FQ55" i="1"/>
  <c r="FR56" i="1"/>
  <c r="FQ56" i="1"/>
  <c r="GB57" i="1"/>
  <c r="GC57" i="1" s="1"/>
  <c r="GA57" i="1"/>
  <c r="GB56" i="1"/>
  <c r="GC56" i="1" s="1"/>
  <c r="GA56" i="1"/>
  <c r="FR57" i="1"/>
  <c r="FQ57" i="1"/>
  <c r="FR54" i="1"/>
  <c r="FQ54" i="1"/>
  <c r="GB72" i="1"/>
  <c r="GC72" i="1" s="1"/>
  <c r="GA72" i="1"/>
  <c r="FR91" i="1"/>
  <c r="FP93" i="1"/>
  <c r="FQ93" i="1" s="1"/>
  <c r="FQ91" i="1"/>
  <c r="GB80" i="1"/>
  <c r="GC80" i="1" s="1"/>
  <c r="GA80" i="1"/>
  <c r="FP88" i="1"/>
  <c r="FQ88" i="1" s="1"/>
  <c r="FR87" i="1"/>
  <c r="FQ87" i="1"/>
  <c r="FZ93" i="1"/>
  <c r="GA93" i="1" s="1"/>
  <c r="GB91" i="1"/>
  <c r="GA91" i="1"/>
  <c r="FR80" i="1"/>
  <c r="FQ80" i="1"/>
  <c r="FZ88" i="1"/>
  <c r="GA88" i="1" s="1"/>
  <c r="GB87" i="1"/>
  <c r="GA87" i="1"/>
  <c r="FZ162" i="1"/>
  <c r="GA162" i="1" s="1"/>
  <c r="GB161" i="1"/>
  <c r="GA161" i="1"/>
  <c r="FR72" i="1"/>
  <c r="FQ72" i="1"/>
  <c r="FP162" i="1"/>
  <c r="FQ162" i="1" s="1"/>
  <c r="FR161" i="1"/>
  <c r="FQ161" i="1"/>
  <c r="GB85" i="1"/>
  <c r="FZ86" i="1"/>
  <c r="GA86" i="1" s="1"/>
  <c r="GA85" i="1"/>
  <c r="FA137" i="1"/>
  <c r="FA39" i="1"/>
  <c r="FA43" i="1"/>
  <c r="HA81" i="1"/>
  <c r="HB81" i="1" s="1"/>
  <c r="FU35" i="1"/>
  <c r="GY137" i="1"/>
  <c r="GZ137" i="1" s="1"/>
  <c r="GV169" i="1"/>
  <c r="GT169" i="1" s="1"/>
  <c r="GV75" i="1"/>
  <c r="GT75" i="1" s="1"/>
  <c r="GV73" i="1"/>
  <c r="GU73" i="1" s="1"/>
  <c r="GV21" i="1"/>
  <c r="GU21" i="1" s="1"/>
  <c r="GV71" i="1"/>
  <c r="GT71" i="1" s="1"/>
  <c r="GT76" i="1"/>
  <c r="GU76" i="1"/>
  <c r="GT58" i="1"/>
  <c r="GU58" i="1"/>
  <c r="GT52" i="1"/>
  <c r="GU52" i="1"/>
  <c r="GT95" i="1"/>
  <c r="GU95" i="1"/>
  <c r="GU96" i="1"/>
  <c r="GT96" i="1"/>
  <c r="GT49" i="1"/>
  <c r="GU49" i="1"/>
  <c r="GV61" i="1"/>
  <c r="GT99" i="1"/>
  <c r="GU99" i="1"/>
  <c r="GT32" i="1"/>
  <c r="GU32" i="1"/>
  <c r="GT162" i="1"/>
  <c r="GU162" i="1"/>
  <c r="GY144" i="1"/>
  <c r="GZ144" i="1" s="1"/>
  <c r="GV94" i="1"/>
  <c r="GV60" i="1"/>
  <c r="GV48" i="1"/>
  <c r="GV79" i="1"/>
  <c r="GT97" i="1"/>
  <c r="GU97" i="1"/>
  <c r="FT24" i="1"/>
  <c r="GD24" i="1" s="1"/>
  <c r="GL24" i="1" s="1"/>
  <c r="GV24" i="1"/>
  <c r="GT141" i="1"/>
  <c r="GU141" i="1"/>
  <c r="GD153" i="1"/>
  <c r="GL153" i="1" s="1"/>
  <c r="GV145" i="1"/>
  <c r="GT50" i="1"/>
  <c r="GU50" i="1"/>
  <c r="GU25" i="1"/>
  <c r="GT25" i="1"/>
  <c r="GU142" i="1"/>
  <c r="GT142" i="1"/>
  <c r="GU88" i="1"/>
  <c r="GT88" i="1"/>
  <c r="GV140" i="1"/>
  <c r="GT149" i="1"/>
  <c r="GU149" i="1"/>
  <c r="GT90" i="1"/>
  <c r="GU90" i="1"/>
  <c r="GX144" i="1"/>
  <c r="GT86" i="1"/>
  <c r="GU86" i="1"/>
  <c r="GV123" i="1"/>
  <c r="GV51" i="1"/>
  <c r="GT53" i="1"/>
  <c r="GU53" i="1"/>
  <c r="GU133" i="1"/>
  <c r="GT133" i="1"/>
  <c r="GT143" i="1"/>
  <c r="GU143" i="1"/>
  <c r="FT26" i="1"/>
  <c r="GD26" i="1" s="1"/>
  <c r="GL26" i="1" s="1"/>
  <c r="GV26" i="1"/>
  <c r="GT47" i="1"/>
  <c r="GU47" i="1"/>
  <c r="HA77" i="1"/>
  <c r="HB77" i="1" s="1"/>
  <c r="GV147" i="1"/>
  <c r="GU77" i="1"/>
  <c r="GT77" i="1"/>
  <c r="GV20" i="1"/>
  <c r="GU81" i="1"/>
  <c r="GT81" i="1"/>
  <c r="GT16" i="1"/>
  <c r="GU16" i="1"/>
  <c r="GU15" i="1"/>
  <c r="GT15" i="1"/>
  <c r="GT13" i="1"/>
  <c r="GU13" i="1"/>
  <c r="FT133" i="1"/>
  <c r="GD133" i="1" s="1"/>
  <c r="GL133" i="1" s="1"/>
  <c r="FT143" i="1"/>
  <c r="FU143" i="1" s="1"/>
  <c r="FT47" i="1"/>
  <c r="FU47" i="1" s="1"/>
  <c r="GX74" i="1"/>
  <c r="GV11" i="1"/>
  <c r="FT149" i="1"/>
  <c r="FU149" i="1" s="1"/>
  <c r="FT99" i="1"/>
  <c r="FU99" i="1" s="1"/>
  <c r="FT90" i="1"/>
  <c r="FU90" i="1" s="1"/>
  <c r="GX170" i="1"/>
  <c r="FT32" i="1"/>
  <c r="FU32" i="1" s="1"/>
  <c r="GX28" i="1"/>
  <c r="FT97" i="1"/>
  <c r="GV10" i="1"/>
  <c r="FT141" i="1"/>
  <c r="GD141" i="1" s="1"/>
  <c r="GL141" i="1" s="1"/>
  <c r="GX59" i="1"/>
  <c r="GX78" i="1"/>
  <c r="GX84" i="1"/>
  <c r="GX136" i="1"/>
  <c r="GX98" i="1"/>
  <c r="GX125" i="1"/>
  <c r="GX69" i="1"/>
  <c r="GV14" i="1"/>
  <c r="FF138" i="1"/>
  <c r="FH136" i="1"/>
  <c r="FG136" i="1"/>
  <c r="FH144" i="1"/>
  <c r="FF146" i="1"/>
  <c r="FG146" i="1" s="1"/>
  <c r="FG144" i="1"/>
  <c r="GY136" i="1"/>
  <c r="HA136" i="1" s="1"/>
  <c r="HB136" i="1" s="1"/>
  <c r="GW138" i="1"/>
  <c r="FH137" i="1"/>
  <c r="FG137" i="1"/>
  <c r="HA96" i="1"/>
  <c r="HB96" i="1" s="1"/>
  <c r="HA73" i="1"/>
  <c r="HB73" i="1" s="1"/>
  <c r="HA52" i="1"/>
  <c r="HB52" i="1" s="1"/>
  <c r="HA76" i="1"/>
  <c r="HB76" i="1" s="1"/>
  <c r="FK164" i="1"/>
  <c r="FK56" i="1"/>
  <c r="FK87" i="1"/>
  <c r="FK157" i="1"/>
  <c r="FK160" i="1"/>
  <c r="FK152" i="1"/>
  <c r="FK39" i="1"/>
  <c r="FK122" i="1"/>
  <c r="HA58" i="1"/>
  <c r="HB58" i="1" s="1"/>
  <c r="FK30" i="1"/>
  <c r="FK12" i="1"/>
  <c r="FK155" i="1"/>
  <c r="FK70" i="1"/>
  <c r="FK55" i="1"/>
  <c r="HA14" i="1"/>
  <c r="HB14" i="1" s="1"/>
  <c r="HA61" i="1"/>
  <c r="HB61" i="1" s="1"/>
  <c r="FK154" i="1"/>
  <c r="FK33" i="1"/>
  <c r="FK80" i="1"/>
  <c r="HA49" i="1"/>
  <c r="HB49" i="1" s="1"/>
  <c r="FU174" i="1"/>
  <c r="FU40" i="1"/>
  <c r="FU167" i="1"/>
  <c r="FU65" i="1"/>
  <c r="FU31" i="1"/>
  <c r="FU158" i="1"/>
  <c r="FU38" i="1"/>
  <c r="FU159" i="1"/>
  <c r="FU34" i="1"/>
  <c r="HA51" i="1"/>
  <c r="HB51" i="1" s="1"/>
  <c r="GZ79" i="1"/>
  <c r="GY84" i="1"/>
  <c r="GZ84" i="1" s="1"/>
  <c r="FK95" i="1"/>
  <c r="FK96" i="1"/>
  <c r="FK52" i="1"/>
  <c r="GX147" i="1"/>
  <c r="GW148" i="1"/>
  <c r="GV148" i="1" s="1"/>
  <c r="GY147" i="1"/>
  <c r="HA147" i="1" s="1"/>
  <c r="GZ140" i="1"/>
  <c r="FU43" i="1"/>
  <c r="FK50" i="1"/>
  <c r="FK25" i="1"/>
  <c r="FT25" i="1"/>
  <c r="FK142" i="1"/>
  <c r="FT142" i="1"/>
  <c r="FK148" i="1"/>
  <c r="HA95" i="1"/>
  <c r="HB95" i="1" s="1"/>
  <c r="GY59" i="1"/>
  <c r="GZ59" i="1" s="1"/>
  <c r="GZ48" i="1"/>
  <c r="FU63" i="1"/>
  <c r="FU127" i="1"/>
  <c r="FU44" i="1"/>
  <c r="FU68" i="1"/>
  <c r="FU67" i="1"/>
  <c r="GZ71" i="1"/>
  <c r="GY74" i="1"/>
  <c r="GZ74" i="1" s="1"/>
  <c r="FU45" i="1"/>
  <c r="GZ11" i="1"/>
  <c r="GZ123" i="1"/>
  <c r="GY125" i="1"/>
  <c r="GZ125" i="1" s="1"/>
  <c r="GX128" i="1"/>
  <c r="GW129" i="1"/>
  <c r="FK58" i="1"/>
  <c r="FK49" i="1"/>
  <c r="FU163" i="1"/>
  <c r="FU164" i="1"/>
  <c r="FU17" i="1"/>
  <c r="FU150" i="1"/>
  <c r="FU33" i="1"/>
  <c r="GY69" i="1"/>
  <c r="GZ69" i="1" s="1"/>
  <c r="GZ60" i="1"/>
  <c r="FU153" i="1"/>
  <c r="FK53" i="1"/>
  <c r="GY98" i="1"/>
  <c r="GZ98" i="1" s="1"/>
  <c r="GZ94" i="1"/>
  <c r="GZ169" i="1"/>
  <c r="GY170" i="1"/>
  <c r="GZ170" i="1" s="1"/>
  <c r="FU37" i="1"/>
  <c r="FU36" i="1"/>
  <c r="FU66" i="1"/>
  <c r="FU152" i="1"/>
  <c r="GZ20" i="1"/>
  <c r="GY28" i="1"/>
  <c r="GZ28" i="1" s="1"/>
  <c r="FK76" i="1"/>
  <c r="FK81" i="1"/>
  <c r="FU39" i="1"/>
  <c r="FU46" i="1"/>
  <c r="FU155" i="1"/>
  <c r="FU89" i="1"/>
  <c r="FU154" i="1"/>
  <c r="FU160" i="1"/>
  <c r="FU42" i="1"/>
  <c r="GZ75" i="1"/>
  <c r="GY78" i="1"/>
  <c r="GZ78" i="1" s="1"/>
  <c r="FK77" i="1"/>
  <c r="FK65" i="1"/>
  <c r="FU64" i="1"/>
  <c r="FU30" i="1"/>
  <c r="FU157" i="1"/>
  <c r="FU156" i="1"/>
  <c r="FU62" i="1"/>
  <c r="FU122" i="1"/>
  <c r="FU41" i="1"/>
  <c r="FK43" i="1"/>
  <c r="FK149" i="1"/>
  <c r="FK90" i="1"/>
  <c r="FK174" i="1"/>
  <c r="FK64" i="1"/>
  <c r="FK13" i="1"/>
  <c r="FK147" i="1"/>
  <c r="FK46" i="1"/>
  <c r="FK156" i="1"/>
  <c r="FK45" i="1"/>
  <c r="FK127" i="1"/>
  <c r="FK54" i="1"/>
  <c r="FK162" i="1"/>
  <c r="FK35" i="1"/>
  <c r="FK73" i="1"/>
  <c r="FK31" i="1"/>
  <c r="FK32" i="1"/>
  <c r="FK158" i="1"/>
  <c r="FK57" i="1"/>
  <c r="FK150" i="1"/>
  <c r="FK38" i="1"/>
  <c r="FK145" i="1"/>
  <c r="FK37" i="1"/>
  <c r="FK89" i="1"/>
  <c r="FK44" i="1"/>
  <c r="FK68" i="1"/>
  <c r="FK16" i="1"/>
  <c r="FK42" i="1"/>
  <c r="FK167" i="1"/>
  <c r="FK51" i="1"/>
  <c r="FK163" i="1"/>
  <c r="FK11" i="1"/>
  <c r="FK21" i="1"/>
  <c r="FK85" i="1"/>
  <c r="FK36" i="1"/>
  <c r="FK161" i="1"/>
  <c r="FK34" i="1"/>
  <c r="FK66" i="1"/>
  <c r="FK159" i="1"/>
  <c r="FK97" i="1"/>
  <c r="FK10" i="1"/>
  <c r="FK24" i="1"/>
  <c r="FK141" i="1"/>
  <c r="FK17" i="1"/>
  <c r="FK91" i="1"/>
  <c r="FK86" i="1"/>
  <c r="FK123" i="1"/>
  <c r="FK153" i="1"/>
  <c r="FK9" i="1"/>
  <c r="FK41" i="1"/>
  <c r="FK72" i="1"/>
  <c r="FK40" i="1"/>
  <c r="FK133" i="1"/>
  <c r="FK143" i="1"/>
  <c r="FK26" i="1"/>
  <c r="FK47" i="1"/>
  <c r="FK71" i="1"/>
  <c r="FK14" i="1"/>
  <c r="FK88" i="1"/>
  <c r="FK63" i="1"/>
  <c r="FK62" i="1"/>
  <c r="FK61" i="1"/>
  <c r="FK67" i="1"/>
  <c r="HA21" i="1"/>
  <c r="HB21" i="1" s="1"/>
  <c r="FK140" i="1"/>
  <c r="FJ74" i="1"/>
  <c r="FK74" i="1" s="1"/>
  <c r="FJ69" i="1"/>
  <c r="FK69" i="1" s="1"/>
  <c r="FK60" i="1"/>
  <c r="FJ170" i="1"/>
  <c r="FK170" i="1" s="1"/>
  <c r="FK169" i="1"/>
  <c r="FK20" i="1"/>
  <c r="FJ18" i="1"/>
  <c r="FK99" i="1"/>
  <c r="FJ59" i="1"/>
  <c r="FK59" i="1" s="1"/>
  <c r="FK48" i="1"/>
  <c r="FJ128" i="1"/>
  <c r="FT128" i="1" s="1"/>
  <c r="FK94" i="1"/>
  <c r="FJ98" i="1"/>
  <c r="FK98" i="1" s="1"/>
  <c r="FJ78" i="1"/>
  <c r="FK78" i="1" s="1"/>
  <c r="FK75" i="1"/>
  <c r="FK79" i="1"/>
  <c r="FA88" i="1"/>
  <c r="HB94" i="1"/>
  <c r="HB11" i="1"/>
  <c r="HA125" i="1"/>
  <c r="HB125" i="1" s="1"/>
  <c r="HB123" i="1"/>
  <c r="HB60" i="1"/>
  <c r="FA163" i="1"/>
  <c r="HB71" i="1"/>
  <c r="FA161" i="1"/>
  <c r="HB48" i="1"/>
  <c r="FA96" i="1"/>
  <c r="HB20" i="1"/>
  <c r="HB140" i="1"/>
  <c r="HB75" i="1"/>
  <c r="HB79" i="1"/>
  <c r="FA97" i="1"/>
  <c r="HA170" i="1"/>
  <c r="HB170" i="1" s="1"/>
  <c r="HB169" i="1"/>
  <c r="FA56" i="1"/>
  <c r="FA20" i="1"/>
  <c r="FA174" i="1"/>
  <c r="FA122" i="1"/>
  <c r="FA42" i="1"/>
  <c r="FA60" i="1"/>
  <c r="FA45" i="1"/>
  <c r="FA157" i="1"/>
  <c r="FA50" i="1"/>
  <c r="FA62" i="1"/>
  <c r="FA64" i="1"/>
  <c r="FA155" i="1"/>
  <c r="FA26" i="1"/>
  <c r="EZ146" i="1"/>
  <c r="FA146" i="1" s="1"/>
  <c r="FA154" i="1"/>
  <c r="FA31" i="1"/>
  <c r="FA57" i="1"/>
  <c r="FA141" i="1"/>
  <c r="FA72" i="1"/>
  <c r="FA69" i="1"/>
  <c r="FA66" i="1"/>
  <c r="FA10" i="1"/>
  <c r="FA48" i="1"/>
  <c r="FA136" i="1"/>
  <c r="FA123" i="1"/>
  <c r="FA53" i="1"/>
  <c r="FA148" i="1"/>
  <c r="FA156" i="1"/>
  <c r="FA35" i="1"/>
  <c r="FA152" i="1"/>
  <c r="FA147" i="1"/>
  <c r="FA25" i="1"/>
  <c r="FA24" i="1"/>
  <c r="FA44" i="1"/>
  <c r="FA162" i="1"/>
  <c r="FA86" i="1"/>
  <c r="EZ98" i="1"/>
  <c r="FA98" i="1" s="1"/>
  <c r="ET29" i="1"/>
  <c r="FA91" i="1"/>
  <c r="FA143" i="1"/>
  <c r="FA34" i="1"/>
  <c r="FA77" i="1"/>
  <c r="FA73" i="1"/>
  <c r="FA159" i="1"/>
  <c r="FA67" i="1"/>
  <c r="FA47" i="1"/>
  <c r="FA51" i="1"/>
  <c r="FA90" i="1"/>
  <c r="FA140" i="1"/>
  <c r="FA76" i="1"/>
  <c r="FA133" i="1"/>
  <c r="FA87" i="1"/>
  <c r="FA169" i="1"/>
  <c r="FA78" i="1"/>
  <c r="FA89" i="1"/>
  <c r="FA79" i="1"/>
  <c r="FA94" i="1"/>
  <c r="FA63" i="1"/>
  <c r="FA33" i="1"/>
  <c r="FA38" i="1"/>
  <c r="FA80" i="1"/>
  <c r="FA54" i="1"/>
  <c r="FA95" i="1"/>
  <c r="FA75" i="1"/>
  <c r="FA13" i="1"/>
  <c r="FA160" i="1"/>
  <c r="FA74" i="1"/>
  <c r="FA71" i="1"/>
  <c r="FA61" i="1"/>
  <c r="FA52" i="1"/>
  <c r="FA55" i="1"/>
  <c r="FA145" i="1"/>
  <c r="FA32" i="1"/>
  <c r="FA9" i="1"/>
  <c r="FA49" i="1"/>
  <c r="FA65" i="1"/>
  <c r="FA170" i="1"/>
  <c r="FA81" i="1"/>
  <c r="FA153" i="1"/>
  <c r="FA17" i="1"/>
  <c r="FA127" i="1"/>
  <c r="FA36" i="1"/>
  <c r="FA30" i="1"/>
  <c r="FA138" i="1"/>
  <c r="FA144" i="1"/>
  <c r="FA68" i="1"/>
  <c r="FA85" i="1"/>
  <c r="FA41" i="1"/>
  <c r="FA58" i="1"/>
  <c r="FA158" i="1"/>
  <c r="FA70" i="1"/>
  <c r="FA12" i="1"/>
  <c r="FA11" i="1"/>
  <c r="EY173" i="1"/>
  <c r="FA142" i="1"/>
  <c r="EZ132" i="1"/>
  <c r="EY105" i="1"/>
  <c r="EY104" i="1"/>
  <c r="EY106" i="1"/>
  <c r="EY101" i="1"/>
  <c r="EY109" i="1"/>
  <c r="EY110" i="1"/>
  <c r="EY120" i="1"/>
  <c r="EY113" i="1"/>
  <c r="EY121" i="1"/>
  <c r="EZ83" i="1"/>
  <c r="EZ18" i="1"/>
  <c r="EZ19" i="1" s="1"/>
  <c r="FA15" i="1"/>
  <c r="FA21" i="1"/>
  <c r="FA40" i="1"/>
  <c r="FA37" i="1"/>
  <c r="FA14" i="1"/>
  <c r="FA16" i="1"/>
  <c r="EY108" i="1"/>
  <c r="FA128" i="1"/>
  <c r="EZ129" i="1"/>
  <c r="FA129" i="1" s="1"/>
  <c r="EX84" i="1"/>
  <c r="EY84" i="1" s="1"/>
  <c r="EY82" i="1"/>
  <c r="EY103" i="1"/>
  <c r="EZ130" i="1"/>
  <c r="FJ130" i="1" s="1"/>
  <c r="GV130" i="1" s="1"/>
  <c r="EY117" i="1"/>
  <c r="EW92" i="1"/>
  <c r="EZ92" i="1"/>
  <c r="FJ92" i="1" s="1"/>
  <c r="GV92" i="1" s="1"/>
  <c r="EW93" i="1"/>
  <c r="EZ59" i="1"/>
  <c r="FA59" i="1" s="1"/>
  <c r="EZ115" i="1"/>
  <c r="EY99" i="1"/>
  <c r="EW22" i="1"/>
  <c r="EV28" i="1"/>
  <c r="EW28" i="1" s="1"/>
  <c r="EZ22" i="1"/>
  <c r="FJ22" i="1" s="1"/>
  <c r="GV22" i="1" s="1"/>
  <c r="FA149" i="1"/>
  <c r="EZ150" i="1"/>
  <c r="FA150" i="1" s="1"/>
  <c r="FA99" i="1"/>
  <c r="EY163" i="1"/>
  <c r="EY164" i="1"/>
  <c r="EZ116" i="1"/>
  <c r="EZ131" i="1"/>
  <c r="EY175" i="1"/>
  <c r="EW128" i="1"/>
  <c r="EV129" i="1"/>
  <c r="EW129" i="1" s="1"/>
  <c r="EW19" i="1"/>
  <c r="EV125" i="1"/>
  <c r="EW125" i="1" s="1"/>
  <c r="EW112" i="1"/>
  <c r="EZ165" i="1"/>
  <c r="EW108" i="1"/>
  <c r="EV111" i="1"/>
  <c r="EW111" i="1" s="1"/>
  <c r="EZ112" i="1"/>
  <c r="FJ112" i="1" s="1"/>
  <c r="GV112" i="1" s="1"/>
  <c r="EW172" i="1"/>
  <c r="EW176" i="1"/>
  <c r="EW124" i="1"/>
  <c r="EZ124" i="1"/>
  <c r="EZ108" i="1"/>
  <c r="FJ108" i="1" s="1"/>
  <c r="GV108" i="1" s="1"/>
  <c r="EZ100" i="1"/>
  <c r="EW99" i="1"/>
  <c r="EW107" i="1"/>
  <c r="EZ27" i="1"/>
  <c r="EW23" i="1"/>
  <c r="EY23" i="1"/>
  <c r="FA167" i="1"/>
  <c r="EY116" i="1"/>
  <c r="EZ101" i="1"/>
  <c r="EZ82" i="1"/>
  <c r="FJ82" i="1" s="1"/>
  <c r="GV82" i="1" s="1"/>
  <c r="EY19" i="1"/>
  <c r="GE167" i="1" l="1"/>
  <c r="GE67" i="1"/>
  <c r="GE156" i="1"/>
  <c r="GE158" i="1"/>
  <c r="GE65" i="1"/>
  <c r="GE164" i="1"/>
  <c r="GE37" i="1"/>
  <c r="GE154" i="1"/>
  <c r="GE150" i="1"/>
  <c r="GE38" i="1"/>
  <c r="GM133" i="1"/>
  <c r="GM39" i="1"/>
  <c r="GM33" i="1"/>
  <c r="GE89" i="1"/>
  <c r="GE35" i="1"/>
  <c r="GE68" i="1"/>
  <c r="GE63" i="1"/>
  <c r="GE43" i="1"/>
  <c r="GE31" i="1"/>
  <c r="GM26" i="1"/>
  <c r="GM31" i="1"/>
  <c r="GM122" i="1"/>
  <c r="GM62" i="1"/>
  <c r="GM41" i="1"/>
  <c r="GE46" i="1"/>
  <c r="GE41" i="1"/>
  <c r="GE160" i="1"/>
  <c r="GE66" i="1"/>
  <c r="GE17" i="1"/>
  <c r="GE30" i="1"/>
  <c r="GE174" i="1"/>
  <c r="GM66" i="1"/>
  <c r="GM174" i="1"/>
  <c r="GM167" i="1"/>
  <c r="GM157" i="1"/>
  <c r="GM163" i="1"/>
  <c r="GM67" i="1"/>
  <c r="GM159" i="1"/>
  <c r="GM42" i="1"/>
  <c r="GM155" i="1"/>
  <c r="GM156" i="1"/>
  <c r="GM158" i="1"/>
  <c r="GM46" i="1"/>
  <c r="GM40" i="1"/>
  <c r="GM164" i="1"/>
  <c r="GM160" i="1"/>
  <c r="GM152" i="1"/>
  <c r="GM141" i="1"/>
  <c r="GM154" i="1"/>
  <c r="GM127" i="1"/>
  <c r="GM17" i="1"/>
  <c r="GM65" i="1"/>
  <c r="GM153" i="1"/>
  <c r="GM89" i="1"/>
  <c r="GM35" i="1"/>
  <c r="GE39" i="1"/>
  <c r="GE36" i="1"/>
  <c r="GE44" i="1"/>
  <c r="GE163" i="1"/>
  <c r="GE62" i="1"/>
  <c r="GE40" i="1"/>
  <c r="GM30" i="1"/>
  <c r="GM64" i="1"/>
  <c r="GM63" i="1"/>
  <c r="GM44" i="1"/>
  <c r="GE42" i="1"/>
  <c r="GE122" i="1"/>
  <c r="GE64" i="1"/>
  <c r="GE127" i="1"/>
  <c r="GE157" i="1"/>
  <c r="GE159" i="1"/>
  <c r="GM34" i="1"/>
  <c r="GM36" i="1"/>
  <c r="GM68" i="1"/>
  <c r="GE155" i="1"/>
  <c r="GE152" i="1"/>
  <c r="GE45" i="1"/>
  <c r="GE33" i="1"/>
  <c r="GE34" i="1"/>
  <c r="GM24" i="1"/>
  <c r="GM45" i="1"/>
  <c r="GM38" i="1"/>
  <c r="GM37" i="1"/>
  <c r="GE24" i="1"/>
  <c r="GE133" i="1"/>
  <c r="GE26" i="1"/>
  <c r="GE141" i="1"/>
  <c r="GE153" i="1"/>
  <c r="HA145" i="1"/>
  <c r="HB145" i="1" s="1"/>
  <c r="FR53" i="1"/>
  <c r="FQ53" i="1"/>
  <c r="FR52" i="1"/>
  <c r="FQ52" i="1"/>
  <c r="GB50" i="1"/>
  <c r="GC50" i="1" s="1"/>
  <c r="GA50" i="1"/>
  <c r="GB97" i="1"/>
  <c r="GC97" i="1" s="1"/>
  <c r="GA97" i="1"/>
  <c r="GB49" i="1"/>
  <c r="GC49" i="1" s="1"/>
  <c r="GA49" i="1"/>
  <c r="GB58" i="1"/>
  <c r="GC58" i="1" s="1"/>
  <c r="GA58" i="1"/>
  <c r="FS57" i="1"/>
  <c r="FT57" i="1"/>
  <c r="GB13" i="1"/>
  <c r="GC13" i="1" s="1"/>
  <c r="GA13" i="1"/>
  <c r="FR50" i="1"/>
  <c r="FQ50" i="1"/>
  <c r="FR49" i="1"/>
  <c r="FQ49" i="1"/>
  <c r="FR58" i="1"/>
  <c r="FQ58" i="1"/>
  <c r="FR13" i="1"/>
  <c r="FQ13" i="1"/>
  <c r="GB9" i="1"/>
  <c r="GA9" i="1"/>
  <c r="FS55" i="1"/>
  <c r="FT55" i="1"/>
  <c r="FS70" i="1"/>
  <c r="FT70" i="1"/>
  <c r="FR15" i="1"/>
  <c r="FQ15" i="1"/>
  <c r="FR9" i="1"/>
  <c r="FQ9" i="1"/>
  <c r="GB15" i="1"/>
  <c r="GC15" i="1" s="1"/>
  <c r="GA15" i="1"/>
  <c r="HA84" i="1"/>
  <c r="HB84" i="1" s="1"/>
  <c r="GB16" i="1"/>
  <c r="GC16" i="1" s="1"/>
  <c r="GA16" i="1"/>
  <c r="GB21" i="1"/>
  <c r="GC21" i="1" s="1"/>
  <c r="GA21" i="1"/>
  <c r="FS54" i="1"/>
  <c r="FT54" i="1"/>
  <c r="FR16" i="1"/>
  <c r="FQ16" i="1"/>
  <c r="GB53" i="1"/>
  <c r="GC53" i="1" s="1"/>
  <c r="GA53" i="1"/>
  <c r="GB52" i="1"/>
  <c r="GC52" i="1" s="1"/>
  <c r="GA52" i="1"/>
  <c r="FS56" i="1"/>
  <c r="FT56" i="1"/>
  <c r="FP170" i="1"/>
  <c r="FQ170" i="1" s="1"/>
  <c r="FR169" i="1"/>
  <c r="FQ169" i="1"/>
  <c r="GB73" i="1"/>
  <c r="GC73" i="1" s="1"/>
  <c r="GA73" i="1"/>
  <c r="FR95" i="1"/>
  <c r="FQ95" i="1"/>
  <c r="FR81" i="1"/>
  <c r="FQ81" i="1"/>
  <c r="FS72" i="1"/>
  <c r="FT72" i="1"/>
  <c r="GB88" i="1"/>
  <c r="GC88" i="1" s="1"/>
  <c r="GC87" i="1"/>
  <c r="FR88" i="1"/>
  <c r="FS88" i="1" s="1"/>
  <c r="FS87" i="1"/>
  <c r="FT87" i="1"/>
  <c r="GB81" i="1"/>
  <c r="GC81" i="1" s="1"/>
  <c r="GA81" i="1"/>
  <c r="FP78" i="1"/>
  <c r="FQ78" i="1" s="1"/>
  <c r="FR75" i="1"/>
  <c r="FQ75" i="1"/>
  <c r="GB162" i="1"/>
  <c r="GC162" i="1" s="1"/>
  <c r="GC161" i="1"/>
  <c r="FR77" i="1"/>
  <c r="FQ77" i="1"/>
  <c r="FR162" i="1"/>
  <c r="FS162" i="1" s="1"/>
  <c r="FS161" i="1"/>
  <c r="FT161" i="1"/>
  <c r="FS80" i="1"/>
  <c r="FT80" i="1"/>
  <c r="GB77" i="1"/>
  <c r="GC77" i="1" s="1"/>
  <c r="GA77" i="1"/>
  <c r="FR96" i="1"/>
  <c r="FQ96" i="1"/>
  <c r="GB76" i="1"/>
  <c r="GC76" i="1" s="1"/>
  <c r="GA76" i="1"/>
  <c r="GB96" i="1"/>
  <c r="GC96" i="1" s="1"/>
  <c r="GA96" i="1"/>
  <c r="FR76" i="1"/>
  <c r="FQ76" i="1"/>
  <c r="GB86" i="1"/>
  <c r="GC86" i="1" s="1"/>
  <c r="GC85" i="1"/>
  <c r="GB93" i="1"/>
  <c r="GC93" i="1" s="1"/>
  <c r="GC91" i="1"/>
  <c r="GB95" i="1"/>
  <c r="GC95" i="1" s="1"/>
  <c r="GA95" i="1"/>
  <c r="FR71" i="1"/>
  <c r="FQ71" i="1"/>
  <c r="FR93" i="1"/>
  <c r="FS93" i="1" s="1"/>
  <c r="FS91" i="1"/>
  <c r="FT91" i="1"/>
  <c r="FU97" i="1"/>
  <c r="FU26" i="1"/>
  <c r="GD99" i="1"/>
  <c r="GL99" i="1" s="1"/>
  <c r="HA137" i="1"/>
  <c r="HB137" i="1" s="1"/>
  <c r="GT21" i="1"/>
  <c r="GD90" i="1"/>
  <c r="GL90" i="1" s="1"/>
  <c r="GY146" i="1"/>
  <c r="GZ146" i="1" s="1"/>
  <c r="HA144" i="1"/>
  <c r="HB144" i="1" s="1"/>
  <c r="GY138" i="1"/>
  <c r="GZ138" i="1" s="1"/>
  <c r="FU141" i="1"/>
  <c r="GD32" i="1"/>
  <c r="GL32" i="1" s="1"/>
  <c r="GD149" i="1"/>
  <c r="GL149" i="1" s="1"/>
  <c r="GZ136" i="1"/>
  <c r="GU75" i="1"/>
  <c r="FU24" i="1"/>
  <c r="GU169" i="1"/>
  <c r="GT73" i="1"/>
  <c r="GD47" i="1"/>
  <c r="GL47" i="1" s="1"/>
  <c r="GM47" i="1" s="1"/>
  <c r="GU71" i="1"/>
  <c r="GV128" i="1"/>
  <c r="GV59" i="1"/>
  <c r="GT148" i="1"/>
  <c r="GU148" i="1"/>
  <c r="GV74" i="1"/>
  <c r="GV69" i="1"/>
  <c r="GU79" i="1"/>
  <c r="GT79" i="1"/>
  <c r="GT26" i="1"/>
  <c r="GU26" i="1"/>
  <c r="GU48" i="1"/>
  <c r="GT48" i="1"/>
  <c r="GT82" i="1"/>
  <c r="GU82" i="1"/>
  <c r="GT22" i="1"/>
  <c r="GU22" i="1"/>
  <c r="HA78" i="1"/>
  <c r="HB78" i="1" s="1"/>
  <c r="GU20" i="1"/>
  <c r="GT20" i="1"/>
  <c r="GV78" i="1"/>
  <c r="GT24" i="1"/>
  <c r="GU24" i="1"/>
  <c r="GT60" i="1"/>
  <c r="GU60" i="1"/>
  <c r="FU133" i="1"/>
  <c r="GT51" i="1"/>
  <c r="GU51" i="1"/>
  <c r="GV170" i="1"/>
  <c r="GT140" i="1"/>
  <c r="GU140" i="1"/>
  <c r="GU94" i="1"/>
  <c r="GT94" i="1"/>
  <c r="GT61" i="1"/>
  <c r="GU61" i="1"/>
  <c r="GT112" i="1"/>
  <c r="GU112" i="1"/>
  <c r="GT108" i="1"/>
  <c r="GU108" i="1"/>
  <c r="GT130" i="1"/>
  <c r="GU130" i="1"/>
  <c r="GT123" i="1"/>
  <c r="GU123" i="1"/>
  <c r="GV98" i="1"/>
  <c r="GT92" i="1"/>
  <c r="GU92" i="1"/>
  <c r="GT147" i="1"/>
  <c r="GU147" i="1"/>
  <c r="GT145" i="1"/>
  <c r="GU145" i="1"/>
  <c r="GT14" i="1"/>
  <c r="GU14" i="1"/>
  <c r="GU11" i="1"/>
  <c r="GT11" i="1"/>
  <c r="GT10" i="1"/>
  <c r="GU10" i="1"/>
  <c r="GD143" i="1"/>
  <c r="GL143" i="1" s="1"/>
  <c r="GX148" i="1"/>
  <c r="GX138" i="1"/>
  <c r="FT112" i="1"/>
  <c r="FU112" i="1" s="1"/>
  <c r="HA74" i="1"/>
  <c r="HB74" i="1" s="1"/>
  <c r="GX129" i="1"/>
  <c r="FT108" i="1"/>
  <c r="GD108" i="1" s="1"/>
  <c r="GL108" i="1" s="1"/>
  <c r="FH146" i="1"/>
  <c r="FI146" i="1" s="1"/>
  <c r="FI144" i="1"/>
  <c r="FJ144" i="1"/>
  <c r="GV144" i="1" s="1"/>
  <c r="FH138" i="1"/>
  <c r="FI136" i="1"/>
  <c r="FJ136" i="1"/>
  <c r="GV136" i="1" s="1"/>
  <c r="FI137" i="1"/>
  <c r="FJ137" i="1"/>
  <c r="GV137" i="1" s="1"/>
  <c r="FG138" i="1"/>
  <c r="FF139" i="1"/>
  <c r="HA59" i="1"/>
  <c r="HB59" i="1" s="1"/>
  <c r="HA69" i="1"/>
  <c r="HB69" i="1" s="1"/>
  <c r="HA98" i="1"/>
  <c r="HB98" i="1" s="1"/>
  <c r="GD25" i="1"/>
  <c r="GL25" i="1" s="1"/>
  <c r="FU25" i="1"/>
  <c r="FK130" i="1"/>
  <c r="FT130" i="1"/>
  <c r="FU128" i="1"/>
  <c r="GD128" i="1"/>
  <c r="GL128" i="1" s="1"/>
  <c r="FT129" i="1"/>
  <c r="FU129" i="1" s="1"/>
  <c r="GY148" i="1"/>
  <c r="GZ148" i="1" s="1"/>
  <c r="GZ147" i="1"/>
  <c r="FK22" i="1"/>
  <c r="FT22" i="1"/>
  <c r="FU142" i="1"/>
  <c r="GD142" i="1"/>
  <c r="GL142" i="1" s="1"/>
  <c r="FK82" i="1"/>
  <c r="FT82" i="1"/>
  <c r="FK92" i="1"/>
  <c r="FT92" i="1"/>
  <c r="HA28" i="1"/>
  <c r="HB28" i="1" s="1"/>
  <c r="FA27" i="1"/>
  <c r="FJ27" i="1"/>
  <c r="GV27" i="1" s="1"/>
  <c r="FK112" i="1"/>
  <c r="FA83" i="1"/>
  <c r="FJ83" i="1"/>
  <c r="GV83" i="1" s="1"/>
  <c r="FJ93" i="1"/>
  <c r="GV93" i="1" s="1"/>
  <c r="FA131" i="1"/>
  <c r="FJ131" i="1"/>
  <c r="GV131" i="1" s="1"/>
  <c r="FA100" i="1"/>
  <c r="FJ100" i="1"/>
  <c r="GV100" i="1" s="1"/>
  <c r="FA165" i="1"/>
  <c r="FJ165" i="1"/>
  <c r="GV165" i="1" s="1"/>
  <c r="FA132" i="1"/>
  <c r="FJ132" i="1"/>
  <c r="GV132" i="1" s="1"/>
  <c r="FK108" i="1"/>
  <c r="FA116" i="1"/>
  <c r="FJ116" i="1"/>
  <c r="GV116" i="1" s="1"/>
  <c r="FA124" i="1"/>
  <c r="FJ124" i="1"/>
  <c r="GV124" i="1" s="1"/>
  <c r="FK128" i="1"/>
  <c r="FJ129" i="1"/>
  <c r="FK129" i="1" s="1"/>
  <c r="FK18" i="1"/>
  <c r="FJ19" i="1"/>
  <c r="FA101" i="1"/>
  <c r="FJ101" i="1"/>
  <c r="GV101" i="1" s="1"/>
  <c r="FA115" i="1"/>
  <c r="FJ115" i="1"/>
  <c r="GV115" i="1" s="1"/>
  <c r="HA148" i="1"/>
  <c r="HB148" i="1" s="1"/>
  <c r="HB147" i="1"/>
  <c r="ET126" i="1"/>
  <c r="ET135" i="1" s="1"/>
  <c r="EU29" i="1"/>
  <c r="EZ175" i="1"/>
  <c r="EZ173" i="1"/>
  <c r="FJ173" i="1" s="1"/>
  <c r="GV173" i="1" s="1"/>
  <c r="EZ120" i="1"/>
  <c r="EZ104" i="1"/>
  <c r="EZ106" i="1"/>
  <c r="EZ105" i="1"/>
  <c r="EZ109" i="1"/>
  <c r="EZ110" i="1"/>
  <c r="EX111" i="1"/>
  <c r="EY111" i="1" s="1"/>
  <c r="EZ121" i="1"/>
  <c r="EZ113" i="1"/>
  <c r="EV29" i="1"/>
  <c r="EV126" i="1" s="1"/>
  <c r="FA18" i="1"/>
  <c r="FA22" i="1"/>
  <c r="FA108" i="1"/>
  <c r="EY102" i="1"/>
  <c r="EZ102" i="1"/>
  <c r="EX125" i="1"/>
  <c r="EY125" i="1" s="1"/>
  <c r="EY112" i="1"/>
  <c r="EZ117" i="1"/>
  <c r="EY118" i="1"/>
  <c r="EZ118" i="1"/>
  <c r="FA82" i="1"/>
  <c r="EZ84" i="1"/>
  <c r="FA84" i="1" s="1"/>
  <c r="EY119" i="1"/>
  <c r="EZ119" i="1"/>
  <c r="FA112" i="1"/>
  <c r="FA19" i="1"/>
  <c r="FA130" i="1"/>
  <c r="EZ134" i="1"/>
  <c r="EY92" i="1"/>
  <c r="EY93" i="1"/>
  <c r="EY22" i="1"/>
  <c r="EX28" i="1"/>
  <c r="FA92" i="1"/>
  <c r="EZ93" i="1"/>
  <c r="FA93" i="1" s="1"/>
  <c r="EZ23" i="1"/>
  <c r="EY114" i="1"/>
  <c r="EZ114" i="1"/>
  <c r="EZ103" i="1"/>
  <c r="EY107" i="1"/>
  <c r="B10" i="15"/>
  <c r="GM25" i="1" l="1"/>
  <c r="GM90" i="1"/>
  <c r="GM142" i="1"/>
  <c r="GM143" i="1"/>
  <c r="GM32" i="1"/>
  <c r="GL150" i="1"/>
  <c r="GM150" i="1" s="1"/>
  <c r="GM108" i="1"/>
  <c r="GM128" i="1"/>
  <c r="GL129" i="1"/>
  <c r="GM129" i="1" s="1"/>
  <c r="GM99" i="1"/>
  <c r="GE90" i="1"/>
  <c r="GE25" i="1"/>
  <c r="GE149" i="1"/>
  <c r="GE32" i="1"/>
  <c r="GE142" i="1"/>
  <c r="GE143" i="1"/>
  <c r="GE99" i="1"/>
  <c r="GE47" i="1"/>
  <c r="GB14" i="1"/>
  <c r="GC14" i="1" s="1"/>
  <c r="GA14" i="1"/>
  <c r="GB51" i="1"/>
  <c r="GC51" i="1" s="1"/>
  <c r="GA51" i="1"/>
  <c r="FR20" i="1"/>
  <c r="FP28" i="1"/>
  <c r="FQ28" i="1" s="1"/>
  <c r="FQ20" i="1"/>
  <c r="GB48" i="1"/>
  <c r="FZ59" i="1"/>
  <c r="GA59" i="1" s="1"/>
  <c r="GA48" i="1"/>
  <c r="FS15" i="1"/>
  <c r="FT15" i="1"/>
  <c r="FR14" i="1"/>
  <c r="FQ14" i="1"/>
  <c r="GB61" i="1"/>
  <c r="GC61" i="1" s="1"/>
  <c r="GA61" i="1"/>
  <c r="FR51" i="1"/>
  <c r="FQ51" i="1"/>
  <c r="GB20" i="1"/>
  <c r="GA28" i="1"/>
  <c r="GA20" i="1"/>
  <c r="FR21" i="1"/>
  <c r="FQ21" i="1"/>
  <c r="FS16" i="1"/>
  <c r="FT16" i="1"/>
  <c r="GD70" i="1"/>
  <c r="GL70" i="1" s="1"/>
  <c r="FU70" i="1"/>
  <c r="FS13" i="1"/>
  <c r="FT13" i="1"/>
  <c r="GD13" i="1" s="1"/>
  <c r="GL13" i="1" s="1"/>
  <c r="GD56" i="1"/>
  <c r="GL56" i="1" s="1"/>
  <c r="FU56" i="1"/>
  <c r="GD54" i="1"/>
  <c r="GL54" i="1" s="1"/>
  <c r="FU54" i="1"/>
  <c r="GD57" i="1"/>
  <c r="GL57" i="1" s="1"/>
  <c r="FU57" i="1"/>
  <c r="FZ69" i="1"/>
  <c r="GA69" i="1" s="1"/>
  <c r="GB60" i="1"/>
  <c r="GA60" i="1"/>
  <c r="GD97" i="1"/>
  <c r="GL97" i="1" s="1"/>
  <c r="GD55" i="1"/>
  <c r="GL55" i="1" s="1"/>
  <c r="FU55" i="1"/>
  <c r="FS58" i="1"/>
  <c r="FT58" i="1"/>
  <c r="GC10" i="1"/>
  <c r="GA10" i="1"/>
  <c r="FR60" i="1"/>
  <c r="FQ60" i="1"/>
  <c r="FR10" i="1"/>
  <c r="FQ10" i="1"/>
  <c r="FP74" i="1"/>
  <c r="FQ74" i="1" s="1"/>
  <c r="FS9" i="1"/>
  <c r="FT9" i="1"/>
  <c r="FS49" i="1"/>
  <c r="FT49" i="1"/>
  <c r="FS52" i="1"/>
  <c r="FT52" i="1"/>
  <c r="FR11" i="1"/>
  <c r="FQ11" i="1"/>
  <c r="GC9" i="1"/>
  <c r="GB11" i="1"/>
  <c r="GC11" i="1" s="1"/>
  <c r="GA11" i="1"/>
  <c r="FR48" i="1"/>
  <c r="FP59" i="1"/>
  <c r="FQ59" i="1" s="1"/>
  <c r="FQ48" i="1"/>
  <c r="FS50" i="1"/>
  <c r="FT50" i="1"/>
  <c r="FS53" i="1"/>
  <c r="FT53" i="1"/>
  <c r="GB169" i="1"/>
  <c r="FZ170" i="1"/>
  <c r="GA170" i="1" s="1"/>
  <c r="GA169" i="1"/>
  <c r="FR170" i="1"/>
  <c r="FS170" i="1" s="1"/>
  <c r="FS169" i="1"/>
  <c r="FT169" i="1"/>
  <c r="FZ74" i="1"/>
  <c r="GA74" i="1" s="1"/>
  <c r="GB71" i="1"/>
  <c r="GA71" i="1"/>
  <c r="GB123" i="1"/>
  <c r="GA123" i="1"/>
  <c r="GD91" i="1"/>
  <c r="GL91" i="1" s="1"/>
  <c r="FU91" i="1"/>
  <c r="GD161" i="1"/>
  <c r="GL161" i="1" s="1"/>
  <c r="FT162" i="1"/>
  <c r="FU162" i="1" s="1"/>
  <c r="FU161" i="1"/>
  <c r="FR78" i="1"/>
  <c r="FS78" i="1" s="1"/>
  <c r="FS75" i="1"/>
  <c r="FT75" i="1"/>
  <c r="GB145" i="1"/>
  <c r="GC145" i="1" s="1"/>
  <c r="GA145" i="1"/>
  <c r="FP125" i="1"/>
  <c r="FQ125" i="1" s="1"/>
  <c r="FR123" i="1"/>
  <c r="FQ123" i="1"/>
  <c r="FR61" i="1"/>
  <c r="FP69" i="1"/>
  <c r="FQ69" i="1" s="1"/>
  <c r="FQ61" i="1"/>
  <c r="FZ78" i="1"/>
  <c r="GB75" i="1"/>
  <c r="GA75" i="1"/>
  <c r="GD72" i="1"/>
  <c r="GL72" i="1" s="1"/>
  <c r="FU72" i="1"/>
  <c r="FR145" i="1"/>
  <c r="FQ145" i="1"/>
  <c r="FR94" i="1"/>
  <c r="FP98" i="1"/>
  <c r="FQ98" i="1" s="1"/>
  <c r="FQ94" i="1"/>
  <c r="FR79" i="1"/>
  <c r="FP84" i="1"/>
  <c r="FQ84" i="1" s="1"/>
  <c r="FQ79" i="1"/>
  <c r="FZ148" i="1"/>
  <c r="GA148" i="1" s="1"/>
  <c r="GB147" i="1"/>
  <c r="GA147" i="1"/>
  <c r="GB94" i="1"/>
  <c r="FZ98" i="1"/>
  <c r="GA98" i="1" s="1"/>
  <c r="GA94" i="1"/>
  <c r="GB79" i="1"/>
  <c r="FZ84" i="1"/>
  <c r="GA84" i="1" s="1"/>
  <c r="GA79" i="1"/>
  <c r="FS96" i="1"/>
  <c r="FT96" i="1"/>
  <c r="FP148" i="1"/>
  <c r="FQ148" i="1" s="1"/>
  <c r="FR147" i="1"/>
  <c r="FQ147" i="1"/>
  <c r="GB140" i="1"/>
  <c r="GA140" i="1"/>
  <c r="FS77" i="1"/>
  <c r="FT77" i="1"/>
  <c r="FT88" i="1"/>
  <c r="FU88" i="1" s="1"/>
  <c r="FU87" i="1"/>
  <c r="GD87" i="1"/>
  <c r="GL87" i="1" s="1"/>
  <c r="FS81" i="1"/>
  <c r="FT81" i="1"/>
  <c r="FR140" i="1"/>
  <c r="FQ140" i="1"/>
  <c r="FS71" i="1"/>
  <c r="FT71" i="1"/>
  <c r="FS76" i="1"/>
  <c r="FT76" i="1"/>
  <c r="FR73" i="1"/>
  <c r="FR74" i="1" s="1"/>
  <c r="FS74" i="1" s="1"/>
  <c r="GD80" i="1"/>
  <c r="GL80" i="1" s="1"/>
  <c r="FU80" i="1"/>
  <c r="FS95" i="1"/>
  <c r="FT95" i="1"/>
  <c r="HA146" i="1"/>
  <c r="HB146" i="1" s="1"/>
  <c r="HA138" i="1"/>
  <c r="HB138" i="1" s="1"/>
  <c r="GD112" i="1"/>
  <c r="GL112" i="1" s="1"/>
  <c r="GT173" i="1"/>
  <c r="GU173" i="1"/>
  <c r="GU69" i="1"/>
  <c r="GT69" i="1"/>
  <c r="GT131" i="1"/>
  <c r="GU131" i="1"/>
  <c r="GT137" i="1"/>
  <c r="GU137" i="1"/>
  <c r="GT170" i="1"/>
  <c r="GU170" i="1"/>
  <c r="GT78" i="1"/>
  <c r="GU78" i="1"/>
  <c r="GT74" i="1"/>
  <c r="GU74" i="1"/>
  <c r="GT132" i="1"/>
  <c r="GU132" i="1"/>
  <c r="GT93" i="1"/>
  <c r="GU93" i="1"/>
  <c r="GT136" i="1"/>
  <c r="GU136" i="1"/>
  <c r="GT101" i="1"/>
  <c r="GU101" i="1"/>
  <c r="GT98" i="1"/>
  <c r="GU98" i="1"/>
  <c r="GU83" i="1"/>
  <c r="GT83" i="1"/>
  <c r="GT116" i="1"/>
  <c r="GU116" i="1"/>
  <c r="GT115" i="1"/>
  <c r="GU115" i="1"/>
  <c r="GT124" i="1"/>
  <c r="GU124" i="1"/>
  <c r="GU144" i="1"/>
  <c r="FZ146" i="1" s="1"/>
  <c r="GA146" i="1" s="1"/>
  <c r="GT144" i="1"/>
  <c r="GU59" i="1"/>
  <c r="GT59" i="1"/>
  <c r="GT165" i="1"/>
  <c r="GU165" i="1"/>
  <c r="GT100" i="1"/>
  <c r="GU100" i="1"/>
  <c r="GU27" i="1"/>
  <c r="GT27" i="1"/>
  <c r="GV129" i="1"/>
  <c r="GT128" i="1"/>
  <c r="GU128" i="1"/>
  <c r="FU108" i="1"/>
  <c r="FK93" i="1"/>
  <c r="FT100" i="1"/>
  <c r="GD100" i="1" s="1"/>
  <c r="GL100" i="1" s="1"/>
  <c r="FK137" i="1"/>
  <c r="FJ138" i="1"/>
  <c r="GV138" i="1" s="1"/>
  <c r="FK136" i="1"/>
  <c r="FI138" i="1"/>
  <c r="FH139" i="1"/>
  <c r="FK144" i="1"/>
  <c r="FJ146" i="1"/>
  <c r="GV146" i="1" s="1"/>
  <c r="FF151" i="1"/>
  <c r="FG139" i="1"/>
  <c r="FK131" i="1"/>
  <c r="FT131" i="1"/>
  <c r="FK132" i="1"/>
  <c r="FT132" i="1"/>
  <c r="FU130" i="1"/>
  <c r="GD130" i="1"/>
  <c r="GL130" i="1" s="1"/>
  <c r="FK83" i="1"/>
  <c r="FT83" i="1"/>
  <c r="GD22" i="1"/>
  <c r="GL22" i="1" s="1"/>
  <c r="FU22" i="1"/>
  <c r="FK165" i="1"/>
  <c r="FT165" i="1"/>
  <c r="FK115" i="1"/>
  <c r="FT115" i="1"/>
  <c r="FK124" i="1"/>
  <c r="FT124" i="1"/>
  <c r="GE128" i="1"/>
  <c r="GD129" i="1"/>
  <c r="FK27" i="1"/>
  <c r="FT27" i="1"/>
  <c r="FU92" i="1"/>
  <c r="GD92" i="1"/>
  <c r="GL92" i="1" s="1"/>
  <c r="FT93" i="1"/>
  <c r="FU93" i="1" s="1"/>
  <c r="GE108" i="1"/>
  <c r="FK173" i="1"/>
  <c r="FT173" i="1"/>
  <c r="FK101" i="1"/>
  <c r="FT101" i="1"/>
  <c r="FK116" i="1"/>
  <c r="FT116" i="1"/>
  <c r="FU82" i="1"/>
  <c r="GD82" i="1"/>
  <c r="GL82" i="1" s="1"/>
  <c r="FA117" i="1"/>
  <c r="FJ117" i="1"/>
  <c r="GV117" i="1" s="1"/>
  <c r="FA104" i="1"/>
  <c r="FJ104" i="1"/>
  <c r="GV104" i="1" s="1"/>
  <c r="FA113" i="1"/>
  <c r="FJ113" i="1"/>
  <c r="GV113" i="1" s="1"/>
  <c r="FA120" i="1"/>
  <c r="FJ120" i="1"/>
  <c r="GV120" i="1" s="1"/>
  <c r="FA121" i="1"/>
  <c r="FJ121" i="1"/>
  <c r="GV121" i="1" s="1"/>
  <c r="FA23" i="1"/>
  <c r="FJ23" i="1"/>
  <c r="FA106" i="1"/>
  <c r="FJ106" i="1"/>
  <c r="GV106" i="1" s="1"/>
  <c r="FA175" i="1"/>
  <c r="FJ175" i="1"/>
  <c r="GV175" i="1" s="1"/>
  <c r="FK100" i="1"/>
  <c r="FA119" i="1"/>
  <c r="FJ119" i="1"/>
  <c r="GV119" i="1" s="1"/>
  <c r="FA103" i="1"/>
  <c r="FJ103" i="1"/>
  <c r="GV103" i="1" s="1"/>
  <c r="FA110" i="1"/>
  <c r="FJ110" i="1"/>
  <c r="GV110" i="1" s="1"/>
  <c r="FK19" i="1"/>
  <c r="FA102" i="1"/>
  <c r="FJ102" i="1"/>
  <c r="GV102" i="1" s="1"/>
  <c r="FA114" i="1"/>
  <c r="FJ114" i="1"/>
  <c r="GV114" i="1" s="1"/>
  <c r="FA109" i="1"/>
  <c r="FJ109" i="1"/>
  <c r="GV109" i="1" s="1"/>
  <c r="FA134" i="1"/>
  <c r="FJ134" i="1"/>
  <c r="GV134" i="1" s="1"/>
  <c r="FA118" i="1"/>
  <c r="FJ118" i="1"/>
  <c r="GV118" i="1" s="1"/>
  <c r="FA105" i="1"/>
  <c r="FJ105" i="1"/>
  <c r="GV105" i="1" s="1"/>
  <c r="FJ84" i="1"/>
  <c r="GV84" i="1" s="1"/>
  <c r="EU126" i="1"/>
  <c r="FA173" i="1"/>
  <c r="EZ111" i="1"/>
  <c r="FA111" i="1" s="1"/>
  <c r="EZ107" i="1"/>
  <c r="FA107" i="1" s="1"/>
  <c r="EW29" i="1"/>
  <c r="EZ28" i="1"/>
  <c r="FA28" i="1" s="1"/>
  <c r="EZ125" i="1"/>
  <c r="FA125" i="1" s="1"/>
  <c r="EY28" i="1"/>
  <c r="EX29" i="1"/>
  <c r="EW126" i="1"/>
  <c r="EV135" i="1"/>
  <c r="EU135" i="1"/>
  <c r="ET139" i="1"/>
  <c r="ET151" i="1" s="1"/>
  <c r="GM149" i="1" l="1"/>
  <c r="GM54" i="1"/>
  <c r="GM97" i="1"/>
  <c r="GM92" i="1"/>
  <c r="GM56" i="1"/>
  <c r="GM55" i="1"/>
  <c r="GM13" i="1"/>
  <c r="GM22" i="1"/>
  <c r="GM80" i="1"/>
  <c r="GM72" i="1"/>
  <c r="GM82" i="1"/>
  <c r="GM57" i="1"/>
  <c r="GM100" i="1"/>
  <c r="GM112" i="1"/>
  <c r="GL162" i="1"/>
  <c r="GM162" i="1" s="1"/>
  <c r="GM130" i="1"/>
  <c r="GL93" i="1"/>
  <c r="GM93" i="1" s="1"/>
  <c r="GM91" i="1"/>
  <c r="GL88" i="1"/>
  <c r="GM88" i="1" s="1"/>
  <c r="GM87" i="1"/>
  <c r="GM70" i="1"/>
  <c r="GE91" i="1"/>
  <c r="GE55" i="1"/>
  <c r="GE54" i="1"/>
  <c r="GE97" i="1"/>
  <c r="GE130" i="1"/>
  <c r="GE56" i="1"/>
  <c r="GE129" i="1"/>
  <c r="GE80" i="1"/>
  <c r="GE72" i="1"/>
  <c r="GD162" i="1"/>
  <c r="GE57" i="1"/>
  <c r="GE70" i="1"/>
  <c r="GE112" i="1"/>
  <c r="FQ73" i="1"/>
  <c r="GB124" i="1"/>
  <c r="GC124" i="1" s="1"/>
  <c r="GA124" i="1"/>
  <c r="FU53" i="1"/>
  <c r="GD53" i="1"/>
  <c r="GL53" i="1" s="1"/>
  <c r="GD49" i="1"/>
  <c r="GL49" i="1" s="1"/>
  <c r="FU49" i="1"/>
  <c r="FS10" i="1"/>
  <c r="FT10" i="1"/>
  <c r="GD10" i="1" s="1"/>
  <c r="GL10" i="1" s="1"/>
  <c r="GB59" i="1"/>
  <c r="GC59" i="1" s="1"/>
  <c r="GC48" i="1"/>
  <c r="FR59" i="1"/>
  <c r="FS59" i="1" s="1"/>
  <c r="FS48" i="1"/>
  <c r="FT48" i="1"/>
  <c r="GD52" i="1"/>
  <c r="GL52" i="1" s="1"/>
  <c r="FU52" i="1"/>
  <c r="GD16" i="1"/>
  <c r="GL16" i="1" s="1"/>
  <c r="FU16" i="1"/>
  <c r="FS51" i="1"/>
  <c r="FT51" i="1"/>
  <c r="FU50" i="1"/>
  <c r="GD50" i="1"/>
  <c r="GL50" i="1" s="1"/>
  <c r="FS60" i="1"/>
  <c r="FT60" i="1"/>
  <c r="FS21" i="1"/>
  <c r="FT21" i="1"/>
  <c r="FS14" i="1"/>
  <c r="FT14" i="1"/>
  <c r="GD15" i="1"/>
  <c r="GL15" i="1" s="1"/>
  <c r="FU15" i="1"/>
  <c r="GD9" i="1"/>
  <c r="GL9" i="1" s="1"/>
  <c r="FU9" i="1"/>
  <c r="GB69" i="1"/>
  <c r="GC69" i="1" s="1"/>
  <c r="GC60" i="1"/>
  <c r="GE13" i="1"/>
  <c r="FU13" i="1"/>
  <c r="FR28" i="1"/>
  <c r="FS28" i="1" s="1"/>
  <c r="FS20" i="1"/>
  <c r="FT20" i="1"/>
  <c r="FZ125" i="1"/>
  <c r="GA125" i="1" s="1"/>
  <c r="FS11" i="1"/>
  <c r="FT11" i="1"/>
  <c r="GD58" i="1"/>
  <c r="GL58" i="1" s="1"/>
  <c r="FU58" i="1"/>
  <c r="GB28" i="1"/>
  <c r="GC28" i="1" s="1"/>
  <c r="GC20" i="1"/>
  <c r="FT170" i="1"/>
  <c r="FU170" i="1" s="1"/>
  <c r="GD169" i="1"/>
  <c r="GL169" i="1" s="1"/>
  <c r="FU169" i="1"/>
  <c r="GB170" i="1"/>
  <c r="GC170" i="1" s="1"/>
  <c r="GC169" i="1"/>
  <c r="GB74" i="1"/>
  <c r="GC74" i="1" s="1"/>
  <c r="GC71" i="1"/>
  <c r="FU76" i="1"/>
  <c r="GD76" i="1"/>
  <c r="GL76" i="1" s="1"/>
  <c r="GD81" i="1"/>
  <c r="GL81" i="1" s="1"/>
  <c r="FU81" i="1"/>
  <c r="GC140" i="1"/>
  <c r="GB84" i="1"/>
  <c r="GC84" i="1" s="1"/>
  <c r="GC79" i="1"/>
  <c r="FR125" i="1"/>
  <c r="FS125" i="1" s="1"/>
  <c r="FS123" i="1"/>
  <c r="FT123" i="1"/>
  <c r="GB136" i="1"/>
  <c r="FZ138" i="1"/>
  <c r="GA138" i="1" s="1"/>
  <c r="GA136" i="1"/>
  <c r="FU95" i="1"/>
  <c r="GD95" i="1"/>
  <c r="GL95" i="1" s="1"/>
  <c r="GD71" i="1"/>
  <c r="GL71" i="1" s="1"/>
  <c r="FU71" i="1"/>
  <c r="GD88" i="1"/>
  <c r="GE87" i="1"/>
  <c r="FR84" i="1"/>
  <c r="FS84" i="1" s="1"/>
  <c r="FS79" i="1"/>
  <c r="FT79" i="1"/>
  <c r="GE161" i="1"/>
  <c r="FR136" i="1"/>
  <c r="FP138" i="1"/>
  <c r="FQ138" i="1" s="1"/>
  <c r="FQ136" i="1"/>
  <c r="FR148" i="1"/>
  <c r="FS147" i="1"/>
  <c r="FT147" i="1"/>
  <c r="GB78" i="1"/>
  <c r="GC75" i="1"/>
  <c r="FR144" i="1"/>
  <c r="FR146" i="1" s="1"/>
  <c r="FS146" i="1" s="1"/>
  <c r="FQ144" i="1"/>
  <c r="GB98" i="1"/>
  <c r="GC98" i="1" s="1"/>
  <c r="GC94" i="1"/>
  <c r="GA78" i="1"/>
  <c r="GB144" i="1"/>
  <c r="GC144" i="1" s="1"/>
  <c r="GA144" i="1"/>
  <c r="GD77" i="1"/>
  <c r="GL77" i="1" s="1"/>
  <c r="FU77" i="1"/>
  <c r="FU96" i="1"/>
  <c r="GD96" i="1"/>
  <c r="GL96" i="1" s="1"/>
  <c r="FR98" i="1"/>
  <c r="FS98" i="1" s="1"/>
  <c r="FS94" i="1"/>
  <c r="FT94" i="1"/>
  <c r="GD75" i="1"/>
  <c r="GL75" i="1" s="1"/>
  <c r="FU75" i="1"/>
  <c r="FT78" i="1"/>
  <c r="FU78" i="1" s="1"/>
  <c r="GB137" i="1"/>
  <c r="GC137" i="1" s="1"/>
  <c r="GA137" i="1"/>
  <c r="FS140" i="1"/>
  <c r="FT140" i="1"/>
  <c r="GB148" i="1"/>
  <c r="GC148" i="1" s="1"/>
  <c r="GC147" i="1"/>
  <c r="GC123" i="1"/>
  <c r="FR137" i="1"/>
  <c r="FQ137" i="1"/>
  <c r="FS73" i="1"/>
  <c r="FT73" i="1"/>
  <c r="FT74" i="1" s="1"/>
  <c r="FU74" i="1" s="1"/>
  <c r="FP146" i="1"/>
  <c r="FQ146" i="1" s="1"/>
  <c r="FS145" i="1"/>
  <c r="FT145" i="1"/>
  <c r="FR69" i="1"/>
  <c r="FS69" i="1" s="1"/>
  <c r="FS61" i="1"/>
  <c r="FT61" i="1"/>
  <c r="GT105" i="1"/>
  <c r="GU105" i="1"/>
  <c r="FT23" i="1"/>
  <c r="FU23" i="1" s="1"/>
  <c r="GV23" i="1"/>
  <c r="GT104" i="1"/>
  <c r="GU104" i="1"/>
  <c r="GT103" i="1"/>
  <c r="GU103" i="1"/>
  <c r="GT119" i="1"/>
  <c r="GU119" i="1"/>
  <c r="GT114" i="1"/>
  <c r="GU114" i="1"/>
  <c r="GU118" i="1"/>
  <c r="GT118" i="1"/>
  <c r="GU102" i="1"/>
  <c r="GT102" i="1"/>
  <c r="GU121" i="1"/>
  <c r="GT121" i="1"/>
  <c r="GU117" i="1"/>
  <c r="GT117" i="1"/>
  <c r="GT138" i="1"/>
  <c r="GU138" i="1"/>
  <c r="GT146" i="1"/>
  <c r="GU146" i="1"/>
  <c r="GT129" i="1"/>
  <c r="GU129" i="1"/>
  <c r="GT84" i="1"/>
  <c r="GU84" i="1"/>
  <c r="GT120" i="1"/>
  <c r="GU120" i="1"/>
  <c r="GT110" i="1"/>
  <c r="GU110" i="1"/>
  <c r="GT134" i="1"/>
  <c r="GU134" i="1"/>
  <c r="GT175" i="1"/>
  <c r="GU175" i="1"/>
  <c r="GU109" i="1"/>
  <c r="GT109" i="1"/>
  <c r="GT106" i="1"/>
  <c r="GU106" i="1"/>
  <c r="GU113" i="1"/>
  <c r="GT113" i="1"/>
  <c r="FU100" i="1"/>
  <c r="FT113" i="1"/>
  <c r="GD113" i="1" s="1"/>
  <c r="GL113" i="1" s="1"/>
  <c r="FK146" i="1"/>
  <c r="FT109" i="1"/>
  <c r="GD109" i="1" s="1"/>
  <c r="GL109" i="1" s="1"/>
  <c r="FK84" i="1"/>
  <c r="FK138" i="1"/>
  <c r="FI139" i="1"/>
  <c r="FH151" i="1"/>
  <c r="FG151" i="1"/>
  <c r="FF171" i="1"/>
  <c r="FU132" i="1"/>
  <c r="GD132" i="1"/>
  <c r="GL132" i="1" s="1"/>
  <c r="FK121" i="1"/>
  <c r="FT121" i="1"/>
  <c r="GE92" i="1"/>
  <c r="GD93" i="1"/>
  <c r="FK119" i="1"/>
  <c r="FT119" i="1"/>
  <c r="FK117" i="1"/>
  <c r="FT117" i="1"/>
  <c r="FK134" i="1"/>
  <c r="FT134" i="1"/>
  <c r="FK175" i="1"/>
  <c r="FT175" i="1"/>
  <c r="FK120" i="1"/>
  <c r="FT120" i="1"/>
  <c r="GD101" i="1"/>
  <c r="GL101" i="1" s="1"/>
  <c r="FU101" i="1"/>
  <c r="GD131" i="1"/>
  <c r="GL131" i="1" s="1"/>
  <c r="FU131" i="1"/>
  <c r="FK110" i="1"/>
  <c r="FT110" i="1"/>
  <c r="GD27" i="1"/>
  <c r="GL27" i="1" s="1"/>
  <c r="FU27" i="1"/>
  <c r="FU124" i="1"/>
  <c r="GE22" i="1"/>
  <c r="GE100" i="1"/>
  <c r="FU116" i="1"/>
  <c r="GD116" i="1"/>
  <c r="GL116" i="1" s="1"/>
  <c r="FK106" i="1"/>
  <c r="FT106" i="1"/>
  <c r="GD173" i="1"/>
  <c r="GL173" i="1" s="1"/>
  <c r="FU173" i="1"/>
  <c r="GD83" i="1"/>
  <c r="GL83" i="1" s="1"/>
  <c r="FU83" i="1"/>
  <c r="FK102" i="1"/>
  <c r="FT102" i="1"/>
  <c r="FK103" i="1"/>
  <c r="FT103" i="1"/>
  <c r="GD115" i="1"/>
  <c r="GL115" i="1" s="1"/>
  <c r="FU115" i="1"/>
  <c r="FU165" i="1"/>
  <c r="GD165" i="1"/>
  <c r="GL165" i="1" s="1"/>
  <c r="FK118" i="1"/>
  <c r="FT118" i="1"/>
  <c r="FK105" i="1"/>
  <c r="FT105" i="1"/>
  <c r="FK114" i="1"/>
  <c r="FT114" i="1"/>
  <c r="FK104" i="1"/>
  <c r="FT104" i="1"/>
  <c r="GE82" i="1"/>
  <c r="FK113" i="1"/>
  <c r="FJ125" i="1"/>
  <c r="GV125" i="1" s="1"/>
  <c r="FK109" i="1"/>
  <c r="FJ111" i="1"/>
  <c r="GV111" i="1" s="1"/>
  <c r="FK23" i="1"/>
  <c r="FJ28" i="1"/>
  <c r="GV28" i="1" s="1"/>
  <c r="FJ107" i="1"/>
  <c r="GV107" i="1" s="1"/>
  <c r="EZ29" i="1"/>
  <c r="EZ126" i="1" s="1"/>
  <c r="EX126" i="1"/>
  <c r="EY29" i="1"/>
  <c r="EV139" i="1"/>
  <c r="EW135" i="1"/>
  <c r="EU139" i="1"/>
  <c r="GM27" i="1" l="1"/>
  <c r="GM10" i="1"/>
  <c r="GM81" i="1"/>
  <c r="GM113" i="1"/>
  <c r="GM116" i="1"/>
  <c r="GM96" i="1"/>
  <c r="GM52" i="1"/>
  <c r="GM50" i="1"/>
  <c r="GM49" i="1"/>
  <c r="GM165" i="1"/>
  <c r="GM131" i="1"/>
  <c r="GM71" i="1"/>
  <c r="GM15" i="1"/>
  <c r="GM53" i="1"/>
  <c r="GM173" i="1"/>
  <c r="GM83" i="1"/>
  <c r="GM132" i="1"/>
  <c r="GM77" i="1"/>
  <c r="GM95" i="1"/>
  <c r="GM115" i="1"/>
  <c r="GL78" i="1"/>
  <c r="GM78" i="1" s="1"/>
  <c r="GM58" i="1"/>
  <c r="GE162" i="1"/>
  <c r="GM161" i="1"/>
  <c r="GM16" i="1"/>
  <c r="GD124" i="1"/>
  <c r="GM109" i="1"/>
  <c r="GM101" i="1"/>
  <c r="GL170" i="1"/>
  <c r="GM170" i="1" s="1"/>
  <c r="GM169" i="1"/>
  <c r="GM76" i="1"/>
  <c r="GM9" i="1"/>
  <c r="GE131" i="1"/>
  <c r="GE50" i="1"/>
  <c r="GE83" i="1"/>
  <c r="GE132" i="1"/>
  <c r="GE77" i="1"/>
  <c r="GE15" i="1"/>
  <c r="GE53" i="1"/>
  <c r="GE101" i="1"/>
  <c r="GE95" i="1"/>
  <c r="GE58" i="1"/>
  <c r="GE115" i="1"/>
  <c r="GE27" i="1"/>
  <c r="GE165" i="1"/>
  <c r="GE93" i="1"/>
  <c r="GE16" i="1"/>
  <c r="GE49" i="1"/>
  <c r="GE173" i="1"/>
  <c r="GE116" i="1"/>
  <c r="GE96" i="1"/>
  <c r="GE81" i="1"/>
  <c r="GE88" i="1"/>
  <c r="GE76" i="1"/>
  <c r="GE52" i="1"/>
  <c r="GD20" i="1"/>
  <c r="GL20" i="1" s="1"/>
  <c r="FU20" i="1"/>
  <c r="FU10" i="1"/>
  <c r="GE10" i="1"/>
  <c r="GB125" i="1"/>
  <c r="GC125" i="1" s="1"/>
  <c r="GE9" i="1"/>
  <c r="FU60" i="1"/>
  <c r="GD60" i="1"/>
  <c r="GL60" i="1" s="1"/>
  <c r="FU21" i="1"/>
  <c r="GD21" i="1"/>
  <c r="GL21" i="1" s="1"/>
  <c r="GD48" i="1"/>
  <c r="GL48" i="1" s="1"/>
  <c r="FU48" i="1"/>
  <c r="FT59" i="1"/>
  <c r="FU59" i="1" s="1"/>
  <c r="FU11" i="1"/>
  <c r="GD11" i="1"/>
  <c r="GL11" i="1" s="1"/>
  <c r="FU14" i="1"/>
  <c r="GD14" i="1"/>
  <c r="GL14" i="1" s="1"/>
  <c r="FU51" i="1"/>
  <c r="GD51" i="1"/>
  <c r="GL51" i="1" s="1"/>
  <c r="FT28" i="1"/>
  <c r="FU28" i="1" s="1"/>
  <c r="GD170" i="1"/>
  <c r="GE169" i="1"/>
  <c r="GD61" i="1"/>
  <c r="GL61" i="1" s="1"/>
  <c r="FU61" i="1"/>
  <c r="FT69" i="1"/>
  <c r="FU69" i="1" s="1"/>
  <c r="FS137" i="1"/>
  <c r="FT137" i="1"/>
  <c r="FS148" i="1"/>
  <c r="FT148" i="1"/>
  <c r="GB146" i="1"/>
  <c r="GC146" i="1" s="1"/>
  <c r="GD145" i="1"/>
  <c r="GL145" i="1" s="1"/>
  <c r="FU145" i="1"/>
  <c r="GB138" i="1"/>
  <c r="GC138" i="1" s="1"/>
  <c r="GC136" i="1"/>
  <c r="FS144" i="1"/>
  <c r="FT144" i="1"/>
  <c r="FR138" i="1"/>
  <c r="FS138" i="1" s="1"/>
  <c r="FS136" i="1"/>
  <c r="FT136" i="1"/>
  <c r="GD123" i="1"/>
  <c r="GL123" i="1" s="1"/>
  <c r="FU123" i="1"/>
  <c r="GE75" i="1"/>
  <c r="GD78" i="1"/>
  <c r="FU73" i="1"/>
  <c r="GD73" i="1"/>
  <c r="GL73" i="1" s="1"/>
  <c r="FU94" i="1"/>
  <c r="GD94" i="1"/>
  <c r="GL94" i="1" s="1"/>
  <c r="FT98" i="1"/>
  <c r="FU98" i="1" s="1"/>
  <c r="GE71" i="1"/>
  <c r="FU140" i="1"/>
  <c r="GD140" i="1"/>
  <c r="GL140" i="1" s="1"/>
  <c r="GC78" i="1"/>
  <c r="GD147" i="1"/>
  <c r="GL147" i="1" s="1"/>
  <c r="FU147" i="1"/>
  <c r="FU79" i="1"/>
  <c r="GD79" i="1"/>
  <c r="GL79" i="1" s="1"/>
  <c r="FT84" i="1"/>
  <c r="FU84" i="1" s="1"/>
  <c r="GD23" i="1"/>
  <c r="GL23" i="1" s="1"/>
  <c r="FU113" i="1"/>
  <c r="FU109" i="1"/>
  <c r="GT107" i="1"/>
  <c r="GU107" i="1"/>
  <c r="GT28" i="1"/>
  <c r="GU28" i="1"/>
  <c r="GU111" i="1"/>
  <c r="GT111" i="1"/>
  <c r="GT23" i="1"/>
  <c r="GU23" i="1"/>
  <c r="GT125" i="1"/>
  <c r="GU125" i="1"/>
  <c r="FK107" i="1"/>
  <c r="FK125" i="1"/>
  <c r="FK111" i="1"/>
  <c r="FT111" i="1"/>
  <c r="FU111" i="1" s="1"/>
  <c r="FG171" i="1"/>
  <c r="FF177" i="1"/>
  <c r="FI151" i="1"/>
  <c r="FH171" i="1"/>
  <c r="FT107" i="1"/>
  <c r="FU107" i="1" s="1"/>
  <c r="FT125" i="1"/>
  <c r="FU125" i="1" s="1"/>
  <c r="GD175" i="1"/>
  <c r="GL175" i="1" s="1"/>
  <c r="FU175" i="1"/>
  <c r="FU134" i="1"/>
  <c r="GD134" i="1"/>
  <c r="GD121" i="1"/>
  <c r="GL121" i="1" s="1"/>
  <c r="FU121" i="1"/>
  <c r="GD105" i="1"/>
  <c r="GL105" i="1" s="1"/>
  <c r="FU105" i="1"/>
  <c r="GE109" i="1"/>
  <c r="GD103" i="1"/>
  <c r="GL103" i="1" s="1"/>
  <c r="FU103" i="1"/>
  <c r="GD117" i="1"/>
  <c r="GL117" i="1" s="1"/>
  <c r="FU117" i="1"/>
  <c r="FU114" i="1"/>
  <c r="GD114" i="1"/>
  <c r="GL114" i="1" s="1"/>
  <c r="FU104" i="1"/>
  <c r="GD104" i="1"/>
  <c r="GL104" i="1" s="1"/>
  <c r="GD118" i="1"/>
  <c r="GL118" i="1" s="1"/>
  <c r="FU118" i="1"/>
  <c r="FU102" i="1"/>
  <c r="GD102" i="1"/>
  <c r="GL102" i="1" s="1"/>
  <c r="GE113" i="1"/>
  <c r="FU110" i="1"/>
  <c r="GD110" i="1"/>
  <c r="GL110" i="1" s="1"/>
  <c r="FU120" i="1"/>
  <c r="GD120" i="1"/>
  <c r="GL120" i="1" s="1"/>
  <c r="FU119" i="1"/>
  <c r="GD119" i="1"/>
  <c r="GL119" i="1" s="1"/>
  <c r="GD106" i="1"/>
  <c r="GL106" i="1" s="1"/>
  <c r="FU106" i="1"/>
  <c r="FK28" i="1"/>
  <c r="FJ29" i="1"/>
  <c r="FA29" i="1"/>
  <c r="EV151" i="1"/>
  <c r="EW139" i="1"/>
  <c r="EU151" i="1"/>
  <c r="ET171" i="1"/>
  <c r="EY126" i="1"/>
  <c r="EX135" i="1"/>
  <c r="EZ135" i="1"/>
  <c r="FA126" i="1"/>
  <c r="GL59" i="1" l="1"/>
  <c r="GL134" i="1"/>
  <c r="GM134" i="1" s="1"/>
  <c r="GL124" i="1"/>
  <c r="GM124" i="1" s="1"/>
  <c r="GM75" i="1"/>
  <c r="GM110" i="1"/>
  <c r="GM105" i="1"/>
  <c r="GM145" i="1"/>
  <c r="GM61" i="1"/>
  <c r="GM11" i="1"/>
  <c r="GM73" i="1"/>
  <c r="GM102" i="1"/>
  <c r="GM51" i="1"/>
  <c r="GM59" i="1"/>
  <c r="GM114" i="1"/>
  <c r="GM106" i="1"/>
  <c r="GM121" i="1"/>
  <c r="GM119" i="1"/>
  <c r="GM117" i="1"/>
  <c r="GM120" i="1"/>
  <c r="GM118" i="1"/>
  <c r="GM103" i="1"/>
  <c r="GM23" i="1"/>
  <c r="GM21" i="1"/>
  <c r="GM104" i="1"/>
  <c r="GM175" i="1"/>
  <c r="GM14" i="1"/>
  <c r="GL148" i="1"/>
  <c r="GM148" i="1" s="1"/>
  <c r="GM147" i="1"/>
  <c r="GM140" i="1"/>
  <c r="GM123" i="1"/>
  <c r="GL98" i="1"/>
  <c r="GM98" i="1" s="1"/>
  <c r="GM94" i="1"/>
  <c r="GL84" i="1"/>
  <c r="GM84" i="1" s="1"/>
  <c r="GM79" i="1"/>
  <c r="GL74" i="1"/>
  <c r="GM74" i="1" s="1"/>
  <c r="GL69" i="1"/>
  <c r="GM69" i="1" s="1"/>
  <c r="GM60" i="1"/>
  <c r="GM48" i="1"/>
  <c r="GM20" i="1"/>
  <c r="GE20" i="1"/>
  <c r="GE110" i="1"/>
  <c r="GE79" i="1"/>
  <c r="GE123" i="1"/>
  <c r="GE60" i="1"/>
  <c r="GE124" i="1"/>
  <c r="GE104" i="1"/>
  <c r="GE114" i="1"/>
  <c r="GE105" i="1"/>
  <c r="GE145" i="1"/>
  <c r="GE11" i="1"/>
  <c r="GE118" i="1"/>
  <c r="GE103" i="1"/>
  <c r="GE21" i="1"/>
  <c r="GE14" i="1"/>
  <c r="GE147" i="1"/>
  <c r="GE73" i="1"/>
  <c r="GE170" i="1"/>
  <c r="GE121" i="1"/>
  <c r="GE119" i="1"/>
  <c r="GE117" i="1"/>
  <c r="GE134" i="1"/>
  <c r="GE120" i="1"/>
  <c r="GE23" i="1"/>
  <c r="GE175" i="1"/>
  <c r="GE106" i="1"/>
  <c r="GE78" i="1"/>
  <c r="GE51" i="1"/>
  <c r="GE140" i="1"/>
  <c r="GE48" i="1"/>
  <c r="GD59" i="1"/>
  <c r="GD84" i="1"/>
  <c r="GD28" i="1"/>
  <c r="FU148" i="1"/>
  <c r="GD148" i="1"/>
  <c r="GD144" i="1"/>
  <c r="GL144" i="1" s="1"/>
  <c r="FU144" i="1"/>
  <c r="GD74" i="1"/>
  <c r="GD137" i="1"/>
  <c r="GL137" i="1" s="1"/>
  <c r="FU137" i="1"/>
  <c r="GE94" i="1"/>
  <c r="GD98" i="1"/>
  <c r="FT138" i="1"/>
  <c r="FU138" i="1" s="1"/>
  <c r="GD136" i="1"/>
  <c r="GL136" i="1" s="1"/>
  <c r="FU136" i="1"/>
  <c r="GE61" i="1"/>
  <c r="GD69" i="1"/>
  <c r="FT146" i="1"/>
  <c r="FU146" i="1" s="1"/>
  <c r="FH177" i="1"/>
  <c r="FI177" i="1" s="1"/>
  <c r="FI171" i="1"/>
  <c r="FG177" i="1"/>
  <c r="GE102" i="1"/>
  <c r="GD107" i="1"/>
  <c r="GD111" i="1"/>
  <c r="GD125" i="1"/>
  <c r="FJ126" i="1"/>
  <c r="FK29" i="1"/>
  <c r="EX139" i="1"/>
  <c r="EY135" i="1"/>
  <c r="EW151" i="1"/>
  <c r="EV171" i="1"/>
  <c r="EZ139" i="1"/>
  <c r="FA135" i="1"/>
  <c r="EU171" i="1"/>
  <c r="ET177" i="1"/>
  <c r="EU177" i="1" s="1"/>
  <c r="B17" i="15"/>
  <c r="B13" i="15"/>
  <c r="B2" i="15"/>
  <c r="GL111" i="1" l="1"/>
  <c r="GM111" i="1" s="1"/>
  <c r="GL107" i="1"/>
  <c r="GM107" i="1" s="1"/>
  <c r="GL125" i="1"/>
  <c r="GM125" i="1" s="1"/>
  <c r="GM137" i="1"/>
  <c r="GL28" i="1"/>
  <c r="GM28" i="1" s="1"/>
  <c r="GM144" i="1"/>
  <c r="GL138" i="1"/>
  <c r="GM138" i="1" s="1"/>
  <c r="GM136" i="1"/>
  <c r="GE148" i="1"/>
  <c r="GE98" i="1"/>
  <c r="GE28" i="1"/>
  <c r="GE84" i="1"/>
  <c r="GE125" i="1"/>
  <c r="GE59" i="1"/>
  <c r="GE69" i="1"/>
  <c r="GE137" i="1"/>
  <c r="GE111" i="1"/>
  <c r="GE74" i="1"/>
  <c r="GE107" i="1"/>
  <c r="GD146" i="1"/>
  <c r="GD138" i="1"/>
  <c r="GE136" i="1"/>
  <c r="GE144" i="1"/>
  <c r="FH178" i="1"/>
  <c r="FJ135" i="1"/>
  <c r="FK126" i="1"/>
  <c r="EY139" i="1"/>
  <c r="EX151" i="1"/>
  <c r="FA139" i="1"/>
  <c r="EZ151" i="1"/>
  <c r="EW171" i="1"/>
  <c r="EV177" i="1"/>
  <c r="EW177" i="1" s="1"/>
  <c r="B24" i="14"/>
  <c r="B20" i="14"/>
  <c r="GL146" i="1" l="1"/>
  <c r="GM146" i="1" s="1"/>
  <c r="GE138" i="1"/>
  <c r="GE146" i="1"/>
  <c r="FK135" i="1"/>
  <c r="FJ139" i="1"/>
  <c r="EX171" i="1"/>
  <c r="EY151" i="1"/>
  <c r="FA151" i="1"/>
  <c r="B2" i="14"/>
  <c r="FK139" i="1" l="1"/>
  <c r="FJ151" i="1"/>
  <c r="EY171" i="1"/>
  <c r="EF170" i="1"/>
  <c r="EF8" i="1"/>
  <c r="FK151" i="1" l="1"/>
  <c r="EG10" i="1"/>
  <c r="DZ170" i="1" l="1"/>
  <c r="DZ48" i="1" l="1"/>
  <c r="DX170" i="1" l="1"/>
  <c r="DX122" i="1"/>
  <c r="EF122" i="1" s="1"/>
  <c r="EJ122" i="1" s="1"/>
  <c r="EJ96" i="1"/>
  <c r="DV170" i="1" l="1"/>
  <c r="DX188" i="1"/>
  <c r="DV191" i="1"/>
  <c r="DR190" i="1"/>
  <c r="DV189" i="1"/>
  <c r="DV188" i="1"/>
  <c r="EL165" i="1" l="1"/>
  <c r="EL166" i="1" s="1"/>
  <c r="EZ166" i="1" s="1"/>
  <c r="EJ164" i="1"/>
  <c r="EB127" i="1"/>
  <c r="EB128" i="1"/>
  <c r="DZ129" i="1"/>
  <c r="EH47" i="1"/>
  <c r="EF47" i="1"/>
  <c r="ED47" i="1"/>
  <c r="DZ47" i="1"/>
  <c r="DX47" i="1"/>
  <c r="DV47" i="1"/>
  <c r="EB105" i="1"/>
  <c r="EB65" i="1"/>
  <c r="EB22" i="1"/>
  <c r="EH176" i="1"/>
  <c r="EF176" i="1"/>
  <c r="EL175" i="1"/>
  <c r="EL174" i="1"/>
  <c r="EL173" i="1"/>
  <c r="EJ170" i="1"/>
  <c r="EH170" i="1"/>
  <c r="EL169" i="1"/>
  <c r="EL170" i="1" s="1"/>
  <c r="EL167" i="1"/>
  <c r="EL168" i="1" s="1"/>
  <c r="EZ168" i="1" s="1"/>
  <c r="EH164" i="1"/>
  <c r="EF164" i="1"/>
  <c r="EL163" i="1"/>
  <c r="EL164" i="1" s="1"/>
  <c r="EZ164" i="1" s="1"/>
  <c r="EJ162" i="1"/>
  <c r="EH162" i="1"/>
  <c r="EF162" i="1"/>
  <c r="EL161" i="1"/>
  <c r="EL160" i="1"/>
  <c r="EL159" i="1"/>
  <c r="EL158" i="1"/>
  <c r="EL157" i="1"/>
  <c r="EL156" i="1"/>
  <c r="EL155" i="1"/>
  <c r="EL154" i="1"/>
  <c r="EL153" i="1"/>
  <c r="EL152" i="1"/>
  <c r="EJ150" i="1"/>
  <c r="EH150" i="1"/>
  <c r="EF150" i="1"/>
  <c r="EL149" i="1"/>
  <c r="EL150" i="1" s="1"/>
  <c r="EJ148" i="1"/>
  <c r="EH148" i="1"/>
  <c r="EF148" i="1"/>
  <c r="EL147" i="1"/>
  <c r="EH146" i="1"/>
  <c r="EF146" i="1"/>
  <c r="EL145" i="1"/>
  <c r="EL143" i="1"/>
  <c r="EL142" i="1"/>
  <c r="EL141" i="1"/>
  <c r="EL140" i="1"/>
  <c r="EJ138" i="1"/>
  <c r="EH138" i="1"/>
  <c r="EF138" i="1"/>
  <c r="EL137" i="1"/>
  <c r="EL136" i="1"/>
  <c r="EL133" i="1"/>
  <c r="EL132" i="1"/>
  <c r="EL131" i="1"/>
  <c r="EL130" i="1"/>
  <c r="EJ129" i="1"/>
  <c r="EH129" i="1"/>
  <c r="EF129" i="1"/>
  <c r="EL128" i="1"/>
  <c r="EL127" i="1"/>
  <c r="EJ125" i="1"/>
  <c r="EH125" i="1"/>
  <c r="EF125" i="1"/>
  <c r="EL124" i="1"/>
  <c r="EL123" i="1"/>
  <c r="EL122" i="1"/>
  <c r="EL121" i="1"/>
  <c r="EL120" i="1"/>
  <c r="EL119" i="1"/>
  <c r="EL118" i="1"/>
  <c r="EL117" i="1"/>
  <c r="EL116" i="1"/>
  <c r="EL115" i="1"/>
  <c r="EL114" i="1"/>
  <c r="EL113" i="1"/>
  <c r="EL112" i="1"/>
  <c r="EJ111" i="1"/>
  <c r="EH111" i="1"/>
  <c r="EF111" i="1"/>
  <c r="EL110" i="1"/>
  <c r="EL109" i="1"/>
  <c r="EL108" i="1"/>
  <c r="EJ107" i="1"/>
  <c r="EH107" i="1"/>
  <c r="EF107" i="1"/>
  <c r="EL106" i="1"/>
  <c r="EL105" i="1"/>
  <c r="EL104" i="1"/>
  <c r="EL103" i="1"/>
  <c r="EL102" i="1"/>
  <c r="EL101" i="1"/>
  <c r="EL100" i="1"/>
  <c r="EL99" i="1"/>
  <c r="EJ98" i="1"/>
  <c r="EH98" i="1"/>
  <c r="EF98" i="1"/>
  <c r="EL97" i="1"/>
  <c r="EL96" i="1"/>
  <c r="EL95" i="1"/>
  <c r="EL94" i="1"/>
  <c r="EJ93" i="1"/>
  <c r="EH93" i="1"/>
  <c r="EF93" i="1"/>
  <c r="EL92" i="1"/>
  <c r="EL91" i="1"/>
  <c r="EL90" i="1"/>
  <c r="EL89" i="1"/>
  <c r="EJ88" i="1"/>
  <c r="EH88" i="1"/>
  <c r="EF88" i="1"/>
  <c r="EL87" i="1"/>
  <c r="EL88" i="1" s="1"/>
  <c r="EJ86" i="1"/>
  <c r="EH86" i="1"/>
  <c r="EF86" i="1"/>
  <c r="EL85" i="1"/>
  <c r="EL81" i="1"/>
  <c r="EL80" i="1"/>
  <c r="EL79" i="1"/>
  <c r="EL75" i="1"/>
  <c r="EJ74" i="1"/>
  <c r="EH74" i="1"/>
  <c r="EF74" i="1"/>
  <c r="EL73" i="1"/>
  <c r="EL72" i="1"/>
  <c r="EL71" i="1"/>
  <c r="EL70" i="1"/>
  <c r="EJ69" i="1"/>
  <c r="EH69" i="1"/>
  <c r="EF69" i="1"/>
  <c r="EL68" i="1"/>
  <c r="EL67" i="1"/>
  <c r="EL66" i="1"/>
  <c r="EL65" i="1"/>
  <c r="EL64" i="1"/>
  <c r="EL63" i="1"/>
  <c r="EL62" i="1"/>
  <c r="EL61" i="1"/>
  <c r="EL60" i="1"/>
  <c r="EJ59" i="1"/>
  <c r="EH59" i="1"/>
  <c r="EF59" i="1"/>
  <c r="EL58" i="1"/>
  <c r="EL57" i="1"/>
  <c r="EL56" i="1"/>
  <c r="EL55" i="1"/>
  <c r="EL54" i="1"/>
  <c r="EL53" i="1"/>
  <c r="EL52" i="1"/>
  <c r="EL51" i="1"/>
  <c r="EL50" i="1"/>
  <c r="EL49" i="1"/>
  <c r="EL48" i="1"/>
  <c r="EJ28" i="1"/>
  <c r="EH28" i="1"/>
  <c r="EF28" i="1"/>
  <c r="EL27" i="1"/>
  <c r="EL26" i="1"/>
  <c r="EL25" i="1"/>
  <c r="EL24" i="1"/>
  <c r="EL23" i="1"/>
  <c r="EL22" i="1"/>
  <c r="EL21" i="1"/>
  <c r="EL20" i="1"/>
  <c r="EL17" i="1"/>
  <c r="EL16" i="1"/>
  <c r="EL15" i="1"/>
  <c r="EL13" i="1"/>
  <c r="EL12" i="1"/>
  <c r="GW12" i="1" s="1"/>
  <c r="GV12" i="1" s="1"/>
  <c r="EL10" i="1"/>
  <c r="EL9" i="1"/>
  <c r="EH8" i="1"/>
  <c r="EI133" i="1" s="1"/>
  <c r="EG9" i="1"/>
  <c r="EL6" i="1"/>
  <c r="EB26" i="1"/>
  <c r="EB27" i="1"/>
  <c r="EB20" i="1"/>
  <c r="EB17" i="1"/>
  <c r="EB16" i="1"/>
  <c r="EB9" i="1"/>
  <c r="DZ176" i="1"/>
  <c r="DX176" i="1"/>
  <c r="DV176" i="1"/>
  <c r="DZ164" i="1"/>
  <c r="DX164" i="1"/>
  <c r="DV164" i="1"/>
  <c r="DZ162" i="1"/>
  <c r="DV162" i="1"/>
  <c r="DV150" i="1"/>
  <c r="DX150" i="1"/>
  <c r="DZ150" i="1"/>
  <c r="DV148" i="1"/>
  <c r="DV146" i="1"/>
  <c r="EB131" i="1"/>
  <c r="DV129" i="1"/>
  <c r="DZ125" i="1"/>
  <c r="DX111" i="1"/>
  <c r="DV125" i="1"/>
  <c r="DZ111" i="1"/>
  <c r="DV111" i="1"/>
  <c r="DZ107" i="1"/>
  <c r="DV107" i="1"/>
  <c r="DV98" i="1"/>
  <c r="DV93" i="1"/>
  <c r="DX93" i="1"/>
  <c r="DZ93" i="1"/>
  <c r="EB92" i="1"/>
  <c r="EB90" i="1"/>
  <c r="DV88" i="1"/>
  <c r="DX88" i="1"/>
  <c r="DV74" i="1"/>
  <c r="EB174" i="1"/>
  <c r="EB169" i="1"/>
  <c r="DX162" i="1"/>
  <c r="EB161" i="1"/>
  <c r="EB160" i="1"/>
  <c r="EB159" i="1"/>
  <c r="EB158" i="1"/>
  <c r="EB157" i="1"/>
  <c r="EB156" i="1"/>
  <c r="EB155" i="1"/>
  <c r="EB154" i="1"/>
  <c r="EB153" i="1"/>
  <c r="EB152" i="1"/>
  <c r="DZ148" i="1"/>
  <c r="DX148" i="1"/>
  <c r="EB147" i="1"/>
  <c r="EB145" i="1"/>
  <c r="EB140" i="1"/>
  <c r="DZ138" i="1"/>
  <c r="DX138" i="1"/>
  <c r="DV138" i="1"/>
  <c r="EB137" i="1"/>
  <c r="EB136" i="1"/>
  <c r="EB123" i="1"/>
  <c r="EB122" i="1"/>
  <c r="DX98" i="1"/>
  <c r="EB96" i="1"/>
  <c r="EB95" i="1"/>
  <c r="EB94" i="1"/>
  <c r="EB91" i="1"/>
  <c r="EB89" i="1"/>
  <c r="DZ88" i="1"/>
  <c r="EB87" i="1"/>
  <c r="DZ86" i="1"/>
  <c r="DX86" i="1"/>
  <c r="DV86" i="1"/>
  <c r="EB85" i="1"/>
  <c r="EB81" i="1"/>
  <c r="EB80" i="1"/>
  <c r="EB79" i="1"/>
  <c r="DX78" i="1"/>
  <c r="DV78" i="1"/>
  <c r="EB75" i="1"/>
  <c r="DZ74" i="1"/>
  <c r="DX74" i="1"/>
  <c r="EB73" i="1"/>
  <c r="EB72" i="1"/>
  <c r="EB71" i="1"/>
  <c r="EB70" i="1"/>
  <c r="DZ69" i="1"/>
  <c r="DX69" i="1"/>
  <c r="EB61" i="1"/>
  <c r="EB60" i="1"/>
  <c r="DZ59" i="1"/>
  <c r="DX59" i="1"/>
  <c r="EB58" i="1"/>
  <c r="EB55" i="1"/>
  <c r="EB52" i="1"/>
  <c r="EB49" i="1"/>
  <c r="EB48" i="1"/>
  <c r="EB21" i="1"/>
  <c r="DX18" i="1"/>
  <c r="DV18" i="1"/>
  <c r="EB15" i="1"/>
  <c r="EB13" i="1"/>
  <c r="EB12" i="1"/>
  <c r="EB10" i="1"/>
  <c r="DZ8" i="1"/>
  <c r="EA64" i="1" s="1"/>
  <c r="DX8" i="1"/>
  <c r="DY158" i="1" s="1"/>
  <c r="DV8" i="1"/>
  <c r="EB7" i="1"/>
  <c r="EB6" i="1"/>
  <c r="GU12" i="1" l="1"/>
  <c r="GT12" i="1"/>
  <c r="GX12" i="1"/>
  <c r="GY12" i="1"/>
  <c r="GW18" i="1"/>
  <c r="GV18" i="1" s="1"/>
  <c r="FA168" i="1"/>
  <c r="FJ168" i="1"/>
  <c r="GV168" i="1" s="1"/>
  <c r="FA166" i="1"/>
  <c r="FJ166" i="1"/>
  <c r="GV166" i="1" s="1"/>
  <c r="HB15" i="1"/>
  <c r="FA164" i="1"/>
  <c r="EZ171" i="1"/>
  <c r="EJ78" i="1"/>
  <c r="EB129" i="1"/>
  <c r="DY10" i="1"/>
  <c r="DY42" i="1"/>
  <c r="EI9" i="1"/>
  <c r="EG52" i="1"/>
  <c r="EG131" i="1"/>
  <c r="EI134" i="1"/>
  <c r="EG169" i="1"/>
  <c r="EG170" i="1"/>
  <c r="EI176" i="1"/>
  <c r="EI37" i="1"/>
  <c r="EI162" i="1"/>
  <c r="EI17" i="1"/>
  <c r="EI45" i="1"/>
  <c r="EI104" i="1"/>
  <c r="EL69" i="1"/>
  <c r="EG174" i="1"/>
  <c r="EG85" i="1"/>
  <c r="EG56" i="1"/>
  <c r="EG17" i="1"/>
  <c r="EG65" i="1"/>
  <c r="EG146" i="1"/>
  <c r="DY34" i="1"/>
  <c r="DY64" i="1"/>
  <c r="EI12" i="1"/>
  <c r="EG48" i="1"/>
  <c r="EG61" i="1"/>
  <c r="EG69" i="1"/>
  <c r="EL134" i="1"/>
  <c r="EG13" i="1"/>
  <c r="EG81" i="1"/>
  <c r="EL86" i="1"/>
  <c r="EB76" i="1"/>
  <c r="EB88" i="1"/>
  <c r="EB148" i="1"/>
  <c r="EI130" i="1"/>
  <c r="EI76" i="1"/>
  <c r="EI44" i="1"/>
  <c r="EI36" i="1"/>
  <c r="EI30" i="1"/>
  <c r="EI13" i="1"/>
  <c r="EI85" i="1"/>
  <c r="EI46" i="1"/>
  <c r="EI16" i="1"/>
  <c r="EL28" i="1"/>
  <c r="EI35" i="1"/>
  <c r="EI38" i="1"/>
  <c r="EI43" i="1"/>
  <c r="EG72" i="1"/>
  <c r="EI28" i="1"/>
  <c r="EG28" i="1"/>
  <c r="EL59" i="1"/>
  <c r="EI69" i="1"/>
  <c r="EL74" i="1"/>
  <c r="EI86" i="1"/>
  <c r="EL111" i="1"/>
  <c r="EL162" i="1"/>
  <c r="EG172" i="1"/>
  <c r="EG166" i="1"/>
  <c r="EG160" i="1"/>
  <c r="EG156" i="1"/>
  <c r="EG152" i="1"/>
  <c r="EG144" i="1"/>
  <c r="EG140" i="1"/>
  <c r="EG133" i="1"/>
  <c r="EG128" i="1"/>
  <c r="EG122" i="1"/>
  <c r="EG118" i="1"/>
  <c r="EG114" i="1"/>
  <c r="EG109" i="1"/>
  <c r="EG104" i="1"/>
  <c r="EG176" i="1"/>
  <c r="EG167" i="1"/>
  <c r="EG159" i="1"/>
  <c r="EG158" i="1"/>
  <c r="EG155" i="1"/>
  <c r="EG154" i="1"/>
  <c r="EG147" i="1"/>
  <c r="EG145" i="1"/>
  <c r="EG141" i="1"/>
  <c r="EG138" i="1"/>
  <c r="EG127" i="1"/>
  <c r="EG124" i="1"/>
  <c r="EG121" i="1"/>
  <c r="EG120" i="1"/>
  <c r="EG117" i="1"/>
  <c r="EG116" i="1"/>
  <c r="EG113" i="1"/>
  <c r="EG112" i="1"/>
  <c r="EG110" i="1"/>
  <c r="EG99" i="1"/>
  <c r="EG94" i="1"/>
  <c r="EG89" i="1"/>
  <c r="EG80" i="1"/>
  <c r="EG76" i="1"/>
  <c r="EG71" i="1"/>
  <c r="EG66" i="1"/>
  <c r="EG62" i="1"/>
  <c r="EG57" i="1"/>
  <c r="EG53" i="1"/>
  <c r="EG49" i="1"/>
  <c r="EG175" i="1"/>
  <c r="EG149" i="1"/>
  <c r="EG136" i="1"/>
  <c r="EG134" i="1"/>
  <c r="EG130" i="1"/>
  <c r="EG98" i="1"/>
  <c r="EG93" i="1"/>
  <c r="EG88" i="1"/>
  <c r="EG67" i="1"/>
  <c r="EG63" i="1"/>
  <c r="EG26" i="1"/>
  <c r="EG22" i="1"/>
  <c r="EG16" i="1"/>
  <c r="EG12" i="1"/>
  <c r="EG162" i="1"/>
  <c r="EG137" i="1"/>
  <c r="EG108" i="1"/>
  <c r="EG106" i="1"/>
  <c r="EG105" i="1"/>
  <c r="EG102" i="1"/>
  <c r="EG101" i="1"/>
  <c r="EG97" i="1"/>
  <c r="EG96" i="1"/>
  <c r="EG92" i="1"/>
  <c r="EG91" i="1"/>
  <c r="EG87" i="1"/>
  <c r="EG79" i="1"/>
  <c r="EG73" i="1"/>
  <c r="EG70" i="1"/>
  <c r="EG25" i="1"/>
  <c r="EG21" i="1"/>
  <c r="EG15" i="1"/>
  <c r="EG168" i="1"/>
  <c r="EG161" i="1"/>
  <c r="EG157" i="1"/>
  <c r="EG153" i="1"/>
  <c r="EG142" i="1"/>
  <c r="EG123" i="1"/>
  <c r="EG119" i="1"/>
  <c r="EG115" i="1"/>
  <c r="EG103" i="1"/>
  <c r="EG100" i="1"/>
  <c r="EG95" i="1"/>
  <c r="EG90" i="1"/>
  <c r="EG20" i="1"/>
  <c r="EG23" i="1"/>
  <c r="EG24" i="1"/>
  <c r="EG27" i="1"/>
  <c r="EG50" i="1"/>
  <c r="EG51" i="1"/>
  <c r="EG54" i="1"/>
  <c r="EG55" i="1"/>
  <c r="EG58" i="1"/>
  <c r="EG59" i="1"/>
  <c r="EG60" i="1"/>
  <c r="EG64" i="1"/>
  <c r="EG68" i="1"/>
  <c r="EG75" i="1"/>
  <c r="EL93" i="1"/>
  <c r="EL98" i="1"/>
  <c r="EG165" i="1"/>
  <c r="EI175" i="1"/>
  <c r="EI169" i="1"/>
  <c r="EI165" i="1"/>
  <c r="EI159" i="1"/>
  <c r="EI155" i="1"/>
  <c r="EI149" i="1"/>
  <c r="EI143" i="1"/>
  <c r="EI137" i="1"/>
  <c r="EI132" i="1"/>
  <c r="EI127" i="1"/>
  <c r="EI121" i="1"/>
  <c r="EI117" i="1"/>
  <c r="EI113" i="1"/>
  <c r="EI108" i="1"/>
  <c r="EI103" i="1"/>
  <c r="EI174" i="1"/>
  <c r="EI163" i="1"/>
  <c r="EI161" i="1"/>
  <c r="EI160" i="1"/>
  <c r="EI157" i="1"/>
  <c r="EI156" i="1"/>
  <c r="EI153" i="1"/>
  <c r="EI152" i="1"/>
  <c r="EI146" i="1"/>
  <c r="EI136" i="1"/>
  <c r="EI128" i="1"/>
  <c r="EI123" i="1"/>
  <c r="EI122" i="1"/>
  <c r="EI119" i="1"/>
  <c r="EI118" i="1"/>
  <c r="EI115" i="1"/>
  <c r="EI114" i="1"/>
  <c r="EI111" i="1"/>
  <c r="EI106" i="1"/>
  <c r="EI102" i="1"/>
  <c r="EI97" i="1"/>
  <c r="EI92" i="1"/>
  <c r="EI87" i="1"/>
  <c r="EI79" i="1"/>
  <c r="EI75" i="1"/>
  <c r="EI70" i="1"/>
  <c r="EI65" i="1"/>
  <c r="EI61" i="1"/>
  <c r="EI56" i="1"/>
  <c r="EI52" i="1"/>
  <c r="EI48" i="1"/>
  <c r="EI166" i="1"/>
  <c r="EI147" i="1"/>
  <c r="EI144" i="1"/>
  <c r="EI140" i="1"/>
  <c r="EI107" i="1"/>
  <c r="EI105" i="1"/>
  <c r="EI101" i="1"/>
  <c r="EI96" i="1"/>
  <c r="EI91" i="1"/>
  <c r="EI73" i="1"/>
  <c r="EI42" i="1"/>
  <c r="EI41" i="1"/>
  <c r="EI34" i="1"/>
  <c r="EI33" i="1"/>
  <c r="EI25" i="1"/>
  <c r="EI21" i="1"/>
  <c r="EI15" i="1"/>
  <c r="EI172" i="1"/>
  <c r="EI168" i="1"/>
  <c r="EI167" i="1"/>
  <c r="EI150" i="1"/>
  <c r="EI145" i="1"/>
  <c r="EI142" i="1"/>
  <c r="EI141" i="1"/>
  <c r="EI100" i="1"/>
  <c r="EI99" i="1"/>
  <c r="EI95" i="1"/>
  <c r="EI94" i="1"/>
  <c r="EI90" i="1"/>
  <c r="EI89" i="1"/>
  <c r="EI81" i="1"/>
  <c r="EI80" i="1"/>
  <c r="EI72" i="1"/>
  <c r="EI71" i="1"/>
  <c r="EI55" i="1"/>
  <c r="EI51" i="1"/>
  <c r="EI47" i="1"/>
  <c r="EI40" i="1"/>
  <c r="EI39" i="1"/>
  <c r="EI32" i="1"/>
  <c r="EI31" i="1"/>
  <c r="EI24" i="1"/>
  <c r="EI20" i="1"/>
  <c r="EI10" i="1"/>
  <c r="EI173" i="1"/>
  <c r="EI164" i="1"/>
  <c r="EI158" i="1"/>
  <c r="EI154" i="1"/>
  <c r="EI131" i="1"/>
  <c r="EI124" i="1"/>
  <c r="EI120" i="1"/>
  <c r="EI116" i="1"/>
  <c r="EI112" i="1"/>
  <c r="EI109" i="1"/>
  <c r="EI22" i="1"/>
  <c r="EI23" i="1"/>
  <c r="EI26" i="1"/>
  <c r="EI27" i="1"/>
  <c r="EI50" i="1"/>
  <c r="EI54" i="1"/>
  <c r="EI58" i="1"/>
  <c r="EI60" i="1"/>
  <c r="EI63" i="1"/>
  <c r="EI64" i="1"/>
  <c r="EI67" i="1"/>
  <c r="EI68" i="1"/>
  <c r="EL107" i="1"/>
  <c r="EI110" i="1"/>
  <c r="EG111" i="1"/>
  <c r="EI125" i="1"/>
  <c r="EG132" i="1"/>
  <c r="EG143" i="1"/>
  <c r="EI148" i="1"/>
  <c r="EG173" i="1"/>
  <c r="EI49" i="1"/>
  <c r="EI53" i="1"/>
  <c r="EI57" i="1"/>
  <c r="EI59" i="1"/>
  <c r="EI62" i="1"/>
  <c r="EI66" i="1"/>
  <c r="EI74" i="1"/>
  <c r="EG86" i="1"/>
  <c r="EI88" i="1"/>
  <c r="EI93" i="1"/>
  <c r="EI98" i="1"/>
  <c r="EI129" i="1"/>
  <c r="EL138" i="1"/>
  <c r="EI138" i="1"/>
  <c r="EL148" i="1"/>
  <c r="EG150" i="1"/>
  <c r="EG163" i="1"/>
  <c r="EG107" i="1"/>
  <c r="EI170" i="1"/>
  <c r="EG74" i="1"/>
  <c r="EL125" i="1"/>
  <c r="EL129" i="1"/>
  <c r="EG129" i="1"/>
  <c r="EG164" i="1"/>
  <c r="EG125" i="1"/>
  <c r="EG148" i="1"/>
  <c r="DZ98" i="1"/>
  <c r="EA98" i="1" s="1"/>
  <c r="EA37" i="1"/>
  <c r="EA39" i="1"/>
  <c r="EA70" i="1"/>
  <c r="EA76" i="1"/>
  <c r="EA13" i="1"/>
  <c r="EA16" i="1"/>
  <c r="EA45" i="1"/>
  <c r="EA47" i="1"/>
  <c r="EA50" i="1"/>
  <c r="EA88" i="1"/>
  <c r="EB8" i="1"/>
  <c r="EC9" i="1" s="1"/>
  <c r="EA20" i="1"/>
  <c r="EA31" i="1"/>
  <c r="DY59" i="1"/>
  <c r="EA69" i="1"/>
  <c r="DY160" i="1"/>
  <c r="DY67" i="1"/>
  <c r="DY47" i="1"/>
  <c r="DY39" i="1"/>
  <c r="DY53" i="1"/>
  <c r="EA97" i="1"/>
  <c r="EA81" i="1"/>
  <c r="EA80" i="1"/>
  <c r="EA156" i="1"/>
  <c r="EA147" i="1"/>
  <c r="EA123" i="1"/>
  <c r="EA86" i="1"/>
  <c r="EA75" i="1"/>
  <c r="EA72" i="1"/>
  <c r="EA62" i="1"/>
  <c r="EA53" i="1"/>
  <c r="EA52" i="1"/>
  <c r="DY13" i="1"/>
  <c r="DW18" i="1"/>
  <c r="DY20" i="1"/>
  <c r="DY31" i="1"/>
  <c r="EA56" i="1"/>
  <c r="EA74" i="1"/>
  <c r="EA129" i="1"/>
  <c r="EA160" i="1"/>
  <c r="EA59" i="1"/>
  <c r="EA148" i="1"/>
  <c r="DW88" i="1"/>
  <c r="DW148" i="1"/>
  <c r="DW160" i="1"/>
  <c r="DW156" i="1"/>
  <c r="DW145" i="1"/>
  <c r="DW137" i="1"/>
  <c r="DW170" i="1"/>
  <c r="DW152" i="1"/>
  <c r="DW144" i="1"/>
  <c r="DW96" i="1"/>
  <c r="DW87" i="1"/>
  <c r="DW80" i="1"/>
  <c r="DW158" i="1"/>
  <c r="DW153" i="1"/>
  <c r="DW77" i="1"/>
  <c r="DW73" i="1"/>
  <c r="DW58" i="1"/>
  <c r="DW55" i="1"/>
  <c r="DW15" i="1"/>
  <c r="DW12" i="1"/>
  <c r="DW10" i="1"/>
  <c r="DW174" i="1"/>
  <c r="DW159" i="1"/>
  <c r="DW154" i="1"/>
  <c r="DW140" i="1"/>
  <c r="DW136" i="1"/>
  <c r="DW122" i="1"/>
  <c r="DV19" i="1"/>
  <c r="DW49" i="1"/>
  <c r="DW61" i="1"/>
  <c r="DW74" i="1"/>
  <c r="EB74" i="1"/>
  <c r="DW85" i="1"/>
  <c r="DW94" i="1"/>
  <c r="DW95" i="1"/>
  <c r="DW123" i="1"/>
  <c r="DW147" i="1"/>
  <c r="DY169" i="1"/>
  <c r="DY159" i="1"/>
  <c r="DY155" i="1"/>
  <c r="DY161" i="1"/>
  <c r="DY154" i="1"/>
  <c r="DY144" i="1"/>
  <c r="DY136" i="1"/>
  <c r="DY153" i="1"/>
  <c r="DY147" i="1"/>
  <c r="DY123" i="1"/>
  <c r="DY85" i="1"/>
  <c r="DY79" i="1"/>
  <c r="DY174" i="1"/>
  <c r="DY156" i="1"/>
  <c r="DY148" i="1"/>
  <c r="DY140" i="1"/>
  <c r="DY122" i="1"/>
  <c r="DY80" i="1"/>
  <c r="DY72" i="1"/>
  <c r="DY57" i="1"/>
  <c r="DY54" i="1"/>
  <c r="DY52" i="1"/>
  <c r="DY11" i="1"/>
  <c r="DY9" i="1"/>
  <c r="DY170" i="1"/>
  <c r="DY157" i="1"/>
  <c r="DY152" i="1"/>
  <c r="DY145" i="1"/>
  <c r="DY137" i="1"/>
  <c r="DY127" i="1"/>
  <c r="DW9" i="1"/>
  <c r="DY15" i="1"/>
  <c r="DW17" i="1"/>
  <c r="DY33" i="1"/>
  <c r="DY36" i="1"/>
  <c r="DY41" i="1"/>
  <c r="DY44" i="1"/>
  <c r="DW48" i="1"/>
  <c r="DY49" i="1"/>
  <c r="DY55" i="1"/>
  <c r="DY58" i="1"/>
  <c r="DW60" i="1"/>
  <c r="DY61" i="1"/>
  <c r="DY66" i="1"/>
  <c r="DY69" i="1"/>
  <c r="DW71" i="1"/>
  <c r="DY74" i="1"/>
  <c r="DW76" i="1"/>
  <c r="DW78" i="1"/>
  <c r="EB86" i="1"/>
  <c r="DW86" i="1"/>
  <c r="DY87" i="1"/>
  <c r="DW89" i="1"/>
  <c r="DY94" i="1"/>
  <c r="DY95" i="1"/>
  <c r="DY96" i="1"/>
  <c r="DY138" i="1"/>
  <c r="DY162" i="1"/>
  <c r="EA174" i="1"/>
  <c r="EA158" i="1"/>
  <c r="EA169" i="1"/>
  <c r="EA159" i="1"/>
  <c r="EA157" i="1"/>
  <c r="EA153" i="1"/>
  <c r="EA170" i="1"/>
  <c r="EA161" i="1"/>
  <c r="EA145" i="1"/>
  <c r="EA136" i="1"/>
  <c r="EA127" i="1"/>
  <c r="EA122" i="1"/>
  <c r="EA95" i="1"/>
  <c r="EA154" i="1"/>
  <c r="EA152" i="1"/>
  <c r="EA137" i="1"/>
  <c r="EA94" i="1"/>
  <c r="EA91" i="1"/>
  <c r="EA85" i="1"/>
  <c r="EA71" i="1"/>
  <c r="EA67" i="1"/>
  <c r="EA65" i="1"/>
  <c r="EA63" i="1"/>
  <c r="EA61" i="1"/>
  <c r="EA51" i="1"/>
  <c r="EA49" i="1"/>
  <c r="EA46" i="1"/>
  <c r="EA44" i="1"/>
  <c r="EA42" i="1"/>
  <c r="EA40" i="1"/>
  <c r="EA38" i="1"/>
  <c r="EA36" i="1"/>
  <c r="EA34" i="1"/>
  <c r="EA32" i="1"/>
  <c r="EA30" i="1"/>
  <c r="EA21" i="1"/>
  <c r="EA17" i="1"/>
  <c r="EA128" i="1"/>
  <c r="EA9" i="1"/>
  <c r="EA10" i="1"/>
  <c r="DY12" i="1"/>
  <c r="DW14" i="1"/>
  <c r="EA15" i="1"/>
  <c r="DW16" i="1"/>
  <c r="DY17" i="1"/>
  <c r="DX19" i="1"/>
  <c r="DW21" i="1"/>
  <c r="DY30" i="1"/>
  <c r="EA33" i="1"/>
  <c r="DY35" i="1"/>
  <c r="DY38" i="1"/>
  <c r="EA41" i="1"/>
  <c r="DY43" i="1"/>
  <c r="DY46" i="1"/>
  <c r="DY48" i="1"/>
  <c r="DY51" i="1"/>
  <c r="EA55" i="1"/>
  <c r="EA58" i="1"/>
  <c r="DY60" i="1"/>
  <c r="DY63" i="1"/>
  <c r="EA66" i="1"/>
  <c r="DY68" i="1"/>
  <c r="DW70" i="1"/>
  <c r="DY71" i="1"/>
  <c r="DY73" i="1"/>
  <c r="DW75" i="1"/>
  <c r="DY76" i="1"/>
  <c r="DY77" i="1"/>
  <c r="DY78" i="1"/>
  <c r="DW79" i="1"/>
  <c r="DW81" i="1"/>
  <c r="EA87" i="1"/>
  <c r="DY89" i="1"/>
  <c r="DW91" i="1"/>
  <c r="EA138" i="1"/>
  <c r="DW155" i="1"/>
  <c r="DW169" i="1"/>
  <c r="DW11" i="1"/>
  <c r="EA12" i="1"/>
  <c r="DW13" i="1"/>
  <c r="DY14" i="1"/>
  <c r="DY16" i="1"/>
  <c r="DY18" i="1"/>
  <c r="DW20" i="1"/>
  <c r="DY21" i="1"/>
  <c r="DY32" i="1"/>
  <c r="EA35" i="1"/>
  <c r="DY37" i="1"/>
  <c r="DY40" i="1"/>
  <c r="EA43" i="1"/>
  <c r="DY45" i="1"/>
  <c r="EA48" i="1"/>
  <c r="DY50" i="1"/>
  <c r="DW52" i="1"/>
  <c r="EA54" i="1"/>
  <c r="DY56" i="1"/>
  <c r="EA57" i="1"/>
  <c r="EA60" i="1"/>
  <c r="DY62" i="1"/>
  <c r="DY65" i="1"/>
  <c r="EA68" i="1"/>
  <c r="DY70" i="1"/>
  <c r="DW72" i="1"/>
  <c r="EA73" i="1"/>
  <c r="DY75" i="1"/>
  <c r="EA79" i="1"/>
  <c r="DY81" i="1"/>
  <c r="DY86" i="1"/>
  <c r="EA89" i="1"/>
  <c r="DY91" i="1"/>
  <c r="EA96" i="1"/>
  <c r="DY97" i="1"/>
  <c r="DW127" i="1"/>
  <c r="EA140" i="1"/>
  <c r="EA155" i="1"/>
  <c r="DW157" i="1"/>
  <c r="DW161" i="1"/>
  <c r="EA162" i="1"/>
  <c r="DY88" i="1"/>
  <c r="DY98" i="1"/>
  <c r="EB138" i="1"/>
  <c r="DW138" i="1"/>
  <c r="DW162" i="1"/>
  <c r="EB170" i="1"/>
  <c r="EB162" i="1"/>
  <c r="FR12" i="1" l="1"/>
  <c r="FQ12" i="1"/>
  <c r="FP18" i="1"/>
  <c r="GB12" i="1"/>
  <c r="GA12" i="1"/>
  <c r="GT168" i="1"/>
  <c r="GU168" i="1"/>
  <c r="GU166" i="1"/>
  <c r="GT166" i="1"/>
  <c r="GT18" i="1"/>
  <c r="GU18" i="1"/>
  <c r="FT166" i="1"/>
  <c r="FU166" i="1" s="1"/>
  <c r="FK168" i="1"/>
  <c r="FT168" i="1"/>
  <c r="GX18" i="1"/>
  <c r="GW19" i="1"/>
  <c r="GV19" i="1" s="1"/>
  <c r="GZ12" i="1"/>
  <c r="GY18" i="1"/>
  <c r="FK166" i="1"/>
  <c r="FJ171" i="1"/>
  <c r="HA12" i="1"/>
  <c r="HA18" i="1" s="1"/>
  <c r="EZ172" i="1"/>
  <c r="EY172" i="1"/>
  <c r="EX176" i="1"/>
  <c r="FA171" i="1"/>
  <c r="EL76" i="1"/>
  <c r="EC55" i="1"/>
  <c r="EC49" i="1"/>
  <c r="EC75" i="1"/>
  <c r="EC162" i="1"/>
  <c r="EC161" i="1"/>
  <c r="EC61" i="1"/>
  <c r="EC154" i="1"/>
  <c r="EC13" i="1"/>
  <c r="EC123" i="1"/>
  <c r="EC127" i="1"/>
  <c r="EC89" i="1"/>
  <c r="EC86" i="1"/>
  <c r="EC48" i="1"/>
  <c r="EC96" i="1"/>
  <c r="EC81" i="1"/>
  <c r="EC10" i="1"/>
  <c r="EC174" i="1"/>
  <c r="EC156" i="1"/>
  <c r="EC159" i="1"/>
  <c r="EC15" i="1"/>
  <c r="EC95" i="1"/>
  <c r="EC80" i="1"/>
  <c r="EC21" i="1"/>
  <c r="EC140" i="1"/>
  <c r="EC152" i="1"/>
  <c r="EC137" i="1"/>
  <c r="EC138" i="1"/>
  <c r="EC94" i="1"/>
  <c r="EC87" i="1"/>
  <c r="EC20" i="1"/>
  <c r="EC17" i="1"/>
  <c r="EC85" i="1"/>
  <c r="EC70" i="1"/>
  <c r="EC158" i="1"/>
  <c r="EC136" i="1"/>
  <c r="EC60" i="1"/>
  <c r="EC169" i="1"/>
  <c r="EC155" i="1"/>
  <c r="EC74" i="1"/>
  <c r="EC153" i="1"/>
  <c r="EC73" i="1"/>
  <c r="EC76" i="1"/>
  <c r="EC160" i="1"/>
  <c r="EC170" i="1"/>
  <c r="EC145" i="1"/>
  <c r="EC148" i="1"/>
  <c r="EC58" i="1"/>
  <c r="EC16" i="1"/>
  <c r="EC91" i="1"/>
  <c r="EC88" i="1"/>
  <c r="EC147" i="1"/>
  <c r="EC157" i="1"/>
  <c r="EC79" i="1"/>
  <c r="EC122" i="1"/>
  <c r="EC71" i="1"/>
  <c r="EC52" i="1"/>
  <c r="EC12" i="1"/>
  <c r="EC72" i="1"/>
  <c r="DY19" i="1"/>
  <c r="DW19" i="1"/>
  <c r="DP10" i="1"/>
  <c r="GA18" i="1" l="1"/>
  <c r="FZ19" i="1"/>
  <c r="GC12" i="1"/>
  <c r="GB18" i="1"/>
  <c r="FP19" i="1"/>
  <c r="FQ18" i="1"/>
  <c r="FS12" i="1"/>
  <c r="FT12" i="1"/>
  <c r="FR18" i="1"/>
  <c r="GD166" i="1"/>
  <c r="GL166" i="1" s="1"/>
  <c r="GT19" i="1"/>
  <c r="GU19" i="1"/>
  <c r="GW29" i="1"/>
  <c r="GV29" i="1" s="1"/>
  <c r="GX19" i="1"/>
  <c r="FU168" i="1"/>
  <c r="GD168" i="1"/>
  <c r="GL168" i="1" s="1"/>
  <c r="GZ18" i="1"/>
  <c r="GY19" i="1"/>
  <c r="HB12" i="1"/>
  <c r="EZ176" i="1"/>
  <c r="FJ176" i="1" s="1"/>
  <c r="FJ177" i="1" s="1"/>
  <c r="FJ172" i="1"/>
  <c r="FK171" i="1"/>
  <c r="HB18" i="1"/>
  <c r="HA19" i="1"/>
  <c r="EY176" i="1"/>
  <c r="EX177" i="1"/>
  <c r="EY177" i="1" s="1"/>
  <c r="FA172" i="1"/>
  <c r="DP14" i="1"/>
  <c r="GM168" i="1" l="1"/>
  <c r="GM166" i="1"/>
  <c r="GE168" i="1"/>
  <c r="GE166" i="1"/>
  <c r="GD12" i="1"/>
  <c r="GL12" i="1" s="1"/>
  <c r="FU12" i="1"/>
  <c r="FT18" i="1"/>
  <c r="FQ19" i="1"/>
  <c r="FP29" i="1"/>
  <c r="FQ29" i="1" s="1"/>
  <c r="GC18" i="1"/>
  <c r="GB19" i="1"/>
  <c r="GA19" i="1"/>
  <c r="FZ29" i="1"/>
  <c r="FS18" i="1"/>
  <c r="FR19" i="1"/>
  <c r="GT29" i="1"/>
  <c r="GU29" i="1"/>
  <c r="GZ19" i="1"/>
  <c r="GY29" i="1"/>
  <c r="FK176" i="1"/>
  <c r="GW126" i="1"/>
  <c r="GV126" i="1" s="1"/>
  <c r="GX29" i="1"/>
  <c r="FK177" i="1"/>
  <c r="FK172" i="1"/>
  <c r="HA29" i="1"/>
  <c r="HB19" i="1"/>
  <c r="FA176" i="1"/>
  <c r="EZ177" i="1"/>
  <c r="EB14" i="1"/>
  <c r="EC14" i="1" s="1"/>
  <c r="EA14" i="1"/>
  <c r="DP123" i="1"/>
  <c r="DR169" i="1"/>
  <c r="DR170" i="1" s="1"/>
  <c r="GM12" i="1" l="1"/>
  <c r="GL18" i="1"/>
  <c r="GB29" i="1"/>
  <c r="GC19" i="1"/>
  <c r="FS19" i="1"/>
  <c r="FR29" i="1"/>
  <c r="FS29" i="1" s="1"/>
  <c r="FU18" i="1"/>
  <c r="FT19" i="1"/>
  <c r="GA29" i="1"/>
  <c r="FZ126" i="1"/>
  <c r="GE12" i="1"/>
  <c r="GD18" i="1"/>
  <c r="GU126" i="1"/>
  <c r="GT126" i="1"/>
  <c r="FJ178" i="1"/>
  <c r="GX126" i="1"/>
  <c r="GW135" i="1"/>
  <c r="GV135" i="1" s="1"/>
  <c r="GY126" i="1"/>
  <c r="GZ29" i="1"/>
  <c r="HA126" i="1"/>
  <c r="HB29" i="1"/>
  <c r="FA177" i="1"/>
  <c r="EZ178" i="1"/>
  <c r="EG14" i="1"/>
  <c r="DN123" i="1"/>
  <c r="GM18" i="1" l="1"/>
  <c r="GL19" i="1"/>
  <c r="FU19" i="1"/>
  <c r="FT29" i="1"/>
  <c r="FU29" i="1" s="1"/>
  <c r="GE18" i="1"/>
  <c r="GD19" i="1"/>
  <c r="FZ135" i="1"/>
  <c r="GA126" i="1"/>
  <c r="GC29" i="1"/>
  <c r="GB126" i="1"/>
  <c r="GU135" i="1"/>
  <c r="GT135" i="1"/>
  <c r="GY135" i="1"/>
  <c r="GZ126" i="1"/>
  <c r="GX135" i="1"/>
  <c r="GW139" i="1"/>
  <c r="GV139" i="1" s="1"/>
  <c r="HB126" i="1"/>
  <c r="HA135" i="1"/>
  <c r="EI14" i="1"/>
  <c r="GM19" i="1" l="1"/>
  <c r="GL29" i="1"/>
  <c r="GC126" i="1"/>
  <c r="GB135" i="1"/>
  <c r="GA135" i="1"/>
  <c r="FZ139" i="1"/>
  <c r="GE19" i="1"/>
  <c r="GD29" i="1"/>
  <c r="GT139" i="1"/>
  <c r="GU139" i="1"/>
  <c r="GZ135" i="1"/>
  <c r="GY139" i="1"/>
  <c r="GX139" i="1"/>
  <c r="GW151" i="1"/>
  <c r="GV151" i="1" s="1"/>
  <c r="HB135" i="1"/>
  <c r="HA139" i="1"/>
  <c r="EL14" i="1"/>
  <c r="DR9" i="1"/>
  <c r="DN81" i="1"/>
  <c r="GM29" i="1" l="1"/>
  <c r="GE29" i="1"/>
  <c r="FZ151" i="1"/>
  <c r="GA139" i="1"/>
  <c r="GB139" i="1"/>
  <c r="GC135" i="1"/>
  <c r="GU151" i="1"/>
  <c r="GT151" i="1"/>
  <c r="GW172" i="1"/>
  <c r="GV172" i="1" s="1"/>
  <c r="GW171" i="1"/>
  <c r="GV171" i="1" s="1"/>
  <c r="GX151" i="1"/>
  <c r="GY151" i="1"/>
  <c r="GZ139" i="1"/>
  <c r="HB139" i="1"/>
  <c r="HA151" i="1"/>
  <c r="DN7" i="1"/>
  <c r="GB151" i="1" l="1"/>
  <c r="GC139" i="1"/>
  <c r="GA151" i="1"/>
  <c r="FZ171" i="1"/>
  <c r="GA171" i="1" s="1"/>
  <c r="GU171" i="1"/>
  <c r="GT171" i="1"/>
  <c r="GT172" i="1"/>
  <c r="GU172" i="1"/>
  <c r="GX171" i="1"/>
  <c r="GX172" i="1"/>
  <c r="GW176" i="1"/>
  <c r="GV176" i="1" s="1"/>
  <c r="GY171" i="1"/>
  <c r="GZ151" i="1"/>
  <c r="GY172" i="1"/>
  <c r="HA172" i="1"/>
  <c r="HB151" i="1"/>
  <c r="HA171" i="1"/>
  <c r="DF10" i="1"/>
  <c r="GC151" i="1" l="1"/>
  <c r="GB171" i="1"/>
  <c r="GC171" i="1" s="1"/>
  <c r="FZ176" i="1"/>
  <c r="GB172" i="1"/>
  <c r="GA172" i="1"/>
  <c r="FP176" i="1"/>
  <c r="FQ176" i="1" s="1"/>
  <c r="FR172" i="1"/>
  <c r="FQ172" i="1"/>
  <c r="GU176" i="1"/>
  <c r="GT176" i="1"/>
  <c r="GX176" i="1"/>
  <c r="GW177" i="1"/>
  <c r="GV177" i="1" s="1"/>
  <c r="GY176" i="1"/>
  <c r="GZ176" i="1" s="1"/>
  <c r="GZ172" i="1"/>
  <c r="GZ171" i="1"/>
  <c r="HB171" i="1"/>
  <c r="HA176" i="1"/>
  <c r="HB176" i="1" s="1"/>
  <c r="HB172" i="1"/>
  <c r="DT17" i="1"/>
  <c r="ED17" i="1" s="1"/>
  <c r="EN17" i="1" s="1"/>
  <c r="DR10" i="1"/>
  <c r="FR176" i="1" l="1"/>
  <c r="FS172" i="1"/>
  <c r="FT172" i="1"/>
  <c r="GB176" i="1"/>
  <c r="GC172" i="1"/>
  <c r="GA176" i="1"/>
  <c r="FZ177" i="1"/>
  <c r="GA177" i="1" s="1"/>
  <c r="GT177" i="1"/>
  <c r="GU177" i="1"/>
  <c r="GX177" i="1"/>
  <c r="GY177" i="1"/>
  <c r="GZ177" i="1" s="1"/>
  <c r="HA177" i="1"/>
  <c r="HA179" i="1" s="1"/>
  <c r="DL59" i="1"/>
  <c r="GC176" i="1" l="1"/>
  <c r="GB177" i="1"/>
  <c r="FU172" i="1"/>
  <c r="GD172" i="1"/>
  <c r="FS176" i="1"/>
  <c r="FT176" i="1"/>
  <c r="HB177" i="1"/>
  <c r="DR174" i="1"/>
  <c r="DR161" i="1"/>
  <c r="DR160" i="1"/>
  <c r="DR159" i="1"/>
  <c r="DR158" i="1"/>
  <c r="DR157" i="1"/>
  <c r="DR156" i="1"/>
  <c r="DR155" i="1"/>
  <c r="DR154" i="1"/>
  <c r="DR153" i="1"/>
  <c r="DR152" i="1"/>
  <c r="DR147" i="1"/>
  <c r="DR145" i="1"/>
  <c r="DR144" i="1"/>
  <c r="DR140" i="1"/>
  <c r="DR128" i="1"/>
  <c r="DR127" i="1"/>
  <c r="DR123" i="1"/>
  <c r="DR122" i="1"/>
  <c r="DR97" i="1"/>
  <c r="DR95" i="1"/>
  <c r="DR94" i="1"/>
  <c r="DR91" i="1"/>
  <c r="DR89" i="1"/>
  <c r="DR87" i="1"/>
  <c r="DR85" i="1"/>
  <c r="DR81" i="1"/>
  <c r="DR80" i="1"/>
  <c r="DR79" i="1"/>
  <c r="DR77" i="1"/>
  <c r="DR75" i="1"/>
  <c r="DR73" i="1"/>
  <c r="DR72" i="1"/>
  <c r="DR71" i="1"/>
  <c r="DR70" i="1"/>
  <c r="DR68" i="1"/>
  <c r="DR67" i="1"/>
  <c r="DR66" i="1"/>
  <c r="DR65" i="1"/>
  <c r="DR64" i="1"/>
  <c r="DR63" i="1"/>
  <c r="DR62" i="1"/>
  <c r="DR61" i="1"/>
  <c r="DR60" i="1"/>
  <c r="DR58" i="1"/>
  <c r="DR57" i="1"/>
  <c r="DR56" i="1"/>
  <c r="DR55" i="1"/>
  <c r="DR54" i="1"/>
  <c r="DR53" i="1"/>
  <c r="DR52" i="1"/>
  <c r="DR51" i="1"/>
  <c r="DR50" i="1"/>
  <c r="DR49" i="1"/>
  <c r="DR48" i="1"/>
  <c r="DR47" i="1"/>
  <c r="DR46" i="1"/>
  <c r="DR45" i="1"/>
  <c r="DR44" i="1"/>
  <c r="DR43" i="1"/>
  <c r="DR42" i="1"/>
  <c r="DR41" i="1"/>
  <c r="DR40" i="1"/>
  <c r="DR39" i="1"/>
  <c r="DR38" i="1"/>
  <c r="DR37" i="1"/>
  <c r="DR36" i="1"/>
  <c r="DR35" i="1"/>
  <c r="DR34" i="1"/>
  <c r="DR33" i="1"/>
  <c r="DR32" i="1"/>
  <c r="DR31" i="1"/>
  <c r="DR30" i="1"/>
  <c r="DR21" i="1"/>
  <c r="DR20" i="1"/>
  <c r="DR16" i="1"/>
  <c r="DR15" i="1"/>
  <c r="DR14" i="1"/>
  <c r="DR13" i="1"/>
  <c r="DR12" i="1"/>
  <c r="DR11" i="1"/>
  <c r="DR7" i="1"/>
  <c r="DR6" i="1"/>
  <c r="DP170" i="1"/>
  <c r="DP162" i="1"/>
  <c r="DP148" i="1"/>
  <c r="DP129" i="1"/>
  <c r="DP88" i="1"/>
  <c r="DP86" i="1"/>
  <c r="DP74" i="1"/>
  <c r="DP69" i="1"/>
  <c r="DP59" i="1"/>
  <c r="DP18" i="1"/>
  <c r="DP8" i="1"/>
  <c r="DN170" i="1"/>
  <c r="DN162" i="1"/>
  <c r="DN148" i="1"/>
  <c r="DN138" i="1"/>
  <c r="DN129" i="1"/>
  <c r="DN88" i="1"/>
  <c r="DN86" i="1"/>
  <c r="DP78" i="1"/>
  <c r="DN74" i="1"/>
  <c r="DN69" i="1"/>
  <c r="DN59" i="1"/>
  <c r="DN18" i="1"/>
  <c r="DN8" i="1"/>
  <c r="DO9" i="1" s="1"/>
  <c r="DL170" i="1"/>
  <c r="DL162" i="1"/>
  <c r="DL148" i="1"/>
  <c r="DL138" i="1"/>
  <c r="DL129" i="1"/>
  <c r="DL88" i="1"/>
  <c r="DL86" i="1"/>
  <c r="DL74" i="1"/>
  <c r="DL69" i="1"/>
  <c r="DL18" i="1"/>
  <c r="DL8" i="1"/>
  <c r="GL172" i="1" l="1"/>
  <c r="GL176" i="1" s="1"/>
  <c r="GM176" i="1" s="1"/>
  <c r="GE172" i="1"/>
  <c r="GD176" i="1"/>
  <c r="FU176" i="1"/>
  <c r="GB178" i="1"/>
  <c r="GC177" i="1"/>
  <c r="EH78" i="1"/>
  <c r="EI78" i="1" s="1"/>
  <c r="EI77" i="1"/>
  <c r="EL77" i="1"/>
  <c r="EF78" i="1"/>
  <c r="EG78" i="1" s="1"/>
  <c r="EG77" i="1"/>
  <c r="EJ146" i="1"/>
  <c r="EL144" i="1"/>
  <c r="EB77" i="1"/>
  <c r="DZ78" i="1"/>
  <c r="EA78" i="1" s="1"/>
  <c r="EA77" i="1"/>
  <c r="EB144" i="1"/>
  <c r="EC144" i="1" s="1"/>
  <c r="DZ146" i="1"/>
  <c r="EA144" i="1"/>
  <c r="EA11" i="1"/>
  <c r="EB56" i="1"/>
  <c r="EC56" i="1" s="1"/>
  <c r="DW56" i="1"/>
  <c r="DR162" i="1"/>
  <c r="DQ36" i="1"/>
  <c r="DQ9" i="1"/>
  <c r="DR88" i="1"/>
  <c r="DR86" i="1"/>
  <c r="DR148" i="1"/>
  <c r="DR74" i="1"/>
  <c r="DR76" i="1"/>
  <c r="DM86" i="1"/>
  <c r="DR8" i="1"/>
  <c r="DR129" i="1"/>
  <c r="DO86" i="1"/>
  <c r="DR18" i="1"/>
  <c r="DR59" i="1"/>
  <c r="DR69" i="1"/>
  <c r="DQ12" i="1"/>
  <c r="DP19" i="1"/>
  <c r="DQ34" i="1"/>
  <c r="DQ48" i="1"/>
  <c r="DQ86" i="1"/>
  <c r="DQ129" i="1"/>
  <c r="DQ14" i="1"/>
  <c r="DQ20" i="1"/>
  <c r="DQ78" i="1"/>
  <c r="DQ162" i="1"/>
  <c r="DQ159" i="1"/>
  <c r="DQ155" i="1"/>
  <c r="DQ147" i="1"/>
  <c r="DQ144" i="1"/>
  <c r="DQ128" i="1"/>
  <c r="DQ123" i="1"/>
  <c r="DQ85" i="1"/>
  <c r="DQ80" i="1"/>
  <c r="DQ77" i="1"/>
  <c r="DQ71" i="1"/>
  <c r="DQ68" i="1"/>
  <c r="DQ64" i="1"/>
  <c r="DQ60" i="1"/>
  <c r="DQ57" i="1"/>
  <c r="DQ53" i="1"/>
  <c r="DQ49" i="1"/>
  <c r="DQ45" i="1"/>
  <c r="DQ41" i="1"/>
  <c r="DQ37" i="1"/>
  <c r="DQ33" i="1"/>
  <c r="DQ21" i="1"/>
  <c r="DQ15" i="1"/>
  <c r="DQ11" i="1"/>
  <c r="DQ170" i="1"/>
  <c r="DQ158" i="1"/>
  <c r="DQ154" i="1"/>
  <c r="DQ127" i="1"/>
  <c r="DQ122" i="1"/>
  <c r="DQ95" i="1"/>
  <c r="DQ87" i="1"/>
  <c r="DQ79" i="1"/>
  <c r="DQ76" i="1"/>
  <c r="DQ70" i="1"/>
  <c r="DQ67" i="1"/>
  <c r="DQ63" i="1"/>
  <c r="DQ59" i="1"/>
  <c r="DQ56" i="1"/>
  <c r="DQ52" i="1"/>
  <c r="DQ174" i="1"/>
  <c r="DQ161" i="1"/>
  <c r="DQ157" i="1"/>
  <c r="DQ153" i="1"/>
  <c r="DQ97" i="1"/>
  <c r="DQ94" i="1"/>
  <c r="DQ89" i="1"/>
  <c r="DQ73" i="1"/>
  <c r="DQ66" i="1"/>
  <c r="DQ62" i="1"/>
  <c r="DQ55" i="1"/>
  <c r="DQ51" i="1"/>
  <c r="DQ47" i="1"/>
  <c r="DQ43" i="1"/>
  <c r="DQ39" i="1"/>
  <c r="DQ35" i="1"/>
  <c r="DQ31" i="1"/>
  <c r="DQ17" i="1"/>
  <c r="DQ13" i="1"/>
  <c r="DQ169" i="1"/>
  <c r="DQ160" i="1"/>
  <c r="DQ156" i="1"/>
  <c r="DQ152" i="1"/>
  <c r="DQ145" i="1"/>
  <c r="DQ140" i="1"/>
  <c r="DQ91" i="1"/>
  <c r="DQ88" i="1"/>
  <c r="DQ81" i="1"/>
  <c r="DQ75" i="1"/>
  <c r="DQ72" i="1"/>
  <c r="DQ65" i="1"/>
  <c r="DQ61" i="1"/>
  <c r="DQ58" i="1"/>
  <c r="DQ54" i="1"/>
  <c r="DQ50" i="1"/>
  <c r="DQ46" i="1"/>
  <c r="DQ42" i="1"/>
  <c r="DQ38" i="1"/>
  <c r="DQ16" i="1"/>
  <c r="DQ30" i="1"/>
  <c r="DQ40" i="1"/>
  <c r="DQ69" i="1"/>
  <c r="DQ148" i="1"/>
  <c r="DQ10" i="1"/>
  <c r="DQ18" i="1"/>
  <c r="DQ32" i="1"/>
  <c r="DQ44" i="1"/>
  <c r="DQ74" i="1"/>
  <c r="DO159" i="1"/>
  <c r="DO155" i="1"/>
  <c r="DO147" i="1"/>
  <c r="DO144" i="1"/>
  <c r="DO137" i="1"/>
  <c r="DO128" i="1"/>
  <c r="DO123" i="1"/>
  <c r="DO85" i="1"/>
  <c r="DO80" i="1"/>
  <c r="DO77" i="1"/>
  <c r="DO71" i="1"/>
  <c r="DO68" i="1"/>
  <c r="DO64" i="1"/>
  <c r="DO60" i="1"/>
  <c r="DO57" i="1"/>
  <c r="DO53" i="1"/>
  <c r="DO49" i="1"/>
  <c r="DO45" i="1"/>
  <c r="DO41" i="1"/>
  <c r="DO37" i="1"/>
  <c r="DO33" i="1"/>
  <c r="DO21" i="1"/>
  <c r="DO15" i="1"/>
  <c r="DO11" i="1"/>
  <c r="DO158" i="1"/>
  <c r="DO154" i="1"/>
  <c r="DO136" i="1"/>
  <c r="DO127" i="1"/>
  <c r="DO122" i="1"/>
  <c r="DO95" i="1"/>
  <c r="DO87" i="1"/>
  <c r="DO79" i="1"/>
  <c r="DO70" i="1"/>
  <c r="DO67" i="1"/>
  <c r="DO63" i="1"/>
  <c r="DO56" i="1"/>
  <c r="DO174" i="1"/>
  <c r="DO161" i="1"/>
  <c r="DO153" i="1"/>
  <c r="DO145" i="1"/>
  <c r="DO88" i="1"/>
  <c r="DO81" i="1"/>
  <c r="DO75" i="1"/>
  <c r="DO62" i="1"/>
  <c r="DO55" i="1"/>
  <c r="DO50" i="1"/>
  <c r="DO44" i="1"/>
  <c r="DO39" i="1"/>
  <c r="DO34" i="1"/>
  <c r="DO20" i="1"/>
  <c r="DO17" i="1"/>
  <c r="DO12" i="1"/>
  <c r="DO160" i="1"/>
  <c r="DO152" i="1"/>
  <c r="DO140" i="1"/>
  <c r="DO91" i="1"/>
  <c r="DO61" i="1"/>
  <c r="DO54" i="1"/>
  <c r="DO48" i="1"/>
  <c r="DO43" i="1"/>
  <c r="DO38" i="1"/>
  <c r="DO32" i="1"/>
  <c r="DO16" i="1"/>
  <c r="DO10" i="1"/>
  <c r="DO169" i="1"/>
  <c r="DO157" i="1"/>
  <c r="DO18" i="1"/>
  <c r="DO31" i="1"/>
  <c r="DO42" i="1"/>
  <c r="DO52" i="1"/>
  <c r="DO66" i="1"/>
  <c r="DO89" i="1"/>
  <c r="DO94" i="1"/>
  <c r="DN19" i="1"/>
  <c r="DO35" i="1"/>
  <c r="DO46" i="1"/>
  <c r="DO58" i="1"/>
  <c r="DO69" i="1"/>
  <c r="DO76" i="1"/>
  <c r="DO13" i="1"/>
  <c r="DO36" i="1"/>
  <c r="DO47" i="1"/>
  <c r="DO59" i="1"/>
  <c r="DO72" i="1"/>
  <c r="DN78" i="1"/>
  <c r="DO78" i="1" s="1"/>
  <c r="DO97" i="1"/>
  <c r="DO138" i="1"/>
  <c r="DO156" i="1"/>
  <c r="DO14" i="1"/>
  <c r="DO30" i="1"/>
  <c r="DO40" i="1"/>
  <c r="DO51" i="1"/>
  <c r="DO65" i="1"/>
  <c r="DO73" i="1"/>
  <c r="DO129" i="1"/>
  <c r="DO148" i="1"/>
  <c r="DO162" i="1"/>
  <c r="DO74" i="1"/>
  <c r="DO170" i="1"/>
  <c r="DM159" i="1"/>
  <c r="DM155" i="1"/>
  <c r="DM147" i="1"/>
  <c r="DM144" i="1"/>
  <c r="DM137" i="1"/>
  <c r="DM128" i="1"/>
  <c r="DM123" i="1"/>
  <c r="DM85" i="1"/>
  <c r="DM80" i="1"/>
  <c r="DM77" i="1"/>
  <c r="DM71" i="1"/>
  <c r="DM68" i="1"/>
  <c r="DM64" i="1"/>
  <c r="DM60" i="1"/>
  <c r="DM57" i="1"/>
  <c r="DM53" i="1"/>
  <c r="DM49" i="1"/>
  <c r="DM45" i="1"/>
  <c r="DM41" i="1"/>
  <c r="DM37" i="1"/>
  <c r="DM33" i="1"/>
  <c r="DM21" i="1"/>
  <c r="DM15" i="1"/>
  <c r="DM11" i="1"/>
  <c r="DM158" i="1"/>
  <c r="DM154" i="1"/>
  <c r="DM136" i="1"/>
  <c r="DM127" i="1"/>
  <c r="DM122" i="1"/>
  <c r="DM95" i="1"/>
  <c r="DM87" i="1"/>
  <c r="DM79" i="1"/>
  <c r="DM70" i="1"/>
  <c r="DM67" i="1"/>
  <c r="DM63" i="1"/>
  <c r="DM56" i="1"/>
  <c r="DM174" i="1"/>
  <c r="DM161" i="1"/>
  <c r="DM153" i="1"/>
  <c r="DM145" i="1"/>
  <c r="DM88" i="1"/>
  <c r="DM81" i="1"/>
  <c r="DM75" i="1"/>
  <c r="DM62" i="1"/>
  <c r="DM55" i="1"/>
  <c r="DM50" i="1"/>
  <c r="DM44" i="1"/>
  <c r="DM39" i="1"/>
  <c r="DM34" i="1"/>
  <c r="DM20" i="1"/>
  <c r="DM17" i="1"/>
  <c r="DM12" i="1"/>
  <c r="DM160" i="1"/>
  <c r="DM152" i="1"/>
  <c r="DM140" i="1"/>
  <c r="DM91" i="1"/>
  <c r="DM61" i="1"/>
  <c r="DM54" i="1"/>
  <c r="DM48" i="1"/>
  <c r="DM43" i="1"/>
  <c r="DM38" i="1"/>
  <c r="DM32" i="1"/>
  <c r="DM16" i="1"/>
  <c r="DM10" i="1"/>
  <c r="DM169" i="1"/>
  <c r="DM157" i="1"/>
  <c r="DM18" i="1"/>
  <c r="DM31" i="1"/>
  <c r="DM42" i="1"/>
  <c r="DM52" i="1"/>
  <c r="DM66" i="1"/>
  <c r="DM89" i="1"/>
  <c r="DM94" i="1"/>
  <c r="DM9" i="1"/>
  <c r="DL19" i="1"/>
  <c r="DM35" i="1"/>
  <c r="DM46" i="1"/>
  <c r="DM58" i="1"/>
  <c r="DM69" i="1"/>
  <c r="DM76" i="1"/>
  <c r="DM13" i="1"/>
  <c r="DM36" i="1"/>
  <c r="DM47" i="1"/>
  <c r="DM59" i="1"/>
  <c r="DM72" i="1"/>
  <c r="DL78" i="1"/>
  <c r="DM78" i="1" s="1"/>
  <c r="DM97" i="1"/>
  <c r="DM138" i="1"/>
  <c r="DM156" i="1"/>
  <c r="DM14" i="1"/>
  <c r="DM30" i="1"/>
  <c r="DM40" i="1"/>
  <c r="DM51" i="1"/>
  <c r="DM65" i="1"/>
  <c r="DM73" i="1"/>
  <c r="DM129" i="1"/>
  <c r="DM148" i="1"/>
  <c r="DM162" i="1"/>
  <c r="DM74" i="1"/>
  <c r="DM170" i="1"/>
  <c r="DF7" i="1"/>
  <c r="GM172" i="1" l="1"/>
  <c r="GE176" i="1"/>
  <c r="EB11" i="1"/>
  <c r="EB18" i="1" s="1"/>
  <c r="EF18" i="1"/>
  <c r="EG18" i="1" s="1"/>
  <c r="EG11" i="1"/>
  <c r="DZ18" i="1"/>
  <c r="EA18" i="1" s="1"/>
  <c r="EL146" i="1"/>
  <c r="EL78" i="1"/>
  <c r="EC77" i="1"/>
  <c r="EB78" i="1"/>
  <c r="EC78" i="1" s="1"/>
  <c r="DS36" i="1"/>
  <c r="DS9" i="1"/>
  <c r="DR78" i="1"/>
  <c r="DS78" i="1" s="1"/>
  <c r="DS13" i="1"/>
  <c r="DS144" i="1"/>
  <c r="DS20" i="1"/>
  <c r="DS94" i="1"/>
  <c r="DS70" i="1"/>
  <c r="DS72" i="1"/>
  <c r="DS56" i="1"/>
  <c r="DS50" i="1"/>
  <c r="DS52" i="1"/>
  <c r="DS38" i="1"/>
  <c r="DS152" i="1"/>
  <c r="DS60" i="1"/>
  <c r="DS54" i="1"/>
  <c r="DS86" i="1"/>
  <c r="DS12" i="1"/>
  <c r="DS122" i="1"/>
  <c r="DS66" i="1"/>
  <c r="DS16" i="1"/>
  <c r="DS34" i="1"/>
  <c r="DS140" i="1"/>
  <c r="DS44" i="1"/>
  <c r="DS158" i="1"/>
  <c r="DS58" i="1"/>
  <c r="DS160" i="1"/>
  <c r="DS88" i="1"/>
  <c r="DS14" i="1"/>
  <c r="DS46" i="1"/>
  <c r="DS156" i="1"/>
  <c r="DS32" i="1"/>
  <c r="DS48" i="1"/>
  <c r="DS170" i="1"/>
  <c r="DR19" i="1"/>
  <c r="DS155" i="1"/>
  <c r="DS97" i="1"/>
  <c r="DS91" i="1"/>
  <c r="DS75" i="1"/>
  <c r="DS61" i="1"/>
  <c r="DS55" i="1"/>
  <c r="DS47" i="1"/>
  <c r="DS157" i="1"/>
  <c r="DS85" i="1"/>
  <c r="DS77" i="1"/>
  <c r="DS63" i="1"/>
  <c r="DS57" i="1"/>
  <c r="DS49" i="1"/>
  <c r="DS17" i="1"/>
  <c r="DS169" i="1"/>
  <c r="DS153" i="1"/>
  <c r="DS123" i="1"/>
  <c r="DS87" i="1"/>
  <c r="DS73" i="1"/>
  <c r="DS43" i="1"/>
  <c r="DS35" i="1"/>
  <c r="DS159" i="1"/>
  <c r="DS145" i="1"/>
  <c r="DS127" i="1"/>
  <c r="DS89" i="1"/>
  <c r="DS45" i="1"/>
  <c r="DS37" i="1"/>
  <c r="DS15" i="1"/>
  <c r="DS161" i="1"/>
  <c r="DS95" i="1"/>
  <c r="DS79" i="1"/>
  <c r="DS65" i="1"/>
  <c r="DS51" i="1"/>
  <c r="DS39" i="1"/>
  <c r="DS31" i="1"/>
  <c r="DS147" i="1"/>
  <c r="DS81" i="1"/>
  <c r="DS71" i="1"/>
  <c r="DS67" i="1"/>
  <c r="DS53" i="1"/>
  <c r="DS41" i="1"/>
  <c r="DS33" i="1"/>
  <c r="DS21" i="1"/>
  <c r="DS11" i="1"/>
  <c r="DS76" i="1"/>
  <c r="DS10" i="1"/>
  <c r="DS129" i="1"/>
  <c r="DS68" i="1"/>
  <c r="DS59" i="1"/>
  <c r="DS154" i="1"/>
  <c r="DS64" i="1"/>
  <c r="DS174" i="1"/>
  <c r="DS128" i="1"/>
  <c r="DS80" i="1"/>
  <c r="DS69" i="1"/>
  <c r="DS30" i="1"/>
  <c r="DS162" i="1"/>
  <c r="DS40" i="1"/>
  <c r="DS148" i="1"/>
  <c r="DS62" i="1"/>
  <c r="DS42" i="1"/>
  <c r="DS18" i="1"/>
  <c r="DS74" i="1"/>
  <c r="DQ19" i="1"/>
  <c r="DO19" i="1"/>
  <c r="DM19" i="1"/>
  <c r="DH10" i="1"/>
  <c r="EC11" i="1" l="1"/>
  <c r="DZ19" i="1"/>
  <c r="EA19" i="1" s="1"/>
  <c r="EF19" i="1"/>
  <c r="EF29" i="1" s="1"/>
  <c r="EG29" i="1" s="1"/>
  <c r="EH18" i="1"/>
  <c r="EI11" i="1"/>
  <c r="EB19" i="1"/>
  <c r="EC19" i="1" s="1"/>
  <c r="EC18" i="1"/>
  <c r="DT10" i="1"/>
  <c r="ED10" i="1" s="1"/>
  <c r="EN10" i="1" s="1"/>
  <c r="DS19" i="1"/>
  <c r="DF86" i="1"/>
  <c r="EG19" i="1" l="1"/>
  <c r="EL11" i="1"/>
  <c r="EJ18" i="1"/>
  <c r="EI18" i="1"/>
  <c r="EH19" i="1"/>
  <c r="DJ123" i="1"/>
  <c r="DJ8" i="1"/>
  <c r="EI19" i="1" l="1"/>
  <c r="EH29" i="1"/>
  <c r="EI29" i="1" s="1"/>
  <c r="EL18" i="1"/>
  <c r="DJ176" i="1"/>
  <c r="DJ170" i="1"/>
  <c r="DJ168" i="1"/>
  <c r="DJ164" i="1"/>
  <c r="DJ162" i="1"/>
  <c r="DJ150" i="1"/>
  <c r="DJ148" i="1"/>
  <c r="DJ146" i="1"/>
  <c r="DH144" i="1"/>
  <c r="DT144" i="1" s="1"/>
  <c r="ED144" i="1" s="1"/>
  <c r="EN144" i="1" s="1"/>
  <c r="DJ129" i="1"/>
  <c r="DH127" i="1"/>
  <c r="DJ134" i="1"/>
  <c r="DJ125" i="1"/>
  <c r="DJ93" i="1"/>
  <c r="DJ74" i="1"/>
  <c r="DJ69" i="1"/>
  <c r="DJ28" i="1"/>
  <c r="DJ18" i="1"/>
  <c r="DJ138" i="1"/>
  <c r="DJ88" i="1"/>
  <c r="DJ86" i="1"/>
  <c r="DJ78" i="1"/>
  <c r="DT127" i="1" l="1"/>
  <c r="ED127" i="1" s="1"/>
  <c r="DK157" i="1"/>
  <c r="DK16" i="1"/>
  <c r="DK79" i="1"/>
  <c r="DK86" i="1"/>
  <c r="DK148" i="1"/>
  <c r="DK10" i="1"/>
  <c r="DK158" i="1"/>
  <c r="DK11" i="1"/>
  <c r="DK74" i="1"/>
  <c r="DK122" i="1"/>
  <c r="DK136" i="1"/>
  <c r="DK17" i="1"/>
  <c r="DK73" i="1"/>
  <c r="DK87" i="1"/>
  <c r="DK12" i="1"/>
  <c r="DJ19" i="1"/>
  <c r="DK19" i="1" s="1"/>
  <c r="DK58" i="1"/>
  <c r="DK78" i="1"/>
  <c r="DK170" i="1"/>
  <c r="DK176" i="1"/>
  <c r="DK169" i="1"/>
  <c r="DK160" i="1"/>
  <c r="DK156" i="1"/>
  <c r="DK152" i="1"/>
  <c r="DK145" i="1"/>
  <c r="DK140" i="1"/>
  <c r="DK94" i="1"/>
  <c r="DK89" i="1"/>
  <c r="DK75" i="1"/>
  <c r="DK72" i="1"/>
  <c r="DK60" i="1"/>
  <c r="DK52" i="1"/>
  <c r="DK20" i="1"/>
  <c r="DK14" i="1"/>
  <c r="DK159" i="1"/>
  <c r="DK155" i="1"/>
  <c r="DK147" i="1"/>
  <c r="DK144" i="1"/>
  <c r="DK137" i="1"/>
  <c r="DK91" i="1"/>
  <c r="DK81" i="1"/>
  <c r="DK71" i="1"/>
  <c r="DK49" i="1"/>
  <c r="DK13" i="1"/>
  <c r="DK21" i="1"/>
  <c r="DK55" i="1"/>
  <c r="DK76" i="1"/>
  <c r="DK80" i="1"/>
  <c r="DK88" i="1"/>
  <c r="DK123" i="1"/>
  <c r="DK127" i="1"/>
  <c r="DK153" i="1"/>
  <c r="DK161" i="1"/>
  <c r="DK174" i="1"/>
  <c r="DK9" i="1"/>
  <c r="DK15" i="1"/>
  <c r="DK18" i="1"/>
  <c r="DK48" i="1"/>
  <c r="DK56" i="1"/>
  <c r="DK61" i="1"/>
  <c r="DK70" i="1"/>
  <c r="DK77" i="1"/>
  <c r="DK85" i="1"/>
  <c r="DK138" i="1"/>
  <c r="DK154" i="1"/>
  <c r="DK162" i="1"/>
  <c r="EN127" i="1" l="1"/>
  <c r="DF96" i="1"/>
  <c r="DF76" i="1"/>
  <c r="DH49" i="1"/>
  <c r="DT49" i="1" l="1"/>
  <c r="ED49" i="1" s="1"/>
  <c r="EN49" i="1" s="1"/>
  <c r="DH48" i="1"/>
  <c r="DF170" i="1"/>
  <c r="DD170" i="1"/>
  <c r="DB170" i="1"/>
  <c r="DH169" i="1"/>
  <c r="DF162" i="1"/>
  <c r="DD162" i="1"/>
  <c r="DB162" i="1"/>
  <c r="DH161" i="1"/>
  <c r="DH160" i="1"/>
  <c r="DH159" i="1"/>
  <c r="DH158" i="1"/>
  <c r="DH157" i="1"/>
  <c r="DH156" i="1"/>
  <c r="DH155" i="1"/>
  <c r="DH154" i="1"/>
  <c r="DH153" i="1"/>
  <c r="DH152" i="1"/>
  <c r="DF148" i="1"/>
  <c r="DD148" i="1"/>
  <c r="DB148" i="1"/>
  <c r="DH147" i="1"/>
  <c r="DH145" i="1"/>
  <c r="DT145" i="1" s="1"/>
  <c r="ED145" i="1" s="1"/>
  <c r="EN145" i="1" s="1"/>
  <c r="DH140" i="1"/>
  <c r="DT140" i="1" s="1"/>
  <c r="ED140" i="1" s="1"/>
  <c r="EN140" i="1" s="1"/>
  <c r="DD138" i="1"/>
  <c r="DB138" i="1"/>
  <c r="DH123" i="1"/>
  <c r="DH122" i="1"/>
  <c r="DT122" i="1" s="1"/>
  <c r="ED122" i="1" s="1"/>
  <c r="EN122" i="1" s="1"/>
  <c r="DH96" i="1"/>
  <c r="DH95" i="1"/>
  <c r="DH94" i="1"/>
  <c r="DH91" i="1"/>
  <c r="DF88" i="1"/>
  <c r="DD88" i="1"/>
  <c r="DB88" i="1"/>
  <c r="DH87" i="1"/>
  <c r="DD86" i="1"/>
  <c r="DB86" i="1"/>
  <c r="DH85" i="1"/>
  <c r="DH81" i="1"/>
  <c r="DH80" i="1"/>
  <c r="DH79" i="1"/>
  <c r="DF78" i="1"/>
  <c r="DD78" i="1"/>
  <c r="DB78" i="1"/>
  <c r="DH77" i="1"/>
  <c r="DH76" i="1"/>
  <c r="DH75" i="1"/>
  <c r="DD74" i="1"/>
  <c r="DB74" i="1"/>
  <c r="DH73" i="1"/>
  <c r="DH72" i="1"/>
  <c r="DH71" i="1"/>
  <c r="DH70" i="1"/>
  <c r="DF74" i="1"/>
  <c r="DF69" i="1"/>
  <c r="DD69" i="1"/>
  <c r="DH61" i="1"/>
  <c r="DH60" i="1"/>
  <c r="DT60" i="1" s="1"/>
  <c r="ED60" i="1" s="1"/>
  <c r="EN60" i="1" s="1"/>
  <c r="DF59" i="1"/>
  <c r="DD59" i="1"/>
  <c r="DH58" i="1"/>
  <c r="DH56" i="1"/>
  <c r="DH52" i="1"/>
  <c r="DH21" i="1"/>
  <c r="DH20" i="1"/>
  <c r="DD18" i="1"/>
  <c r="DB18" i="1"/>
  <c r="DH16" i="1"/>
  <c r="DH15" i="1"/>
  <c r="DH14" i="1"/>
  <c r="DH13" i="1"/>
  <c r="DH12" i="1"/>
  <c r="DH11" i="1"/>
  <c r="DT11" i="1" s="1"/>
  <c r="ED11" i="1" s="1"/>
  <c r="EN11" i="1" s="1"/>
  <c r="DD8" i="1"/>
  <c r="DB8" i="1"/>
  <c r="DC156" i="1" s="1"/>
  <c r="DH7" i="1"/>
  <c r="DT7" i="1" s="1"/>
  <c r="ED7" i="1" s="1"/>
  <c r="DH6" i="1"/>
  <c r="DT6" i="1" s="1"/>
  <c r="DT169" i="1" l="1"/>
  <c r="ED169" i="1" s="1"/>
  <c r="EN169" i="1" s="1"/>
  <c r="DH170" i="1"/>
  <c r="DT15" i="1"/>
  <c r="ED15" i="1" s="1"/>
  <c r="EN15" i="1" s="1"/>
  <c r="DT20" i="1"/>
  <c r="ED20" i="1" s="1"/>
  <c r="EN20" i="1" s="1"/>
  <c r="DT58" i="1"/>
  <c r="ED58" i="1" s="1"/>
  <c r="EN58" i="1" s="1"/>
  <c r="DT61" i="1"/>
  <c r="DT70" i="1"/>
  <c r="ED70" i="1" s="1"/>
  <c r="EN70" i="1" s="1"/>
  <c r="DT77" i="1"/>
  <c r="DT79" i="1"/>
  <c r="ED79" i="1" s="1"/>
  <c r="EN79" i="1" s="1"/>
  <c r="DT95" i="1"/>
  <c r="DH148" i="1"/>
  <c r="DT148" i="1" s="1"/>
  <c r="DT147" i="1"/>
  <c r="ED147" i="1" s="1"/>
  <c r="DT152" i="1"/>
  <c r="ED152" i="1" s="1"/>
  <c r="EN152" i="1" s="1"/>
  <c r="DT156" i="1"/>
  <c r="ED156" i="1" s="1"/>
  <c r="EN156" i="1" s="1"/>
  <c r="DT160" i="1"/>
  <c r="DT12" i="1"/>
  <c r="ED12" i="1" s="1"/>
  <c r="EN12" i="1" s="1"/>
  <c r="DT16" i="1"/>
  <c r="ED16" i="1" s="1"/>
  <c r="EN16" i="1" s="1"/>
  <c r="DT21" i="1"/>
  <c r="ED21" i="1" s="1"/>
  <c r="EN21" i="1" s="1"/>
  <c r="DT71" i="1"/>
  <c r="ED71" i="1" s="1"/>
  <c r="EN71" i="1" s="1"/>
  <c r="DT80" i="1"/>
  <c r="ED80" i="1" s="1"/>
  <c r="EN80" i="1" s="1"/>
  <c r="DT153" i="1"/>
  <c r="ED153" i="1" s="1"/>
  <c r="EN153" i="1" s="1"/>
  <c r="DT157" i="1"/>
  <c r="ED157" i="1" s="1"/>
  <c r="EN157" i="1" s="1"/>
  <c r="DT161" i="1"/>
  <c r="ED161" i="1" s="1"/>
  <c r="EN161" i="1" s="1"/>
  <c r="DT48" i="1"/>
  <c r="ED48" i="1" s="1"/>
  <c r="EN48" i="1" s="1"/>
  <c r="DT13" i="1"/>
  <c r="ED13" i="1" s="1"/>
  <c r="EN13" i="1" s="1"/>
  <c r="DT52" i="1"/>
  <c r="ED52" i="1" s="1"/>
  <c r="EN52" i="1" s="1"/>
  <c r="DT72" i="1"/>
  <c r="ED72" i="1" s="1"/>
  <c r="EN72" i="1" s="1"/>
  <c r="DT75" i="1"/>
  <c r="ED75" i="1" s="1"/>
  <c r="EN75" i="1" s="1"/>
  <c r="DT81" i="1"/>
  <c r="ED81" i="1" s="1"/>
  <c r="EN81" i="1" s="1"/>
  <c r="DT87" i="1"/>
  <c r="ED87" i="1" s="1"/>
  <c r="EN87" i="1" s="1"/>
  <c r="DT91" i="1"/>
  <c r="ED91" i="1" s="1"/>
  <c r="EN91" i="1" s="1"/>
  <c r="DT154" i="1"/>
  <c r="ED154" i="1" s="1"/>
  <c r="EN154" i="1" s="1"/>
  <c r="DT158" i="1"/>
  <c r="ED158" i="1" s="1"/>
  <c r="EN158" i="1" s="1"/>
  <c r="DT14" i="1"/>
  <c r="ED14" i="1" s="1"/>
  <c r="EN14" i="1" s="1"/>
  <c r="DT56" i="1"/>
  <c r="ED56" i="1" s="1"/>
  <c r="EN56" i="1" s="1"/>
  <c r="DT73" i="1"/>
  <c r="ED73" i="1" s="1"/>
  <c r="EN73" i="1" s="1"/>
  <c r="DT76" i="1"/>
  <c r="ED76" i="1" s="1"/>
  <c r="EN76" i="1" s="1"/>
  <c r="DT85" i="1"/>
  <c r="ED85" i="1" s="1"/>
  <c r="EN85" i="1" s="1"/>
  <c r="DT94" i="1"/>
  <c r="ED94" i="1" s="1"/>
  <c r="EN94" i="1" s="1"/>
  <c r="DT123" i="1"/>
  <c r="ED123" i="1" s="1"/>
  <c r="EN123" i="1" s="1"/>
  <c r="DT155" i="1"/>
  <c r="ED155" i="1" s="1"/>
  <c r="EN155" i="1" s="1"/>
  <c r="DT159" i="1"/>
  <c r="ED159" i="1" s="1"/>
  <c r="EN159" i="1" s="1"/>
  <c r="DJ95" i="1"/>
  <c r="DJ96" i="1"/>
  <c r="DH88" i="1"/>
  <c r="DH86" i="1"/>
  <c r="DE10" i="1"/>
  <c r="DE9" i="1"/>
  <c r="DC11" i="1"/>
  <c r="DC10" i="1"/>
  <c r="DC79" i="1"/>
  <c r="DE15" i="1"/>
  <c r="DE66" i="1"/>
  <c r="DE20" i="1"/>
  <c r="DE57" i="1"/>
  <c r="DE61" i="1"/>
  <c r="DC70" i="1"/>
  <c r="DC75" i="1"/>
  <c r="DC78" i="1"/>
  <c r="DC94" i="1"/>
  <c r="DC122" i="1"/>
  <c r="DC148" i="1"/>
  <c r="DC153" i="1"/>
  <c r="DC157" i="1"/>
  <c r="DC95" i="1"/>
  <c r="DC80" i="1"/>
  <c r="DC48" i="1"/>
  <c r="DC12" i="1"/>
  <c r="DC160" i="1"/>
  <c r="DC96" i="1"/>
  <c r="DC81" i="1"/>
  <c r="DC77" i="1"/>
  <c r="DC52" i="1"/>
  <c r="DC20" i="1"/>
  <c r="DC13" i="1"/>
  <c r="DC154" i="1"/>
  <c r="DC152" i="1"/>
  <c r="DC147" i="1"/>
  <c r="DC58" i="1"/>
  <c r="DC56" i="1"/>
  <c r="DC21" i="1"/>
  <c r="DB19" i="1"/>
  <c r="DC19" i="1" s="1"/>
  <c r="DC14" i="1"/>
  <c r="DC18" i="1"/>
  <c r="DC91" i="1"/>
  <c r="DC145" i="1"/>
  <c r="DC158" i="1"/>
  <c r="DC161" i="1"/>
  <c r="DE71" i="1"/>
  <c r="DE65" i="1"/>
  <c r="DE64" i="1"/>
  <c r="DE60" i="1"/>
  <c r="DE16" i="1"/>
  <c r="DH74" i="1"/>
  <c r="DE21" i="1"/>
  <c r="DE62" i="1"/>
  <c r="DE74" i="1"/>
  <c r="DC138" i="1"/>
  <c r="DH162" i="1"/>
  <c r="DC162" i="1"/>
  <c r="DH78" i="1"/>
  <c r="DC86" i="1"/>
  <c r="DC88" i="1"/>
  <c r="DC170" i="1"/>
  <c r="DH9" i="1"/>
  <c r="DF18" i="1"/>
  <c r="DE123" i="1"/>
  <c r="DE122" i="1"/>
  <c r="DE170" i="1"/>
  <c r="DE161" i="1"/>
  <c r="DE160" i="1"/>
  <c r="DE159" i="1"/>
  <c r="DE158" i="1"/>
  <c r="DE157" i="1"/>
  <c r="DE156" i="1"/>
  <c r="DE155" i="1"/>
  <c r="DE154" i="1"/>
  <c r="DE153" i="1"/>
  <c r="DE152" i="1"/>
  <c r="DE137" i="1"/>
  <c r="DE91" i="1"/>
  <c r="DE85" i="1"/>
  <c r="DE77" i="1"/>
  <c r="DE76" i="1"/>
  <c r="DE75" i="1"/>
  <c r="DE70" i="1"/>
  <c r="DE67" i="1"/>
  <c r="DE63" i="1"/>
  <c r="DE53" i="1"/>
  <c r="DE49" i="1"/>
  <c r="DE48" i="1"/>
  <c r="DE47" i="1"/>
  <c r="DE43" i="1"/>
  <c r="DE39" i="1"/>
  <c r="DE35" i="1"/>
  <c r="DE31" i="1"/>
  <c r="DE169" i="1"/>
  <c r="DE144" i="1"/>
  <c r="DE138" i="1"/>
  <c r="DE87" i="1"/>
  <c r="DE86" i="1"/>
  <c r="DE145" i="1"/>
  <c r="DE140" i="1"/>
  <c r="DE79" i="1"/>
  <c r="DE73" i="1"/>
  <c r="DE58" i="1"/>
  <c r="DE56" i="1"/>
  <c r="DE54" i="1"/>
  <c r="DE52" i="1"/>
  <c r="DE50" i="1"/>
  <c r="DD19" i="1"/>
  <c r="DE14" i="1"/>
  <c r="DE96" i="1"/>
  <c r="DE95" i="1"/>
  <c r="DE94" i="1"/>
  <c r="DE80" i="1"/>
  <c r="DE46" i="1"/>
  <c r="DE45" i="1"/>
  <c r="DE42" i="1"/>
  <c r="DE41" i="1"/>
  <c r="DE38" i="1"/>
  <c r="DE37" i="1"/>
  <c r="DE34" i="1"/>
  <c r="DE33" i="1"/>
  <c r="DE30" i="1"/>
  <c r="DE13" i="1"/>
  <c r="DE12" i="1"/>
  <c r="DE11" i="1"/>
  <c r="DE147" i="1"/>
  <c r="DE136" i="1"/>
  <c r="DE88" i="1"/>
  <c r="DE81" i="1"/>
  <c r="DH8" i="1"/>
  <c r="DF8" i="1"/>
  <c r="DG59" i="1" s="1"/>
  <c r="DE17" i="1"/>
  <c r="DE18" i="1"/>
  <c r="DE32" i="1"/>
  <c r="DE36" i="1"/>
  <c r="DE40" i="1"/>
  <c r="DE44" i="1"/>
  <c r="DE51" i="1"/>
  <c r="DE55" i="1"/>
  <c r="DE59" i="1"/>
  <c r="DE68" i="1"/>
  <c r="DE69" i="1"/>
  <c r="DE72" i="1"/>
  <c r="DE78" i="1"/>
  <c r="DE162" i="1"/>
  <c r="DE148" i="1"/>
  <c r="DC140" i="1"/>
  <c r="DC136" i="1"/>
  <c r="DC123" i="1"/>
  <c r="DC73" i="1"/>
  <c r="DC72" i="1"/>
  <c r="DC71" i="1"/>
  <c r="DC9" i="1"/>
  <c r="DC15" i="1"/>
  <c r="DC16" i="1"/>
  <c r="DC17" i="1"/>
  <c r="DC49" i="1"/>
  <c r="DC60" i="1"/>
  <c r="DC61" i="1"/>
  <c r="DC74" i="1"/>
  <c r="DC76" i="1"/>
  <c r="DC85" i="1"/>
  <c r="DC87" i="1"/>
  <c r="DC137" i="1"/>
  <c r="DC144" i="1"/>
  <c r="DC155" i="1"/>
  <c r="DC159" i="1"/>
  <c r="DC169" i="1"/>
  <c r="CX122" i="1"/>
  <c r="EN170" i="1" l="1"/>
  <c r="EN74" i="1"/>
  <c r="DT170" i="1"/>
  <c r="ED148" i="1"/>
  <c r="EN147" i="1"/>
  <c r="EN86" i="1"/>
  <c r="EN88" i="1"/>
  <c r="ED160" i="1"/>
  <c r="EN160" i="1" s="1"/>
  <c r="ED95" i="1"/>
  <c r="EN95" i="1" s="1"/>
  <c r="ED77" i="1"/>
  <c r="ED61" i="1"/>
  <c r="EN61" i="1" s="1"/>
  <c r="ED6" i="1"/>
  <c r="EN6" i="1" s="1"/>
  <c r="ED74" i="1"/>
  <c r="ED170" i="1"/>
  <c r="ED86" i="1"/>
  <c r="ED88" i="1"/>
  <c r="DT162" i="1"/>
  <c r="DT9" i="1"/>
  <c r="ED9" i="1" s="1"/>
  <c r="EN9" i="1" s="1"/>
  <c r="DT8" i="1"/>
  <c r="DU73" i="1" s="1"/>
  <c r="DT86" i="1"/>
  <c r="DT88" i="1"/>
  <c r="DT78" i="1"/>
  <c r="DT74" i="1"/>
  <c r="DK96" i="1"/>
  <c r="DJ98" i="1"/>
  <c r="DK95" i="1"/>
  <c r="DH18" i="1"/>
  <c r="DH19" i="1" s="1"/>
  <c r="DI19" i="1" s="1"/>
  <c r="DG74" i="1"/>
  <c r="DI159" i="1"/>
  <c r="DI155" i="1"/>
  <c r="DI96" i="1"/>
  <c r="DI88" i="1"/>
  <c r="DI80" i="1"/>
  <c r="DI76" i="1"/>
  <c r="DI72" i="1"/>
  <c r="DI60" i="1"/>
  <c r="DI56" i="1"/>
  <c r="DI52" i="1"/>
  <c r="DI48" i="1"/>
  <c r="DI20" i="1"/>
  <c r="DI16" i="1"/>
  <c r="DI12" i="1"/>
  <c r="DI169" i="1"/>
  <c r="DI161" i="1"/>
  <c r="DI157" i="1"/>
  <c r="DI148" i="1"/>
  <c r="DI144" i="1"/>
  <c r="DI140" i="1"/>
  <c r="DI86" i="1"/>
  <c r="DI78" i="1"/>
  <c r="DI70" i="1"/>
  <c r="DI170" i="1"/>
  <c r="DI162" i="1"/>
  <c r="DI158" i="1"/>
  <c r="DI154" i="1"/>
  <c r="DI145" i="1"/>
  <c r="DI95" i="1"/>
  <c r="DI91" i="1"/>
  <c r="DI87" i="1"/>
  <c r="DI79" i="1"/>
  <c r="DI75" i="1"/>
  <c r="DI71" i="1"/>
  <c r="DI15" i="1"/>
  <c r="DI11" i="1"/>
  <c r="DI153" i="1"/>
  <c r="DI94" i="1"/>
  <c r="DI74" i="1"/>
  <c r="DI58" i="1"/>
  <c r="DI160" i="1"/>
  <c r="DI81" i="1"/>
  <c r="DI49" i="1"/>
  <c r="DI17" i="1"/>
  <c r="DI9" i="1"/>
  <c r="DI156" i="1"/>
  <c r="DI77" i="1"/>
  <c r="DI61" i="1"/>
  <c r="DI14" i="1"/>
  <c r="DI73" i="1"/>
  <c r="DI13" i="1"/>
  <c r="DI147" i="1"/>
  <c r="DI85" i="1"/>
  <c r="DI10" i="1"/>
  <c r="DI152" i="1"/>
  <c r="DI21" i="1"/>
  <c r="DI123" i="1"/>
  <c r="DI122" i="1"/>
  <c r="DG78" i="1"/>
  <c r="DG144" i="1"/>
  <c r="DG86" i="1"/>
  <c r="DG170" i="1"/>
  <c r="DG70" i="1"/>
  <c r="DG162" i="1"/>
  <c r="DG18" i="1"/>
  <c r="DG169" i="1"/>
  <c r="DG145" i="1"/>
  <c r="DG127" i="1"/>
  <c r="DG87" i="1"/>
  <c r="DG81" i="1"/>
  <c r="DG80" i="1"/>
  <c r="DG79" i="1"/>
  <c r="DG66" i="1"/>
  <c r="DG62" i="1"/>
  <c r="DG58" i="1"/>
  <c r="DG57" i="1"/>
  <c r="DG46" i="1"/>
  <c r="DG42" i="1"/>
  <c r="DG38" i="1"/>
  <c r="DG34" i="1"/>
  <c r="DG30" i="1"/>
  <c r="DG159" i="1"/>
  <c r="DG155" i="1"/>
  <c r="DG148" i="1"/>
  <c r="DG140" i="1"/>
  <c r="DG85" i="1"/>
  <c r="DG76" i="1"/>
  <c r="DG160" i="1"/>
  <c r="DG156" i="1"/>
  <c r="DG152" i="1"/>
  <c r="DG122" i="1"/>
  <c r="DG96" i="1"/>
  <c r="DG95" i="1"/>
  <c r="DG94" i="1"/>
  <c r="DG77" i="1"/>
  <c r="DG69" i="1"/>
  <c r="DG45" i="1"/>
  <c r="DG41" i="1"/>
  <c r="DG37" i="1"/>
  <c r="DG33" i="1"/>
  <c r="DG12" i="1"/>
  <c r="DG11" i="1"/>
  <c r="DG161" i="1"/>
  <c r="DG157" i="1"/>
  <c r="DG153" i="1"/>
  <c r="DG147" i="1"/>
  <c r="DG71" i="1"/>
  <c r="DG65" i="1"/>
  <c r="DG47" i="1"/>
  <c r="DG44" i="1"/>
  <c r="DG43" i="1"/>
  <c r="DG40" i="1"/>
  <c r="DG39" i="1"/>
  <c r="DG36" i="1"/>
  <c r="DG35" i="1"/>
  <c r="DG32" i="1"/>
  <c r="DG31" i="1"/>
  <c r="DG21" i="1"/>
  <c r="DG20" i="1"/>
  <c r="DG158" i="1"/>
  <c r="DG154" i="1"/>
  <c r="DG123" i="1"/>
  <c r="DG91" i="1"/>
  <c r="DG75" i="1"/>
  <c r="DG72" i="1"/>
  <c r="DG48" i="1"/>
  <c r="DF19" i="1"/>
  <c r="DG63" i="1"/>
  <c r="DG61" i="1"/>
  <c r="DG53" i="1"/>
  <c r="DG49" i="1"/>
  <c r="DG16" i="1"/>
  <c r="DG54" i="1"/>
  <c r="DG51" i="1"/>
  <c r="DG13" i="1"/>
  <c r="DG60" i="1"/>
  <c r="DG56" i="1"/>
  <c r="DG15" i="1"/>
  <c r="DG73" i="1"/>
  <c r="DG64" i="1"/>
  <c r="DG68" i="1"/>
  <c r="DG67" i="1"/>
  <c r="DG55" i="1"/>
  <c r="DG50" i="1"/>
  <c r="DG17" i="1"/>
  <c r="DG14" i="1"/>
  <c r="DG88" i="1"/>
  <c r="DG10" i="1"/>
  <c r="DG52" i="1"/>
  <c r="DE19" i="1"/>
  <c r="DG9" i="1"/>
  <c r="CX174" i="1"/>
  <c r="CV127" i="1"/>
  <c r="CV16" i="1"/>
  <c r="CV10" i="1"/>
  <c r="EN162" i="1" l="1"/>
  <c r="ED162" i="1"/>
  <c r="EN18" i="1"/>
  <c r="ED8" i="1"/>
  <c r="EE15" i="1" s="1"/>
  <c r="ED78" i="1"/>
  <c r="EN77" i="1"/>
  <c r="EN148" i="1"/>
  <c r="ED18" i="1"/>
  <c r="DU9" i="1"/>
  <c r="DU79" i="1"/>
  <c r="DU88" i="1"/>
  <c r="DU71" i="1"/>
  <c r="DU127" i="1"/>
  <c r="DU81" i="1"/>
  <c r="DU15" i="1"/>
  <c r="DU52" i="1"/>
  <c r="DU86" i="1"/>
  <c r="DU77" i="1"/>
  <c r="DU159" i="1"/>
  <c r="DU12" i="1"/>
  <c r="DU148" i="1"/>
  <c r="DU169" i="1"/>
  <c r="DU58" i="1"/>
  <c r="DU147" i="1"/>
  <c r="DU153" i="1"/>
  <c r="DU78" i="1"/>
  <c r="DU140" i="1"/>
  <c r="DU144" i="1"/>
  <c r="DU85" i="1"/>
  <c r="DU152" i="1"/>
  <c r="DU21" i="1"/>
  <c r="DU170" i="1"/>
  <c r="DU91" i="1"/>
  <c r="DU49" i="1"/>
  <c r="DU76" i="1"/>
  <c r="DU70" i="1"/>
  <c r="DU156" i="1"/>
  <c r="DU161" i="1"/>
  <c r="DU75" i="1"/>
  <c r="DU158" i="1"/>
  <c r="DU10" i="1"/>
  <c r="DU20" i="1"/>
  <c r="DU162" i="1"/>
  <c r="DU80" i="1"/>
  <c r="DU13" i="1"/>
  <c r="DU154" i="1"/>
  <c r="DU56" i="1"/>
  <c r="DU94" i="1"/>
  <c r="DU95" i="1"/>
  <c r="DU74" i="1"/>
  <c r="DU16" i="1"/>
  <c r="DU48" i="1"/>
  <c r="DU87" i="1"/>
  <c r="DU155" i="1"/>
  <c r="DU17" i="1"/>
  <c r="DU61" i="1"/>
  <c r="DU160" i="1"/>
  <c r="DU157" i="1"/>
  <c r="DU72" i="1"/>
  <c r="DU145" i="1"/>
  <c r="DU14" i="1"/>
  <c r="DU60" i="1"/>
  <c r="DU11" i="1"/>
  <c r="DU122" i="1"/>
  <c r="DU123" i="1"/>
  <c r="DT18" i="1"/>
  <c r="DL98" i="1"/>
  <c r="DM98" i="1" s="1"/>
  <c r="DM96" i="1"/>
  <c r="DI18" i="1"/>
  <c r="DG19" i="1"/>
  <c r="CX172" i="1"/>
  <c r="EE11" i="1" l="1"/>
  <c r="EE152" i="1"/>
  <c r="EE156" i="1"/>
  <c r="EE88" i="1"/>
  <c r="EE154" i="1"/>
  <c r="EE162" i="1"/>
  <c r="EE94" i="1"/>
  <c r="EE61" i="1"/>
  <c r="EE122" i="1"/>
  <c r="EE81" i="1"/>
  <c r="EE16" i="1"/>
  <c r="EE159" i="1"/>
  <c r="EE148" i="1"/>
  <c r="EE153" i="1"/>
  <c r="EE9" i="1"/>
  <c r="EE77" i="1"/>
  <c r="EE169" i="1"/>
  <c r="EE72" i="1"/>
  <c r="EE20" i="1"/>
  <c r="EE147" i="1"/>
  <c r="EE144" i="1"/>
  <c r="EE161" i="1"/>
  <c r="EE87" i="1"/>
  <c r="EE71" i="1"/>
  <c r="EE127" i="1"/>
  <c r="EE76" i="1"/>
  <c r="EE12" i="1"/>
  <c r="EE13" i="1"/>
  <c r="EE160" i="1"/>
  <c r="EE78" i="1"/>
  <c r="EE74" i="1"/>
  <c r="EE17" i="1"/>
  <c r="EE140" i="1"/>
  <c r="EE80" i="1"/>
  <c r="EE75" i="1"/>
  <c r="EE157" i="1"/>
  <c r="EE91" i="1"/>
  <c r="EE145" i="1"/>
  <c r="EE56" i="1"/>
  <c r="EE70" i="1"/>
  <c r="EE79" i="1"/>
  <c r="EE52" i="1"/>
  <c r="EE158" i="1"/>
  <c r="EE49" i="1"/>
  <c r="EE86" i="1"/>
  <c r="EE170" i="1"/>
  <c r="EE21" i="1"/>
  <c r="EE95" i="1"/>
  <c r="EE60" i="1"/>
  <c r="EE85" i="1"/>
  <c r="EE73" i="1"/>
  <c r="EE155" i="1"/>
  <c r="EE48" i="1"/>
  <c r="EE58" i="1"/>
  <c r="EE14" i="1"/>
  <c r="EE10" i="1"/>
  <c r="EE123" i="1"/>
  <c r="EN78" i="1"/>
  <c r="EE18" i="1"/>
  <c r="ED19" i="1"/>
  <c r="DU18" i="1"/>
  <c r="DT19" i="1"/>
  <c r="DU19" i="1" s="1"/>
  <c r="DN98" i="1"/>
  <c r="DO98" i="1" s="1"/>
  <c r="DO96" i="1"/>
  <c r="CX71" i="1"/>
  <c r="EE19" i="1" l="1"/>
  <c r="DP98" i="1"/>
  <c r="DQ98" i="1" s="1"/>
  <c r="DQ96" i="1"/>
  <c r="DR96" i="1"/>
  <c r="DT96" i="1" s="1"/>
  <c r="ED96" i="1" s="1"/>
  <c r="EN96" i="1" s="1"/>
  <c r="CX16" i="1"/>
  <c r="EE96" i="1" l="1"/>
  <c r="DR98" i="1"/>
  <c r="DS98" i="1" s="1"/>
  <c r="DS96" i="1"/>
  <c r="CX169" i="1"/>
  <c r="DU96" i="1" l="1"/>
  <c r="CP176" i="1"/>
  <c r="CT176" i="1"/>
  <c r="CV176" i="1"/>
  <c r="CP74" i="1" l="1"/>
  <c r="CX176" i="1"/>
  <c r="CX175" i="1"/>
  <c r="CX173" i="1"/>
  <c r="CX168" i="1"/>
  <c r="CX167" i="1"/>
  <c r="CX166" i="1"/>
  <c r="CX165" i="1"/>
  <c r="CX163" i="1"/>
  <c r="CX160" i="1"/>
  <c r="CX159" i="1"/>
  <c r="CX158" i="1"/>
  <c r="CX157" i="1"/>
  <c r="CX156" i="1"/>
  <c r="CX155" i="1"/>
  <c r="CX154" i="1"/>
  <c r="CX153" i="1"/>
  <c r="CX152" i="1"/>
  <c r="CX150" i="1"/>
  <c r="CX149" i="1"/>
  <c r="CX147" i="1"/>
  <c r="CX145" i="1"/>
  <c r="CX143" i="1"/>
  <c r="CX142" i="1"/>
  <c r="CX141" i="1"/>
  <c r="CX133" i="1"/>
  <c r="CX132" i="1"/>
  <c r="CX131" i="1"/>
  <c r="CX130" i="1"/>
  <c r="CX124" i="1"/>
  <c r="CX121" i="1"/>
  <c r="CX120" i="1"/>
  <c r="CX119" i="1"/>
  <c r="CX118" i="1"/>
  <c r="CX117" i="1"/>
  <c r="CX116" i="1"/>
  <c r="CX115" i="1"/>
  <c r="CX114" i="1"/>
  <c r="CX113" i="1"/>
  <c r="CX112" i="1"/>
  <c r="CX110" i="1"/>
  <c r="CX109" i="1"/>
  <c r="CX108" i="1"/>
  <c r="CX106" i="1"/>
  <c r="CX105" i="1"/>
  <c r="CX104" i="1"/>
  <c r="CX103" i="1"/>
  <c r="CX102" i="1"/>
  <c r="CX101" i="1"/>
  <c r="CX100" i="1"/>
  <c r="CX99" i="1"/>
  <c r="CX92" i="1"/>
  <c r="CX90" i="1"/>
  <c r="CX89" i="1"/>
  <c r="CX87" i="1"/>
  <c r="CX85" i="1"/>
  <c r="CX83" i="1"/>
  <c r="CX82" i="1"/>
  <c r="CX77" i="1"/>
  <c r="CX76" i="1"/>
  <c r="CX75" i="1"/>
  <c r="CX72" i="1"/>
  <c r="CX70" i="1"/>
  <c r="CX68" i="1"/>
  <c r="CX67" i="1"/>
  <c r="CX66" i="1"/>
  <c r="CX65" i="1"/>
  <c r="CX64" i="1"/>
  <c r="CX63" i="1"/>
  <c r="CX62" i="1"/>
  <c r="CX60" i="1"/>
  <c r="CX58" i="1"/>
  <c r="CX57" i="1"/>
  <c r="CX56" i="1"/>
  <c r="CX55" i="1"/>
  <c r="CX54" i="1"/>
  <c r="CX53" i="1"/>
  <c r="CX52" i="1"/>
  <c r="CX51" i="1"/>
  <c r="CX50" i="1"/>
  <c r="CX49" i="1"/>
  <c r="CX17" i="1"/>
  <c r="CX15" i="1"/>
  <c r="CX14" i="1"/>
  <c r="CX13" i="1"/>
  <c r="CX11" i="1"/>
  <c r="CX7" i="1"/>
  <c r="CX6" i="1"/>
  <c r="DH168" i="1" l="1"/>
  <c r="DH166" i="1"/>
  <c r="CX123" i="1"/>
  <c r="CX61" i="1"/>
  <c r="CX48" i="1"/>
  <c r="CX21" i="1"/>
  <c r="CX20" i="1"/>
  <c r="DR166" i="1" l="1"/>
  <c r="DR168" i="1"/>
  <c r="DI166" i="1"/>
  <c r="DI168" i="1"/>
  <c r="CX12" i="1"/>
  <c r="CP127" i="1"/>
  <c r="CX127" i="1" s="1"/>
  <c r="DT168" i="1" l="1"/>
  <c r="DU168" i="1" s="1"/>
  <c r="EB168" i="1"/>
  <c r="EB166" i="1"/>
  <c r="DS166" i="1"/>
  <c r="DT166" i="1"/>
  <c r="DS168" i="1"/>
  <c r="CX9" i="1"/>
  <c r="CX161" i="1"/>
  <c r="ED166" i="1" l="1"/>
  <c r="EN166" i="1" s="1"/>
  <c r="ED168" i="1"/>
  <c r="EN168" i="1" s="1"/>
  <c r="EC166" i="1"/>
  <c r="EC168" i="1"/>
  <c r="CV129" i="1"/>
  <c r="CV170" i="1"/>
  <c r="CT170" i="1"/>
  <c r="CV164" i="1"/>
  <c r="CT164" i="1"/>
  <c r="CV162" i="1"/>
  <c r="CT162" i="1"/>
  <c r="CV148" i="1"/>
  <c r="CT148" i="1"/>
  <c r="CV125" i="1"/>
  <c r="CT125" i="1"/>
  <c r="CV111" i="1"/>
  <c r="CT111" i="1"/>
  <c r="CV107" i="1"/>
  <c r="CT107" i="1"/>
  <c r="CV8" i="1"/>
  <c r="CW174" i="1" s="1"/>
  <c r="CT8" i="1"/>
  <c r="CP162" i="1"/>
  <c r="CP148" i="1"/>
  <c r="CP8" i="1"/>
  <c r="EE168" i="1" l="1"/>
  <c r="EE166" i="1"/>
  <c r="CX10" i="1"/>
  <c r="CX148" i="1"/>
  <c r="CU127" i="1"/>
  <c r="CT129" i="1"/>
  <c r="CU129" i="1" s="1"/>
  <c r="CU71" i="1"/>
  <c r="CU123" i="1"/>
  <c r="CQ123" i="1"/>
  <c r="CQ127" i="1"/>
  <c r="CQ71" i="1"/>
  <c r="CW169" i="1"/>
  <c r="CW9" i="1"/>
  <c r="CQ158" i="1"/>
  <c r="CU176" i="1"/>
  <c r="CU174" i="1"/>
  <c r="CU172" i="1"/>
  <c r="CU168" i="1"/>
  <c r="CU166" i="1"/>
  <c r="CU163" i="1"/>
  <c r="CU160" i="1"/>
  <c r="CU158" i="1"/>
  <c r="CU156" i="1"/>
  <c r="CU154" i="1"/>
  <c r="CU152" i="1"/>
  <c r="CU149" i="1"/>
  <c r="CU143" i="1"/>
  <c r="CU141" i="1"/>
  <c r="CU134" i="1"/>
  <c r="CU132" i="1"/>
  <c r="CU130" i="1"/>
  <c r="CU121" i="1"/>
  <c r="CU119" i="1"/>
  <c r="CU117" i="1"/>
  <c r="CU115" i="1"/>
  <c r="CU113" i="1"/>
  <c r="CU110" i="1"/>
  <c r="CU108" i="1"/>
  <c r="CU105" i="1"/>
  <c r="CU103" i="1"/>
  <c r="CU101" i="1"/>
  <c r="CU99" i="1"/>
  <c r="CU89" i="1"/>
  <c r="CU82" i="1"/>
  <c r="CU75" i="1"/>
  <c r="CU72" i="1"/>
  <c r="CU175" i="1"/>
  <c r="CU173" i="1"/>
  <c r="CU169" i="1"/>
  <c r="CU167" i="1"/>
  <c r="CU165" i="1"/>
  <c r="CU161" i="1"/>
  <c r="CU159" i="1"/>
  <c r="CU157" i="1"/>
  <c r="CU155" i="1"/>
  <c r="CU153" i="1"/>
  <c r="CU150" i="1"/>
  <c r="CU147" i="1"/>
  <c r="CU142" i="1"/>
  <c r="CU133" i="1"/>
  <c r="CU131" i="1"/>
  <c r="CU128" i="1"/>
  <c r="CU124" i="1"/>
  <c r="CU122" i="1"/>
  <c r="CU120" i="1"/>
  <c r="CU118" i="1"/>
  <c r="CU116" i="1"/>
  <c r="CU114" i="1"/>
  <c r="CU112" i="1"/>
  <c r="CU109" i="1"/>
  <c r="CU106" i="1"/>
  <c r="CU104" i="1"/>
  <c r="CU102" i="1"/>
  <c r="CU100" i="1"/>
  <c r="CU97" i="1"/>
  <c r="CU92" i="1"/>
  <c r="CU90" i="1"/>
  <c r="CU83" i="1"/>
  <c r="CU76" i="1"/>
  <c r="CU50" i="1"/>
  <c r="CU54" i="1"/>
  <c r="CU58" i="1"/>
  <c r="CU65" i="1"/>
  <c r="CU107" i="1"/>
  <c r="CU125" i="1"/>
  <c r="CU148" i="1"/>
  <c r="CU164" i="1"/>
  <c r="CU10" i="1"/>
  <c r="CU14" i="1"/>
  <c r="CW176" i="1"/>
  <c r="CW172" i="1"/>
  <c r="CW168" i="1"/>
  <c r="CW166" i="1"/>
  <c r="CW163" i="1"/>
  <c r="CW160" i="1"/>
  <c r="CW158" i="1"/>
  <c r="CW156" i="1"/>
  <c r="CW154" i="1"/>
  <c r="CW152" i="1"/>
  <c r="CW149" i="1"/>
  <c r="CW143" i="1"/>
  <c r="CW141" i="1"/>
  <c r="CW134" i="1"/>
  <c r="CW132" i="1"/>
  <c r="CW130" i="1"/>
  <c r="CW127" i="1"/>
  <c r="CW123" i="1"/>
  <c r="CW121" i="1"/>
  <c r="CW119" i="1"/>
  <c r="CW117" i="1"/>
  <c r="CW115" i="1"/>
  <c r="CW113" i="1"/>
  <c r="CW110" i="1"/>
  <c r="CW108" i="1"/>
  <c r="CW105" i="1"/>
  <c r="CW103" i="1"/>
  <c r="CW101" i="1"/>
  <c r="CW99" i="1"/>
  <c r="CW89" i="1"/>
  <c r="CW82" i="1"/>
  <c r="CW75" i="1"/>
  <c r="CW72" i="1"/>
  <c r="CW67" i="1"/>
  <c r="CW65" i="1"/>
  <c r="CW63" i="1"/>
  <c r="CW58" i="1"/>
  <c r="CW56" i="1"/>
  <c r="CW54" i="1"/>
  <c r="CW52" i="1"/>
  <c r="CW50" i="1"/>
  <c r="CW175" i="1"/>
  <c r="CW173" i="1"/>
  <c r="CW167" i="1"/>
  <c r="CW165" i="1"/>
  <c r="CW161" i="1"/>
  <c r="CW159" i="1"/>
  <c r="CW157" i="1"/>
  <c r="CW155" i="1"/>
  <c r="CW153" i="1"/>
  <c r="CW150" i="1"/>
  <c r="CW147" i="1"/>
  <c r="CW142" i="1"/>
  <c r="CW133" i="1"/>
  <c r="CW131" i="1"/>
  <c r="CW128" i="1"/>
  <c r="CW124" i="1"/>
  <c r="CW122" i="1"/>
  <c r="CW120" i="1"/>
  <c r="CW118" i="1"/>
  <c r="CW116" i="1"/>
  <c r="CW114" i="1"/>
  <c r="CW112" i="1"/>
  <c r="CW109" i="1"/>
  <c r="CW106" i="1"/>
  <c r="CW104" i="1"/>
  <c r="CW102" i="1"/>
  <c r="CW100" i="1"/>
  <c r="CW97" i="1"/>
  <c r="CW92" i="1"/>
  <c r="CW90" i="1"/>
  <c r="CW83" i="1"/>
  <c r="CW76" i="1"/>
  <c r="CW71" i="1"/>
  <c r="CW68" i="1"/>
  <c r="CW66" i="1"/>
  <c r="CW64" i="1"/>
  <c r="CW62" i="1"/>
  <c r="CW57" i="1"/>
  <c r="CW55" i="1"/>
  <c r="CW53" i="1"/>
  <c r="CW51" i="1"/>
  <c r="CW14" i="1"/>
  <c r="CU51" i="1"/>
  <c r="CU55" i="1"/>
  <c r="CU62" i="1"/>
  <c r="CU66" i="1"/>
  <c r="CW107" i="1"/>
  <c r="CW125" i="1"/>
  <c r="CW148" i="1"/>
  <c r="CW164" i="1"/>
  <c r="CU9" i="1"/>
  <c r="CU13" i="1"/>
  <c r="CU56" i="1"/>
  <c r="CU63" i="1"/>
  <c r="CU67" i="1"/>
  <c r="CU111" i="1"/>
  <c r="CU162" i="1"/>
  <c r="CU170" i="1"/>
  <c r="CU17" i="1"/>
  <c r="CW13" i="1"/>
  <c r="CW17" i="1"/>
  <c r="CU53" i="1"/>
  <c r="CU57" i="1"/>
  <c r="CU64" i="1"/>
  <c r="CU68" i="1"/>
  <c r="CW111" i="1"/>
  <c r="CW129" i="1"/>
  <c r="CW162" i="1"/>
  <c r="CW170" i="1"/>
  <c r="CQ14" i="1"/>
  <c r="CQ10" i="1"/>
  <c r="CQ56" i="1"/>
  <c r="CQ9" i="1"/>
  <c r="CQ75" i="1"/>
  <c r="CQ17" i="1"/>
  <c r="CQ52" i="1"/>
  <c r="CQ58" i="1"/>
  <c r="CQ72" i="1"/>
  <c r="CQ13" i="1"/>
  <c r="CQ155" i="1"/>
  <c r="CQ162" i="1"/>
  <c r="CQ161" i="1"/>
  <c r="CQ157" i="1"/>
  <c r="CQ153" i="1"/>
  <c r="CQ160" i="1"/>
  <c r="CQ156" i="1"/>
  <c r="CQ152" i="1"/>
  <c r="CQ159" i="1"/>
  <c r="CQ148" i="1"/>
  <c r="CQ76" i="1"/>
  <c r="CQ147" i="1"/>
  <c r="CQ154" i="1"/>
  <c r="CW10" i="1" l="1"/>
  <c r="CJ13" i="1" l="1"/>
  <c r="CJ10" i="1"/>
  <c r="CJ14" i="1"/>
  <c r="CJ9" i="1"/>
  <c r="CJ144" i="1"/>
  <c r="CJ7" i="1"/>
  <c r="CQ144" i="1" l="1"/>
  <c r="CX144" i="1"/>
  <c r="CL7" i="1"/>
  <c r="CW144" i="1" l="1"/>
  <c r="CU144" i="1"/>
  <c r="CJ70" i="1"/>
  <c r="CQ70" i="1" l="1"/>
  <c r="CJ52" i="1"/>
  <c r="CU70" i="1" l="1"/>
  <c r="CL169" i="1"/>
  <c r="CL170" i="1" s="1"/>
  <c r="CL161" i="1"/>
  <c r="CL160" i="1"/>
  <c r="CL159" i="1"/>
  <c r="CL158" i="1"/>
  <c r="CL157" i="1"/>
  <c r="CL156" i="1"/>
  <c r="CL155" i="1"/>
  <c r="CL154" i="1"/>
  <c r="CL153" i="1"/>
  <c r="CL152" i="1"/>
  <c r="CL147" i="1"/>
  <c r="CL148" i="1" s="1"/>
  <c r="CL145" i="1"/>
  <c r="CL144" i="1"/>
  <c r="CL140" i="1"/>
  <c r="CL137" i="1"/>
  <c r="CL136" i="1"/>
  <c r="CL123" i="1"/>
  <c r="CL96" i="1"/>
  <c r="CL95" i="1"/>
  <c r="CL94" i="1"/>
  <c r="CL91" i="1"/>
  <c r="CL87" i="1"/>
  <c r="CL85" i="1"/>
  <c r="CL81" i="1"/>
  <c r="CL80" i="1"/>
  <c r="CL79" i="1"/>
  <c r="CL77" i="1"/>
  <c r="CL76" i="1"/>
  <c r="CL75" i="1"/>
  <c r="CL73" i="1"/>
  <c r="CL72" i="1"/>
  <c r="CL71" i="1"/>
  <c r="CL70" i="1"/>
  <c r="CL61" i="1"/>
  <c r="CL60" i="1"/>
  <c r="CL58" i="1"/>
  <c r="CL56" i="1"/>
  <c r="CL52" i="1"/>
  <c r="CL49" i="1"/>
  <c r="CL48" i="1"/>
  <c r="CL21" i="1"/>
  <c r="CL20" i="1"/>
  <c r="CL16" i="1"/>
  <c r="CL15" i="1"/>
  <c r="CL14" i="1"/>
  <c r="CL13" i="1"/>
  <c r="CL12" i="1"/>
  <c r="CL11" i="1"/>
  <c r="CL10" i="1"/>
  <c r="CL9" i="1"/>
  <c r="CL6" i="1"/>
  <c r="CL8" i="1" s="1"/>
  <c r="CW70" i="1" l="1"/>
  <c r="CM10" i="1"/>
  <c r="CX94" i="1" l="1"/>
  <c r="CQ94" i="1"/>
  <c r="CQ16" i="1"/>
  <c r="CJ170" i="1"/>
  <c r="CH170" i="1"/>
  <c r="CH148" i="1"/>
  <c r="CH138" i="1"/>
  <c r="CH88" i="1"/>
  <c r="CH86" i="1"/>
  <c r="CH78" i="1"/>
  <c r="CH74" i="1"/>
  <c r="CH69" i="1"/>
  <c r="CH59" i="1"/>
  <c r="CH18" i="1"/>
  <c r="CH8" i="1"/>
  <c r="CF170" i="1"/>
  <c r="CF148" i="1"/>
  <c r="CF138" i="1"/>
  <c r="CF88" i="1"/>
  <c r="CF86" i="1"/>
  <c r="CF78" i="1"/>
  <c r="CF74" i="1"/>
  <c r="CF18" i="1"/>
  <c r="CF8" i="1"/>
  <c r="CU94" i="1" l="1"/>
  <c r="CU16" i="1"/>
  <c r="CG74" i="1"/>
  <c r="CG138" i="1"/>
  <c r="CG78" i="1"/>
  <c r="CI78" i="1"/>
  <c r="CG148" i="1"/>
  <c r="CI59" i="1"/>
  <c r="CI86" i="1"/>
  <c r="CI18" i="1"/>
  <c r="CI148" i="1"/>
  <c r="CI69" i="1"/>
  <c r="CI170" i="1"/>
  <c r="CG86" i="1"/>
  <c r="CG18" i="1"/>
  <c r="CG88" i="1"/>
  <c r="CI159" i="1"/>
  <c r="CI155" i="1"/>
  <c r="CI147" i="1"/>
  <c r="CI123" i="1"/>
  <c r="CI95" i="1"/>
  <c r="CI91" i="1"/>
  <c r="CI87" i="1"/>
  <c r="CI79" i="1"/>
  <c r="CI75" i="1"/>
  <c r="CI71" i="1"/>
  <c r="CI67" i="1"/>
  <c r="CI63" i="1"/>
  <c r="CI55" i="1"/>
  <c r="CI51" i="1"/>
  <c r="CI47" i="1"/>
  <c r="CI43" i="1"/>
  <c r="CI39" i="1"/>
  <c r="CI35" i="1"/>
  <c r="CI31" i="1"/>
  <c r="CI15" i="1"/>
  <c r="CI11" i="1"/>
  <c r="CI169" i="1"/>
  <c r="CI161" i="1"/>
  <c r="CI157" i="1"/>
  <c r="CI153" i="1"/>
  <c r="CI145" i="1"/>
  <c r="CI137" i="1"/>
  <c r="CI85" i="1"/>
  <c r="CI81" i="1"/>
  <c r="CI77" i="1"/>
  <c r="CI73" i="1"/>
  <c r="CI65" i="1"/>
  <c r="CI61" i="1"/>
  <c r="CI57" i="1"/>
  <c r="CI53" i="1"/>
  <c r="CI49" i="1"/>
  <c r="CI45" i="1"/>
  <c r="CI41" i="1"/>
  <c r="CI37" i="1"/>
  <c r="CI33" i="1"/>
  <c r="CI21" i="1"/>
  <c r="CI17" i="1"/>
  <c r="CI13" i="1"/>
  <c r="CI9" i="1"/>
  <c r="CI154" i="1"/>
  <c r="CI66" i="1"/>
  <c r="CI58" i="1"/>
  <c r="CI50" i="1"/>
  <c r="CI42" i="1"/>
  <c r="CI34" i="1"/>
  <c r="CI10" i="1"/>
  <c r="CI158" i="1"/>
  <c r="CI94" i="1"/>
  <c r="CI70" i="1"/>
  <c r="CI62" i="1"/>
  <c r="CI54" i="1"/>
  <c r="CI46" i="1"/>
  <c r="CI38" i="1"/>
  <c r="CI30" i="1"/>
  <c r="CI14" i="1"/>
  <c r="CI68" i="1"/>
  <c r="CI52" i="1"/>
  <c r="CI36" i="1"/>
  <c r="CI20" i="1"/>
  <c r="CI160" i="1"/>
  <c r="CI144" i="1"/>
  <c r="CI96" i="1"/>
  <c r="CI80" i="1"/>
  <c r="CI48" i="1"/>
  <c r="CI32" i="1"/>
  <c r="CI156" i="1"/>
  <c r="CI140" i="1"/>
  <c r="CI76" i="1"/>
  <c r="CI60" i="1"/>
  <c r="CI44" i="1"/>
  <c r="CI12" i="1"/>
  <c r="CI152" i="1"/>
  <c r="CI136" i="1"/>
  <c r="CI72" i="1"/>
  <c r="CI56" i="1"/>
  <c r="CI40" i="1"/>
  <c r="CI64" i="1"/>
  <c r="CI16" i="1"/>
  <c r="CI74" i="1"/>
  <c r="CI138" i="1"/>
  <c r="CG159" i="1"/>
  <c r="CG155" i="1"/>
  <c r="CG147" i="1"/>
  <c r="CG123" i="1"/>
  <c r="CG95" i="1"/>
  <c r="CG91" i="1"/>
  <c r="CG87" i="1"/>
  <c r="CG79" i="1"/>
  <c r="CG75" i="1"/>
  <c r="CG71" i="1"/>
  <c r="CG15" i="1"/>
  <c r="CG11" i="1"/>
  <c r="CG169" i="1"/>
  <c r="CG161" i="1"/>
  <c r="CG157" i="1"/>
  <c r="CG153" i="1"/>
  <c r="CG145" i="1"/>
  <c r="CG137" i="1"/>
  <c r="CG85" i="1"/>
  <c r="CG81" i="1"/>
  <c r="CG77" i="1"/>
  <c r="CG73" i="1"/>
  <c r="CG61" i="1"/>
  <c r="CG49" i="1"/>
  <c r="CG21" i="1"/>
  <c r="CG17" i="1"/>
  <c r="CG13" i="1"/>
  <c r="CG10" i="1"/>
  <c r="CG154" i="1"/>
  <c r="CG58" i="1"/>
  <c r="CG9" i="1"/>
  <c r="CG160" i="1"/>
  <c r="CG152" i="1"/>
  <c r="CG144" i="1"/>
  <c r="CG136" i="1"/>
  <c r="CG96" i="1"/>
  <c r="CG158" i="1"/>
  <c r="CG94" i="1"/>
  <c r="CG70" i="1"/>
  <c r="CG14" i="1"/>
  <c r="CG156" i="1"/>
  <c r="CG140" i="1"/>
  <c r="CG76" i="1"/>
  <c r="CG60" i="1"/>
  <c r="CG12" i="1"/>
  <c r="CG72" i="1"/>
  <c r="CG56" i="1"/>
  <c r="CG52" i="1"/>
  <c r="CG20" i="1"/>
  <c r="CG80" i="1"/>
  <c r="CG48" i="1"/>
  <c r="CG16" i="1"/>
  <c r="CG170" i="1"/>
  <c r="CI88" i="1"/>
  <c r="CF19" i="1"/>
  <c r="CG19" i="1" s="1"/>
  <c r="CJ8" i="1"/>
  <c r="CH19" i="1"/>
  <c r="CI19" i="1" s="1"/>
  <c r="CW94" i="1" l="1"/>
  <c r="CW16" i="1"/>
  <c r="CK170" i="1"/>
  <c r="CK10" i="1"/>
  <c r="CK159" i="1"/>
  <c r="CK155" i="1"/>
  <c r="CK145" i="1"/>
  <c r="CK96" i="1"/>
  <c r="CK73" i="1"/>
  <c r="CK68" i="1"/>
  <c r="CK64" i="1"/>
  <c r="CK60" i="1"/>
  <c r="CK55" i="1"/>
  <c r="CK51" i="1"/>
  <c r="CK47" i="1"/>
  <c r="CK43" i="1"/>
  <c r="CK39" i="1"/>
  <c r="CK35" i="1"/>
  <c r="CK31" i="1"/>
  <c r="CK21" i="1"/>
  <c r="CK15" i="1"/>
  <c r="CK11" i="1"/>
  <c r="CK169" i="1"/>
  <c r="CK161" i="1"/>
  <c r="CK157" i="1"/>
  <c r="CK153" i="1"/>
  <c r="CK137" i="1"/>
  <c r="CK94" i="1"/>
  <c r="CK85" i="1"/>
  <c r="CK80" i="1"/>
  <c r="CK76" i="1"/>
  <c r="CK71" i="1"/>
  <c r="CK66" i="1"/>
  <c r="CK62" i="1"/>
  <c r="CK57" i="1"/>
  <c r="CK53" i="1"/>
  <c r="CK49" i="1"/>
  <c r="CK45" i="1"/>
  <c r="CK41" i="1"/>
  <c r="CK37" i="1"/>
  <c r="CK33" i="1"/>
  <c r="CK17" i="1"/>
  <c r="CK13" i="1"/>
  <c r="CK156" i="1"/>
  <c r="CK147" i="1"/>
  <c r="CK136" i="1"/>
  <c r="CK75" i="1"/>
  <c r="CK65" i="1"/>
  <c r="CK56" i="1"/>
  <c r="CK48" i="1"/>
  <c r="CK40" i="1"/>
  <c r="CK32" i="1"/>
  <c r="CK12" i="1"/>
  <c r="CK144" i="1"/>
  <c r="CK81" i="1"/>
  <c r="CK54" i="1"/>
  <c r="CK38" i="1"/>
  <c r="CK20" i="1"/>
  <c r="CK160" i="1"/>
  <c r="CK152" i="1"/>
  <c r="CK79" i="1"/>
  <c r="CK70" i="1"/>
  <c r="CK61" i="1"/>
  <c r="CK52" i="1"/>
  <c r="CK44" i="1"/>
  <c r="CK36" i="1"/>
  <c r="CK16" i="1"/>
  <c r="CK158" i="1"/>
  <c r="CK140" i="1"/>
  <c r="CK95" i="1"/>
  <c r="CK87" i="1"/>
  <c r="CK77" i="1"/>
  <c r="CK67" i="1"/>
  <c r="CK58" i="1"/>
  <c r="CK50" i="1"/>
  <c r="CK42" i="1"/>
  <c r="CK34" i="1"/>
  <c r="CK14" i="1"/>
  <c r="CK154" i="1"/>
  <c r="CK123" i="1"/>
  <c r="CK91" i="1"/>
  <c r="CK72" i="1"/>
  <c r="CK63" i="1"/>
  <c r="CK46" i="1"/>
  <c r="CK30" i="1"/>
  <c r="CK9" i="1"/>
  <c r="CX125" i="1" l="1"/>
  <c r="BZ9" i="1"/>
  <c r="BZ148" i="1" l="1"/>
  <c r="CX134" i="1"/>
  <c r="CM13" i="1" l="1"/>
  <c r="CM17" i="1"/>
  <c r="BZ10" i="1"/>
  <c r="BZ7" i="1" l="1"/>
  <c r="BZ8" i="1" l="1"/>
  <c r="CB16" i="1" l="1"/>
  <c r="BZ18" i="1" l="1"/>
  <c r="CB17" i="1"/>
  <c r="CM16" i="1" l="1"/>
  <c r="CB6" i="1"/>
  <c r="CB7" i="1"/>
  <c r="CB8" i="1" l="1"/>
  <c r="BZ168" i="1"/>
  <c r="BZ167" i="1"/>
  <c r="BZ166" i="1"/>
  <c r="BZ165" i="1"/>
  <c r="BZ163" i="1"/>
  <c r="BZ161" i="1"/>
  <c r="BZ160" i="1"/>
  <c r="BZ159" i="1"/>
  <c r="BZ158" i="1"/>
  <c r="BZ157" i="1"/>
  <c r="BZ156" i="1"/>
  <c r="BZ155" i="1"/>
  <c r="BZ154" i="1"/>
  <c r="BZ153" i="1"/>
  <c r="BZ152" i="1"/>
  <c r="BZ47" i="1"/>
  <c r="BZ46" i="1"/>
  <c r="BZ45" i="1"/>
  <c r="BZ44" i="1"/>
  <c r="BZ43" i="1"/>
  <c r="BZ42" i="1"/>
  <c r="BZ41" i="1"/>
  <c r="BZ40" i="1"/>
  <c r="BZ39" i="1"/>
  <c r="BZ38" i="1"/>
  <c r="BZ37" i="1"/>
  <c r="BZ36" i="1"/>
  <c r="BZ35" i="1"/>
  <c r="BZ25" i="1"/>
  <c r="BZ27" i="1"/>
  <c r="BZ26" i="1"/>
  <c r="BZ24" i="1"/>
  <c r="BZ23" i="1"/>
  <c r="BZ22" i="1"/>
  <c r="BX86" i="1"/>
  <c r="BX176" i="1"/>
  <c r="BX170" i="1"/>
  <c r="BX164" i="1"/>
  <c r="BX162" i="1"/>
  <c r="BX148" i="1"/>
  <c r="BX146" i="1"/>
  <c r="BX138" i="1"/>
  <c r="BX129" i="1"/>
  <c r="BX125" i="1"/>
  <c r="BX111" i="1"/>
  <c r="BX107" i="1"/>
  <c r="BX98" i="1"/>
  <c r="BX93" i="1"/>
  <c r="BX88" i="1"/>
  <c r="BX84" i="1"/>
  <c r="BX78" i="1"/>
  <c r="BX74" i="1"/>
  <c r="BX69" i="1"/>
  <c r="BX59" i="1"/>
  <c r="BX28" i="1"/>
  <c r="BX18" i="1"/>
  <c r="BX8" i="1"/>
  <c r="BV8" i="1"/>
  <c r="CC16" i="1" l="1"/>
  <c r="CC17" i="1"/>
  <c r="CB22" i="1"/>
  <c r="CB37" i="1"/>
  <c r="CC37" i="1" s="1"/>
  <c r="CB45" i="1"/>
  <c r="CC45" i="1" s="1"/>
  <c r="CB157" i="1"/>
  <c r="CB167" i="1"/>
  <c r="CB23" i="1"/>
  <c r="CB25" i="1"/>
  <c r="CB42" i="1"/>
  <c r="CC42" i="1" s="1"/>
  <c r="CB158" i="1"/>
  <c r="CB168" i="1"/>
  <c r="CB24" i="1"/>
  <c r="CB35" i="1"/>
  <c r="CC35" i="1" s="1"/>
  <c r="CB39" i="1"/>
  <c r="CC39" i="1" s="1"/>
  <c r="CB43" i="1"/>
  <c r="CC43" i="1" s="1"/>
  <c r="CB47" i="1"/>
  <c r="CC47" i="1" s="1"/>
  <c r="CB155" i="1"/>
  <c r="CB159" i="1"/>
  <c r="CB165" i="1"/>
  <c r="CB27" i="1"/>
  <c r="CB41" i="1"/>
  <c r="CC41" i="1" s="1"/>
  <c r="CB153" i="1"/>
  <c r="CB161" i="1"/>
  <c r="CB38" i="1"/>
  <c r="CC38" i="1" s="1"/>
  <c r="CB46" i="1"/>
  <c r="CC46" i="1" s="1"/>
  <c r="CB154" i="1"/>
  <c r="CB26" i="1"/>
  <c r="CB36" i="1"/>
  <c r="CC36" i="1" s="1"/>
  <c r="CB40" i="1"/>
  <c r="CC40" i="1" s="1"/>
  <c r="CB44" i="1"/>
  <c r="CC44" i="1" s="1"/>
  <c r="CB152" i="1"/>
  <c r="CB156" i="1"/>
  <c r="CB160" i="1"/>
  <c r="CB166" i="1"/>
  <c r="CB163" i="1"/>
  <c r="BX19" i="1"/>
  <c r="BX29" i="1" s="1"/>
  <c r="BX126" i="1" s="1"/>
  <c r="BZ164" i="1"/>
  <c r="BV107" i="1"/>
  <c r="BV28" i="1"/>
  <c r="BV176" i="1"/>
  <c r="BV170" i="1"/>
  <c r="BV164" i="1"/>
  <c r="BV162" i="1"/>
  <c r="BV148" i="1"/>
  <c r="BV146" i="1"/>
  <c r="BV138" i="1"/>
  <c r="BV129" i="1"/>
  <c r="BV125" i="1"/>
  <c r="BV111" i="1"/>
  <c r="BV98" i="1"/>
  <c r="BV93" i="1"/>
  <c r="BV88" i="1"/>
  <c r="BV86" i="1"/>
  <c r="BV84" i="1"/>
  <c r="BV78" i="1"/>
  <c r="BV74" i="1"/>
  <c r="BV69" i="1"/>
  <c r="BV59" i="1"/>
  <c r="BV18" i="1"/>
  <c r="CC27" i="1" l="1"/>
  <c r="CC24" i="1"/>
  <c r="CC26" i="1"/>
  <c r="CC23" i="1"/>
  <c r="CC25" i="1"/>
  <c r="CC22" i="1"/>
  <c r="CC166" i="1"/>
  <c r="CL166" i="1"/>
  <c r="CC154" i="1"/>
  <c r="CC155" i="1"/>
  <c r="CC157" i="1"/>
  <c r="CC163" i="1"/>
  <c r="CC152" i="1"/>
  <c r="CC161" i="1"/>
  <c r="CC165" i="1"/>
  <c r="CC168" i="1"/>
  <c r="CL168" i="1"/>
  <c r="CC153" i="1"/>
  <c r="CC159" i="1"/>
  <c r="CC158" i="1"/>
  <c r="CC167" i="1"/>
  <c r="CC160" i="1"/>
  <c r="CC156" i="1"/>
  <c r="CD161" i="1"/>
  <c r="CD165" i="1"/>
  <c r="CD43" i="1"/>
  <c r="CD168" i="1"/>
  <c r="CD157" i="1"/>
  <c r="CB162" i="1"/>
  <c r="CD156" i="1"/>
  <c r="CD36" i="1"/>
  <c r="CB164" i="1"/>
  <c r="CD160" i="1"/>
  <c r="CD152" i="1"/>
  <c r="CD40" i="1"/>
  <c r="CD26" i="1"/>
  <c r="CD46" i="1"/>
  <c r="CD41" i="1"/>
  <c r="CD155" i="1"/>
  <c r="CD35" i="1"/>
  <c r="CD42" i="1"/>
  <c r="CD23" i="1"/>
  <c r="CD37" i="1"/>
  <c r="CD166" i="1"/>
  <c r="CD44" i="1"/>
  <c r="CD154" i="1"/>
  <c r="CD38" i="1"/>
  <c r="CD153" i="1"/>
  <c r="CD27" i="1"/>
  <c r="CD159" i="1"/>
  <c r="CD47" i="1"/>
  <c r="CD39" i="1"/>
  <c r="CD24" i="1"/>
  <c r="CD158" i="1"/>
  <c r="CD25" i="1"/>
  <c r="CD167" i="1"/>
  <c r="CD45" i="1"/>
  <c r="CD22" i="1"/>
  <c r="CD163" i="1"/>
  <c r="BY29" i="1"/>
  <c r="BY19" i="1"/>
  <c r="BY126" i="1"/>
  <c r="BX135" i="1"/>
  <c r="BZ162" i="1"/>
  <c r="BV19" i="1"/>
  <c r="BW19" i="1" s="1"/>
  <c r="CN161" i="1" l="1"/>
  <c r="CN166" i="1"/>
  <c r="CR166" i="1" s="1"/>
  <c r="CF24" i="1"/>
  <c r="CN160" i="1"/>
  <c r="CN158" i="1"/>
  <c r="CN153" i="1"/>
  <c r="CN152" i="1"/>
  <c r="CN157" i="1"/>
  <c r="CN154" i="1"/>
  <c r="CN156" i="1"/>
  <c r="CN159" i="1"/>
  <c r="CN168" i="1"/>
  <c r="CR168" i="1" s="1"/>
  <c r="CN155" i="1"/>
  <c r="CF26" i="1"/>
  <c r="CF38" i="1"/>
  <c r="CF37" i="1"/>
  <c r="CF40" i="1"/>
  <c r="CF163" i="1"/>
  <c r="CF44" i="1"/>
  <c r="CF23" i="1"/>
  <c r="CF45" i="1"/>
  <c r="CF39" i="1"/>
  <c r="CF42" i="1"/>
  <c r="CF27" i="1"/>
  <c r="CF166" i="1"/>
  <c r="CF36" i="1"/>
  <c r="CF47" i="1"/>
  <c r="CF43" i="1"/>
  <c r="CF35" i="1"/>
  <c r="CF22" i="1"/>
  <c r="CF46" i="1"/>
  <c r="CD164" i="1"/>
  <c r="CF168" i="1"/>
  <c r="CF41" i="1"/>
  <c r="CF165" i="1"/>
  <c r="CF25" i="1"/>
  <c r="CF167" i="1"/>
  <c r="CL162" i="1"/>
  <c r="CC162" i="1"/>
  <c r="CC164" i="1"/>
  <c r="CL164" i="1"/>
  <c r="CD162" i="1"/>
  <c r="BX139" i="1"/>
  <c r="BX151" i="1" s="1"/>
  <c r="BY135" i="1"/>
  <c r="BV29" i="1"/>
  <c r="BV126" i="1" s="1"/>
  <c r="BR74" i="1"/>
  <c r="CR157" i="1" l="1"/>
  <c r="CR160" i="1"/>
  <c r="CR159" i="1"/>
  <c r="CR152" i="1"/>
  <c r="CR156" i="1"/>
  <c r="CR153" i="1"/>
  <c r="CG168" i="1"/>
  <c r="CR155" i="1"/>
  <c r="CR154" i="1"/>
  <c r="CR158" i="1"/>
  <c r="CR161" i="1"/>
  <c r="CZ159" i="1"/>
  <c r="CZ166" i="1"/>
  <c r="DJ166" i="1" s="1"/>
  <c r="DU166" i="1" s="1"/>
  <c r="CZ153" i="1"/>
  <c r="CZ160" i="1"/>
  <c r="CG36" i="1"/>
  <c r="CL36" i="1"/>
  <c r="CH167" i="1"/>
  <c r="CG167" i="1"/>
  <c r="CG43" i="1"/>
  <c r="CL43" i="1"/>
  <c r="CH166" i="1"/>
  <c r="CJ166" i="1" s="1"/>
  <c r="CG166" i="1"/>
  <c r="CG39" i="1"/>
  <c r="CL39" i="1"/>
  <c r="CF164" i="1"/>
  <c r="CG163" i="1"/>
  <c r="CG24" i="1"/>
  <c r="CH25" i="1"/>
  <c r="CG25" i="1"/>
  <c r="CG47" i="1"/>
  <c r="CL47" i="1"/>
  <c r="CH27" i="1"/>
  <c r="CG27" i="1"/>
  <c r="CG45" i="1"/>
  <c r="CL45" i="1"/>
  <c r="CH24" i="1"/>
  <c r="CG40" i="1"/>
  <c r="CL40" i="1"/>
  <c r="CH26" i="1"/>
  <c r="CG26" i="1"/>
  <c r="CH165" i="1"/>
  <c r="CG165" i="1"/>
  <c r="CH22" i="1"/>
  <c r="CG22" i="1"/>
  <c r="CG23" i="1"/>
  <c r="CG44" i="1"/>
  <c r="CL44" i="1"/>
  <c r="CG37" i="1"/>
  <c r="CL37" i="1"/>
  <c r="CG41" i="1"/>
  <c r="CL41" i="1"/>
  <c r="CG46" i="1"/>
  <c r="CL46" i="1"/>
  <c r="CG35" i="1"/>
  <c r="CL35" i="1"/>
  <c r="CG42" i="1"/>
  <c r="CL42" i="1"/>
  <c r="CG38" i="1"/>
  <c r="CL38" i="1"/>
  <c r="CN162" i="1"/>
  <c r="CR162" i="1" s="1"/>
  <c r="CN164" i="1"/>
  <c r="CX162" i="1"/>
  <c r="CH163" i="1"/>
  <c r="CH168" i="1"/>
  <c r="CH23" i="1"/>
  <c r="CF162" i="1"/>
  <c r="CF28" i="1"/>
  <c r="CZ155" i="1"/>
  <c r="CZ161" i="1"/>
  <c r="CZ156" i="1"/>
  <c r="CZ152" i="1"/>
  <c r="CZ158" i="1"/>
  <c r="CZ168" i="1"/>
  <c r="CZ154" i="1"/>
  <c r="CZ157" i="1"/>
  <c r="BX171" i="1"/>
  <c r="BY151" i="1"/>
  <c r="BW29" i="1"/>
  <c r="BV135" i="1"/>
  <c r="BW126" i="1"/>
  <c r="BR7" i="1"/>
  <c r="DB168" i="1" l="1"/>
  <c r="DB166" i="1"/>
  <c r="CI26" i="1"/>
  <c r="CI23" i="1"/>
  <c r="CI22" i="1"/>
  <c r="CI24" i="1"/>
  <c r="CI27" i="1"/>
  <c r="CI25" i="1"/>
  <c r="CG164" i="1"/>
  <c r="CG162" i="1"/>
  <c r="CZ162" i="1"/>
  <c r="CI165" i="1"/>
  <c r="CI166" i="1"/>
  <c r="CI167" i="1"/>
  <c r="CI163" i="1"/>
  <c r="CK166" i="1"/>
  <c r="CJ165" i="1"/>
  <c r="CL165" i="1" s="1"/>
  <c r="CJ22" i="1"/>
  <c r="CL22" i="1" s="1"/>
  <c r="CJ27" i="1"/>
  <c r="CJ25" i="1"/>
  <c r="CN39" i="1"/>
  <c r="CN41" i="1"/>
  <c r="CN45" i="1"/>
  <c r="CJ26" i="1"/>
  <c r="CL26" i="1" s="1"/>
  <c r="CJ24" i="1"/>
  <c r="CL24" i="1" s="1"/>
  <c r="CN42" i="1"/>
  <c r="CN46" i="1"/>
  <c r="CN37" i="1"/>
  <c r="CN43" i="1"/>
  <c r="CJ168" i="1"/>
  <c r="CI168" i="1"/>
  <c r="CN38" i="1"/>
  <c r="CN35" i="1"/>
  <c r="CN44" i="1"/>
  <c r="CN36" i="1"/>
  <c r="CF29" i="1"/>
  <c r="CG29" i="1" s="1"/>
  <c r="CG28" i="1"/>
  <c r="CJ167" i="1"/>
  <c r="CN40" i="1"/>
  <c r="CN47" i="1"/>
  <c r="CH28" i="1"/>
  <c r="CJ162" i="1"/>
  <c r="CK162" i="1" s="1"/>
  <c r="CH164" i="1"/>
  <c r="CI164" i="1" s="1"/>
  <c r="CJ163" i="1"/>
  <c r="CJ23" i="1"/>
  <c r="CH162" i="1"/>
  <c r="BX177" i="1"/>
  <c r="BY177" i="1" s="1"/>
  <c r="BY171" i="1"/>
  <c r="BV139" i="1"/>
  <c r="BV151" i="1" s="1"/>
  <c r="BW135" i="1"/>
  <c r="BR148" i="1"/>
  <c r="DC166" i="1" l="1"/>
  <c r="DC168" i="1"/>
  <c r="DD168" i="1"/>
  <c r="DF168" i="1" s="1"/>
  <c r="DL168" i="1" s="1"/>
  <c r="DD166" i="1"/>
  <c r="CP36" i="1"/>
  <c r="CP38" i="1"/>
  <c r="CP37" i="1"/>
  <c r="CP42" i="1"/>
  <c r="CP39" i="1"/>
  <c r="CP40" i="1"/>
  <c r="CI162" i="1"/>
  <c r="CP35" i="1"/>
  <c r="CP46" i="1"/>
  <c r="CP45" i="1"/>
  <c r="CP41" i="1"/>
  <c r="CP47" i="1"/>
  <c r="CP44" i="1"/>
  <c r="CP43" i="1"/>
  <c r="CK167" i="1"/>
  <c r="CK168" i="1"/>
  <c r="CK26" i="1"/>
  <c r="CK165" i="1"/>
  <c r="CQ165" i="1"/>
  <c r="CK25" i="1"/>
  <c r="CQ166" i="1"/>
  <c r="CK27" i="1"/>
  <c r="CK23" i="1"/>
  <c r="CK24" i="1"/>
  <c r="CK22" i="1"/>
  <c r="CL167" i="1"/>
  <c r="CN165" i="1"/>
  <c r="CL25" i="1"/>
  <c r="CL27" i="1"/>
  <c r="CJ164" i="1"/>
  <c r="CK164" i="1" s="1"/>
  <c r="CK163" i="1"/>
  <c r="CL163" i="1"/>
  <c r="CH29" i="1"/>
  <c r="CI29" i="1" s="1"/>
  <c r="CI28" i="1"/>
  <c r="CL23" i="1"/>
  <c r="CM24" i="1"/>
  <c r="CN24" i="1"/>
  <c r="CM26" i="1"/>
  <c r="CN26" i="1"/>
  <c r="CM22" i="1"/>
  <c r="CN22" i="1"/>
  <c r="BV171" i="1"/>
  <c r="BW151" i="1"/>
  <c r="BT148" i="1"/>
  <c r="BT175" i="1"/>
  <c r="BT174" i="1"/>
  <c r="BT173" i="1"/>
  <c r="BT172" i="1"/>
  <c r="BT169" i="1"/>
  <c r="BT149" i="1"/>
  <c r="BT147" i="1"/>
  <c r="BT145" i="1"/>
  <c r="BT144" i="1"/>
  <c r="BT143" i="1"/>
  <c r="BT142" i="1"/>
  <c r="BT141" i="1"/>
  <c r="BT140" i="1"/>
  <c r="BT137" i="1"/>
  <c r="BT136" i="1"/>
  <c r="BT134" i="1"/>
  <c r="BT133" i="1"/>
  <c r="BT132" i="1"/>
  <c r="BT131" i="1"/>
  <c r="BT130" i="1"/>
  <c r="BT128" i="1"/>
  <c r="BT127" i="1"/>
  <c r="BT124" i="1"/>
  <c r="BT123" i="1"/>
  <c r="BT122" i="1"/>
  <c r="BT121" i="1"/>
  <c r="BT120" i="1"/>
  <c r="BT119" i="1"/>
  <c r="BT118" i="1"/>
  <c r="BT117" i="1"/>
  <c r="BT116" i="1"/>
  <c r="BT115" i="1"/>
  <c r="BT114" i="1"/>
  <c r="BT113" i="1"/>
  <c r="BT112" i="1"/>
  <c r="BT110" i="1"/>
  <c r="BT109" i="1"/>
  <c r="BT108" i="1"/>
  <c r="BT106" i="1"/>
  <c r="BT105" i="1"/>
  <c r="BT104" i="1"/>
  <c r="BT103" i="1"/>
  <c r="BT102" i="1"/>
  <c r="BT101" i="1"/>
  <c r="BT100" i="1"/>
  <c r="BT99" i="1"/>
  <c r="BT97" i="1"/>
  <c r="BT96" i="1"/>
  <c r="BT95" i="1"/>
  <c r="BT94" i="1"/>
  <c r="BT92" i="1"/>
  <c r="BT91" i="1"/>
  <c r="BT90" i="1"/>
  <c r="BT89" i="1"/>
  <c r="BT87" i="1"/>
  <c r="BT85" i="1"/>
  <c r="BT83" i="1"/>
  <c r="BT82" i="1"/>
  <c r="BT81" i="1"/>
  <c r="BT80" i="1"/>
  <c r="BT79" i="1"/>
  <c r="BT77" i="1"/>
  <c r="BT76" i="1"/>
  <c r="BT75" i="1"/>
  <c r="BT73" i="1"/>
  <c r="BT72" i="1"/>
  <c r="BT71" i="1"/>
  <c r="BT70" i="1"/>
  <c r="BT68" i="1"/>
  <c r="BT67" i="1"/>
  <c r="BT66" i="1"/>
  <c r="BT65" i="1"/>
  <c r="BT64" i="1"/>
  <c r="BT63" i="1"/>
  <c r="BT62" i="1"/>
  <c r="BT61" i="1"/>
  <c r="BT60" i="1"/>
  <c r="BT58" i="1"/>
  <c r="BT57" i="1"/>
  <c r="BT56" i="1"/>
  <c r="BT55" i="1"/>
  <c r="BT54" i="1"/>
  <c r="BT53" i="1"/>
  <c r="BT52" i="1"/>
  <c r="BT51" i="1"/>
  <c r="BT50" i="1"/>
  <c r="BT49" i="1"/>
  <c r="BT48" i="1"/>
  <c r="BT34" i="1"/>
  <c r="BT33" i="1"/>
  <c r="BT32" i="1"/>
  <c r="BT31" i="1"/>
  <c r="BT30" i="1"/>
  <c r="BT21" i="1"/>
  <c r="BT20" i="1"/>
  <c r="DM168" i="1" l="1"/>
  <c r="DN168" i="1"/>
  <c r="DO168" i="1" s="1"/>
  <c r="BT176" i="1"/>
  <c r="DE166" i="1"/>
  <c r="DE168" i="1"/>
  <c r="DK168" i="1"/>
  <c r="DG168" i="1"/>
  <c r="CM27" i="1"/>
  <c r="CM25" i="1"/>
  <c r="DF166" i="1"/>
  <c r="CR35" i="1"/>
  <c r="CR45" i="1"/>
  <c r="CR40" i="1"/>
  <c r="CT38" i="1"/>
  <c r="CV38" i="1" s="1"/>
  <c r="CR47" i="1"/>
  <c r="CQ42" i="1"/>
  <c r="CR41" i="1"/>
  <c r="CR37" i="1"/>
  <c r="CR46" i="1"/>
  <c r="CR39" i="1"/>
  <c r="CR36" i="1"/>
  <c r="CR165" i="1"/>
  <c r="CR38" i="1"/>
  <c r="CQ38" i="1"/>
  <c r="CT42" i="1"/>
  <c r="CU42" i="1" s="1"/>
  <c r="CQ40" i="1"/>
  <c r="CR42" i="1"/>
  <c r="CQ37" i="1"/>
  <c r="CT39" i="1"/>
  <c r="CU39" i="1" s="1"/>
  <c r="CT37" i="1"/>
  <c r="CU37" i="1" s="1"/>
  <c r="CQ39" i="1"/>
  <c r="CT36" i="1"/>
  <c r="CU36" i="1" s="1"/>
  <c r="CQ36" i="1"/>
  <c r="CT40" i="1"/>
  <c r="CV40" i="1" s="1"/>
  <c r="CR43" i="1"/>
  <c r="CR44" i="1"/>
  <c r="CQ45" i="1"/>
  <c r="CQ47" i="1"/>
  <c r="CQ46" i="1"/>
  <c r="CQ35" i="1"/>
  <c r="CQ41" i="1"/>
  <c r="CT35" i="1"/>
  <c r="CT46" i="1"/>
  <c r="CU46" i="1" s="1"/>
  <c r="CZ165" i="1"/>
  <c r="CT45" i="1"/>
  <c r="CU45" i="1" s="1"/>
  <c r="CT47" i="1"/>
  <c r="CT41" i="1"/>
  <c r="CU41" i="1" s="1"/>
  <c r="CQ44" i="1"/>
  <c r="CT44" i="1"/>
  <c r="CQ43" i="1"/>
  <c r="CT43" i="1"/>
  <c r="CU43" i="1" s="1"/>
  <c r="CP26" i="1"/>
  <c r="CP24" i="1"/>
  <c r="CN27" i="1"/>
  <c r="CP22" i="1"/>
  <c r="CN25" i="1"/>
  <c r="CQ168" i="1"/>
  <c r="CN167" i="1"/>
  <c r="CN163" i="1"/>
  <c r="CM23" i="1"/>
  <c r="CN23" i="1"/>
  <c r="CB21" i="1"/>
  <c r="CB58" i="1"/>
  <c r="CB72" i="1"/>
  <c r="CC72" i="1" s="1"/>
  <c r="CB77" i="1"/>
  <c r="CB94" i="1"/>
  <c r="BZ121" i="1"/>
  <c r="CB137" i="1"/>
  <c r="CB60" i="1"/>
  <c r="CB73" i="1"/>
  <c r="CD73" i="1" s="1"/>
  <c r="CB79" i="1"/>
  <c r="CD79" i="1" s="1"/>
  <c r="CB95" i="1"/>
  <c r="CB140" i="1"/>
  <c r="CB144" i="1"/>
  <c r="CC144" i="1" s="1"/>
  <c r="CB169" i="1"/>
  <c r="CC169" i="1" s="1"/>
  <c r="CB48" i="1"/>
  <c r="CB52" i="1"/>
  <c r="CB56" i="1"/>
  <c r="CC56" i="1" s="1"/>
  <c r="CB61" i="1"/>
  <c r="CB70" i="1"/>
  <c r="CC70" i="1" s="1"/>
  <c r="CB75" i="1"/>
  <c r="CB80" i="1"/>
  <c r="CB85" i="1"/>
  <c r="CB86" i="1" s="1"/>
  <c r="CC86" i="1" s="1"/>
  <c r="CB91" i="1"/>
  <c r="CD91" i="1" s="1"/>
  <c r="CB96" i="1"/>
  <c r="CB123" i="1"/>
  <c r="CC123" i="1" s="1"/>
  <c r="CB145" i="1"/>
  <c r="CB148" i="1"/>
  <c r="CD148" i="1" s="1"/>
  <c r="CB20" i="1"/>
  <c r="CB49" i="1"/>
  <c r="CD49" i="1" s="1"/>
  <c r="CZ49" i="1" s="1"/>
  <c r="BZ62" i="1"/>
  <c r="CB71" i="1"/>
  <c r="CC71" i="1" s="1"/>
  <c r="CB76" i="1"/>
  <c r="CD76" i="1" s="1"/>
  <c r="CB81" i="1"/>
  <c r="CB87" i="1"/>
  <c r="CB136" i="1"/>
  <c r="CB147" i="1"/>
  <c r="CD147" i="1" s="1"/>
  <c r="BZ30" i="1"/>
  <c r="BZ34" i="1"/>
  <c r="BZ51" i="1"/>
  <c r="BZ55" i="1"/>
  <c r="BZ64" i="1"/>
  <c r="BZ68" i="1"/>
  <c r="BZ83" i="1"/>
  <c r="BZ90" i="1"/>
  <c r="BZ100" i="1"/>
  <c r="BZ104" i="1"/>
  <c r="BZ109" i="1"/>
  <c r="BZ114" i="1"/>
  <c r="BZ118" i="1"/>
  <c r="BZ128" i="1"/>
  <c r="BZ133" i="1"/>
  <c r="BZ175" i="1"/>
  <c r="BZ31" i="1"/>
  <c r="BZ65" i="1"/>
  <c r="BZ101" i="1"/>
  <c r="BZ105" i="1"/>
  <c r="BZ110" i="1"/>
  <c r="BZ115" i="1"/>
  <c r="BZ119" i="1"/>
  <c r="BZ130" i="1"/>
  <c r="BZ134" i="1"/>
  <c r="BZ141" i="1"/>
  <c r="BZ172" i="1"/>
  <c r="BZ32" i="1"/>
  <c r="BZ53" i="1"/>
  <c r="BZ57" i="1"/>
  <c r="BZ66" i="1"/>
  <c r="BZ92" i="1"/>
  <c r="BZ97" i="1"/>
  <c r="BZ102" i="1"/>
  <c r="BZ106" i="1"/>
  <c r="BZ112" i="1"/>
  <c r="BZ116" i="1"/>
  <c r="BZ120" i="1"/>
  <c r="BZ124" i="1"/>
  <c r="BZ131" i="1"/>
  <c r="BZ142" i="1"/>
  <c r="BZ173" i="1"/>
  <c r="BZ33" i="1"/>
  <c r="BZ50" i="1"/>
  <c r="BZ54" i="1"/>
  <c r="BZ63" i="1"/>
  <c r="BZ67" i="1"/>
  <c r="BZ82" i="1"/>
  <c r="BZ89" i="1"/>
  <c r="BZ99" i="1"/>
  <c r="BZ103" i="1"/>
  <c r="BZ108" i="1"/>
  <c r="BZ113" i="1"/>
  <c r="BZ117" i="1"/>
  <c r="BZ127" i="1"/>
  <c r="BZ132" i="1"/>
  <c r="BZ143" i="1"/>
  <c r="BZ149" i="1"/>
  <c r="BZ174" i="1"/>
  <c r="BZ74" i="1"/>
  <c r="BZ138" i="1"/>
  <c r="BZ28" i="1"/>
  <c r="BT107" i="1"/>
  <c r="BV177" i="1"/>
  <c r="BW177" i="1" s="1"/>
  <c r="BW171" i="1"/>
  <c r="BZ170" i="1"/>
  <c r="BZ86" i="1"/>
  <c r="BZ88" i="1"/>
  <c r="BZ78" i="1"/>
  <c r="BT138" i="1"/>
  <c r="BT86" i="1"/>
  <c r="BR176" i="1"/>
  <c r="BP176" i="1"/>
  <c r="BN176" i="1"/>
  <c r="BT170" i="1"/>
  <c r="BR170" i="1"/>
  <c r="BP170" i="1"/>
  <c r="BN170" i="1"/>
  <c r="BT164" i="1"/>
  <c r="BR164" i="1"/>
  <c r="BP164" i="1"/>
  <c r="BN164" i="1"/>
  <c r="BT162" i="1"/>
  <c r="BR162" i="1"/>
  <c r="BP162" i="1"/>
  <c r="BN162" i="1"/>
  <c r="BP150" i="1"/>
  <c r="BN150" i="1"/>
  <c r="BT146" i="1"/>
  <c r="BR146" i="1"/>
  <c r="BP146" i="1"/>
  <c r="BN146" i="1"/>
  <c r="BR138" i="1"/>
  <c r="BP138" i="1"/>
  <c r="BN138" i="1"/>
  <c r="BR129" i="1"/>
  <c r="BP129" i="1"/>
  <c r="BN129" i="1"/>
  <c r="BT125" i="1"/>
  <c r="BR125" i="1"/>
  <c r="BP125" i="1"/>
  <c r="BN125" i="1"/>
  <c r="BT111" i="1"/>
  <c r="BR111" i="1"/>
  <c r="BP111" i="1"/>
  <c r="BN111" i="1"/>
  <c r="BR107" i="1"/>
  <c r="BP107" i="1"/>
  <c r="BN107" i="1"/>
  <c r="BT98" i="1"/>
  <c r="BR98" i="1"/>
  <c r="BP98" i="1"/>
  <c r="BN98" i="1"/>
  <c r="BT93" i="1"/>
  <c r="BR93" i="1"/>
  <c r="BP93" i="1"/>
  <c r="BN93" i="1"/>
  <c r="BT88" i="1"/>
  <c r="BR88" i="1"/>
  <c r="BP88" i="1"/>
  <c r="BN88" i="1"/>
  <c r="BR86" i="1"/>
  <c r="BP86" i="1"/>
  <c r="BN86" i="1"/>
  <c r="BT84" i="1"/>
  <c r="BR84" i="1"/>
  <c r="BP84" i="1"/>
  <c r="BN84" i="1"/>
  <c r="BT78" i="1"/>
  <c r="BR78" i="1"/>
  <c r="BP78" i="1"/>
  <c r="BN78" i="1"/>
  <c r="BT74" i="1"/>
  <c r="BP74" i="1"/>
  <c r="BN74" i="1"/>
  <c r="BT69" i="1"/>
  <c r="BR69" i="1"/>
  <c r="BP69" i="1"/>
  <c r="BN69" i="1"/>
  <c r="BT59" i="1"/>
  <c r="BR59" i="1"/>
  <c r="BP59" i="1"/>
  <c r="BN59" i="1"/>
  <c r="BT28" i="1"/>
  <c r="BR28" i="1"/>
  <c r="BP28" i="1"/>
  <c r="BN28" i="1"/>
  <c r="BR18" i="1"/>
  <c r="BP18" i="1"/>
  <c r="BN18" i="1"/>
  <c r="BT17" i="1"/>
  <c r="BT16" i="1"/>
  <c r="BT15" i="1"/>
  <c r="BT14" i="1"/>
  <c r="BT13" i="1"/>
  <c r="BT12" i="1"/>
  <c r="BT11" i="1"/>
  <c r="BT10" i="1"/>
  <c r="BT9" i="1"/>
  <c r="BR8" i="1"/>
  <c r="BP8" i="1"/>
  <c r="BN8" i="1"/>
  <c r="BT7" i="1"/>
  <c r="CD7" i="1" s="1"/>
  <c r="CN7" i="1" s="1"/>
  <c r="BT6" i="1"/>
  <c r="CD6" i="1" l="1"/>
  <c r="CN6" i="1" s="1"/>
  <c r="CR6" i="1" s="1"/>
  <c r="CD56" i="1"/>
  <c r="CZ56" i="1" s="1"/>
  <c r="DG166" i="1"/>
  <c r="DL166" i="1"/>
  <c r="DP168" i="1"/>
  <c r="DK166" i="1"/>
  <c r="CX38" i="1"/>
  <c r="DB165" i="1"/>
  <c r="DD165" i="1" s="1"/>
  <c r="CR24" i="1"/>
  <c r="CU38" i="1"/>
  <c r="CR22" i="1"/>
  <c r="CR26" i="1"/>
  <c r="CR7" i="1"/>
  <c r="CR163" i="1"/>
  <c r="CR167" i="1"/>
  <c r="CV39" i="1"/>
  <c r="CV37" i="1"/>
  <c r="CV42" i="1"/>
  <c r="CU47" i="1"/>
  <c r="CV47" i="1"/>
  <c r="CW40" i="1"/>
  <c r="CX40" i="1"/>
  <c r="CV36" i="1"/>
  <c r="CU40" i="1"/>
  <c r="CT24" i="1"/>
  <c r="CV24" i="1" s="1"/>
  <c r="CT26" i="1"/>
  <c r="CU26" i="1" s="1"/>
  <c r="CT22" i="1"/>
  <c r="CV22" i="1" s="1"/>
  <c r="CV46" i="1"/>
  <c r="CV35" i="1"/>
  <c r="CU35" i="1"/>
  <c r="CZ163" i="1"/>
  <c r="CZ167" i="1"/>
  <c r="CW38" i="1"/>
  <c r="CV41" i="1"/>
  <c r="CV45" i="1"/>
  <c r="CQ26" i="1"/>
  <c r="CU44" i="1"/>
  <c r="CV44" i="1"/>
  <c r="CV43" i="1"/>
  <c r="CQ167" i="1"/>
  <c r="CP27" i="1"/>
  <c r="CQ22" i="1"/>
  <c r="CP23" i="1"/>
  <c r="CP25" i="1"/>
  <c r="CQ24" i="1"/>
  <c r="CD20" i="1"/>
  <c r="CZ7" i="1"/>
  <c r="CD123" i="1"/>
  <c r="CZ123" i="1" s="1"/>
  <c r="CJ88" i="1"/>
  <c r="CK88" i="1" s="1"/>
  <c r="CD58" i="1"/>
  <c r="CD60" i="1"/>
  <c r="CZ60" i="1" s="1"/>
  <c r="CD95" i="1"/>
  <c r="CB62" i="1"/>
  <c r="CC62" i="1" s="1"/>
  <c r="CB121" i="1"/>
  <c r="CD94" i="1"/>
  <c r="CZ94" i="1" s="1"/>
  <c r="CD144" i="1"/>
  <c r="CD80" i="1"/>
  <c r="CN80" i="1" s="1"/>
  <c r="CD169" i="1"/>
  <c r="CD137" i="1"/>
  <c r="CD61" i="1"/>
  <c r="CB170" i="1"/>
  <c r="CC170" i="1" s="1"/>
  <c r="CB28" i="1"/>
  <c r="CC28" i="1" s="1"/>
  <c r="CD70" i="1"/>
  <c r="CZ70" i="1" s="1"/>
  <c r="CD72" i="1"/>
  <c r="CC148" i="1"/>
  <c r="CB11" i="1"/>
  <c r="CB15" i="1"/>
  <c r="CC87" i="1"/>
  <c r="CN76" i="1"/>
  <c r="CC76" i="1"/>
  <c r="CC20" i="1"/>
  <c r="CC48" i="1"/>
  <c r="CC140" i="1"/>
  <c r="CC21" i="1"/>
  <c r="CB12" i="1"/>
  <c r="CD16" i="1"/>
  <c r="CB78" i="1"/>
  <c r="CC78" i="1" s="1"/>
  <c r="CD87" i="1"/>
  <c r="CN87" i="1" s="1"/>
  <c r="CD21" i="1"/>
  <c r="CD140" i="1"/>
  <c r="CN140" i="1" s="1"/>
  <c r="CD48" i="1"/>
  <c r="CC136" i="1"/>
  <c r="CN49" i="1"/>
  <c r="CC49" i="1"/>
  <c r="CC145" i="1"/>
  <c r="CC96" i="1"/>
  <c r="CC85" i="1"/>
  <c r="CC75" i="1"/>
  <c r="CN73" i="1"/>
  <c r="CC73" i="1"/>
  <c r="CC60" i="1"/>
  <c r="CC94" i="1"/>
  <c r="CC77" i="1"/>
  <c r="CB9" i="1"/>
  <c r="CB13" i="1"/>
  <c r="CC13" i="1" s="1"/>
  <c r="CB74" i="1"/>
  <c r="CC74" i="1" s="1"/>
  <c r="CB88" i="1"/>
  <c r="CC88" i="1" s="1"/>
  <c r="CD77" i="1"/>
  <c r="CD136" i="1"/>
  <c r="CD145" i="1"/>
  <c r="CN145" i="1" s="1"/>
  <c r="CD96" i="1"/>
  <c r="CC147" i="1"/>
  <c r="CN147" i="1"/>
  <c r="CC81" i="1"/>
  <c r="CC61" i="1"/>
  <c r="CC52" i="1"/>
  <c r="CC95" i="1"/>
  <c r="CC137" i="1"/>
  <c r="CB10" i="1"/>
  <c r="CC10" i="1" s="1"/>
  <c r="CB14" i="1"/>
  <c r="CB138" i="1"/>
  <c r="CC138" i="1" s="1"/>
  <c r="CD85" i="1"/>
  <c r="CD81" i="1"/>
  <c r="CN81" i="1" s="1"/>
  <c r="CD52" i="1"/>
  <c r="CD71" i="1"/>
  <c r="CD75" i="1"/>
  <c r="CN91" i="1"/>
  <c r="CC91" i="1"/>
  <c r="CC80" i="1"/>
  <c r="CN79" i="1"/>
  <c r="CC79" i="1"/>
  <c r="CC58" i="1"/>
  <c r="CB143" i="1"/>
  <c r="CB99" i="1"/>
  <c r="CB173" i="1"/>
  <c r="CB102" i="1"/>
  <c r="CB172" i="1"/>
  <c r="CB101" i="1"/>
  <c r="CB90" i="1"/>
  <c r="CB30" i="1"/>
  <c r="CC30" i="1" s="1"/>
  <c r="CB132" i="1"/>
  <c r="CB89" i="1"/>
  <c r="CB142" i="1"/>
  <c r="CB116" i="1"/>
  <c r="CB57" i="1"/>
  <c r="CC57" i="1" s="1"/>
  <c r="CB115" i="1"/>
  <c r="CB128" i="1"/>
  <c r="CB83" i="1"/>
  <c r="CB174" i="1"/>
  <c r="CB127" i="1"/>
  <c r="CB108" i="1"/>
  <c r="CD108" i="1" s="1"/>
  <c r="CB82" i="1"/>
  <c r="CB50" i="1"/>
  <c r="CC50" i="1" s="1"/>
  <c r="CB131" i="1"/>
  <c r="CB112" i="1"/>
  <c r="CB92" i="1"/>
  <c r="CB53" i="1"/>
  <c r="CC53" i="1" s="1"/>
  <c r="CB134" i="1"/>
  <c r="CB110" i="1"/>
  <c r="CB31" i="1"/>
  <c r="CC31" i="1" s="1"/>
  <c r="CB122" i="1"/>
  <c r="CB104" i="1"/>
  <c r="CB68" i="1"/>
  <c r="CC68" i="1" s="1"/>
  <c r="CB51" i="1"/>
  <c r="CC51" i="1" s="1"/>
  <c r="CB117" i="1"/>
  <c r="CB63" i="1"/>
  <c r="CC63" i="1" s="1"/>
  <c r="CB120" i="1"/>
  <c r="CB119" i="1"/>
  <c r="CB133" i="1"/>
  <c r="CB114" i="1"/>
  <c r="CB113" i="1"/>
  <c r="CB54" i="1"/>
  <c r="CC54" i="1" s="1"/>
  <c r="CB97" i="1"/>
  <c r="CB141" i="1"/>
  <c r="CB65" i="1"/>
  <c r="CC65" i="1" s="1"/>
  <c r="CB109" i="1"/>
  <c r="CB55" i="1"/>
  <c r="CC55" i="1" s="1"/>
  <c r="CB149" i="1"/>
  <c r="CB103" i="1"/>
  <c r="CB67" i="1"/>
  <c r="CC67" i="1" s="1"/>
  <c r="CB33" i="1"/>
  <c r="CC33" i="1" s="1"/>
  <c r="CB124" i="1"/>
  <c r="CB106" i="1"/>
  <c r="CB66" i="1"/>
  <c r="CC66" i="1" s="1"/>
  <c r="CB32" i="1"/>
  <c r="CC32" i="1" s="1"/>
  <c r="CB130" i="1"/>
  <c r="CB105" i="1"/>
  <c r="CB175" i="1"/>
  <c r="CB118" i="1"/>
  <c r="CB100" i="1"/>
  <c r="CB64" i="1"/>
  <c r="CC64" i="1" s="1"/>
  <c r="CB34" i="1"/>
  <c r="CC34" i="1" s="1"/>
  <c r="BZ111" i="1"/>
  <c r="BZ84" i="1"/>
  <c r="BZ59" i="1"/>
  <c r="BZ107" i="1"/>
  <c r="BZ146" i="1"/>
  <c r="BZ125" i="1"/>
  <c r="CD17" i="1"/>
  <c r="BZ176" i="1"/>
  <c r="BZ98" i="1"/>
  <c r="BZ93" i="1"/>
  <c r="BZ69" i="1"/>
  <c r="BZ129" i="1"/>
  <c r="BT150" i="1"/>
  <c r="BT8" i="1"/>
  <c r="BU146" i="1" s="1"/>
  <c r="BR19" i="1"/>
  <c r="BR29" i="1" s="1"/>
  <c r="BT129" i="1"/>
  <c r="BN19" i="1"/>
  <c r="BO19" i="1" s="1"/>
  <c r="BP19" i="1"/>
  <c r="BQ19" i="1" s="1"/>
  <c r="BT18" i="1"/>
  <c r="BK123" i="1"/>
  <c r="BK125" i="1" s="1"/>
  <c r="BM125" i="1"/>
  <c r="CZ6" i="1" l="1"/>
  <c r="CD8" i="1"/>
  <c r="CE60" i="1" s="1"/>
  <c r="CN56" i="1"/>
  <c r="CR56" i="1" s="1"/>
  <c r="DQ168" i="1"/>
  <c r="CD10" i="1"/>
  <c r="CZ10" i="1" s="1"/>
  <c r="DM166" i="1"/>
  <c r="DN166" i="1"/>
  <c r="DO166" i="1" s="1"/>
  <c r="DE165" i="1"/>
  <c r="CZ38" i="1"/>
  <c r="CX43" i="1"/>
  <c r="CX45" i="1"/>
  <c r="DB163" i="1"/>
  <c r="CX22" i="1"/>
  <c r="CX44" i="1"/>
  <c r="CX41" i="1"/>
  <c r="CX42" i="1"/>
  <c r="CX24" i="1"/>
  <c r="CX37" i="1"/>
  <c r="DC165" i="1"/>
  <c r="DB167" i="1"/>
  <c r="CX47" i="1"/>
  <c r="CX39" i="1"/>
  <c r="DF165" i="1"/>
  <c r="CR27" i="1"/>
  <c r="CR23" i="1"/>
  <c r="CR25" i="1"/>
  <c r="CR8" i="1"/>
  <c r="CS40" i="1" s="1"/>
  <c r="CR81" i="1"/>
  <c r="CR76" i="1"/>
  <c r="CR147" i="1"/>
  <c r="CR145" i="1"/>
  <c r="CR140" i="1"/>
  <c r="CN52" i="1"/>
  <c r="CZ52" i="1"/>
  <c r="CN48" i="1"/>
  <c r="CZ48" i="1"/>
  <c r="CN58" i="1"/>
  <c r="CZ58" i="1"/>
  <c r="CW37" i="1"/>
  <c r="CW39" i="1"/>
  <c r="CZ40" i="1"/>
  <c r="CW47" i="1"/>
  <c r="CW42" i="1"/>
  <c r="CW36" i="1"/>
  <c r="CX36" i="1"/>
  <c r="CW35" i="1"/>
  <c r="CX35" i="1"/>
  <c r="CW46" i="1"/>
  <c r="CX46" i="1"/>
  <c r="CU22" i="1"/>
  <c r="CV26" i="1"/>
  <c r="CU24" i="1"/>
  <c r="CQ27" i="1"/>
  <c r="CT25" i="1"/>
  <c r="CV25" i="1" s="1"/>
  <c r="CQ23" i="1"/>
  <c r="CQ145" i="1"/>
  <c r="CQ81" i="1"/>
  <c r="CX81" i="1"/>
  <c r="CX140" i="1"/>
  <c r="CQ140" i="1"/>
  <c r="CW43" i="1"/>
  <c r="CW45" i="1"/>
  <c r="CW44" i="1"/>
  <c r="CW41" i="1"/>
  <c r="CW24" i="1"/>
  <c r="CW22" i="1"/>
  <c r="CT27" i="1"/>
  <c r="CT23" i="1"/>
  <c r="CQ163" i="1"/>
  <c r="CP164" i="1"/>
  <c r="CX164" i="1" s="1"/>
  <c r="DH164" i="1" s="1"/>
  <c r="CD28" i="1"/>
  <c r="CQ25" i="1"/>
  <c r="CZ8" i="1"/>
  <c r="DA94" i="1" s="1"/>
  <c r="CN169" i="1"/>
  <c r="CZ16" i="1"/>
  <c r="CN16" i="1"/>
  <c r="CN61" i="1"/>
  <c r="CN85" i="1"/>
  <c r="CN21" i="1"/>
  <c r="CN95" i="1"/>
  <c r="CZ72" i="1"/>
  <c r="CN72" i="1"/>
  <c r="CZ17" i="1"/>
  <c r="CN17" i="1"/>
  <c r="CN70" i="1"/>
  <c r="CD62" i="1"/>
  <c r="CZ71" i="1"/>
  <c r="CN71" i="1"/>
  <c r="CN75" i="1"/>
  <c r="CN96" i="1"/>
  <c r="CN137" i="1"/>
  <c r="CZ144" i="1"/>
  <c r="CN144" i="1"/>
  <c r="CN20" i="1"/>
  <c r="CN123" i="1"/>
  <c r="CN77" i="1"/>
  <c r="CN136" i="1"/>
  <c r="CN94" i="1"/>
  <c r="CN60" i="1"/>
  <c r="CN88" i="1"/>
  <c r="CJ86" i="1"/>
  <c r="CK86" i="1" s="1"/>
  <c r="CN8" i="1"/>
  <c r="CC103" i="1"/>
  <c r="CC117" i="1"/>
  <c r="CC174" i="1"/>
  <c r="CC172" i="1"/>
  <c r="CJ148" i="1"/>
  <c r="CK148" i="1" s="1"/>
  <c r="CJ74" i="1"/>
  <c r="CK74" i="1" s="1"/>
  <c r="CC118" i="1"/>
  <c r="CC120" i="1"/>
  <c r="CC175" i="1"/>
  <c r="CC97" i="1"/>
  <c r="CC133" i="1"/>
  <c r="CC104" i="1"/>
  <c r="CC134" i="1"/>
  <c r="CC131" i="1"/>
  <c r="CC115" i="1"/>
  <c r="CC89" i="1"/>
  <c r="CC101" i="1"/>
  <c r="CC99" i="1"/>
  <c r="CD11" i="1"/>
  <c r="CC106" i="1"/>
  <c r="CC119" i="1"/>
  <c r="CC132" i="1"/>
  <c r="CC121" i="1"/>
  <c r="CC100" i="1"/>
  <c r="CC130" i="1"/>
  <c r="CC124" i="1"/>
  <c r="CD121" i="1"/>
  <c r="CC113" i="1"/>
  <c r="CC92" i="1"/>
  <c r="CC83" i="1"/>
  <c r="CC116" i="1"/>
  <c r="CC102" i="1"/>
  <c r="CC105" i="1"/>
  <c r="CC109" i="1"/>
  <c r="CC122" i="1"/>
  <c r="CC143" i="1"/>
  <c r="CC149" i="1"/>
  <c r="CC114" i="1"/>
  <c r="CC110" i="1"/>
  <c r="CC112" i="1"/>
  <c r="CC108" i="1"/>
  <c r="CC128" i="1"/>
  <c r="CC142" i="1"/>
  <c r="CC173" i="1"/>
  <c r="CJ28" i="1"/>
  <c r="CK28" i="1" s="1"/>
  <c r="CF108" i="1"/>
  <c r="CD9" i="1"/>
  <c r="BU162" i="1"/>
  <c r="BU15" i="1"/>
  <c r="CB98" i="1"/>
  <c r="CC98" i="1" s="1"/>
  <c r="CD74" i="1"/>
  <c r="CZ145" i="1"/>
  <c r="BU59" i="1"/>
  <c r="BU18" i="1"/>
  <c r="BU86" i="1"/>
  <c r="BU13" i="1"/>
  <c r="CL74" i="1"/>
  <c r="BU14" i="1"/>
  <c r="BU12" i="1"/>
  <c r="CD13" i="1"/>
  <c r="CD127" i="1"/>
  <c r="CC127" i="1"/>
  <c r="CD170" i="1"/>
  <c r="CM20" i="1"/>
  <c r="CL88" i="1"/>
  <c r="CR87" i="1"/>
  <c r="BU38" i="1"/>
  <c r="BU42" i="1"/>
  <c r="BU46" i="1"/>
  <c r="BU39" i="1"/>
  <c r="BU44" i="1"/>
  <c r="BU155" i="1"/>
  <c r="BU159" i="1"/>
  <c r="BU163" i="1"/>
  <c r="BU167" i="1"/>
  <c r="BU25" i="1"/>
  <c r="BU35" i="1"/>
  <c r="BU40" i="1"/>
  <c r="BU45" i="1"/>
  <c r="BU41" i="1"/>
  <c r="BU152" i="1"/>
  <c r="BU157" i="1"/>
  <c r="BU168" i="1"/>
  <c r="BU26" i="1"/>
  <c r="BU43" i="1"/>
  <c r="BU153" i="1"/>
  <c r="BU158" i="1"/>
  <c r="BU22" i="1"/>
  <c r="BU27" i="1"/>
  <c r="BU36" i="1"/>
  <c r="BU47" i="1"/>
  <c r="BU154" i="1"/>
  <c r="BU160" i="1"/>
  <c r="BU165" i="1"/>
  <c r="BU23" i="1"/>
  <c r="BU37" i="1"/>
  <c r="BU156" i="1"/>
  <c r="BU161" i="1"/>
  <c r="BU166" i="1"/>
  <c r="BU24" i="1"/>
  <c r="BU21" i="1"/>
  <c r="BU82" i="1"/>
  <c r="BU99" i="1"/>
  <c r="BU117" i="1"/>
  <c r="BU132" i="1"/>
  <c r="BU149" i="1"/>
  <c r="BU51" i="1"/>
  <c r="BU64" i="1"/>
  <c r="BU104" i="1"/>
  <c r="BU122" i="1"/>
  <c r="BU140" i="1"/>
  <c r="BU169" i="1"/>
  <c r="BU48" i="1"/>
  <c r="BU56" i="1"/>
  <c r="BU101" i="1"/>
  <c r="BU119" i="1"/>
  <c r="BU134" i="1"/>
  <c r="BU172" i="1"/>
  <c r="BU20" i="1"/>
  <c r="BU53" i="1"/>
  <c r="BU66" i="1"/>
  <c r="BU76" i="1"/>
  <c r="BU87" i="1"/>
  <c r="BU106" i="1"/>
  <c r="BU124" i="1"/>
  <c r="BU142" i="1"/>
  <c r="BU33" i="1"/>
  <c r="BU58" i="1"/>
  <c r="BU72" i="1"/>
  <c r="BU89" i="1"/>
  <c r="BU103" i="1"/>
  <c r="BU174" i="1"/>
  <c r="BU55" i="1"/>
  <c r="BU68" i="1"/>
  <c r="BU79" i="1"/>
  <c r="BU109" i="1"/>
  <c r="BU128" i="1"/>
  <c r="BU175" i="1"/>
  <c r="BU70" i="1"/>
  <c r="BU80" i="1"/>
  <c r="BU91" i="1"/>
  <c r="BU105" i="1"/>
  <c r="BU141" i="1"/>
  <c r="BU32" i="1"/>
  <c r="BU57" i="1"/>
  <c r="BU92" i="1"/>
  <c r="BU112" i="1"/>
  <c r="BU131" i="1"/>
  <c r="BU50" i="1"/>
  <c r="BU63" i="1"/>
  <c r="BU108" i="1"/>
  <c r="BU121" i="1"/>
  <c r="BU137" i="1"/>
  <c r="BU30" i="1"/>
  <c r="BU83" i="1"/>
  <c r="BU95" i="1"/>
  <c r="BU114" i="1"/>
  <c r="BU133" i="1"/>
  <c r="BU144" i="1"/>
  <c r="BU31" i="1"/>
  <c r="BU52" i="1"/>
  <c r="BU61" i="1"/>
  <c r="BU110" i="1"/>
  <c r="BU123" i="1"/>
  <c r="BU148" i="1"/>
  <c r="BU71" i="1"/>
  <c r="BU81" i="1"/>
  <c r="BU97" i="1"/>
  <c r="BU116" i="1"/>
  <c r="BU147" i="1"/>
  <c r="BU54" i="1"/>
  <c r="BU67" i="1"/>
  <c r="BU77" i="1"/>
  <c r="BU94" i="1"/>
  <c r="BU113" i="1"/>
  <c r="BU127" i="1"/>
  <c r="BU143" i="1"/>
  <c r="BU34" i="1"/>
  <c r="BU60" i="1"/>
  <c r="BU73" i="1"/>
  <c r="BU90" i="1"/>
  <c r="BU100" i="1"/>
  <c r="BU118" i="1"/>
  <c r="BU65" i="1"/>
  <c r="BU75" i="1"/>
  <c r="BU85" i="1"/>
  <c r="BU96" i="1"/>
  <c r="BU115" i="1"/>
  <c r="BU130" i="1"/>
  <c r="BU145" i="1"/>
  <c r="BU49" i="1"/>
  <c r="BU62" i="1"/>
  <c r="BU102" i="1"/>
  <c r="BU120" i="1"/>
  <c r="BU136" i="1"/>
  <c r="BU173" i="1"/>
  <c r="CB146" i="1"/>
  <c r="CC146" i="1" s="1"/>
  <c r="CC141" i="1"/>
  <c r="CD78" i="1"/>
  <c r="CD86" i="1"/>
  <c r="BU98" i="1"/>
  <c r="CC14" i="1"/>
  <c r="BU176" i="1"/>
  <c r="BU125" i="1"/>
  <c r="CL78" i="1"/>
  <c r="CD88" i="1"/>
  <c r="BU28" i="1"/>
  <c r="CC12" i="1"/>
  <c r="CM21" i="1"/>
  <c r="CB59" i="1"/>
  <c r="CC59" i="1" s="1"/>
  <c r="BU84" i="1"/>
  <c r="CC15" i="1"/>
  <c r="BZ150" i="1"/>
  <c r="BU150" i="1"/>
  <c r="CB107" i="1"/>
  <c r="CC107" i="1" s="1"/>
  <c r="CB84" i="1"/>
  <c r="CC84" i="1" s="1"/>
  <c r="CC82" i="1"/>
  <c r="CD138" i="1"/>
  <c r="BU93" i="1"/>
  <c r="BU10" i="1"/>
  <c r="CN148" i="1"/>
  <c r="BU170" i="1"/>
  <c r="BU111" i="1"/>
  <c r="BU9" i="1"/>
  <c r="BU16" i="1"/>
  <c r="BU78" i="1"/>
  <c r="BU11" i="1"/>
  <c r="BU129" i="1"/>
  <c r="CD15" i="1"/>
  <c r="CL28" i="1"/>
  <c r="CD12" i="1"/>
  <c r="CN12" i="1" s="1"/>
  <c r="CD14" i="1"/>
  <c r="CC90" i="1"/>
  <c r="CD90" i="1"/>
  <c r="CL138" i="1"/>
  <c r="CR91" i="1"/>
  <c r="BU107" i="1"/>
  <c r="BU88" i="1"/>
  <c r="BU164" i="1"/>
  <c r="BU17" i="1"/>
  <c r="CC9" i="1"/>
  <c r="CL86" i="1"/>
  <c r="BU69" i="1"/>
  <c r="BU138" i="1"/>
  <c r="BU74" i="1"/>
  <c r="CC11" i="1"/>
  <c r="CB129" i="1"/>
  <c r="CC129" i="1" s="1"/>
  <c r="CB93" i="1"/>
  <c r="CC93" i="1" s="1"/>
  <c r="CB176" i="1"/>
  <c r="CD68" i="1"/>
  <c r="CF68" i="1" s="1"/>
  <c r="CD110" i="1"/>
  <c r="CD112" i="1"/>
  <c r="CB111" i="1"/>
  <c r="CC111" i="1" s="1"/>
  <c r="CD30" i="1"/>
  <c r="CD102" i="1"/>
  <c r="CD118" i="1"/>
  <c r="CD32" i="1"/>
  <c r="CD33" i="1"/>
  <c r="CD149" i="1"/>
  <c r="CD109" i="1"/>
  <c r="CD133" i="1"/>
  <c r="CD63" i="1"/>
  <c r="CD83" i="1"/>
  <c r="CD116" i="1"/>
  <c r="CD51" i="1"/>
  <c r="CD104" i="1"/>
  <c r="CD31" i="1"/>
  <c r="CD134" i="1"/>
  <c r="CD92" i="1"/>
  <c r="CD131" i="1"/>
  <c r="CD82" i="1"/>
  <c r="CD172" i="1"/>
  <c r="CD173" i="1"/>
  <c r="CD143" i="1"/>
  <c r="CD122" i="1"/>
  <c r="CD53" i="1"/>
  <c r="CD50" i="1"/>
  <c r="CD174" i="1"/>
  <c r="CD101" i="1"/>
  <c r="CD99" i="1"/>
  <c r="CD64" i="1"/>
  <c r="CD105" i="1"/>
  <c r="CD106" i="1"/>
  <c r="CD103" i="1"/>
  <c r="CD141" i="1"/>
  <c r="CD54" i="1"/>
  <c r="CD115" i="1"/>
  <c r="CD89" i="1"/>
  <c r="CB125" i="1"/>
  <c r="CC125" i="1" s="1"/>
  <c r="CB69" i="1"/>
  <c r="CC69" i="1" s="1"/>
  <c r="CD34" i="1"/>
  <c r="CD100" i="1"/>
  <c r="CD175" i="1"/>
  <c r="CD130" i="1"/>
  <c r="CD66" i="1"/>
  <c r="CD124" i="1"/>
  <c r="CD67" i="1"/>
  <c r="CD55" i="1"/>
  <c r="CD65" i="1"/>
  <c r="CD97" i="1"/>
  <c r="CD113" i="1"/>
  <c r="CD114" i="1"/>
  <c r="CD119" i="1"/>
  <c r="CD120" i="1"/>
  <c r="CD117" i="1"/>
  <c r="CD128" i="1"/>
  <c r="CD57" i="1"/>
  <c r="CD142" i="1"/>
  <c r="CD132" i="1"/>
  <c r="CX8" i="1"/>
  <c r="CY174" i="1" s="1"/>
  <c r="CB18" i="1"/>
  <c r="BZ19" i="1"/>
  <c r="CA19" i="1" s="1"/>
  <c r="BS19" i="1"/>
  <c r="BN29" i="1"/>
  <c r="BO29" i="1" s="1"/>
  <c r="BP29" i="1"/>
  <c r="BP126" i="1" s="1"/>
  <c r="BT19" i="1"/>
  <c r="BU19" i="1" s="1"/>
  <c r="BS29" i="1"/>
  <c r="BR126" i="1"/>
  <c r="BC85" i="1"/>
  <c r="CE38" i="1" l="1"/>
  <c r="CE96" i="1"/>
  <c r="CE70" i="1"/>
  <c r="CE87" i="1"/>
  <c r="CE85" i="1"/>
  <c r="CE56" i="1"/>
  <c r="CE46" i="1"/>
  <c r="CE79" i="1"/>
  <c r="CE61" i="1"/>
  <c r="CE52" i="1"/>
  <c r="CE160" i="1"/>
  <c r="CE21" i="1"/>
  <c r="CE138" i="1"/>
  <c r="CE22" i="1"/>
  <c r="CE35" i="1"/>
  <c r="CE16" i="1"/>
  <c r="CE48" i="1"/>
  <c r="CE17" i="1"/>
  <c r="CE23" i="1"/>
  <c r="CE168" i="1"/>
  <c r="CE44" i="1"/>
  <c r="CE91" i="1"/>
  <c r="CE41" i="1"/>
  <c r="CE42" i="1"/>
  <c r="CE164" i="1"/>
  <c r="CE163" i="1"/>
  <c r="CE95" i="1"/>
  <c r="CE26" i="1"/>
  <c r="CE136" i="1"/>
  <c r="CE49" i="1"/>
  <c r="CE39" i="1"/>
  <c r="CE137" i="1"/>
  <c r="CE140" i="1"/>
  <c r="CE167" i="1"/>
  <c r="CE27" i="1"/>
  <c r="CE77" i="1"/>
  <c r="CE108" i="1"/>
  <c r="CE74" i="1"/>
  <c r="CE11" i="1"/>
  <c r="CE28" i="1"/>
  <c r="CE165" i="1"/>
  <c r="CE159" i="1"/>
  <c r="CE75" i="1"/>
  <c r="CE166" i="1"/>
  <c r="CE169" i="1"/>
  <c r="CE45" i="1"/>
  <c r="CE156" i="1"/>
  <c r="CE80" i="1"/>
  <c r="CE40" i="1"/>
  <c r="CE14" i="1"/>
  <c r="CE86" i="1"/>
  <c r="CE157" i="1"/>
  <c r="CE155" i="1"/>
  <c r="CE71" i="1"/>
  <c r="CE158" i="1"/>
  <c r="CE161" i="1"/>
  <c r="CE37" i="1"/>
  <c r="CE152" i="1"/>
  <c r="CE76" i="1"/>
  <c r="CE36" i="1"/>
  <c r="CE78" i="1"/>
  <c r="CE170" i="1"/>
  <c r="CE162" i="1"/>
  <c r="CE81" i="1"/>
  <c r="CE147" i="1"/>
  <c r="CE47" i="1"/>
  <c r="CE94" i="1"/>
  <c r="CE153" i="1"/>
  <c r="CE25" i="1"/>
  <c r="CE148" i="1"/>
  <c r="CE72" i="1"/>
  <c r="CE24" i="1"/>
  <c r="CE88" i="1"/>
  <c r="CE154" i="1"/>
  <c r="CE73" i="1"/>
  <c r="CE123" i="1"/>
  <c r="CE43" i="1"/>
  <c r="CE58" i="1"/>
  <c r="CE145" i="1"/>
  <c r="CE20" i="1"/>
  <c r="CE144" i="1"/>
  <c r="CE15" i="1"/>
  <c r="DW168" i="1"/>
  <c r="DY168" i="1"/>
  <c r="DR164" i="1"/>
  <c r="EB164" i="1" s="1"/>
  <c r="DP166" i="1"/>
  <c r="DG165" i="1"/>
  <c r="DI164" i="1"/>
  <c r="CZ43" i="1"/>
  <c r="DA43" i="1" s="1"/>
  <c r="DD163" i="1"/>
  <c r="DD164" i="1" s="1"/>
  <c r="DE164" i="1" s="1"/>
  <c r="CZ41" i="1"/>
  <c r="DB38" i="1"/>
  <c r="DH38" i="1" s="1"/>
  <c r="DT38" i="1" s="1"/>
  <c r="CF62" i="1"/>
  <c r="CL62" i="1" s="1"/>
  <c r="CF67" i="1"/>
  <c r="CL67" i="1" s="1"/>
  <c r="CF64" i="1"/>
  <c r="CL64" i="1" s="1"/>
  <c r="CF65" i="1"/>
  <c r="CG65" i="1" s="1"/>
  <c r="CF66" i="1"/>
  <c r="CG66" i="1" s="1"/>
  <c r="CZ47" i="1"/>
  <c r="CF63" i="1"/>
  <c r="CG63" i="1" s="1"/>
  <c r="CZ39" i="1"/>
  <c r="CZ44" i="1"/>
  <c r="CZ24" i="1"/>
  <c r="DB40" i="1"/>
  <c r="DC40" i="1" s="1"/>
  <c r="DH165" i="1"/>
  <c r="CZ42" i="1"/>
  <c r="CX26" i="1"/>
  <c r="CX25" i="1"/>
  <c r="CZ45" i="1"/>
  <c r="CZ37" i="1"/>
  <c r="DC167" i="1"/>
  <c r="DD167" i="1"/>
  <c r="DB164" i="1"/>
  <c r="DC163" i="1"/>
  <c r="CZ22" i="1"/>
  <c r="DB22" i="1" s="1"/>
  <c r="CS157" i="1"/>
  <c r="CS44" i="1"/>
  <c r="CS37" i="1"/>
  <c r="CS161" i="1"/>
  <c r="CS153" i="1"/>
  <c r="CS38" i="1"/>
  <c r="CS159" i="1"/>
  <c r="CS27" i="1"/>
  <c r="CS155" i="1"/>
  <c r="CS23" i="1"/>
  <c r="CS165" i="1"/>
  <c r="CS24" i="1"/>
  <c r="CS43" i="1"/>
  <c r="CS47" i="1"/>
  <c r="CS22" i="1"/>
  <c r="CS145" i="1"/>
  <c r="CS167" i="1"/>
  <c r="CS46" i="1"/>
  <c r="CS160" i="1"/>
  <c r="CS147" i="1"/>
  <c r="CS76" i="1"/>
  <c r="CS41" i="1"/>
  <c r="CS168" i="1"/>
  <c r="CS152" i="1"/>
  <c r="CS156" i="1"/>
  <c r="CS158" i="1"/>
  <c r="CS45" i="1"/>
  <c r="CS42" i="1"/>
  <c r="CS166" i="1"/>
  <c r="CS56" i="1"/>
  <c r="CS25" i="1"/>
  <c r="CS81" i="1"/>
  <c r="CS36" i="1"/>
  <c r="CS35" i="1"/>
  <c r="CS154" i="1"/>
  <c r="CS162" i="1"/>
  <c r="CS39" i="1"/>
  <c r="CS163" i="1"/>
  <c r="CS26" i="1"/>
  <c r="CS140" i="1"/>
  <c r="CR148" i="1"/>
  <c r="CS148" i="1" s="1"/>
  <c r="CR94" i="1"/>
  <c r="CS94" i="1" s="1"/>
  <c r="CR58" i="1"/>
  <c r="CS58" i="1" s="1"/>
  <c r="CR52" i="1"/>
  <c r="CS52" i="1" s="1"/>
  <c r="CR72" i="1"/>
  <c r="CS72" i="1" s="1"/>
  <c r="CR144" i="1"/>
  <c r="CS144" i="1" s="1"/>
  <c r="CR75" i="1"/>
  <c r="CS75" i="1" s="1"/>
  <c r="CR70" i="1"/>
  <c r="CS70" i="1" s="1"/>
  <c r="CR123" i="1"/>
  <c r="CS123" i="1" s="1"/>
  <c r="CR71" i="1"/>
  <c r="CS71" i="1" s="1"/>
  <c r="CR17" i="1"/>
  <c r="CS17" i="1" s="1"/>
  <c r="CR16" i="1"/>
  <c r="CS16" i="1" s="1"/>
  <c r="CF172" i="1"/>
  <c r="CW26" i="1"/>
  <c r="CZ164" i="1"/>
  <c r="CZ36" i="1"/>
  <c r="CZ46" i="1"/>
  <c r="CZ35" i="1"/>
  <c r="CZ140" i="1"/>
  <c r="CZ81" i="1"/>
  <c r="CX146" i="1"/>
  <c r="CR73" i="1"/>
  <c r="CS73" i="1" s="1"/>
  <c r="CY94" i="1"/>
  <c r="CU25" i="1"/>
  <c r="CR169" i="1"/>
  <c r="CR60" i="1"/>
  <c r="CS60" i="1" s="1"/>
  <c r="CR61" i="1"/>
  <c r="CS61" i="1" s="1"/>
  <c r="CR77" i="1"/>
  <c r="CR96" i="1"/>
  <c r="CS96" i="1" s="1"/>
  <c r="CR85" i="1"/>
  <c r="CR86" i="1" s="1"/>
  <c r="CS86" i="1" s="1"/>
  <c r="CR79" i="1"/>
  <c r="CS79" i="1" s="1"/>
  <c r="CR164" i="1"/>
  <c r="CS164" i="1" s="1"/>
  <c r="CR95" i="1"/>
  <c r="CS95" i="1" s="1"/>
  <c r="CR49" i="1"/>
  <c r="CS49" i="1" s="1"/>
  <c r="CS91" i="1"/>
  <c r="CN138" i="1"/>
  <c r="CO138" i="1" s="1"/>
  <c r="CR136" i="1"/>
  <c r="CS136" i="1" s="1"/>
  <c r="CR137" i="1"/>
  <c r="CS137" i="1" s="1"/>
  <c r="CR88" i="1"/>
  <c r="CS88" i="1" s="1"/>
  <c r="CS87" i="1"/>
  <c r="DA168" i="1"/>
  <c r="CQ77" i="1"/>
  <c r="CP78" i="1"/>
  <c r="CQ78" i="1" s="1"/>
  <c r="CQ96" i="1"/>
  <c r="CQ136" i="1"/>
  <c r="CX136" i="1"/>
  <c r="CZ136" i="1" s="1"/>
  <c r="CP138" i="1"/>
  <c r="CQ138" i="1" s="1"/>
  <c r="CW81" i="1"/>
  <c r="CU81" i="1"/>
  <c r="CQ87" i="1"/>
  <c r="CP88" i="1"/>
  <c r="CQ88" i="1" s="1"/>
  <c r="CQ61" i="1"/>
  <c r="CQ95" i="1"/>
  <c r="CX95" i="1"/>
  <c r="CU140" i="1"/>
  <c r="CT146" i="1"/>
  <c r="CU146" i="1" s="1"/>
  <c r="CQ85" i="1"/>
  <c r="CP86" i="1"/>
  <c r="CQ86" i="1" s="1"/>
  <c r="CQ91" i="1"/>
  <c r="CT91" i="1"/>
  <c r="CX137" i="1"/>
  <c r="CQ137" i="1"/>
  <c r="CQ73" i="1"/>
  <c r="CX73" i="1"/>
  <c r="CQ74" i="1"/>
  <c r="CN170" i="1"/>
  <c r="CO170" i="1" s="1"/>
  <c r="CY169" i="1"/>
  <c r="CW145" i="1"/>
  <c r="CU145" i="1"/>
  <c r="CQ60" i="1"/>
  <c r="CQ49" i="1"/>
  <c r="CX79" i="1"/>
  <c r="CQ79" i="1"/>
  <c r="CR48" i="1"/>
  <c r="DA49" i="1"/>
  <c r="CZ76" i="1"/>
  <c r="CQ164" i="1"/>
  <c r="CX88" i="1"/>
  <c r="CZ85" i="1"/>
  <c r="CZ86" i="1" s="1"/>
  <c r="DA86" i="1" s="1"/>
  <c r="CZ61" i="1"/>
  <c r="DA61" i="1" s="1"/>
  <c r="CZ75" i="1"/>
  <c r="DA75" i="1" s="1"/>
  <c r="DA60" i="1"/>
  <c r="CZ21" i="1"/>
  <c r="DA21" i="1" s="1"/>
  <c r="CR21" i="1"/>
  <c r="CW25" i="1"/>
  <c r="CR20" i="1"/>
  <c r="CQ15" i="1"/>
  <c r="CV23" i="1"/>
  <c r="CU23" i="1"/>
  <c r="CV27" i="1"/>
  <c r="CU27" i="1"/>
  <c r="DA10" i="1"/>
  <c r="CN10" i="1"/>
  <c r="CG68" i="1"/>
  <c r="CL68" i="1"/>
  <c r="CH108" i="1"/>
  <c r="CG108" i="1"/>
  <c r="DA154" i="1"/>
  <c r="DA160" i="1"/>
  <c r="DA158" i="1"/>
  <c r="DA17" i="1"/>
  <c r="DA167" i="1"/>
  <c r="DA144" i="1"/>
  <c r="DA161" i="1"/>
  <c r="CN74" i="1"/>
  <c r="CO74" i="1" s="1"/>
  <c r="CE104" i="1"/>
  <c r="CN11" i="1"/>
  <c r="DA16" i="1"/>
  <c r="DA71" i="1"/>
  <c r="DA52" i="1"/>
  <c r="DA145" i="1"/>
  <c r="DA123" i="1"/>
  <c r="CN15" i="1"/>
  <c r="CF124" i="1"/>
  <c r="CE9" i="1"/>
  <c r="CN9" i="1"/>
  <c r="DA70" i="1"/>
  <c r="DA162" i="1"/>
  <c r="DA156" i="1"/>
  <c r="CF82" i="1"/>
  <c r="DA56" i="1"/>
  <c r="DA157" i="1"/>
  <c r="DA72" i="1"/>
  <c r="DA40" i="1"/>
  <c r="CJ69" i="1"/>
  <c r="CK69" i="1" s="1"/>
  <c r="DA58" i="1"/>
  <c r="CF50" i="1"/>
  <c r="CF90" i="1"/>
  <c r="CZ13" i="1"/>
  <c r="DA13" i="1" s="1"/>
  <c r="CN13" i="1"/>
  <c r="CE121" i="1"/>
  <c r="CF100" i="1"/>
  <c r="CF109" i="1"/>
  <c r="DA152" i="1"/>
  <c r="CE62" i="1"/>
  <c r="CF127" i="1"/>
  <c r="DA163" i="1"/>
  <c r="DA159" i="1"/>
  <c r="DA38" i="1"/>
  <c r="DA166" i="1"/>
  <c r="DA165" i="1"/>
  <c r="DA153" i="1"/>
  <c r="DA155" i="1"/>
  <c r="CN14" i="1"/>
  <c r="CO48" i="1"/>
  <c r="CO56" i="1"/>
  <c r="CO71" i="1"/>
  <c r="CO123" i="1"/>
  <c r="CO17" i="1"/>
  <c r="CO72" i="1"/>
  <c r="CO144" i="1"/>
  <c r="CO70" i="1"/>
  <c r="CO169" i="1"/>
  <c r="CO16" i="1"/>
  <c r="CO35" i="1"/>
  <c r="CO36" i="1"/>
  <c r="CO46" i="1"/>
  <c r="CO39" i="1"/>
  <c r="CO40" i="1"/>
  <c r="CO37" i="1"/>
  <c r="CO43" i="1"/>
  <c r="CO44" i="1"/>
  <c r="CO41" i="1"/>
  <c r="CO38" i="1"/>
  <c r="CO47" i="1"/>
  <c r="CO45" i="1"/>
  <c r="CO42" i="1"/>
  <c r="CO160" i="1"/>
  <c r="CO155" i="1"/>
  <c r="CO166" i="1"/>
  <c r="CO156" i="1"/>
  <c r="CO22" i="1"/>
  <c r="CO152" i="1"/>
  <c r="CO161" i="1"/>
  <c r="CO158" i="1"/>
  <c r="CO167" i="1"/>
  <c r="CO168" i="1"/>
  <c r="CO159" i="1"/>
  <c r="CO27" i="1"/>
  <c r="CO163" i="1"/>
  <c r="CO165" i="1"/>
  <c r="CO26" i="1"/>
  <c r="CO25" i="1"/>
  <c r="CO24" i="1"/>
  <c r="CO153" i="1"/>
  <c r="CO157" i="1"/>
  <c r="CO162" i="1"/>
  <c r="CO154" i="1"/>
  <c r="CO164" i="1"/>
  <c r="CO23" i="1"/>
  <c r="CO58" i="1"/>
  <c r="CO81" i="1"/>
  <c r="CO137" i="1"/>
  <c r="CO12" i="1"/>
  <c r="CO77" i="1"/>
  <c r="CO52" i="1"/>
  <c r="CO96" i="1"/>
  <c r="CO87" i="1"/>
  <c r="CO94" i="1"/>
  <c r="CO76" i="1"/>
  <c r="CO73" i="1"/>
  <c r="CO79" i="1"/>
  <c r="CO145" i="1"/>
  <c r="CO20" i="1"/>
  <c r="CN28" i="1"/>
  <c r="CO28" i="1" s="1"/>
  <c r="CO75" i="1"/>
  <c r="CO88" i="1"/>
  <c r="CO148" i="1"/>
  <c r="CO140" i="1"/>
  <c r="CN86" i="1"/>
  <c r="CO86" i="1" s="1"/>
  <c r="CO85" i="1"/>
  <c r="CO147" i="1"/>
  <c r="CO95" i="1"/>
  <c r="CO136" i="1"/>
  <c r="CO61" i="1"/>
  <c r="CN78" i="1"/>
  <c r="CO78" i="1" s="1"/>
  <c r="CO60" i="1"/>
  <c r="CO21" i="1"/>
  <c r="CO91" i="1"/>
  <c r="CO49" i="1"/>
  <c r="CO80" i="1"/>
  <c r="CX59" i="1"/>
  <c r="CX78" i="1"/>
  <c r="CJ138" i="1"/>
  <c r="CK138" i="1" s="1"/>
  <c r="CZ87" i="1"/>
  <c r="CF34" i="1"/>
  <c r="CF134" i="1"/>
  <c r="CF57" i="1"/>
  <c r="CF53" i="1"/>
  <c r="CF113" i="1"/>
  <c r="CF32" i="1"/>
  <c r="CF132" i="1"/>
  <c r="CF55" i="1"/>
  <c r="CF33" i="1"/>
  <c r="CF54" i="1"/>
  <c r="CF141" i="1"/>
  <c r="CF51" i="1"/>
  <c r="CF133" i="1"/>
  <c r="CF31" i="1"/>
  <c r="CF106" i="1"/>
  <c r="CF92" i="1"/>
  <c r="CF116" i="1"/>
  <c r="CF118" i="1"/>
  <c r="CB150" i="1"/>
  <c r="CD150" i="1" s="1"/>
  <c r="CF99" i="1"/>
  <c r="CF114" i="1"/>
  <c r="CF112" i="1"/>
  <c r="CF103" i="1"/>
  <c r="CF119" i="1"/>
  <c r="CF104" i="1"/>
  <c r="CF175" i="1"/>
  <c r="CF89" i="1"/>
  <c r="CF131" i="1"/>
  <c r="CF142" i="1"/>
  <c r="CF121" i="1"/>
  <c r="CF130" i="1"/>
  <c r="CF173" i="1"/>
  <c r="CF110" i="1"/>
  <c r="CF115" i="1"/>
  <c r="CF101" i="1"/>
  <c r="CF83" i="1"/>
  <c r="CC176" i="1"/>
  <c r="CF174" i="1"/>
  <c r="CF149" i="1"/>
  <c r="CF105" i="1"/>
  <c r="CJ59" i="1"/>
  <c r="CK59" i="1" s="1"/>
  <c r="CJ78" i="1"/>
  <c r="CK78" i="1" s="1"/>
  <c r="CF120" i="1"/>
  <c r="CF117" i="1"/>
  <c r="CF30" i="1"/>
  <c r="CF97" i="1"/>
  <c r="CJ18" i="1"/>
  <c r="CL18" i="1"/>
  <c r="CL19" i="1" s="1"/>
  <c r="CF128" i="1"/>
  <c r="CF102" i="1"/>
  <c r="CF143" i="1"/>
  <c r="CE114" i="1"/>
  <c r="CE54" i="1"/>
  <c r="CE127" i="1"/>
  <c r="CE10" i="1"/>
  <c r="CE106" i="1"/>
  <c r="CE142" i="1"/>
  <c r="CE110" i="1"/>
  <c r="CE113" i="1"/>
  <c r="CE32" i="1"/>
  <c r="CE13" i="1"/>
  <c r="CE102" i="1"/>
  <c r="CE128" i="1"/>
  <c r="CX86" i="1"/>
  <c r="CE97" i="1"/>
  <c r="CE122" i="1"/>
  <c r="CM12" i="1"/>
  <c r="CB19" i="1"/>
  <c r="CC19" i="1" s="1"/>
  <c r="CC18" i="1"/>
  <c r="CE89" i="1"/>
  <c r="CZ77" i="1"/>
  <c r="CY15" i="1"/>
  <c r="CM15" i="1"/>
  <c r="CY14" i="1"/>
  <c r="CM14" i="1"/>
  <c r="CE141" i="1"/>
  <c r="CE124" i="1"/>
  <c r="CD18" i="1"/>
  <c r="CE50" i="1"/>
  <c r="CY9" i="1"/>
  <c r="CM9" i="1"/>
  <c r="CE101" i="1"/>
  <c r="CE55" i="1"/>
  <c r="CE174" i="1"/>
  <c r="CE12" i="1"/>
  <c r="CE120" i="1"/>
  <c r="CE64" i="1"/>
  <c r="CM11" i="1"/>
  <c r="CZ147" i="1"/>
  <c r="CZ20" i="1"/>
  <c r="CM37" i="1"/>
  <c r="CM41" i="1"/>
  <c r="CM45" i="1"/>
  <c r="CM49" i="1"/>
  <c r="CM61" i="1"/>
  <c r="CM73" i="1"/>
  <c r="CM77" i="1"/>
  <c r="CM81" i="1"/>
  <c r="CM85" i="1"/>
  <c r="CM137" i="1"/>
  <c r="CM145" i="1"/>
  <c r="CM153" i="1"/>
  <c r="CM157" i="1"/>
  <c r="CM161" i="1"/>
  <c r="CM165" i="1"/>
  <c r="CM169" i="1"/>
  <c r="CM36" i="1"/>
  <c r="CM42" i="1"/>
  <c r="CM47" i="1"/>
  <c r="CM52" i="1"/>
  <c r="CM58" i="1"/>
  <c r="CM74" i="1"/>
  <c r="CM79" i="1"/>
  <c r="CM95" i="1"/>
  <c r="CM138" i="1"/>
  <c r="CM148" i="1"/>
  <c r="CM154" i="1"/>
  <c r="CM159" i="1"/>
  <c r="CM164" i="1"/>
  <c r="CM170" i="1"/>
  <c r="CM39" i="1"/>
  <c r="CM46" i="1"/>
  <c r="CM60" i="1"/>
  <c r="CM75" i="1"/>
  <c r="CM88" i="1"/>
  <c r="CM96" i="1"/>
  <c r="CM152" i="1"/>
  <c r="CM160" i="1"/>
  <c r="CM167" i="1"/>
  <c r="CM40" i="1"/>
  <c r="CM48" i="1"/>
  <c r="CM70" i="1"/>
  <c r="CM76" i="1"/>
  <c r="CM91" i="1"/>
  <c r="CM140" i="1"/>
  <c r="CM147" i="1"/>
  <c r="CM155" i="1"/>
  <c r="CM162" i="1"/>
  <c r="CM168" i="1"/>
  <c r="CM35" i="1"/>
  <c r="CM78" i="1"/>
  <c r="CM163" i="1"/>
  <c r="CM38" i="1"/>
  <c r="CM80" i="1"/>
  <c r="CM94" i="1"/>
  <c r="CM123" i="1"/>
  <c r="CM136" i="1"/>
  <c r="CM166" i="1"/>
  <c r="CM28" i="1"/>
  <c r="CM43" i="1"/>
  <c r="CM56" i="1"/>
  <c r="CM71" i="1"/>
  <c r="CM86" i="1"/>
  <c r="CM156" i="1"/>
  <c r="CM44" i="1"/>
  <c r="CM72" i="1"/>
  <c r="CM87" i="1"/>
  <c r="CM144" i="1"/>
  <c r="CM158" i="1"/>
  <c r="CY10" i="1"/>
  <c r="CY22" i="1"/>
  <c r="CY38" i="1"/>
  <c r="CY42" i="1"/>
  <c r="CY46" i="1"/>
  <c r="CY50" i="1"/>
  <c r="CY54" i="1"/>
  <c r="CY58" i="1"/>
  <c r="CY70" i="1"/>
  <c r="CY102" i="1"/>
  <c r="CY110" i="1"/>
  <c r="CY122" i="1"/>
  <c r="CY142" i="1"/>
  <c r="CY154" i="1"/>
  <c r="CY158" i="1"/>
  <c r="CY162" i="1"/>
  <c r="CY166" i="1"/>
  <c r="CY13" i="1"/>
  <c r="CY24" i="1"/>
  <c r="CY35" i="1"/>
  <c r="CY40" i="1"/>
  <c r="CY45" i="1"/>
  <c r="CY51" i="1"/>
  <c r="CY56" i="1"/>
  <c r="CY61" i="1"/>
  <c r="CY72" i="1"/>
  <c r="CY77" i="1"/>
  <c r="CY104" i="1"/>
  <c r="CY109" i="1"/>
  <c r="CY115" i="1"/>
  <c r="CY131" i="1"/>
  <c r="CY147" i="1"/>
  <c r="CY152" i="1"/>
  <c r="CY157" i="1"/>
  <c r="CY163" i="1"/>
  <c r="CY168" i="1"/>
  <c r="CY20" i="1"/>
  <c r="CY36" i="1"/>
  <c r="CY41" i="1"/>
  <c r="CY47" i="1"/>
  <c r="CY52" i="1"/>
  <c r="CY57" i="1"/>
  <c r="CY116" i="1"/>
  <c r="CY121" i="1"/>
  <c r="CY127" i="1"/>
  <c r="CY44" i="1"/>
  <c r="CY55" i="1"/>
  <c r="CY76" i="1"/>
  <c r="CY87" i="1"/>
  <c r="CY108" i="1"/>
  <c r="CY144" i="1"/>
  <c r="CY159" i="1"/>
  <c r="CY165" i="1"/>
  <c r="CY16" i="1"/>
  <c r="CY37" i="1"/>
  <c r="CY48" i="1"/>
  <c r="CY101" i="1"/>
  <c r="CY123" i="1"/>
  <c r="CY145" i="1"/>
  <c r="CY153" i="1"/>
  <c r="CY160" i="1"/>
  <c r="CY167" i="1"/>
  <c r="CY17" i="1"/>
  <c r="CY49" i="1"/>
  <c r="CY71" i="1"/>
  <c r="CY113" i="1"/>
  <c r="CY161" i="1"/>
  <c r="CY53" i="1"/>
  <c r="CY75" i="1"/>
  <c r="CY149" i="1"/>
  <c r="CY164" i="1"/>
  <c r="CY39" i="1"/>
  <c r="CY60" i="1"/>
  <c r="CY81" i="1"/>
  <c r="CY140" i="1"/>
  <c r="CY155" i="1"/>
  <c r="CY21" i="1"/>
  <c r="CY43" i="1"/>
  <c r="CY85" i="1"/>
  <c r="CY143" i="1"/>
  <c r="CY156" i="1"/>
  <c r="CE118" i="1"/>
  <c r="CY117" i="1"/>
  <c r="CY106" i="1"/>
  <c r="CX129" i="1"/>
  <c r="CE133" i="1"/>
  <c r="CE33" i="1"/>
  <c r="CE143" i="1"/>
  <c r="CE119" i="1"/>
  <c r="CE172" i="1"/>
  <c r="CE100" i="1"/>
  <c r="CY99" i="1"/>
  <c r="CD125" i="1"/>
  <c r="CE125" i="1" s="1"/>
  <c r="CE130" i="1"/>
  <c r="CE109" i="1"/>
  <c r="CE65" i="1"/>
  <c r="CE131" i="1"/>
  <c r="CE99" i="1"/>
  <c r="CE83" i="1"/>
  <c r="CE134" i="1"/>
  <c r="CE53" i="1"/>
  <c r="CE112" i="1"/>
  <c r="CY119" i="1"/>
  <c r="CD129" i="1"/>
  <c r="CY134" i="1"/>
  <c r="CY118" i="1"/>
  <c r="CD84" i="1"/>
  <c r="CE84" i="1" s="1"/>
  <c r="CE92" i="1"/>
  <c r="CD59" i="1"/>
  <c r="CE59" i="1" s="1"/>
  <c r="CE34" i="1"/>
  <c r="CE149" i="1"/>
  <c r="CE117" i="1"/>
  <c r="CE115" i="1"/>
  <c r="CE67" i="1"/>
  <c r="CE51" i="1"/>
  <c r="CE105" i="1"/>
  <c r="CY120" i="1"/>
  <c r="CY114" i="1"/>
  <c r="CY124" i="1"/>
  <c r="CY130" i="1"/>
  <c r="CY100" i="1"/>
  <c r="CD146" i="1"/>
  <c r="CE146" i="1" s="1"/>
  <c r="CY133" i="1"/>
  <c r="CD176" i="1"/>
  <c r="CD111" i="1"/>
  <c r="CE57" i="1"/>
  <c r="CE103" i="1"/>
  <c r="CE82" i="1"/>
  <c r="CE90" i="1"/>
  <c r="CE30" i="1"/>
  <c r="CE173" i="1"/>
  <c r="CE175" i="1"/>
  <c r="CE63" i="1"/>
  <c r="CE31" i="1"/>
  <c r="CE66" i="1"/>
  <c r="CE132" i="1"/>
  <c r="CE116" i="1"/>
  <c r="CE68" i="1"/>
  <c r="CY132" i="1"/>
  <c r="CD98" i="1"/>
  <c r="CE98" i="1" s="1"/>
  <c r="CD69" i="1"/>
  <c r="CE69" i="1" s="1"/>
  <c r="CD93" i="1"/>
  <c r="CE93" i="1" s="1"/>
  <c r="CY103" i="1"/>
  <c r="CY105" i="1"/>
  <c r="CD107" i="1"/>
  <c r="CY90" i="1"/>
  <c r="CY92" i="1"/>
  <c r="BZ29" i="1"/>
  <c r="BZ126" i="1" s="1"/>
  <c r="BN126" i="1"/>
  <c r="BN135" i="1" s="1"/>
  <c r="BQ29" i="1"/>
  <c r="BT29" i="1"/>
  <c r="BU29" i="1" s="1"/>
  <c r="BS126" i="1"/>
  <c r="BR135" i="1"/>
  <c r="BP135" i="1"/>
  <c r="BQ126" i="1"/>
  <c r="BC123" i="1"/>
  <c r="DU38" i="1" l="1"/>
  <c r="EC164" i="1"/>
  <c r="EA168" i="1"/>
  <c r="DQ166" i="1"/>
  <c r="DS164" i="1"/>
  <c r="DT164" i="1"/>
  <c r="DK38" i="1"/>
  <c r="DK165" i="1"/>
  <c r="DL165" i="1"/>
  <c r="CG62" i="1"/>
  <c r="DE163" i="1"/>
  <c r="DC38" i="1"/>
  <c r="DE167" i="1"/>
  <c r="DF163" i="1"/>
  <c r="DI38" i="1"/>
  <c r="DA44" i="1"/>
  <c r="CG64" i="1"/>
  <c r="DB43" i="1"/>
  <c r="DH43" i="1" s="1"/>
  <c r="DB44" i="1"/>
  <c r="DH44" i="1" s="1"/>
  <c r="DT44" i="1" s="1"/>
  <c r="DI165" i="1"/>
  <c r="CL66" i="1"/>
  <c r="CN66" i="1" s="1"/>
  <c r="CR66" i="1" s="1"/>
  <c r="CS66" i="1" s="1"/>
  <c r="DB41" i="1"/>
  <c r="DC41" i="1" s="1"/>
  <c r="DH136" i="1"/>
  <c r="DG136" i="1"/>
  <c r="DA41" i="1"/>
  <c r="CL63" i="1"/>
  <c r="CN63" i="1" s="1"/>
  <c r="DB39" i="1"/>
  <c r="DH39" i="1" s="1"/>
  <c r="CL65" i="1"/>
  <c r="CM65" i="1" s="1"/>
  <c r="DC164" i="1"/>
  <c r="DA39" i="1"/>
  <c r="DA47" i="1"/>
  <c r="CG67" i="1"/>
  <c r="CF69" i="1"/>
  <c r="CG69" i="1" s="1"/>
  <c r="DB47" i="1"/>
  <c r="DH47" i="1" s="1"/>
  <c r="DH40" i="1"/>
  <c r="DT40" i="1" s="1"/>
  <c r="CY25" i="1"/>
  <c r="DA24" i="1"/>
  <c r="DB24" i="1"/>
  <c r="DD24" i="1" s="1"/>
  <c r="DA42" i="1"/>
  <c r="DA37" i="1"/>
  <c r="DF167" i="1"/>
  <c r="DB35" i="1"/>
  <c r="DC35" i="1" s="1"/>
  <c r="DB42" i="1"/>
  <c r="DA45" i="1"/>
  <c r="CX23" i="1"/>
  <c r="DB46" i="1"/>
  <c r="DB36" i="1"/>
  <c r="DB37" i="1"/>
  <c r="CY26" i="1"/>
  <c r="CX27" i="1"/>
  <c r="CY27" i="1" s="1"/>
  <c r="DC22" i="1"/>
  <c r="DD22" i="1"/>
  <c r="DB45" i="1"/>
  <c r="DA22" i="1"/>
  <c r="CZ26" i="1"/>
  <c r="CZ25" i="1"/>
  <c r="DA25" i="1" s="1"/>
  <c r="DA147" i="1"/>
  <c r="DA35" i="1"/>
  <c r="DA164" i="1"/>
  <c r="CG134" i="1"/>
  <c r="CH82" i="1"/>
  <c r="CI82" i="1" s="1"/>
  <c r="DA76" i="1"/>
  <c r="CR78" i="1"/>
  <c r="CS78" i="1" s="1"/>
  <c r="DA81" i="1"/>
  <c r="DA46" i="1"/>
  <c r="DA87" i="1"/>
  <c r="DA140" i="1"/>
  <c r="DA36" i="1"/>
  <c r="CH172" i="1"/>
  <c r="CI172" i="1" s="1"/>
  <c r="CG172" i="1"/>
  <c r="CY136" i="1"/>
  <c r="CZ95" i="1"/>
  <c r="CY95" i="1"/>
  <c r="CZ79" i="1"/>
  <c r="CY73" i="1"/>
  <c r="CY79" i="1"/>
  <c r="CX138" i="1"/>
  <c r="DA136" i="1"/>
  <c r="DA85" i="1"/>
  <c r="CX74" i="1"/>
  <c r="CZ73" i="1"/>
  <c r="CY137" i="1"/>
  <c r="CZ137" i="1"/>
  <c r="DF138" i="1" s="1"/>
  <c r="DG138" i="1" s="1"/>
  <c r="CR74" i="1"/>
  <c r="CS74" i="1" s="1"/>
  <c r="CS85" i="1"/>
  <c r="CR138" i="1"/>
  <c r="CS138" i="1" s="1"/>
  <c r="CY88" i="1"/>
  <c r="CS77" i="1"/>
  <c r="CO9" i="1"/>
  <c r="CR9" i="1"/>
  <c r="CS9" i="1" s="1"/>
  <c r="CO11" i="1"/>
  <c r="CO10" i="1"/>
  <c r="CR10" i="1"/>
  <c r="CS10" i="1" s="1"/>
  <c r="CO14" i="1"/>
  <c r="CR14" i="1"/>
  <c r="CS14" i="1" s="1"/>
  <c r="CO13" i="1"/>
  <c r="CR13" i="1"/>
  <c r="CS13" i="1" s="1"/>
  <c r="CO15" i="1"/>
  <c r="CR15" i="1"/>
  <c r="CS15" i="1" s="1"/>
  <c r="CS21" i="1"/>
  <c r="CS48" i="1"/>
  <c r="CR170" i="1"/>
  <c r="CS170" i="1" s="1"/>
  <c r="CS169" i="1"/>
  <c r="CI108" i="1"/>
  <c r="CS20" i="1"/>
  <c r="CR28" i="1"/>
  <c r="CS28" i="1" s="1"/>
  <c r="CW137" i="1"/>
  <c r="CU137" i="1"/>
  <c r="CW140" i="1"/>
  <c r="CV146" i="1"/>
  <c r="CU77" i="1"/>
  <c r="CT78" i="1"/>
  <c r="CU78" i="1" s="1"/>
  <c r="CU60" i="1"/>
  <c r="CT69" i="1"/>
  <c r="CU69" i="1" s="1"/>
  <c r="CP170" i="1"/>
  <c r="CQ169" i="1"/>
  <c r="CU73" i="1"/>
  <c r="CT74" i="1"/>
  <c r="CU74" i="1" s="1"/>
  <c r="CV91" i="1"/>
  <c r="CX91" i="1" s="1"/>
  <c r="CT93" i="1"/>
  <c r="CU93" i="1" s="1"/>
  <c r="CU91" i="1"/>
  <c r="CU85" i="1"/>
  <c r="CT86" i="1"/>
  <c r="CU86" i="1" s="1"/>
  <c r="CU95" i="1"/>
  <c r="CT98" i="1"/>
  <c r="CU98" i="1" s="1"/>
  <c r="CU96" i="1"/>
  <c r="CU79" i="1"/>
  <c r="CX170" i="1"/>
  <c r="CZ169" i="1"/>
  <c r="CT88" i="1"/>
  <c r="CU88" i="1" s="1"/>
  <c r="CU87" i="1"/>
  <c r="CU49" i="1"/>
  <c r="CU61" i="1"/>
  <c r="CU136" i="1"/>
  <c r="CT138" i="1"/>
  <c r="CU138" i="1" s="1"/>
  <c r="CY86" i="1"/>
  <c r="CY129" i="1"/>
  <c r="CY148" i="1"/>
  <c r="CY78" i="1"/>
  <c r="CQ48" i="1"/>
  <c r="CQ20" i="1"/>
  <c r="CP28" i="1"/>
  <c r="CQ28" i="1" s="1"/>
  <c r="CQ21" i="1"/>
  <c r="CW27" i="1"/>
  <c r="CZ12" i="1"/>
  <c r="CZ11" i="1"/>
  <c r="CR11" i="1"/>
  <c r="CU15" i="1"/>
  <c r="CW23" i="1"/>
  <c r="CQ66" i="1"/>
  <c r="CM62" i="1"/>
  <c r="CN68" i="1"/>
  <c r="CN67" i="1"/>
  <c r="CQ67" i="1"/>
  <c r="CQ63" i="1"/>
  <c r="CQ65" i="1"/>
  <c r="CN64" i="1"/>
  <c r="CQ64" i="1"/>
  <c r="CH127" i="1"/>
  <c r="CN62" i="1"/>
  <c r="CJ108" i="1"/>
  <c r="CF98" i="1"/>
  <c r="CG98" i="1" s="1"/>
  <c r="CG97" i="1"/>
  <c r="CG106" i="1"/>
  <c r="CG124" i="1"/>
  <c r="CH124" i="1"/>
  <c r="CH131" i="1"/>
  <c r="CG131" i="1"/>
  <c r="CH118" i="1"/>
  <c r="CG118" i="1"/>
  <c r="CH102" i="1"/>
  <c r="CG102" i="1"/>
  <c r="CH117" i="1"/>
  <c r="CG117" i="1"/>
  <c r="CH101" i="1"/>
  <c r="CG101" i="1"/>
  <c r="CH173" i="1"/>
  <c r="CG173" i="1"/>
  <c r="CG121" i="1"/>
  <c r="CH103" i="1"/>
  <c r="CG103" i="1"/>
  <c r="CG99" i="1"/>
  <c r="CG51" i="1"/>
  <c r="CL51" i="1"/>
  <c r="CG55" i="1"/>
  <c r="CL55" i="1"/>
  <c r="CZ55" i="1" s="1"/>
  <c r="CF129" i="1"/>
  <c r="CG128" i="1"/>
  <c r="CH120" i="1"/>
  <c r="CG120" i="1"/>
  <c r="CH105" i="1"/>
  <c r="CG105" i="1"/>
  <c r="CG110" i="1"/>
  <c r="CG142" i="1"/>
  <c r="CG175" i="1"/>
  <c r="CG112" i="1"/>
  <c r="CH116" i="1"/>
  <c r="CG116" i="1"/>
  <c r="CG141" i="1"/>
  <c r="CH132" i="1"/>
  <c r="CG132" i="1"/>
  <c r="CH113" i="1"/>
  <c r="CG113" i="1"/>
  <c r="CG34" i="1"/>
  <c r="CL34" i="1"/>
  <c r="CG90" i="1"/>
  <c r="CG82" i="1"/>
  <c r="CH90" i="1"/>
  <c r="CH149" i="1"/>
  <c r="CG149" i="1"/>
  <c r="CH115" i="1"/>
  <c r="CG115" i="1"/>
  <c r="CG104" i="1"/>
  <c r="CG122" i="1"/>
  <c r="CG31" i="1"/>
  <c r="CL31" i="1"/>
  <c r="CG54" i="1"/>
  <c r="CL54" i="1"/>
  <c r="CG32" i="1"/>
  <c r="CL32" i="1"/>
  <c r="CG53" i="1"/>
  <c r="CL53" i="1"/>
  <c r="CG127" i="1"/>
  <c r="CG143" i="1"/>
  <c r="CG30" i="1"/>
  <c r="CL30" i="1"/>
  <c r="CG174" i="1"/>
  <c r="CF84" i="1"/>
  <c r="CG84" i="1" s="1"/>
  <c r="CG83" i="1"/>
  <c r="CH130" i="1"/>
  <c r="CG130" i="1"/>
  <c r="CH89" i="1"/>
  <c r="CG89" i="1"/>
  <c r="CH119" i="1"/>
  <c r="CG119" i="1"/>
  <c r="CG114" i="1"/>
  <c r="CH92" i="1"/>
  <c r="CG92" i="1"/>
  <c r="CH133" i="1"/>
  <c r="CG133" i="1"/>
  <c r="CG33" i="1"/>
  <c r="CL33" i="1"/>
  <c r="CG57" i="1"/>
  <c r="CL57" i="1"/>
  <c r="CZ57" i="1" s="1"/>
  <c r="DB57" i="1" s="1"/>
  <c r="CH109" i="1"/>
  <c r="CG109" i="1"/>
  <c r="CH100" i="1"/>
  <c r="CG100" i="1"/>
  <c r="CG50" i="1"/>
  <c r="CL50" i="1"/>
  <c r="CJ19" i="1"/>
  <c r="CK19" i="1" s="1"/>
  <c r="CK18" i="1"/>
  <c r="CF150" i="1"/>
  <c r="CN18" i="1"/>
  <c r="CO18" i="1" s="1"/>
  <c r="CK127" i="1"/>
  <c r="CM19" i="1"/>
  <c r="CL29" i="1"/>
  <c r="CM29" i="1" s="1"/>
  <c r="CZ88" i="1"/>
  <c r="DA88" i="1" s="1"/>
  <c r="CH106" i="1"/>
  <c r="CF59" i="1"/>
  <c r="CG59" i="1" s="1"/>
  <c r="CH143" i="1"/>
  <c r="CH134" i="1"/>
  <c r="CH104" i="1"/>
  <c r="CH142" i="1"/>
  <c r="CH83" i="1"/>
  <c r="CH114" i="1"/>
  <c r="CF176" i="1"/>
  <c r="CH174" i="1"/>
  <c r="CF111" i="1"/>
  <c r="CH97" i="1"/>
  <c r="CH128" i="1"/>
  <c r="CF107" i="1"/>
  <c r="CH99" i="1"/>
  <c r="CF93" i="1"/>
  <c r="CG93" i="1" s="1"/>
  <c r="CH110" i="1"/>
  <c r="CH175" i="1"/>
  <c r="CH121" i="1"/>
  <c r="CC150" i="1"/>
  <c r="CF125" i="1"/>
  <c r="CG125" i="1" s="1"/>
  <c r="CH112" i="1"/>
  <c r="CF146" i="1"/>
  <c r="CG146" i="1" s="1"/>
  <c r="CH141" i="1"/>
  <c r="CB29" i="1"/>
  <c r="CC29" i="1" s="1"/>
  <c r="CZ9" i="1"/>
  <c r="CM67" i="1"/>
  <c r="CM64" i="1"/>
  <c r="CZ14" i="1"/>
  <c r="DA14" i="1" s="1"/>
  <c r="CE150" i="1"/>
  <c r="CE111" i="1"/>
  <c r="CX18" i="1"/>
  <c r="CE129" i="1"/>
  <c r="CM68" i="1"/>
  <c r="DA48" i="1"/>
  <c r="CE107" i="1"/>
  <c r="CY12" i="1"/>
  <c r="CZ148" i="1"/>
  <c r="CZ15" i="1"/>
  <c r="DA15" i="1" s="1"/>
  <c r="CY11" i="1"/>
  <c r="DA20" i="1"/>
  <c r="CE18" i="1"/>
  <c r="CD19" i="1"/>
  <c r="DA77" i="1"/>
  <c r="CZ78" i="1"/>
  <c r="DA78" i="1" s="1"/>
  <c r="CY128" i="1"/>
  <c r="CM18" i="1"/>
  <c r="CY59" i="1"/>
  <c r="CY150" i="1"/>
  <c r="CE176" i="1"/>
  <c r="CA29" i="1"/>
  <c r="CA126" i="1"/>
  <c r="BZ135" i="1"/>
  <c r="BO126" i="1"/>
  <c r="BT126" i="1"/>
  <c r="BU126" i="1" s="1"/>
  <c r="BN139" i="1"/>
  <c r="BN151" i="1" s="1"/>
  <c r="BO135" i="1"/>
  <c r="BR139" i="1"/>
  <c r="BR151" i="1" s="1"/>
  <c r="BS135" i="1"/>
  <c r="BQ135" i="1"/>
  <c r="BP139" i="1"/>
  <c r="BP151" i="1" s="1"/>
  <c r="ED164" i="1" l="1"/>
  <c r="EN164" i="1" s="1"/>
  <c r="DU44" i="1"/>
  <c r="DU40" i="1"/>
  <c r="EB38" i="1"/>
  <c r="DW38" i="1"/>
  <c r="DW166" i="1"/>
  <c r="DY166" i="1"/>
  <c r="DR136" i="1"/>
  <c r="DQ136" i="1"/>
  <c r="DT43" i="1"/>
  <c r="DT47" i="1"/>
  <c r="DT39" i="1"/>
  <c r="DF24" i="1"/>
  <c r="DH24" i="1" s="1"/>
  <c r="DC24" i="1"/>
  <c r="DC43" i="1"/>
  <c r="DK44" i="1"/>
  <c r="DK40" i="1"/>
  <c r="DC39" i="1"/>
  <c r="DM165" i="1"/>
  <c r="DN165" i="1"/>
  <c r="DO165" i="1" s="1"/>
  <c r="DG167" i="1"/>
  <c r="DG163" i="1"/>
  <c r="CM66" i="1"/>
  <c r="CO66" i="1"/>
  <c r="DC47" i="1"/>
  <c r="DF164" i="1"/>
  <c r="DG164" i="1" s="1"/>
  <c r="DE24" i="1"/>
  <c r="DI47" i="1"/>
  <c r="DK47" i="1"/>
  <c r="DI43" i="1"/>
  <c r="DK43" i="1"/>
  <c r="DH163" i="1"/>
  <c r="DI39" i="1"/>
  <c r="DK39" i="1"/>
  <c r="DI44" i="1"/>
  <c r="DI40" i="1"/>
  <c r="DC44" i="1"/>
  <c r="CY23" i="1"/>
  <c r="CN65" i="1"/>
  <c r="CN69" i="1" s="1"/>
  <c r="CO69" i="1" s="1"/>
  <c r="DH41" i="1"/>
  <c r="DT41" i="1" s="1"/>
  <c r="CM63" i="1"/>
  <c r="DI136" i="1"/>
  <c r="DH137" i="1"/>
  <c r="DP138" i="1" s="1"/>
  <c r="DQ138" i="1" s="1"/>
  <c r="DG137" i="1"/>
  <c r="CL69" i="1"/>
  <c r="CM69" i="1" s="1"/>
  <c r="DH35" i="1"/>
  <c r="DT35" i="1" s="1"/>
  <c r="CZ51" i="1"/>
  <c r="DB51" i="1" s="1"/>
  <c r="DH51" i="1" s="1"/>
  <c r="CZ50" i="1"/>
  <c r="DB50" i="1" s="1"/>
  <c r="DH50" i="1" s="1"/>
  <c r="CZ53" i="1"/>
  <c r="DB53" i="1" s="1"/>
  <c r="DC53" i="1" s="1"/>
  <c r="CZ54" i="1"/>
  <c r="DB54" i="1" s="1"/>
  <c r="DH54" i="1" s="1"/>
  <c r="CZ27" i="1"/>
  <c r="DH167" i="1"/>
  <c r="DC42" i="1"/>
  <c r="DH42" i="1"/>
  <c r="DT42" i="1" s="1"/>
  <c r="DE22" i="1"/>
  <c r="DC36" i="1"/>
  <c r="DH36" i="1"/>
  <c r="DT36" i="1" s="1"/>
  <c r="DC57" i="1"/>
  <c r="DH57" i="1"/>
  <c r="DT57" i="1" s="1"/>
  <c r="DB26" i="1"/>
  <c r="DD26" i="1" s="1"/>
  <c r="DH45" i="1"/>
  <c r="DT45" i="1" s="1"/>
  <c r="DC45" i="1"/>
  <c r="DH55" i="1"/>
  <c r="DC55" i="1"/>
  <c r="CX28" i="1"/>
  <c r="CY28" i="1" s="1"/>
  <c r="CZ23" i="1"/>
  <c r="DA23" i="1" s="1"/>
  <c r="DA26" i="1"/>
  <c r="DB25" i="1"/>
  <c r="DF22" i="1"/>
  <c r="DH37" i="1"/>
  <c r="DT37" i="1" s="1"/>
  <c r="DC37" i="1"/>
  <c r="DH46" i="1"/>
  <c r="DC46" i="1"/>
  <c r="DA11" i="1"/>
  <c r="CJ172" i="1"/>
  <c r="CL172" i="1" s="1"/>
  <c r="CZ172" i="1" s="1"/>
  <c r="CG107" i="1"/>
  <c r="DA73" i="1"/>
  <c r="DA79" i="1"/>
  <c r="DA148" i="1"/>
  <c r="CG129" i="1"/>
  <c r="DA12" i="1"/>
  <c r="CJ82" i="1"/>
  <c r="CL82" i="1" s="1"/>
  <c r="CG111" i="1"/>
  <c r="CR64" i="1"/>
  <c r="CS64" i="1" s="1"/>
  <c r="CZ170" i="1"/>
  <c r="DA170" i="1" s="1"/>
  <c r="DA137" i="1"/>
  <c r="DA95" i="1"/>
  <c r="CY74" i="1"/>
  <c r="CY138" i="1"/>
  <c r="CZ138" i="1"/>
  <c r="DA138" i="1" s="1"/>
  <c r="CZ74" i="1"/>
  <c r="DA74" i="1" s="1"/>
  <c r="CY91" i="1"/>
  <c r="CZ91" i="1"/>
  <c r="CW96" i="1"/>
  <c r="CX96" i="1"/>
  <c r="CY170" i="1"/>
  <c r="CQ170" i="1"/>
  <c r="CW146" i="1"/>
  <c r="CW61" i="1"/>
  <c r="CW49" i="1"/>
  <c r="CO67" i="1"/>
  <c r="CR67" i="1"/>
  <c r="CS67" i="1" s="1"/>
  <c r="CO62" i="1"/>
  <c r="CR62" i="1"/>
  <c r="CQ68" i="1"/>
  <c r="CR68" i="1"/>
  <c r="CS68" i="1" s="1"/>
  <c r="CR12" i="1"/>
  <c r="CS12" i="1" s="1"/>
  <c r="CO63" i="1"/>
  <c r="CR63" i="1"/>
  <c r="CS63" i="1" s="1"/>
  <c r="CI175" i="1"/>
  <c r="CI174" i="1"/>
  <c r="CI142" i="1"/>
  <c r="CI89" i="1"/>
  <c r="CI149" i="1"/>
  <c r="CJ116" i="1"/>
  <c r="CK116" i="1" s="1"/>
  <c r="CJ120" i="1"/>
  <c r="CL120" i="1" s="1"/>
  <c r="CI173" i="1"/>
  <c r="CJ117" i="1"/>
  <c r="CK117" i="1" s="1"/>
  <c r="CI127" i="1"/>
  <c r="CI141" i="1"/>
  <c r="CI110" i="1"/>
  <c r="CI128" i="1"/>
  <c r="CI100" i="1"/>
  <c r="CI133" i="1"/>
  <c r="CI90" i="1"/>
  <c r="CJ132" i="1"/>
  <c r="CL132" i="1" s="1"/>
  <c r="CZ132" i="1" s="1"/>
  <c r="CI121" i="1"/>
  <c r="CI97" i="1"/>
  <c r="CI114" i="1"/>
  <c r="CI134" i="1"/>
  <c r="CI106" i="1"/>
  <c r="CI119" i="1"/>
  <c r="CI115" i="1"/>
  <c r="CJ105" i="1"/>
  <c r="CK105" i="1" s="1"/>
  <c r="CJ102" i="1"/>
  <c r="CK102" i="1" s="1"/>
  <c r="CI131" i="1"/>
  <c r="CS11" i="1"/>
  <c r="CI112" i="1"/>
  <c r="CI83" i="1"/>
  <c r="CI143" i="1"/>
  <c r="CI109" i="1"/>
  <c r="CJ92" i="1"/>
  <c r="CK92" i="1" s="1"/>
  <c r="CI113" i="1"/>
  <c r="CI124" i="1"/>
  <c r="CV88" i="1"/>
  <c r="CW87" i="1"/>
  <c r="CV93" i="1"/>
  <c r="CW91" i="1"/>
  <c r="CW60" i="1"/>
  <c r="CV69" i="1"/>
  <c r="CV78" i="1"/>
  <c r="CW77" i="1"/>
  <c r="CV138" i="1"/>
  <c r="CW136" i="1"/>
  <c r="DA169" i="1"/>
  <c r="CW79" i="1"/>
  <c r="CV86" i="1"/>
  <c r="CW85" i="1"/>
  <c r="CW95" i="1"/>
  <c r="CV98" i="1"/>
  <c r="CW73" i="1"/>
  <c r="CV74" i="1"/>
  <c r="CY172" i="1"/>
  <c r="CU48" i="1"/>
  <c r="CY64" i="1"/>
  <c r="CY68" i="1"/>
  <c r="CY66" i="1"/>
  <c r="CZ62" i="1"/>
  <c r="CZ67" i="1"/>
  <c r="CY65" i="1"/>
  <c r="CU20" i="1"/>
  <c r="CT28" i="1"/>
  <c r="CU28" i="1" s="1"/>
  <c r="CU21" i="1"/>
  <c r="CW15" i="1"/>
  <c r="CQ12" i="1"/>
  <c r="CP18" i="1"/>
  <c r="CQ11" i="1"/>
  <c r="CX19" i="1"/>
  <c r="CY62" i="1"/>
  <c r="CJ119" i="1"/>
  <c r="CL119" i="1" s="1"/>
  <c r="CJ113" i="1"/>
  <c r="CL113" i="1" s="1"/>
  <c r="CN113" i="1" s="1"/>
  <c r="CJ109" i="1"/>
  <c r="CL109" i="1" s="1"/>
  <c r="CO68" i="1"/>
  <c r="CK108" i="1"/>
  <c r="CL127" i="1"/>
  <c r="CZ127" i="1" s="1"/>
  <c r="CL59" i="1"/>
  <c r="CM59" i="1" s="1"/>
  <c r="CJ100" i="1"/>
  <c r="CL100" i="1" s="1"/>
  <c r="CJ90" i="1"/>
  <c r="CL108" i="1"/>
  <c r="CN108" i="1" s="1"/>
  <c r="CJ115" i="1"/>
  <c r="CJ133" i="1"/>
  <c r="CM50" i="1"/>
  <c r="CN50" i="1"/>
  <c r="DA57" i="1"/>
  <c r="CM57" i="1"/>
  <c r="CN57" i="1"/>
  <c r="CI130" i="1"/>
  <c r="CN31" i="1"/>
  <c r="CM31" i="1"/>
  <c r="CN55" i="1"/>
  <c r="DA55" i="1"/>
  <c r="CM55" i="1"/>
  <c r="CI103" i="1"/>
  <c r="CI101" i="1"/>
  <c r="CJ103" i="1"/>
  <c r="CI99" i="1"/>
  <c r="CG176" i="1"/>
  <c r="CJ101" i="1"/>
  <c r="CJ131" i="1"/>
  <c r="CJ149" i="1"/>
  <c r="CI117" i="1"/>
  <c r="CN32" i="1"/>
  <c r="CM32" i="1"/>
  <c r="CI122" i="1"/>
  <c r="CI120" i="1"/>
  <c r="CH150" i="1"/>
  <c r="CG150" i="1"/>
  <c r="CI92" i="1"/>
  <c r="CI132" i="1"/>
  <c r="CI105" i="1"/>
  <c r="CI118" i="1"/>
  <c r="CJ89" i="1"/>
  <c r="CH84" i="1"/>
  <c r="CI84" i="1" s="1"/>
  <c r="CJ130" i="1"/>
  <c r="CJ118" i="1"/>
  <c r="CH93" i="1"/>
  <c r="CI93" i="1" s="1"/>
  <c r="CI104" i="1"/>
  <c r="CJ124" i="1"/>
  <c r="CJ173" i="1"/>
  <c r="CM33" i="1"/>
  <c r="CN33" i="1"/>
  <c r="CM30" i="1"/>
  <c r="CN30" i="1"/>
  <c r="CN53" i="1"/>
  <c r="CM53" i="1"/>
  <c r="CM54" i="1"/>
  <c r="CN54" i="1"/>
  <c r="CM34" i="1"/>
  <c r="CN34" i="1"/>
  <c r="CI116" i="1"/>
  <c r="CN51" i="1"/>
  <c r="CM51" i="1"/>
  <c r="CI102" i="1"/>
  <c r="CJ29" i="1"/>
  <c r="CK29" i="1" s="1"/>
  <c r="CN19" i="1"/>
  <c r="CO19" i="1" s="1"/>
  <c r="CY67" i="1"/>
  <c r="CZ64" i="1"/>
  <c r="CZ65" i="1"/>
  <c r="CZ66" i="1"/>
  <c r="CJ121" i="1"/>
  <c r="CH111" i="1"/>
  <c r="CJ114" i="1"/>
  <c r="CH129" i="1"/>
  <c r="CJ174" i="1"/>
  <c r="CJ134" i="1"/>
  <c r="CJ104" i="1"/>
  <c r="CJ106" i="1"/>
  <c r="CO64" i="1"/>
  <c r="CB126" i="1"/>
  <c r="CC126" i="1" s="1"/>
  <c r="CJ83" i="1"/>
  <c r="CJ143" i="1"/>
  <c r="CZ68" i="1"/>
  <c r="CJ141" i="1"/>
  <c r="CJ175" i="1"/>
  <c r="CH98" i="1"/>
  <c r="CI98" i="1" s="1"/>
  <c r="CJ142" i="1"/>
  <c r="CF126" i="1"/>
  <c r="CG126" i="1" s="1"/>
  <c r="CJ97" i="1"/>
  <c r="CH125" i="1"/>
  <c r="CI125" i="1" s="1"/>
  <c r="CJ128" i="1"/>
  <c r="CH107" i="1"/>
  <c r="CJ99" i="1"/>
  <c r="CJ112" i="1"/>
  <c r="CH146" i="1"/>
  <c r="CI146" i="1" s="1"/>
  <c r="CH176" i="1"/>
  <c r="CJ110" i="1"/>
  <c r="DA9" i="1"/>
  <c r="CZ18" i="1"/>
  <c r="CZ19" i="1" s="1"/>
  <c r="CY18" i="1"/>
  <c r="CY63" i="1"/>
  <c r="CX69" i="1"/>
  <c r="CZ63" i="1"/>
  <c r="DB63" i="1" s="1"/>
  <c r="CE19" i="1"/>
  <c r="CD29" i="1"/>
  <c r="CY146" i="1"/>
  <c r="CY141" i="1"/>
  <c r="CY125" i="1"/>
  <c r="CY112" i="1"/>
  <c r="CY97" i="1"/>
  <c r="CY89" i="1"/>
  <c r="BZ139" i="1"/>
  <c r="BZ151" i="1" s="1"/>
  <c r="CA135" i="1"/>
  <c r="BT135" i="1"/>
  <c r="BU135" i="1" s="1"/>
  <c r="BQ151" i="1"/>
  <c r="BP171" i="1"/>
  <c r="BN171" i="1"/>
  <c r="BO151" i="1"/>
  <c r="BR171" i="1"/>
  <c r="BS151" i="1"/>
  <c r="BM176" i="13"/>
  <c r="BB176" i="13"/>
  <c r="AZ176" i="13"/>
  <c r="AY176" i="13"/>
  <c r="AW176" i="13"/>
  <c r="AV176" i="13"/>
  <c r="AO176" i="13"/>
  <c r="AN176" i="13"/>
  <c r="AL176" i="13"/>
  <c r="AK176" i="13"/>
  <c r="AI176" i="13"/>
  <c r="AH176" i="13"/>
  <c r="Z176" i="13"/>
  <c r="Y176" i="13"/>
  <c r="W176" i="13"/>
  <c r="V176" i="13"/>
  <c r="T176" i="13"/>
  <c r="S176" i="13"/>
  <c r="N176" i="13"/>
  <c r="M176" i="13"/>
  <c r="K176" i="13"/>
  <c r="J176" i="13"/>
  <c r="H176" i="13"/>
  <c r="G176" i="13"/>
  <c r="E176" i="13"/>
  <c r="C176" i="13"/>
  <c r="BF175" i="13"/>
  <c r="BE175" i="13"/>
  <c r="AR175" i="13"/>
  <c r="AQ175" i="13"/>
  <c r="AC175" i="13"/>
  <c r="AB175" i="13"/>
  <c r="Q175" i="13"/>
  <c r="P175" i="13"/>
  <c r="BE174" i="13"/>
  <c r="BC174" i="13"/>
  <c r="AR174" i="13"/>
  <c r="AQ174" i="13"/>
  <c r="AC174" i="13"/>
  <c r="AB174" i="13"/>
  <c r="Q174" i="13"/>
  <c r="P174" i="13"/>
  <c r="BF173" i="13"/>
  <c r="BE173" i="13"/>
  <c r="AR173" i="13"/>
  <c r="AQ173" i="13"/>
  <c r="AC173" i="13"/>
  <c r="AB173" i="13"/>
  <c r="Q173" i="13"/>
  <c r="P173" i="13"/>
  <c r="BF172" i="13"/>
  <c r="BE172" i="13"/>
  <c r="AR172" i="13"/>
  <c r="AQ172" i="13"/>
  <c r="AC172" i="13"/>
  <c r="AB172" i="13"/>
  <c r="Q172" i="13"/>
  <c r="P172" i="13"/>
  <c r="BM170" i="13"/>
  <c r="BC170" i="13"/>
  <c r="BB170" i="13"/>
  <c r="AZ170" i="13"/>
  <c r="AY170" i="13"/>
  <c r="AW170" i="13"/>
  <c r="AV170" i="13"/>
  <c r="AO170" i="13"/>
  <c r="AN170" i="13"/>
  <c r="AL170" i="13"/>
  <c r="AK170" i="13"/>
  <c r="AI170" i="13"/>
  <c r="AH170" i="13"/>
  <c r="Y170" i="13"/>
  <c r="W170" i="13"/>
  <c r="V170" i="13"/>
  <c r="T170" i="13"/>
  <c r="S170" i="13"/>
  <c r="N170" i="13"/>
  <c r="M170" i="13"/>
  <c r="K170" i="13"/>
  <c r="J170" i="13"/>
  <c r="H170" i="13"/>
  <c r="G170" i="13"/>
  <c r="E170" i="13"/>
  <c r="C170" i="13"/>
  <c r="BF169" i="13"/>
  <c r="BF170" i="13" s="1"/>
  <c r="BE169" i="13"/>
  <c r="BE170" i="13" s="1"/>
  <c r="AR169" i="13"/>
  <c r="AR170" i="13" s="1"/>
  <c r="AQ169" i="13"/>
  <c r="AQ170" i="13" s="1"/>
  <c r="AB169" i="13"/>
  <c r="Z169" i="13"/>
  <c r="Q169" i="13"/>
  <c r="P169" i="13"/>
  <c r="BC168" i="13"/>
  <c r="BB168" i="13"/>
  <c r="AZ168" i="13"/>
  <c r="AY168" i="13"/>
  <c r="AW168" i="13"/>
  <c r="AV168" i="13"/>
  <c r="AO168" i="13"/>
  <c r="AN168" i="13"/>
  <c r="AL168" i="13"/>
  <c r="AK168" i="13"/>
  <c r="AI168" i="13"/>
  <c r="AH168" i="13"/>
  <c r="Z168" i="13"/>
  <c r="Y168" i="13"/>
  <c r="W168" i="13"/>
  <c r="V168" i="13"/>
  <c r="T168" i="13"/>
  <c r="S168" i="13"/>
  <c r="N168" i="13"/>
  <c r="M168" i="13"/>
  <c r="K168" i="13"/>
  <c r="J168" i="13"/>
  <c r="H168" i="13"/>
  <c r="G168" i="13"/>
  <c r="E168" i="13"/>
  <c r="C168" i="13"/>
  <c r="BF167" i="13"/>
  <c r="BE167" i="13"/>
  <c r="AR167" i="13"/>
  <c r="AQ167" i="13"/>
  <c r="AC167" i="13"/>
  <c r="AB167" i="13"/>
  <c r="Q167" i="13"/>
  <c r="P167" i="13"/>
  <c r="BC166" i="13"/>
  <c r="BB166" i="13"/>
  <c r="AZ166" i="13"/>
  <c r="AY166" i="13"/>
  <c r="AW166" i="13"/>
  <c r="AV166" i="13"/>
  <c r="AO166" i="13"/>
  <c r="AN166" i="13"/>
  <c r="AL166" i="13"/>
  <c r="AK166" i="13"/>
  <c r="AI166" i="13"/>
  <c r="AH166" i="13"/>
  <c r="Z166" i="13"/>
  <c r="Y166" i="13"/>
  <c r="W166" i="13"/>
  <c r="V166" i="13"/>
  <c r="T166" i="13"/>
  <c r="S166" i="13"/>
  <c r="N166" i="13"/>
  <c r="M166" i="13"/>
  <c r="K166" i="13"/>
  <c r="J166" i="13"/>
  <c r="H166" i="13"/>
  <c r="G166" i="13"/>
  <c r="E166" i="13"/>
  <c r="C166" i="13"/>
  <c r="BF165" i="13"/>
  <c r="BE165" i="13"/>
  <c r="AR165" i="13"/>
  <c r="AQ165" i="13"/>
  <c r="AC165" i="13"/>
  <c r="AB165" i="13"/>
  <c r="Q165" i="13"/>
  <c r="P165" i="13"/>
  <c r="BC164" i="13"/>
  <c r="BB164" i="13"/>
  <c r="AZ164" i="13"/>
  <c r="AY164" i="13"/>
  <c r="AW164" i="13"/>
  <c r="AV164" i="13"/>
  <c r="AO164" i="13"/>
  <c r="AN164" i="13"/>
  <c r="AL164" i="13"/>
  <c r="AK164" i="13"/>
  <c r="AI164" i="13"/>
  <c r="AH164" i="13"/>
  <c r="Z164" i="13"/>
  <c r="Y164" i="13"/>
  <c r="W164" i="13"/>
  <c r="V164" i="13"/>
  <c r="T164" i="13"/>
  <c r="S164" i="13"/>
  <c r="N164" i="13"/>
  <c r="M164" i="13"/>
  <c r="K164" i="13"/>
  <c r="J164" i="13"/>
  <c r="H164" i="13"/>
  <c r="G164" i="13"/>
  <c r="E164" i="13"/>
  <c r="C164" i="13"/>
  <c r="BF163" i="13"/>
  <c r="BF164" i="13" s="1"/>
  <c r="BE163" i="13"/>
  <c r="BE164" i="13" s="1"/>
  <c r="AR163" i="13"/>
  <c r="AR164" i="13" s="1"/>
  <c r="AQ163" i="13"/>
  <c r="AQ164" i="13" s="1"/>
  <c r="AC163" i="13"/>
  <c r="AB163" i="13"/>
  <c r="Q163" i="13"/>
  <c r="P163" i="13"/>
  <c r="BM162" i="13"/>
  <c r="BB162" i="13"/>
  <c r="AZ162" i="13"/>
  <c r="AY162" i="13"/>
  <c r="AW162" i="13"/>
  <c r="AV162" i="13"/>
  <c r="AO162" i="13"/>
  <c r="AN162" i="13"/>
  <c r="AL162" i="13"/>
  <c r="AK162" i="13"/>
  <c r="AI162" i="13"/>
  <c r="AH162" i="13"/>
  <c r="Z162" i="13"/>
  <c r="Y162" i="13"/>
  <c r="W162" i="13"/>
  <c r="V162" i="13"/>
  <c r="T162" i="13"/>
  <c r="S162" i="13"/>
  <c r="N162" i="13"/>
  <c r="M162" i="13"/>
  <c r="K162" i="13"/>
  <c r="J162" i="13"/>
  <c r="H162" i="13"/>
  <c r="G162" i="13"/>
  <c r="E162" i="13"/>
  <c r="C162" i="13"/>
  <c r="BE161" i="13"/>
  <c r="BC161" i="13"/>
  <c r="AR161" i="13"/>
  <c r="AQ161" i="13"/>
  <c r="AC161" i="13"/>
  <c r="AB161" i="13"/>
  <c r="Q161" i="13"/>
  <c r="P161" i="13"/>
  <c r="BF160" i="13"/>
  <c r="BE160" i="13"/>
  <c r="AR160" i="13"/>
  <c r="AQ160" i="13"/>
  <c r="AC160" i="13"/>
  <c r="AB160" i="13"/>
  <c r="Q160" i="13"/>
  <c r="P160" i="13"/>
  <c r="BF159" i="13"/>
  <c r="BE159" i="13"/>
  <c r="AR159" i="13"/>
  <c r="AQ159" i="13"/>
  <c r="AC159" i="13"/>
  <c r="AB159" i="13"/>
  <c r="Q159" i="13"/>
  <c r="P159" i="13"/>
  <c r="BF158" i="13"/>
  <c r="BE158" i="13"/>
  <c r="AR158" i="13"/>
  <c r="AQ158" i="13"/>
  <c r="AC158" i="13"/>
  <c r="AB158" i="13"/>
  <c r="Q158" i="13"/>
  <c r="P158" i="13"/>
  <c r="BF157" i="13"/>
  <c r="BE157" i="13"/>
  <c r="AR157" i="13"/>
  <c r="AQ157" i="13"/>
  <c r="AC157" i="13"/>
  <c r="AB157" i="13"/>
  <c r="Q157" i="13"/>
  <c r="P157" i="13"/>
  <c r="BF156" i="13"/>
  <c r="BE156" i="13"/>
  <c r="AR156" i="13"/>
  <c r="AQ156" i="13"/>
  <c r="AC156" i="13"/>
  <c r="AB156" i="13"/>
  <c r="Q156" i="13"/>
  <c r="P156" i="13"/>
  <c r="BF155" i="13"/>
  <c r="BE155" i="13"/>
  <c r="AR155" i="13"/>
  <c r="AQ155" i="13"/>
  <c r="AC155" i="13"/>
  <c r="AB155" i="13"/>
  <c r="Q155" i="13"/>
  <c r="P155" i="13"/>
  <c r="BF154" i="13"/>
  <c r="BE154" i="13"/>
  <c r="AR154" i="13"/>
  <c r="AQ154" i="13"/>
  <c r="AC154" i="13"/>
  <c r="AB154" i="13"/>
  <c r="Q154" i="13"/>
  <c r="P154" i="13"/>
  <c r="BF153" i="13"/>
  <c r="BE153" i="13"/>
  <c r="AR153" i="13"/>
  <c r="AQ153" i="13"/>
  <c r="AC153" i="13"/>
  <c r="AB153" i="13"/>
  <c r="Q153" i="13"/>
  <c r="P153" i="13"/>
  <c r="BF152" i="13"/>
  <c r="BE152" i="13"/>
  <c r="AR152" i="13"/>
  <c r="AQ152" i="13"/>
  <c r="AC152" i="13"/>
  <c r="AB152" i="13"/>
  <c r="Q152" i="13"/>
  <c r="P152" i="13"/>
  <c r="BC150" i="13"/>
  <c r="BB150" i="13"/>
  <c r="AZ150" i="13"/>
  <c r="AY150" i="13"/>
  <c r="AW150" i="13"/>
  <c r="AV150" i="13"/>
  <c r="AO150" i="13"/>
  <c r="AN150" i="13"/>
  <c r="AI150" i="13"/>
  <c r="AH150" i="13"/>
  <c r="Z150" i="13"/>
  <c r="Y150" i="13"/>
  <c r="W150" i="13"/>
  <c r="V150" i="13"/>
  <c r="T150" i="13"/>
  <c r="S150" i="13"/>
  <c r="N150" i="13"/>
  <c r="M150" i="13"/>
  <c r="K150" i="13"/>
  <c r="J150" i="13"/>
  <c r="H150" i="13"/>
  <c r="G150" i="13"/>
  <c r="E150" i="13"/>
  <c r="C150" i="13"/>
  <c r="BF149" i="13"/>
  <c r="BE149" i="13"/>
  <c r="AR149" i="13"/>
  <c r="AQ149" i="13"/>
  <c r="AC149" i="13"/>
  <c r="AB149" i="13"/>
  <c r="Q149" i="13"/>
  <c r="P149" i="13"/>
  <c r="BC148" i="13"/>
  <c r="BB148" i="13"/>
  <c r="AZ148" i="13"/>
  <c r="AY148" i="13"/>
  <c r="AW148" i="13"/>
  <c r="AV148" i="13"/>
  <c r="AO148" i="13"/>
  <c r="AN148" i="13"/>
  <c r="AL148" i="13"/>
  <c r="AK148" i="13"/>
  <c r="AI148" i="13"/>
  <c r="AH148" i="13"/>
  <c r="Z148" i="13"/>
  <c r="Y148" i="13"/>
  <c r="W148" i="13"/>
  <c r="V148" i="13"/>
  <c r="T148" i="13"/>
  <c r="S148" i="13"/>
  <c r="N148" i="13"/>
  <c r="M148" i="13"/>
  <c r="K148" i="13"/>
  <c r="J148" i="13"/>
  <c r="H148" i="13"/>
  <c r="G148" i="13"/>
  <c r="E148" i="13"/>
  <c r="C148" i="13"/>
  <c r="BF147" i="13"/>
  <c r="BF148" i="13" s="1"/>
  <c r="BE147" i="13"/>
  <c r="BE148" i="13" s="1"/>
  <c r="AR147" i="13"/>
  <c r="AR148" i="13" s="1"/>
  <c r="AQ147" i="13"/>
  <c r="AQ148" i="13" s="1"/>
  <c r="AC147" i="13"/>
  <c r="AC148" i="13" s="1"/>
  <c r="AB147" i="13"/>
  <c r="Q147" i="13"/>
  <c r="P147" i="13"/>
  <c r="BC146" i="13"/>
  <c r="BB146" i="13"/>
  <c r="AZ146" i="13"/>
  <c r="AY146" i="13"/>
  <c r="AW146" i="13"/>
  <c r="AV146" i="13"/>
  <c r="AO146" i="13"/>
  <c r="AN146" i="13"/>
  <c r="AL146" i="13"/>
  <c r="AK146" i="13"/>
  <c r="AI146" i="13"/>
  <c r="AH146" i="13"/>
  <c r="Z146" i="13"/>
  <c r="Y146" i="13"/>
  <c r="W146" i="13"/>
  <c r="V146" i="13"/>
  <c r="N146" i="13"/>
  <c r="M146" i="13"/>
  <c r="K146" i="13"/>
  <c r="J146" i="13"/>
  <c r="H146" i="13"/>
  <c r="G146" i="13"/>
  <c r="E146" i="13"/>
  <c r="C146" i="13"/>
  <c r="BF145" i="13"/>
  <c r="BE145" i="13"/>
  <c r="AR145" i="13"/>
  <c r="AQ145" i="13"/>
  <c r="T145" i="13"/>
  <c r="S145" i="13"/>
  <c r="S146" i="13" s="1"/>
  <c r="Q145" i="13"/>
  <c r="P145" i="13"/>
  <c r="BF144" i="13"/>
  <c r="BE144" i="13"/>
  <c r="AR144" i="13"/>
  <c r="AQ144" i="13"/>
  <c r="AC144" i="13"/>
  <c r="AB144" i="13"/>
  <c r="Q144" i="13"/>
  <c r="P144" i="13"/>
  <c r="BF143" i="13"/>
  <c r="BE143" i="13"/>
  <c r="AR143" i="13"/>
  <c r="AQ143" i="13"/>
  <c r="AC143" i="13"/>
  <c r="AB143" i="13"/>
  <c r="Q143" i="13"/>
  <c r="P143" i="13"/>
  <c r="BF142" i="13"/>
  <c r="BE142" i="13"/>
  <c r="AR142" i="13"/>
  <c r="AQ142" i="13"/>
  <c r="AC142" i="13"/>
  <c r="AB142" i="13"/>
  <c r="Q142" i="13"/>
  <c r="P142" i="13"/>
  <c r="BF141" i="13"/>
  <c r="BE141" i="13"/>
  <c r="AR141" i="13"/>
  <c r="AQ141" i="13"/>
  <c r="AC141" i="13"/>
  <c r="AB141" i="13"/>
  <c r="Q141" i="13"/>
  <c r="P141" i="13"/>
  <c r="BF140" i="13"/>
  <c r="BE140" i="13"/>
  <c r="AR140" i="13"/>
  <c r="AQ140" i="13"/>
  <c r="AC140" i="13"/>
  <c r="AB140" i="13"/>
  <c r="Q140" i="13"/>
  <c r="P140" i="13"/>
  <c r="BC138" i="13"/>
  <c r="BB138" i="13"/>
  <c r="AZ138" i="13"/>
  <c r="AY138" i="13"/>
  <c r="AW138" i="13"/>
  <c r="AV138" i="13"/>
  <c r="AO138" i="13"/>
  <c r="AN138" i="13"/>
  <c r="AL138" i="13"/>
  <c r="AK138" i="13"/>
  <c r="AI138" i="13"/>
  <c r="AH138" i="13"/>
  <c r="Z138" i="13"/>
  <c r="Y138" i="13"/>
  <c r="W138" i="13"/>
  <c r="V138" i="13"/>
  <c r="T138" i="13"/>
  <c r="S138" i="13"/>
  <c r="N138" i="13"/>
  <c r="M138" i="13"/>
  <c r="K138" i="13"/>
  <c r="J138" i="13"/>
  <c r="H138" i="13"/>
  <c r="G138" i="13"/>
  <c r="E138" i="13"/>
  <c r="C138" i="13"/>
  <c r="BF137" i="13"/>
  <c r="BE137" i="13"/>
  <c r="AR137" i="13"/>
  <c r="AQ137" i="13"/>
  <c r="AC137" i="13"/>
  <c r="AB137" i="13"/>
  <c r="Q137" i="13"/>
  <c r="P137" i="13"/>
  <c r="BF136" i="13"/>
  <c r="BE136" i="13"/>
  <c r="AR136" i="13"/>
  <c r="AQ136" i="13"/>
  <c r="AC136" i="13"/>
  <c r="AB136" i="13"/>
  <c r="Q136" i="13"/>
  <c r="P136" i="13"/>
  <c r="BC134" i="13"/>
  <c r="BB134" i="13"/>
  <c r="AZ134" i="13"/>
  <c r="AY134" i="13"/>
  <c r="AW134" i="13"/>
  <c r="AV134" i="13"/>
  <c r="AO134" i="13"/>
  <c r="AN134" i="13"/>
  <c r="AI134" i="13"/>
  <c r="AH134" i="13"/>
  <c r="AC134" i="13"/>
  <c r="Y134" i="13"/>
  <c r="V134" i="13"/>
  <c r="Q134" i="13"/>
  <c r="M134" i="13"/>
  <c r="J134" i="13"/>
  <c r="G134" i="13"/>
  <c r="E134" i="13"/>
  <c r="C134" i="13"/>
  <c r="BF133" i="13"/>
  <c r="BE133" i="13"/>
  <c r="AR133" i="13"/>
  <c r="AQ133" i="13"/>
  <c r="AC133" i="13"/>
  <c r="AB133" i="13"/>
  <c r="Q133" i="13"/>
  <c r="P133" i="13"/>
  <c r="BF132" i="13"/>
  <c r="BE132" i="13"/>
  <c r="AR132" i="13"/>
  <c r="AQ132" i="13"/>
  <c r="AC132" i="13"/>
  <c r="AB132" i="13"/>
  <c r="Q132" i="13"/>
  <c r="P132" i="13"/>
  <c r="BF131" i="13"/>
  <c r="BE131" i="13"/>
  <c r="AR131" i="13"/>
  <c r="AQ131" i="13"/>
  <c r="AC131" i="13"/>
  <c r="AB131" i="13"/>
  <c r="Q131" i="13"/>
  <c r="P131" i="13"/>
  <c r="BF130" i="13"/>
  <c r="BE130" i="13"/>
  <c r="AR130" i="13"/>
  <c r="AQ130" i="13"/>
  <c r="AC130" i="13"/>
  <c r="AB130" i="13"/>
  <c r="Q130" i="13"/>
  <c r="P130" i="13"/>
  <c r="BC129" i="13"/>
  <c r="BB129" i="13"/>
  <c r="AZ129" i="13"/>
  <c r="AY129" i="13"/>
  <c r="AW129" i="13"/>
  <c r="AV129" i="13"/>
  <c r="AO129" i="13"/>
  <c r="AN129" i="13"/>
  <c r="AL129" i="13"/>
  <c r="AK129" i="13"/>
  <c r="AI129" i="13"/>
  <c r="AH129" i="13"/>
  <c r="Z129" i="13"/>
  <c r="Y129" i="13"/>
  <c r="W129" i="13"/>
  <c r="V129" i="13"/>
  <c r="Q129" i="13"/>
  <c r="M129" i="13"/>
  <c r="J129" i="13"/>
  <c r="G129" i="13"/>
  <c r="E129" i="13"/>
  <c r="C129" i="13"/>
  <c r="BF128" i="13"/>
  <c r="BE128" i="13"/>
  <c r="AR128" i="13"/>
  <c r="AQ128" i="13"/>
  <c r="AC128" i="13"/>
  <c r="AB128" i="13"/>
  <c r="Q128" i="13"/>
  <c r="P128" i="13"/>
  <c r="BF127" i="13"/>
  <c r="BE127" i="13"/>
  <c r="AR127" i="13"/>
  <c r="AR129" i="13" s="1"/>
  <c r="AQ127" i="13"/>
  <c r="AC127" i="13"/>
  <c r="AB127" i="13"/>
  <c r="Q127" i="13"/>
  <c r="P127" i="13"/>
  <c r="BO125" i="13"/>
  <c r="BB125" i="13"/>
  <c r="AZ125" i="13"/>
  <c r="AY125" i="13"/>
  <c r="AW125" i="13"/>
  <c r="AV125" i="13"/>
  <c r="AO125" i="13"/>
  <c r="AN125" i="13"/>
  <c r="AL125" i="13"/>
  <c r="AK125" i="13"/>
  <c r="AI125" i="13"/>
  <c r="AH125" i="13"/>
  <c r="Z125" i="13"/>
  <c r="Y125" i="13"/>
  <c r="W125" i="13"/>
  <c r="V125" i="13"/>
  <c r="T125" i="13"/>
  <c r="S125" i="13"/>
  <c r="N125" i="13"/>
  <c r="M125" i="13"/>
  <c r="K125" i="13"/>
  <c r="J125" i="13"/>
  <c r="H125" i="13"/>
  <c r="G125" i="13"/>
  <c r="E125" i="13"/>
  <c r="C125" i="13"/>
  <c r="BF124" i="13"/>
  <c r="BE124" i="13"/>
  <c r="AR124" i="13"/>
  <c r="AQ124" i="13"/>
  <c r="AC124" i="13"/>
  <c r="AB124" i="13"/>
  <c r="Q124" i="13"/>
  <c r="P124" i="13"/>
  <c r="BE123" i="13"/>
  <c r="BC123" i="13"/>
  <c r="BF123" i="13" s="1"/>
  <c r="AR123" i="13"/>
  <c r="AQ123" i="13"/>
  <c r="AC123" i="13"/>
  <c r="AB123" i="13"/>
  <c r="Q123" i="13"/>
  <c r="P123" i="13"/>
  <c r="BF122" i="13"/>
  <c r="BE122" i="13"/>
  <c r="AR122" i="13"/>
  <c r="AQ122" i="13"/>
  <c r="AC122" i="13"/>
  <c r="AB122" i="13"/>
  <c r="Q122" i="13"/>
  <c r="P122" i="13"/>
  <c r="BF121" i="13"/>
  <c r="BE121" i="13"/>
  <c r="AR121" i="13"/>
  <c r="AQ121" i="13"/>
  <c r="AC121" i="13"/>
  <c r="AB121" i="13"/>
  <c r="Q121" i="13"/>
  <c r="P121" i="13"/>
  <c r="BF120" i="13"/>
  <c r="BE120" i="13"/>
  <c r="AR120" i="13"/>
  <c r="AQ120" i="13"/>
  <c r="AC120" i="13"/>
  <c r="AB120" i="13"/>
  <c r="Q120" i="13"/>
  <c r="P120" i="13"/>
  <c r="BF119" i="13"/>
  <c r="BE119" i="13"/>
  <c r="AR119" i="13"/>
  <c r="AQ119" i="13"/>
  <c r="AC119" i="13"/>
  <c r="AB119" i="13"/>
  <c r="Q119" i="13"/>
  <c r="P119" i="13"/>
  <c r="BF118" i="13"/>
  <c r="BE118" i="13"/>
  <c r="AR118" i="13"/>
  <c r="AQ118" i="13"/>
  <c r="AC118" i="13"/>
  <c r="AB118" i="13"/>
  <c r="Q118" i="13"/>
  <c r="P118" i="13"/>
  <c r="BF117" i="13"/>
  <c r="BE117" i="13"/>
  <c r="AR117" i="13"/>
  <c r="AQ117" i="13"/>
  <c r="AC117" i="13"/>
  <c r="AB117" i="13"/>
  <c r="Q117" i="13"/>
  <c r="P117" i="13"/>
  <c r="BF116" i="13"/>
  <c r="BE116" i="13"/>
  <c r="AR116" i="13"/>
  <c r="AQ116" i="13"/>
  <c r="AC116" i="13"/>
  <c r="AB116" i="13"/>
  <c r="Q116" i="13"/>
  <c r="P116" i="13"/>
  <c r="BF115" i="13"/>
  <c r="BE115" i="13"/>
  <c r="AR115" i="13"/>
  <c r="AQ115" i="13"/>
  <c r="AC115" i="13"/>
  <c r="AB115" i="13"/>
  <c r="Q115" i="13"/>
  <c r="P115" i="13"/>
  <c r="BF114" i="13"/>
  <c r="BE114" i="13"/>
  <c r="AR114" i="13"/>
  <c r="AQ114" i="13"/>
  <c r="AC114" i="13"/>
  <c r="AB114" i="13"/>
  <c r="Q114" i="13"/>
  <c r="P114" i="13"/>
  <c r="BF113" i="13"/>
  <c r="BE113" i="13"/>
  <c r="AR113" i="13"/>
  <c r="AQ113" i="13"/>
  <c r="AC113" i="13"/>
  <c r="AB113" i="13"/>
  <c r="Q113" i="13"/>
  <c r="P113" i="13"/>
  <c r="BF112" i="13"/>
  <c r="BE112" i="13"/>
  <c r="AR112" i="13"/>
  <c r="AQ112" i="13"/>
  <c r="AC112" i="13"/>
  <c r="AB112" i="13"/>
  <c r="Q112" i="13"/>
  <c r="P112" i="13"/>
  <c r="BC111" i="13"/>
  <c r="BB111" i="13"/>
  <c r="AZ111" i="13"/>
  <c r="AY111" i="13"/>
  <c r="AW111" i="13"/>
  <c r="AV111" i="13"/>
  <c r="AO111" i="13"/>
  <c r="AN111" i="13"/>
  <c r="AL111" i="13"/>
  <c r="AK111" i="13"/>
  <c r="AI111" i="13"/>
  <c r="AH111" i="13"/>
  <c r="Z111" i="13"/>
  <c r="Y111" i="13"/>
  <c r="W111" i="13"/>
  <c r="V111" i="13"/>
  <c r="T111" i="13"/>
  <c r="S111" i="13"/>
  <c r="N111" i="13"/>
  <c r="M111" i="13"/>
  <c r="J111" i="13"/>
  <c r="G111" i="13"/>
  <c r="E111" i="13"/>
  <c r="C111" i="13"/>
  <c r="BF110" i="13"/>
  <c r="BE110" i="13"/>
  <c r="AR110" i="13"/>
  <c r="AQ110" i="13"/>
  <c r="AC110" i="13"/>
  <c r="AB110" i="13"/>
  <c r="Q110" i="13"/>
  <c r="P110" i="13"/>
  <c r="BF109" i="13"/>
  <c r="BE109" i="13"/>
  <c r="AR109" i="13"/>
  <c r="AQ109" i="13"/>
  <c r="AC109" i="13"/>
  <c r="AB109" i="13"/>
  <c r="Q109" i="13"/>
  <c r="P109" i="13"/>
  <c r="BF108" i="13"/>
  <c r="BE108" i="13"/>
  <c r="AR108" i="13"/>
  <c r="AQ108" i="13"/>
  <c r="AC108" i="13"/>
  <c r="AB108" i="13"/>
  <c r="Q108" i="13"/>
  <c r="P108" i="13"/>
  <c r="BC107" i="13"/>
  <c r="BB107" i="13"/>
  <c r="AZ107" i="13"/>
  <c r="AY107" i="13"/>
  <c r="AW107" i="13"/>
  <c r="AV107" i="13"/>
  <c r="AO107" i="13"/>
  <c r="AN107" i="13"/>
  <c r="AL107" i="13"/>
  <c r="AK107" i="13"/>
  <c r="AI107" i="13"/>
  <c r="AH107" i="13"/>
  <c r="Z107" i="13"/>
  <c r="Y107" i="13"/>
  <c r="W107" i="13"/>
  <c r="V107" i="13"/>
  <c r="T107" i="13"/>
  <c r="S107" i="13"/>
  <c r="N107" i="13"/>
  <c r="Q107" i="13" s="1"/>
  <c r="M107" i="13"/>
  <c r="J107" i="13"/>
  <c r="G107" i="13"/>
  <c r="E107" i="13"/>
  <c r="C107" i="13"/>
  <c r="BF106" i="13"/>
  <c r="BE106" i="13"/>
  <c r="AR106" i="13"/>
  <c r="AQ106" i="13"/>
  <c r="AC106" i="13"/>
  <c r="AB106" i="13"/>
  <c r="Q106" i="13"/>
  <c r="P106" i="13"/>
  <c r="BF105" i="13"/>
  <c r="BE105" i="13"/>
  <c r="AR105" i="13"/>
  <c r="AQ105" i="13"/>
  <c r="AC105" i="13"/>
  <c r="AB105" i="13"/>
  <c r="Q105" i="13"/>
  <c r="P105" i="13"/>
  <c r="BF104" i="13"/>
  <c r="BE104" i="13"/>
  <c r="AR104" i="13"/>
  <c r="AQ104" i="13"/>
  <c r="AC104" i="13"/>
  <c r="AB104" i="13"/>
  <c r="Q104" i="13"/>
  <c r="P104" i="13"/>
  <c r="BF103" i="13"/>
  <c r="BE103" i="13"/>
  <c r="AR103" i="13"/>
  <c r="AQ103" i="13"/>
  <c r="AC103" i="13"/>
  <c r="AB103" i="13"/>
  <c r="Q103" i="13"/>
  <c r="P103" i="13"/>
  <c r="BF102" i="13"/>
  <c r="BE102" i="13"/>
  <c r="AR102" i="13"/>
  <c r="AQ102" i="13"/>
  <c r="AC102" i="13"/>
  <c r="AB102" i="13"/>
  <c r="Q102" i="13"/>
  <c r="P102" i="13"/>
  <c r="BF101" i="13"/>
  <c r="BE101" i="13"/>
  <c r="AR101" i="13"/>
  <c r="AQ101" i="13"/>
  <c r="AC101" i="13"/>
  <c r="AB101" i="13"/>
  <c r="Q101" i="13"/>
  <c r="P101" i="13"/>
  <c r="BF100" i="13"/>
  <c r="BE100" i="13"/>
  <c r="AR100" i="13"/>
  <c r="AQ100" i="13"/>
  <c r="AC100" i="13"/>
  <c r="AB100" i="13"/>
  <c r="Q100" i="13"/>
  <c r="P100" i="13"/>
  <c r="BF99" i="13"/>
  <c r="BE99" i="13"/>
  <c r="AR99" i="13"/>
  <c r="AQ99" i="13"/>
  <c r="AC99" i="13"/>
  <c r="AB99" i="13"/>
  <c r="Q99" i="13"/>
  <c r="AE99" i="13" s="1"/>
  <c r="P99" i="13"/>
  <c r="BC98" i="13"/>
  <c r="BB98" i="13"/>
  <c r="AZ98" i="13"/>
  <c r="AY98" i="13"/>
  <c r="AW98" i="13"/>
  <c r="AV98" i="13"/>
  <c r="AO98" i="13"/>
  <c r="AN98" i="13"/>
  <c r="AL98" i="13"/>
  <c r="AK98" i="13"/>
  <c r="AI98" i="13"/>
  <c r="AH98" i="13"/>
  <c r="Z98" i="13"/>
  <c r="Y98" i="13"/>
  <c r="W98" i="13"/>
  <c r="V98" i="13"/>
  <c r="T98" i="13"/>
  <c r="S98" i="13"/>
  <c r="N98" i="13"/>
  <c r="M98" i="13"/>
  <c r="K98" i="13"/>
  <c r="J98" i="13"/>
  <c r="H98" i="13"/>
  <c r="G98" i="13"/>
  <c r="E98" i="13"/>
  <c r="C98" i="13"/>
  <c r="BF97" i="13"/>
  <c r="BE97" i="13"/>
  <c r="AR97" i="13"/>
  <c r="AQ97" i="13"/>
  <c r="AC97" i="13"/>
  <c r="AB97" i="13"/>
  <c r="Q97" i="13"/>
  <c r="P97" i="13"/>
  <c r="BF96" i="13"/>
  <c r="BE96" i="13"/>
  <c r="AR96" i="13"/>
  <c r="AQ96" i="13"/>
  <c r="AC96" i="13"/>
  <c r="AB96" i="13"/>
  <c r="Q96" i="13"/>
  <c r="P96" i="13"/>
  <c r="BF95" i="13"/>
  <c r="BE95" i="13"/>
  <c r="AR95" i="13"/>
  <c r="AQ95" i="13"/>
  <c r="AC95" i="13"/>
  <c r="AB95" i="13"/>
  <c r="Q95" i="13"/>
  <c r="P95" i="13"/>
  <c r="BF94" i="13"/>
  <c r="BE94" i="13"/>
  <c r="AR94" i="13"/>
  <c r="AQ94" i="13"/>
  <c r="AQ98" i="13" s="1"/>
  <c r="AC94" i="13"/>
  <c r="AB94" i="13"/>
  <c r="Q94" i="13"/>
  <c r="P94" i="13"/>
  <c r="BC93" i="13"/>
  <c r="BB93" i="13"/>
  <c r="AZ93" i="13"/>
  <c r="AY93" i="13"/>
  <c r="AW93" i="13"/>
  <c r="AV93" i="13"/>
  <c r="AO93" i="13"/>
  <c r="AN93" i="13"/>
  <c r="AL93" i="13"/>
  <c r="AK93" i="13"/>
  <c r="AI93" i="13"/>
  <c r="AH93" i="13"/>
  <c r="Z93" i="13"/>
  <c r="Y93" i="13"/>
  <c r="W93" i="13"/>
  <c r="V93" i="13"/>
  <c r="T93" i="13"/>
  <c r="S93" i="13"/>
  <c r="N93" i="13"/>
  <c r="M93" i="13"/>
  <c r="K93" i="13"/>
  <c r="J93" i="13"/>
  <c r="H93" i="13"/>
  <c r="G93" i="13"/>
  <c r="E93" i="13"/>
  <c r="C93" i="13"/>
  <c r="BF92" i="13"/>
  <c r="BE92" i="13"/>
  <c r="AR92" i="13"/>
  <c r="AQ92" i="13"/>
  <c r="AC92" i="13"/>
  <c r="AB92" i="13"/>
  <c r="Q92" i="13"/>
  <c r="P92" i="13"/>
  <c r="BF91" i="13"/>
  <c r="BE91" i="13"/>
  <c r="AR91" i="13"/>
  <c r="AQ91" i="13"/>
  <c r="AC91" i="13"/>
  <c r="AB91" i="13"/>
  <c r="Q91" i="13"/>
  <c r="P91" i="13"/>
  <c r="BF90" i="13"/>
  <c r="BE90" i="13"/>
  <c r="AR90" i="13"/>
  <c r="AQ90" i="13"/>
  <c r="AC90" i="13"/>
  <c r="AB90" i="13"/>
  <c r="Q90" i="13"/>
  <c r="P90" i="13"/>
  <c r="BF89" i="13"/>
  <c r="BE89" i="13"/>
  <c r="AR89" i="13"/>
  <c r="AR93" i="13" s="1"/>
  <c r="AQ89" i="13"/>
  <c r="AC89" i="13"/>
  <c r="AB89" i="13"/>
  <c r="Q89" i="13"/>
  <c r="P89" i="13"/>
  <c r="BC88" i="13"/>
  <c r="BB88" i="13"/>
  <c r="AZ88" i="13"/>
  <c r="AY88" i="13"/>
  <c r="AW88" i="13"/>
  <c r="AV88" i="13"/>
  <c r="AO88" i="13"/>
  <c r="AN88" i="13"/>
  <c r="AL88" i="13"/>
  <c r="AK88" i="13"/>
  <c r="AI88" i="13"/>
  <c r="AH88" i="13"/>
  <c r="Z88" i="13"/>
  <c r="Y88" i="13"/>
  <c r="W88" i="13"/>
  <c r="V88" i="13"/>
  <c r="T88" i="13"/>
  <c r="S88" i="13"/>
  <c r="N88" i="13"/>
  <c r="M88" i="13"/>
  <c r="K88" i="13"/>
  <c r="J88" i="13"/>
  <c r="H88" i="13"/>
  <c r="G88" i="13"/>
  <c r="E88" i="13"/>
  <c r="C88" i="13"/>
  <c r="BF87" i="13"/>
  <c r="BF88" i="13" s="1"/>
  <c r="BE87" i="13"/>
  <c r="BE88" i="13" s="1"/>
  <c r="AR87" i="13"/>
  <c r="AR88" i="13" s="1"/>
  <c r="AQ87" i="13"/>
  <c r="AQ88" i="13" s="1"/>
  <c r="AC87" i="13"/>
  <c r="AC88" i="13" s="1"/>
  <c r="AB87" i="13"/>
  <c r="AB88" i="13" s="1"/>
  <c r="Q87" i="13"/>
  <c r="P87" i="13"/>
  <c r="BC86" i="13"/>
  <c r="BB86" i="13"/>
  <c r="AZ86" i="13"/>
  <c r="AY86" i="13"/>
  <c r="AW86" i="13"/>
  <c r="AV86" i="13"/>
  <c r="AO86" i="13"/>
  <c r="AN86" i="13"/>
  <c r="AL86" i="13"/>
  <c r="AK86" i="13"/>
  <c r="AI86" i="13"/>
  <c r="AH86" i="13"/>
  <c r="Y86" i="13"/>
  <c r="W86" i="13"/>
  <c r="V86" i="13"/>
  <c r="T86" i="13"/>
  <c r="S86" i="13"/>
  <c r="N86" i="13"/>
  <c r="M86" i="13"/>
  <c r="K86" i="13"/>
  <c r="J86" i="13"/>
  <c r="H86" i="13"/>
  <c r="G86" i="13"/>
  <c r="E86" i="13"/>
  <c r="C86" i="13"/>
  <c r="BF85" i="13"/>
  <c r="BF86" i="13" s="1"/>
  <c r="BE85" i="13"/>
  <c r="BE86" i="13" s="1"/>
  <c r="AR85" i="13"/>
  <c r="AR86" i="13" s="1"/>
  <c r="AQ85" i="13"/>
  <c r="AQ86" i="13" s="1"/>
  <c r="AB85" i="13"/>
  <c r="Z85" i="13"/>
  <c r="Q85" i="13"/>
  <c r="P85" i="13"/>
  <c r="BC84" i="13"/>
  <c r="BB84" i="13"/>
  <c r="AZ84" i="13"/>
  <c r="AY84" i="13"/>
  <c r="AW84" i="13"/>
  <c r="AV84" i="13"/>
  <c r="AO84" i="13"/>
  <c r="AN84" i="13"/>
  <c r="AL84" i="13"/>
  <c r="AK84" i="13"/>
  <c r="AI84" i="13"/>
  <c r="AH84" i="13"/>
  <c r="Z84" i="13"/>
  <c r="Y84" i="13"/>
  <c r="W84" i="13"/>
  <c r="V84" i="13"/>
  <c r="T84" i="13"/>
  <c r="S84" i="13"/>
  <c r="N84" i="13"/>
  <c r="M84" i="13"/>
  <c r="K84" i="13"/>
  <c r="J84" i="13"/>
  <c r="H84" i="13"/>
  <c r="G84" i="13"/>
  <c r="E84" i="13"/>
  <c r="C84" i="13"/>
  <c r="BF83" i="13"/>
  <c r="BE83" i="13"/>
  <c r="AR83" i="13"/>
  <c r="AQ83" i="13"/>
  <c r="AC83" i="13"/>
  <c r="AB83" i="13"/>
  <c r="Q83" i="13"/>
  <c r="P83" i="13"/>
  <c r="BF82" i="13"/>
  <c r="BE82" i="13"/>
  <c r="AR82" i="13"/>
  <c r="AQ82" i="13"/>
  <c r="AC82" i="13"/>
  <c r="AB82" i="13"/>
  <c r="Q82" i="13"/>
  <c r="P82" i="13"/>
  <c r="BF81" i="13"/>
  <c r="BE81" i="13"/>
  <c r="AR81" i="13"/>
  <c r="AQ81" i="13"/>
  <c r="AC81" i="13"/>
  <c r="AB81" i="13"/>
  <c r="Q81" i="13"/>
  <c r="P81" i="13"/>
  <c r="BF80" i="13"/>
  <c r="BE80" i="13"/>
  <c r="AR80" i="13"/>
  <c r="AQ80" i="13"/>
  <c r="AC80" i="13"/>
  <c r="AB80" i="13"/>
  <c r="Q80" i="13"/>
  <c r="P80" i="13"/>
  <c r="BF79" i="13"/>
  <c r="BE79" i="13"/>
  <c r="AR79" i="13"/>
  <c r="AQ79" i="13"/>
  <c r="AC79" i="13"/>
  <c r="AB79" i="13"/>
  <c r="Q79" i="13"/>
  <c r="AE79" i="13" s="1"/>
  <c r="P79" i="13"/>
  <c r="BC78" i="13"/>
  <c r="BB78" i="13"/>
  <c r="AZ78" i="13"/>
  <c r="AY78" i="13"/>
  <c r="AW78" i="13"/>
  <c r="AV78" i="13"/>
  <c r="AO78" i="13"/>
  <c r="AN78" i="13"/>
  <c r="AL78" i="13"/>
  <c r="AK78" i="13"/>
  <c r="AI78" i="13"/>
  <c r="AH78" i="13"/>
  <c r="Z78" i="13"/>
  <c r="Y78" i="13"/>
  <c r="W78" i="13"/>
  <c r="V78" i="13"/>
  <c r="T78" i="13"/>
  <c r="S78" i="13"/>
  <c r="N78" i="13"/>
  <c r="M78" i="13"/>
  <c r="K78" i="13"/>
  <c r="J78" i="13"/>
  <c r="H78" i="13"/>
  <c r="G78" i="13"/>
  <c r="E78" i="13"/>
  <c r="C78" i="13"/>
  <c r="BF77" i="13"/>
  <c r="BE77" i="13"/>
  <c r="AR77" i="13"/>
  <c r="AQ77" i="13"/>
  <c r="AC77" i="13"/>
  <c r="AB77" i="13"/>
  <c r="Q77" i="13"/>
  <c r="P77" i="13"/>
  <c r="BF76" i="13"/>
  <c r="BE76" i="13"/>
  <c r="AR76" i="13"/>
  <c r="AQ76" i="13"/>
  <c r="AC76" i="13"/>
  <c r="AB76" i="13"/>
  <c r="Q76" i="13"/>
  <c r="P76" i="13"/>
  <c r="BF75" i="13"/>
  <c r="BE75" i="13"/>
  <c r="AR75" i="13"/>
  <c r="AQ75" i="13"/>
  <c r="AC75" i="13"/>
  <c r="AB75" i="13"/>
  <c r="Q75" i="13"/>
  <c r="P75" i="13"/>
  <c r="BO74" i="13"/>
  <c r="BC74" i="13"/>
  <c r="BB74" i="13"/>
  <c r="AZ74" i="13"/>
  <c r="AY74" i="13"/>
  <c r="AW74" i="13"/>
  <c r="AV74" i="13"/>
  <c r="AO74" i="13"/>
  <c r="AN74" i="13"/>
  <c r="AL74" i="13"/>
  <c r="AK74" i="13"/>
  <c r="AI74" i="13"/>
  <c r="AH74" i="13"/>
  <c r="Z74" i="13"/>
  <c r="Y74" i="13"/>
  <c r="W74" i="13"/>
  <c r="V74" i="13"/>
  <c r="T74" i="13"/>
  <c r="S74" i="13"/>
  <c r="N74" i="13"/>
  <c r="M74" i="13"/>
  <c r="K74" i="13"/>
  <c r="J74" i="13"/>
  <c r="H74" i="13"/>
  <c r="G74" i="13"/>
  <c r="E74" i="13"/>
  <c r="C74" i="13"/>
  <c r="BF73" i="13"/>
  <c r="BE73" i="13"/>
  <c r="AR73" i="13"/>
  <c r="AQ73" i="13"/>
  <c r="AC73" i="13"/>
  <c r="AB73" i="13"/>
  <c r="Q73" i="13"/>
  <c r="P73" i="13"/>
  <c r="BF72" i="13"/>
  <c r="BE72" i="13"/>
  <c r="AR72" i="13"/>
  <c r="AQ72" i="13"/>
  <c r="AC72" i="13"/>
  <c r="AB72" i="13"/>
  <c r="Q72" i="13"/>
  <c r="P72" i="13"/>
  <c r="BF71" i="13"/>
  <c r="BE71" i="13"/>
  <c r="AR71" i="13"/>
  <c r="AQ71" i="13"/>
  <c r="AC71" i="13"/>
  <c r="AB71" i="13"/>
  <c r="Q71" i="13"/>
  <c r="P71" i="13"/>
  <c r="BF70" i="13"/>
  <c r="BE70" i="13"/>
  <c r="AR70" i="13"/>
  <c r="AQ70" i="13"/>
  <c r="AC70" i="13"/>
  <c r="AB70" i="13"/>
  <c r="Q70" i="13"/>
  <c r="P70" i="13"/>
  <c r="BC69" i="13"/>
  <c r="BB69" i="13"/>
  <c r="AZ69" i="13"/>
  <c r="AY69" i="13"/>
  <c r="AW69" i="13"/>
  <c r="AV69" i="13"/>
  <c r="AO69" i="13"/>
  <c r="AN69" i="13"/>
  <c r="AL69" i="13"/>
  <c r="AK69" i="13"/>
  <c r="AI69" i="13"/>
  <c r="AH69" i="13"/>
  <c r="Z69" i="13"/>
  <c r="Y69" i="13"/>
  <c r="W69" i="13"/>
  <c r="V69" i="13"/>
  <c r="T69" i="13"/>
  <c r="S69" i="13"/>
  <c r="N69" i="13"/>
  <c r="M69" i="13"/>
  <c r="K69" i="13"/>
  <c r="J69" i="13"/>
  <c r="H69" i="13"/>
  <c r="G69" i="13"/>
  <c r="E69" i="13"/>
  <c r="C69" i="13"/>
  <c r="BF68" i="13"/>
  <c r="BE68" i="13"/>
  <c r="AR68" i="13"/>
  <c r="AQ68" i="13"/>
  <c r="AC68" i="13"/>
  <c r="AB68" i="13"/>
  <c r="Q68" i="13"/>
  <c r="P68" i="13"/>
  <c r="BF67" i="13"/>
  <c r="BE67" i="13"/>
  <c r="AR67" i="13"/>
  <c r="AQ67" i="13"/>
  <c r="AC67" i="13"/>
  <c r="AB67" i="13"/>
  <c r="Q67" i="13"/>
  <c r="P67" i="13"/>
  <c r="BF66" i="13"/>
  <c r="BE66" i="13"/>
  <c r="AR66" i="13"/>
  <c r="AQ66" i="13"/>
  <c r="AC66" i="13"/>
  <c r="AB66" i="13"/>
  <c r="Q66" i="13"/>
  <c r="P66" i="13"/>
  <c r="BF65" i="13"/>
  <c r="BE65" i="13"/>
  <c r="AR65" i="13"/>
  <c r="AQ65" i="13"/>
  <c r="AC65" i="13"/>
  <c r="AB65" i="13"/>
  <c r="Q65" i="13"/>
  <c r="P65" i="13"/>
  <c r="BF64" i="13"/>
  <c r="BE64" i="13"/>
  <c r="AR64" i="13"/>
  <c r="AQ64" i="13"/>
  <c r="AC64" i="13"/>
  <c r="AB64" i="13"/>
  <c r="Q64" i="13"/>
  <c r="P64" i="13"/>
  <c r="BF63" i="13"/>
  <c r="BE63" i="13"/>
  <c r="AR63" i="13"/>
  <c r="AQ63" i="13"/>
  <c r="AC63" i="13"/>
  <c r="AB63" i="13"/>
  <c r="Q63" i="13"/>
  <c r="P63" i="13"/>
  <c r="BF62" i="13"/>
  <c r="BE62" i="13"/>
  <c r="AR62" i="13"/>
  <c r="AQ62" i="13"/>
  <c r="AC62" i="13"/>
  <c r="AB62" i="13"/>
  <c r="Q62" i="13"/>
  <c r="P62" i="13"/>
  <c r="BF61" i="13"/>
  <c r="BE61" i="13"/>
  <c r="AR61" i="13"/>
  <c r="AQ61" i="13"/>
  <c r="AC61" i="13"/>
  <c r="AB61" i="13"/>
  <c r="Q61" i="13"/>
  <c r="P61" i="13"/>
  <c r="BF60" i="13"/>
  <c r="BE60" i="13"/>
  <c r="AR60" i="13"/>
  <c r="AQ60" i="13"/>
  <c r="AC60" i="13"/>
  <c r="AB60" i="13"/>
  <c r="Q60" i="13"/>
  <c r="P60" i="13"/>
  <c r="BC59" i="13"/>
  <c r="BB59" i="13"/>
  <c r="AZ59" i="13"/>
  <c r="AY59" i="13"/>
  <c r="AW59" i="13"/>
  <c r="AV59" i="13"/>
  <c r="AO59" i="13"/>
  <c r="AN59" i="13"/>
  <c r="AL59" i="13"/>
  <c r="AK59" i="13"/>
  <c r="AI59" i="13"/>
  <c r="AH59" i="13"/>
  <c r="Z59" i="13"/>
  <c r="Y59" i="13"/>
  <c r="W59" i="13"/>
  <c r="V59" i="13"/>
  <c r="T59" i="13"/>
  <c r="S59" i="13"/>
  <c r="N59" i="13"/>
  <c r="M59" i="13"/>
  <c r="K59" i="13"/>
  <c r="J59" i="13"/>
  <c r="H59" i="13"/>
  <c r="G59" i="13"/>
  <c r="E59" i="13"/>
  <c r="C59" i="13"/>
  <c r="BF58" i="13"/>
  <c r="BE58" i="13"/>
  <c r="AR58" i="13"/>
  <c r="AQ58" i="13"/>
  <c r="AC58" i="13"/>
  <c r="AB58" i="13"/>
  <c r="Q58" i="13"/>
  <c r="P58" i="13"/>
  <c r="BF57" i="13"/>
  <c r="BE57" i="13"/>
  <c r="AR57" i="13"/>
  <c r="AQ57" i="13"/>
  <c r="AC57" i="13"/>
  <c r="AB57" i="13"/>
  <c r="Q57" i="13"/>
  <c r="P57" i="13"/>
  <c r="BF56" i="13"/>
  <c r="BE56" i="13"/>
  <c r="AR56" i="13"/>
  <c r="AQ56" i="13"/>
  <c r="AC56" i="13"/>
  <c r="AB56" i="13"/>
  <c r="Q56" i="13"/>
  <c r="P56" i="13"/>
  <c r="BF55" i="13"/>
  <c r="BE55" i="13"/>
  <c r="AR55" i="13"/>
  <c r="AQ55" i="13"/>
  <c r="AC55" i="13"/>
  <c r="AB55" i="13"/>
  <c r="Q55" i="13"/>
  <c r="P55" i="13"/>
  <c r="BF54" i="13"/>
  <c r="BE54" i="13"/>
  <c r="AR54" i="13"/>
  <c r="AQ54" i="13"/>
  <c r="AC54" i="13"/>
  <c r="AB54" i="13"/>
  <c r="Q54" i="13"/>
  <c r="P54" i="13"/>
  <c r="BF53" i="13"/>
  <c r="BE53" i="13"/>
  <c r="AR53" i="13"/>
  <c r="AQ53" i="13"/>
  <c r="AC53" i="13"/>
  <c r="AB53" i="13"/>
  <c r="Q53" i="13"/>
  <c r="P53" i="13"/>
  <c r="BF52" i="13"/>
  <c r="BE52" i="13"/>
  <c r="AR52" i="13"/>
  <c r="AQ52" i="13"/>
  <c r="AC52" i="13"/>
  <c r="AB52" i="13"/>
  <c r="Q52" i="13"/>
  <c r="P52" i="13"/>
  <c r="BF51" i="13"/>
  <c r="BE51" i="13"/>
  <c r="AR51" i="13"/>
  <c r="AQ51" i="13"/>
  <c r="AC51" i="13"/>
  <c r="AB51" i="13"/>
  <c r="Q51" i="13"/>
  <c r="P51" i="13"/>
  <c r="BF50" i="13"/>
  <c r="BE50" i="13"/>
  <c r="AR50" i="13"/>
  <c r="AQ50" i="13"/>
  <c r="AC50" i="13"/>
  <c r="AB50" i="13"/>
  <c r="Q50" i="13"/>
  <c r="P50" i="13"/>
  <c r="BF49" i="13"/>
  <c r="BE49" i="13"/>
  <c r="AR49" i="13"/>
  <c r="AQ49" i="13"/>
  <c r="AC49" i="13"/>
  <c r="AB49" i="13"/>
  <c r="Q49" i="13"/>
  <c r="P49" i="13"/>
  <c r="BF48" i="13"/>
  <c r="BE48" i="13"/>
  <c r="AR48" i="13"/>
  <c r="AQ48" i="13"/>
  <c r="AC48" i="13"/>
  <c r="AB48" i="13"/>
  <c r="Q48" i="13"/>
  <c r="P48" i="13"/>
  <c r="Z47" i="13"/>
  <c r="W47" i="13"/>
  <c r="BI47" i="13" s="1"/>
  <c r="V47" i="13"/>
  <c r="Q47" i="13"/>
  <c r="P47" i="13"/>
  <c r="S47" i="13" s="1"/>
  <c r="BF46" i="13"/>
  <c r="BE46" i="13"/>
  <c r="AR46" i="13"/>
  <c r="AQ46" i="13"/>
  <c r="AC46" i="13"/>
  <c r="AB46" i="13"/>
  <c r="Q46" i="13"/>
  <c r="P46" i="13"/>
  <c r="BF45" i="13"/>
  <c r="BE45" i="13"/>
  <c r="AR45" i="13"/>
  <c r="AQ45" i="13"/>
  <c r="AC45" i="13"/>
  <c r="AB45" i="13"/>
  <c r="Q45" i="13"/>
  <c r="AE45" i="13" s="1"/>
  <c r="P45" i="13"/>
  <c r="BF44" i="13"/>
  <c r="BE44" i="13"/>
  <c r="AR44" i="13"/>
  <c r="AQ44" i="13"/>
  <c r="AC44" i="13"/>
  <c r="AB44" i="13"/>
  <c r="Q44" i="13"/>
  <c r="P44" i="13"/>
  <c r="BF43" i="13"/>
  <c r="BE43" i="13"/>
  <c r="AR43" i="13"/>
  <c r="AQ43" i="13"/>
  <c r="AC43" i="13"/>
  <c r="AB43" i="13"/>
  <c r="Q43" i="13"/>
  <c r="P43" i="13"/>
  <c r="BF42" i="13"/>
  <c r="BE42" i="13"/>
  <c r="AR42" i="13"/>
  <c r="AQ42" i="13"/>
  <c r="AC42" i="13"/>
  <c r="AB42" i="13"/>
  <c r="Q42" i="13"/>
  <c r="AE42" i="13" s="1"/>
  <c r="P42" i="13"/>
  <c r="BF41" i="13"/>
  <c r="BE41" i="13"/>
  <c r="AR41" i="13"/>
  <c r="AQ41" i="13"/>
  <c r="AC41" i="13"/>
  <c r="AB41" i="13"/>
  <c r="Q41" i="13"/>
  <c r="P41" i="13"/>
  <c r="BF40" i="13"/>
  <c r="BE40" i="13"/>
  <c r="AR40" i="13"/>
  <c r="AQ40" i="13"/>
  <c r="AC40" i="13"/>
  <c r="AB40" i="13"/>
  <c r="Q40" i="13"/>
  <c r="P40" i="13"/>
  <c r="BF39" i="13"/>
  <c r="BE39" i="13"/>
  <c r="AR39" i="13"/>
  <c r="AQ39" i="13"/>
  <c r="AC39" i="13"/>
  <c r="AB39" i="13"/>
  <c r="Q39" i="13"/>
  <c r="P39" i="13"/>
  <c r="BF38" i="13"/>
  <c r="BE38" i="13"/>
  <c r="AR38" i="13"/>
  <c r="AQ38" i="13"/>
  <c r="AC38" i="13"/>
  <c r="AB38" i="13"/>
  <c r="Q38" i="13"/>
  <c r="P38" i="13"/>
  <c r="BF37" i="13"/>
  <c r="BE37" i="13"/>
  <c r="AR37" i="13"/>
  <c r="AQ37" i="13"/>
  <c r="AC37" i="13"/>
  <c r="AB37" i="13"/>
  <c r="Q37" i="13"/>
  <c r="P37" i="13"/>
  <c r="BF36" i="13"/>
  <c r="BE36" i="13"/>
  <c r="AR36" i="13"/>
  <c r="AQ36" i="13"/>
  <c r="AC36" i="13"/>
  <c r="AB36" i="13"/>
  <c r="Q36" i="13"/>
  <c r="P36" i="13"/>
  <c r="BF35" i="13"/>
  <c r="BE35" i="13"/>
  <c r="AR35" i="13"/>
  <c r="AQ35" i="13"/>
  <c r="AC35" i="13"/>
  <c r="AB35" i="13"/>
  <c r="Q35" i="13"/>
  <c r="P35" i="13"/>
  <c r="BF34" i="13"/>
  <c r="BE34" i="13"/>
  <c r="AR34" i="13"/>
  <c r="AQ34" i="13"/>
  <c r="AC34" i="13"/>
  <c r="AB34" i="13"/>
  <c r="Q34" i="13"/>
  <c r="P34" i="13"/>
  <c r="BF33" i="13"/>
  <c r="BE33" i="13"/>
  <c r="AR33" i="13"/>
  <c r="AQ33" i="13"/>
  <c r="AC33" i="13"/>
  <c r="AB33" i="13"/>
  <c r="Q33" i="13"/>
  <c r="P33" i="13"/>
  <c r="BF32" i="13"/>
  <c r="BE32" i="13"/>
  <c r="AR32" i="13"/>
  <c r="AQ32" i="13"/>
  <c r="AC32" i="13"/>
  <c r="AB32" i="13"/>
  <c r="Q32" i="13"/>
  <c r="P32" i="13"/>
  <c r="BF31" i="13"/>
  <c r="BE31" i="13"/>
  <c r="AR31" i="13"/>
  <c r="AQ31" i="13"/>
  <c r="AC31" i="13"/>
  <c r="AB31" i="13"/>
  <c r="Q31" i="13"/>
  <c r="P31" i="13"/>
  <c r="BF30" i="13"/>
  <c r="BE30" i="13"/>
  <c r="AR30" i="13"/>
  <c r="AQ30" i="13"/>
  <c r="AC30" i="13"/>
  <c r="AB30" i="13"/>
  <c r="Q30" i="13"/>
  <c r="P30" i="13"/>
  <c r="BC28" i="13"/>
  <c r="BB28" i="13"/>
  <c r="AZ28" i="13"/>
  <c r="AY28" i="13"/>
  <c r="AW28" i="13"/>
  <c r="AV28" i="13"/>
  <c r="AO28" i="13"/>
  <c r="AN28" i="13"/>
  <c r="AL28" i="13"/>
  <c r="AK28" i="13"/>
  <c r="AI28" i="13"/>
  <c r="AH28" i="13"/>
  <c r="Z28" i="13"/>
  <c r="Y28" i="13"/>
  <c r="W28" i="13"/>
  <c r="V28" i="13"/>
  <c r="T28" i="13"/>
  <c r="S28" i="13"/>
  <c r="M28" i="13"/>
  <c r="K28" i="13"/>
  <c r="J28" i="13"/>
  <c r="H28" i="13"/>
  <c r="G28" i="13"/>
  <c r="E28" i="13"/>
  <c r="C28" i="13"/>
  <c r="BF27" i="13"/>
  <c r="BE27" i="13"/>
  <c r="AR27" i="13"/>
  <c r="AQ27" i="13"/>
  <c r="AC27" i="13"/>
  <c r="AB27" i="13"/>
  <c r="Q27" i="13"/>
  <c r="P27" i="13"/>
  <c r="BF26" i="13"/>
  <c r="BE26" i="13"/>
  <c r="AR26" i="13"/>
  <c r="AQ26" i="13"/>
  <c r="AC26" i="13"/>
  <c r="AB26" i="13"/>
  <c r="Q26" i="13"/>
  <c r="P26" i="13"/>
  <c r="BF25" i="13"/>
  <c r="BE25" i="13"/>
  <c r="AR25" i="13"/>
  <c r="AQ25" i="13"/>
  <c r="AC25" i="13"/>
  <c r="AB25" i="13"/>
  <c r="Q25" i="13"/>
  <c r="P25" i="13"/>
  <c r="BF24" i="13"/>
  <c r="BE24" i="13"/>
  <c r="AR24" i="13"/>
  <c r="AQ24" i="13"/>
  <c r="AC24" i="13"/>
  <c r="AB24" i="13"/>
  <c r="Q24" i="13"/>
  <c r="P24" i="13"/>
  <c r="BF23" i="13"/>
  <c r="BE23" i="13"/>
  <c r="AR23" i="13"/>
  <c r="AQ23" i="13"/>
  <c r="AC23" i="13"/>
  <c r="AB23" i="13"/>
  <c r="Q23" i="13"/>
  <c r="P23" i="13"/>
  <c r="BF22" i="13"/>
  <c r="BE22" i="13"/>
  <c r="AR22" i="13"/>
  <c r="AQ22" i="13"/>
  <c r="AC22" i="13"/>
  <c r="AB22" i="13"/>
  <c r="Q22" i="13"/>
  <c r="P22" i="13"/>
  <c r="BF21" i="13"/>
  <c r="BE21" i="13"/>
  <c r="AR21" i="13"/>
  <c r="AQ21" i="13"/>
  <c r="AC21" i="13"/>
  <c r="AB21" i="13"/>
  <c r="Q21" i="13"/>
  <c r="P21" i="13"/>
  <c r="BF20" i="13"/>
  <c r="BE20" i="13"/>
  <c r="AR20" i="13"/>
  <c r="AQ20" i="13"/>
  <c r="AQ28" i="13" s="1"/>
  <c r="AC20" i="13"/>
  <c r="AB20" i="13"/>
  <c r="P20" i="13"/>
  <c r="N20" i="13"/>
  <c r="BB18" i="13"/>
  <c r="AY18" i="13"/>
  <c r="AW18" i="13"/>
  <c r="AV18" i="13"/>
  <c r="AO18" i="13"/>
  <c r="AN18" i="13"/>
  <c r="AL18" i="13"/>
  <c r="AK18" i="13"/>
  <c r="AI18" i="13"/>
  <c r="AH18" i="13"/>
  <c r="Y18" i="13"/>
  <c r="W18" i="13"/>
  <c r="V18" i="13"/>
  <c r="T18" i="13"/>
  <c r="S18" i="13"/>
  <c r="M18" i="13"/>
  <c r="K18" i="13"/>
  <c r="J18" i="13"/>
  <c r="H18" i="13"/>
  <c r="G18" i="13"/>
  <c r="E18" i="13"/>
  <c r="C18" i="13"/>
  <c r="BF17" i="13"/>
  <c r="BE17" i="13"/>
  <c r="AR17" i="13"/>
  <c r="AQ17" i="13"/>
  <c r="AC17" i="13"/>
  <c r="AB17" i="13"/>
  <c r="Q17" i="13"/>
  <c r="P17" i="13"/>
  <c r="BE16" i="13"/>
  <c r="BC16" i="13"/>
  <c r="AR16" i="13"/>
  <c r="AQ16" i="13"/>
  <c r="AC16" i="13"/>
  <c r="AB16" i="13"/>
  <c r="P16" i="13"/>
  <c r="N16" i="13"/>
  <c r="Q16" i="13" s="1"/>
  <c r="BF15" i="13"/>
  <c r="BE15" i="13"/>
  <c r="AR15" i="13"/>
  <c r="AQ15" i="13"/>
  <c r="AB15" i="13"/>
  <c r="Z15" i="13"/>
  <c r="AC15" i="13" s="1"/>
  <c r="Q15" i="13"/>
  <c r="P15" i="13"/>
  <c r="BF14" i="13"/>
  <c r="BE14" i="13"/>
  <c r="AR14" i="13"/>
  <c r="AQ14" i="13"/>
  <c r="AC14" i="13"/>
  <c r="AB14" i="13"/>
  <c r="Q14" i="13"/>
  <c r="P14" i="13"/>
  <c r="BF13" i="13"/>
  <c r="BE13" i="13"/>
  <c r="AR13" i="13"/>
  <c r="AQ13" i="13"/>
  <c r="AC13" i="13"/>
  <c r="AB13" i="13"/>
  <c r="Q13" i="13"/>
  <c r="P13" i="13"/>
  <c r="BE12" i="13"/>
  <c r="AZ12" i="13"/>
  <c r="AZ18" i="13" s="1"/>
  <c r="AR12" i="13"/>
  <c r="AQ12" i="13"/>
  <c r="AC12" i="13"/>
  <c r="AB12" i="13"/>
  <c r="Q12" i="13"/>
  <c r="P12" i="13"/>
  <c r="BF11" i="13"/>
  <c r="BE11" i="13"/>
  <c r="AR11" i="13"/>
  <c r="AQ11" i="13"/>
  <c r="AC11" i="13"/>
  <c r="AB11" i="13"/>
  <c r="Q11" i="13"/>
  <c r="P11" i="13"/>
  <c r="BF10" i="13"/>
  <c r="BE10" i="13"/>
  <c r="AR10" i="13"/>
  <c r="AQ10" i="13"/>
  <c r="AB10" i="13"/>
  <c r="Z10" i="13"/>
  <c r="P10" i="13"/>
  <c r="N10" i="13"/>
  <c r="Q10" i="13" s="1"/>
  <c r="BF9" i="13"/>
  <c r="BE9" i="13"/>
  <c r="AR9" i="13"/>
  <c r="AQ9" i="13"/>
  <c r="AB9" i="13"/>
  <c r="Z9" i="13"/>
  <c r="AC9" i="13" s="1"/>
  <c r="Q9" i="13"/>
  <c r="P9" i="13"/>
  <c r="BM8" i="13"/>
  <c r="BM19" i="13" s="1"/>
  <c r="BC8" i="13"/>
  <c r="BB8" i="13"/>
  <c r="AZ8" i="13"/>
  <c r="AY8" i="13"/>
  <c r="AW8" i="13"/>
  <c r="AV8" i="13"/>
  <c r="AO8" i="13"/>
  <c r="AN8" i="13"/>
  <c r="AL8" i="13"/>
  <c r="AK8" i="13"/>
  <c r="AI8" i="13"/>
  <c r="AH8" i="13"/>
  <c r="Y8" i="13"/>
  <c r="W8" i="13"/>
  <c r="V8" i="13"/>
  <c r="T8" i="13"/>
  <c r="S8" i="13"/>
  <c r="M8" i="13"/>
  <c r="K8" i="13"/>
  <c r="J8" i="13"/>
  <c r="H8" i="13"/>
  <c r="G8" i="13"/>
  <c r="E8" i="13"/>
  <c r="C8" i="13"/>
  <c r="BF7" i="13"/>
  <c r="BE7" i="13"/>
  <c r="AR7" i="13"/>
  <c r="AQ7" i="13"/>
  <c r="AB7" i="13"/>
  <c r="Z7" i="13"/>
  <c r="AC7" i="13" s="1"/>
  <c r="P7" i="13"/>
  <c r="N7" i="13"/>
  <c r="BF6" i="13"/>
  <c r="BE6" i="13"/>
  <c r="AR6" i="13"/>
  <c r="AQ6" i="13"/>
  <c r="AQ8" i="13" s="1"/>
  <c r="AC6" i="13"/>
  <c r="AB6" i="13"/>
  <c r="Q6" i="13"/>
  <c r="P6" i="13"/>
  <c r="BF98" i="13" l="1"/>
  <c r="AR8" i="13"/>
  <c r="AQ84" i="13"/>
  <c r="BE129" i="13"/>
  <c r="AB74" i="13"/>
  <c r="BE84" i="13"/>
  <c r="AC138" i="13"/>
  <c r="AQ74" i="13"/>
  <c r="AF105" i="13"/>
  <c r="AT105" i="13" s="1"/>
  <c r="AQ138" i="13"/>
  <c r="AR74" i="13"/>
  <c r="AR138" i="13"/>
  <c r="BE74" i="13"/>
  <c r="AC78" i="13"/>
  <c r="AF100" i="13"/>
  <c r="AE33" i="13"/>
  <c r="AE40" i="13"/>
  <c r="BF74" i="13"/>
  <c r="BF138" i="13"/>
  <c r="BF146" i="13"/>
  <c r="BF129" i="13"/>
  <c r="AF128" i="13"/>
  <c r="AT128" i="13" s="1"/>
  <c r="AE140" i="13"/>
  <c r="AF41" i="13"/>
  <c r="AT41" i="13" s="1"/>
  <c r="BI44" i="13"/>
  <c r="BI143" i="13"/>
  <c r="Q146" i="13"/>
  <c r="AF130" i="13"/>
  <c r="AT130" i="13" s="1"/>
  <c r="BI133" i="13"/>
  <c r="AE156" i="13"/>
  <c r="EE164" i="1"/>
  <c r="EE38" i="1"/>
  <c r="DU39" i="1"/>
  <c r="DU43" i="1"/>
  <c r="EA166" i="1"/>
  <c r="EC38" i="1"/>
  <c r="DU37" i="1"/>
  <c r="DU45" i="1"/>
  <c r="DW40" i="1"/>
  <c r="EB40" i="1"/>
  <c r="DU42" i="1"/>
  <c r="DU35" i="1"/>
  <c r="EB35" i="1"/>
  <c r="DU41" i="1"/>
  <c r="DU47" i="1"/>
  <c r="DU57" i="1"/>
  <c r="DU36" i="1"/>
  <c r="EB44" i="1"/>
  <c r="DW44" i="1"/>
  <c r="DT136" i="1"/>
  <c r="ED136" i="1" s="1"/>
  <c r="DR137" i="1"/>
  <c r="DS137" i="1" s="1"/>
  <c r="DQ137" i="1"/>
  <c r="DG24" i="1"/>
  <c r="DS136" i="1"/>
  <c r="DT51" i="1"/>
  <c r="DT54" i="1"/>
  <c r="DT46" i="1"/>
  <c r="DT55" i="1"/>
  <c r="ED55" i="1" s="1"/>
  <c r="EN55" i="1" s="1"/>
  <c r="DT50" i="1"/>
  <c r="DC51" i="1"/>
  <c r="DK57" i="1"/>
  <c r="DK36" i="1"/>
  <c r="DK42" i="1"/>
  <c r="DK35" i="1"/>
  <c r="DK41" i="1"/>
  <c r="DK37" i="1"/>
  <c r="DK45" i="1"/>
  <c r="DP165" i="1"/>
  <c r="DK167" i="1"/>
  <c r="DL167" i="1"/>
  <c r="DN167" i="1" s="1"/>
  <c r="DO167" i="1" s="1"/>
  <c r="DL163" i="1"/>
  <c r="DN163" i="1" s="1"/>
  <c r="DK24" i="1"/>
  <c r="DL24" i="1"/>
  <c r="AL19" i="13"/>
  <c r="AE51" i="13"/>
  <c r="AE100" i="13"/>
  <c r="AE116" i="13"/>
  <c r="Q125" i="13"/>
  <c r="AE6" i="13"/>
  <c r="AE24" i="13"/>
  <c r="AE67" i="13"/>
  <c r="AE159" i="13"/>
  <c r="AQ150" i="13"/>
  <c r="AF157" i="13"/>
  <c r="AT157" i="13" s="1"/>
  <c r="AF158" i="13"/>
  <c r="AT158" i="13" s="1"/>
  <c r="AF160" i="13"/>
  <c r="AT160" i="13" s="1"/>
  <c r="AC164" i="13"/>
  <c r="DI163" i="1"/>
  <c r="CR65" i="1"/>
  <c r="CS65" i="1" s="1"/>
  <c r="CO65" i="1"/>
  <c r="DI46" i="1"/>
  <c r="DK46" i="1"/>
  <c r="DI51" i="1"/>
  <c r="DK51" i="1"/>
  <c r="DI54" i="1"/>
  <c r="DK54" i="1"/>
  <c r="DK163" i="1"/>
  <c r="DK164" i="1"/>
  <c r="DE26" i="1"/>
  <c r="DI50" i="1"/>
  <c r="DI167" i="1"/>
  <c r="DI24" i="1"/>
  <c r="DI57" i="1"/>
  <c r="DI36" i="1"/>
  <c r="DI42" i="1"/>
  <c r="DI35" i="1"/>
  <c r="DI41" i="1"/>
  <c r="DI55" i="1"/>
  <c r="DI37" i="1"/>
  <c r="DI45" i="1"/>
  <c r="DI137" i="1"/>
  <c r="DA53" i="1"/>
  <c r="DH138" i="1"/>
  <c r="DI138" i="1" s="1"/>
  <c r="DC54" i="1"/>
  <c r="DH53" i="1"/>
  <c r="DA51" i="1"/>
  <c r="DA54" i="1"/>
  <c r="DC50" i="1"/>
  <c r="DB27" i="1"/>
  <c r="DD27" i="1" s="1"/>
  <c r="DA27" i="1"/>
  <c r="DB59" i="1"/>
  <c r="DC59" i="1" s="1"/>
  <c r="CZ28" i="1"/>
  <c r="DA28" i="1" s="1"/>
  <c r="AF9" i="13"/>
  <c r="AT9" i="13" s="1"/>
  <c r="AF25" i="13"/>
  <c r="AT25" i="13" s="1"/>
  <c r="AF26" i="13"/>
  <c r="AT26" i="13" s="1"/>
  <c r="AF27" i="13"/>
  <c r="AT27" i="13" s="1"/>
  <c r="BH48" i="13"/>
  <c r="AF53" i="13"/>
  <c r="AT53" i="13" s="1"/>
  <c r="AF54" i="13"/>
  <c r="AT54" i="13" s="1"/>
  <c r="AF57" i="13"/>
  <c r="AT57" i="13" s="1"/>
  <c r="AF65" i="13"/>
  <c r="AT65" i="13" s="1"/>
  <c r="BI90" i="13"/>
  <c r="AF114" i="13"/>
  <c r="AT114" i="13" s="1"/>
  <c r="Q168" i="13"/>
  <c r="AF173" i="13"/>
  <c r="AT173" i="13" s="1"/>
  <c r="BB19" i="13"/>
  <c r="BB29" i="13" s="1"/>
  <c r="BB126" i="13" s="1"/>
  <c r="BB135" i="13" s="1"/>
  <c r="BB139" i="13" s="1"/>
  <c r="BB151" i="13" s="1"/>
  <c r="BB171" i="13" s="1"/>
  <c r="BB177" i="13" s="1"/>
  <c r="AE25" i="13"/>
  <c r="AE94" i="13"/>
  <c r="AE48" i="13"/>
  <c r="AR134" i="13"/>
  <c r="BH141" i="13"/>
  <c r="BH158" i="13"/>
  <c r="P162" i="13"/>
  <c r="P164" i="13"/>
  <c r="BE166" i="13"/>
  <c r="DH63" i="1"/>
  <c r="DC63" i="1"/>
  <c r="DA68" i="1"/>
  <c r="DB68" i="1"/>
  <c r="DA64" i="1"/>
  <c r="DB64" i="1"/>
  <c r="DA132" i="1"/>
  <c r="DB132" i="1"/>
  <c r="DA67" i="1"/>
  <c r="DB67" i="1"/>
  <c r="DA172" i="1"/>
  <c r="DB172" i="1"/>
  <c r="DB66" i="1"/>
  <c r="DA62" i="1"/>
  <c r="DB62" i="1"/>
  <c r="DC25" i="1"/>
  <c r="DD25" i="1"/>
  <c r="DB23" i="1"/>
  <c r="DA65" i="1"/>
  <c r="DB65" i="1"/>
  <c r="DG22" i="1"/>
  <c r="DC26" i="1"/>
  <c r="DH22" i="1"/>
  <c r="DF26" i="1"/>
  <c r="AE165" i="13"/>
  <c r="BI13" i="13"/>
  <c r="AE14" i="13"/>
  <c r="AE15" i="13"/>
  <c r="BH17" i="13"/>
  <c r="BH33" i="13"/>
  <c r="AF45" i="13"/>
  <c r="AT45" i="13" s="1"/>
  <c r="BH46" i="13"/>
  <c r="AC59" i="13"/>
  <c r="AF49" i="13"/>
  <c r="AT49" i="13" s="1"/>
  <c r="AF50" i="13"/>
  <c r="AT50" i="13" s="1"/>
  <c r="BH53" i="13"/>
  <c r="P59" i="13"/>
  <c r="BH67" i="13"/>
  <c r="AE97" i="13"/>
  <c r="AE102" i="13"/>
  <c r="AE108" i="13"/>
  <c r="BI112" i="13"/>
  <c r="AF117" i="13"/>
  <c r="AT117" i="13" s="1"/>
  <c r="AF120" i="13"/>
  <c r="AT120" i="13" s="1"/>
  <c r="AF121" i="13"/>
  <c r="AT121" i="13" s="1"/>
  <c r="AF122" i="13"/>
  <c r="AT122" i="13" s="1"/>
  <c r="AF123" i="13"/>
  <c r="AT123" i="13" s="1"/>
  <c r="Q148" i="13"/>
  <c r="Q162" i="13"/>
  <c r="BI163" i="13"/>
  <c r="BI164" i="13" s="1"/>
  <c r="Q164" i="13"/>
  <c r="AF164" i="13" s="1"/>
  <c r="AT164" i="13" s="1"/>
  <c r="P170" i="13"/>
  <c r="BE176" i="13"/>
  <c r="AE174" i="13"/>
  <c r="P176" i="13"/>
  <c r="BH30" i="13"/>
  <c r="AE17" i="13"/>
  <c r="AE77" i="13"/>
  <c r="AF115" i="13"/>
  <c r="AT115" i="13" s="1"/>
  <c r="AF116" i="13"/>
  <c r="AE120" i="13"/>
  <c r="BH121" i="13"/>
  <c r="P148" i="13"/>
  <c r="AF155" i="13"/>
  <c r="AT155" i="13" s="1"/>
  <c r="BH156" i="13"/>
  <c r="Q166" i="13"/>
  <c r="BH91" i="13"/>
  <c r="AE91" i="13"/>
  <c r="BH132" i="13"/>
  <c r="AE132" i="13"/>
  <c r="BF8" i="13"/>
  <c r="S19" i="13"/>
  <c r="S29" i="13" s="1"/>
  <c r="S126" i="13" s="1"/>
  <c r="S135" i="13" s="1"/>
  <c r="S139" i="13" s="1"/>
  <c r="S151" i="13" s="1"/>
  <c r="S171" i="13" s="1"/>
  <c r="S177" i="13" s="1"/>
  <c r="Y19" i="13"/>
  <c r="Y29" i="13" s="1"/>
  <c r="Y126" i="13" s="1"/>
  <c r="Y135" i="13" s="1"/>
  <c r="Y139" i="13" s="1"/>
  <c r="Y151" i="13" s="1"/>
  <c r="Y171" i="13" s="1"/>
  <c r="Y177" i="13" s="1"/>
  <c r="AW19" i="13"/>
  <c r="AW29" i="13" s="1"/>
  <c r="AW126" i="13" s="1"/>
  <c r="BH21" i="13"/>
  <c r="P129" i="13"/>
  <c r="AB150" i="13"/>
  <c r="BI156" i="13"/>
  <c r="C19" i="13"/>
  <c r="D19" i="13" s="1"/>
  <c r="T19" i="13"/>
  <c r="T29" i="13" s="1"/>
  <c r="AH19" i="13"/>
  <c r="AH29" i="13" s="1"/>
  <c r="AH126" i="13" s="1"/>
  <c r="AH135" i="13" s="1"/>
  <c r="AH139" i="13" s="1"/>
  <c r="AH151" i="13" s="1"/>
  <c r="AH171" i="13" s="1"/>
  <c r="AH177" i="13" s="1"/>
  <c r="AY19" i="13"/>
  <c r="AY29" i="13" s="1"/>
  <c r="AY126" i="13" s="1"/>
  <c r="AY135" i="13" s="1"/>
  <c r="AY139" i="13" s="1"/>
  <c r="AY151" i="13" s="1"/>
  <c r="AY171" i="13" s="1"/>
  <c r="AY177" i="13" s="1"/>
  <c r="Z18" i="13"/>
  <c r="BE18" i="13"/>
  <c r="AR98" i="13"/>
  <c r="BH169" i="13"/>
  <c r="BH170" i="13" s="1"/>
  <c r="AB170" i="13"/>
  <c r="E19" i="13"/>
  <c r="E29" i="13" s="1"/>
  <c r="K19" i="13"/>
  <c r="K29" i="13" s="1"/>
  <c r="K126" i="13" s="1"/>
  <c r="K135" i="13" s="1"/>
  <c r="K139" i="13" s="1"/>
  <c r="K151" i="13" s="1"/>
  <c r="K171" i="13" s="1"/>
  <c r="K177" i="13" s="1"/>
  <c r="V19" i="13"/>
  <c r="AF11" i="13"/>
  <c r="AT11" i="13" s="1"/>
  <c r="AC28" i="13"/>
  <c r="AE32" i="13"/>
  <c r="BH68" i="13"/>
  <c r="BE98" i="13"/>
  <c r="AE96" i="13"/>
  <c r="AE137" i="13"/>
  <c r="BH24" i="13"/>
  <c r="AF30" i="13"/>
  <c r="AT30" i="13" s="1"/>
  <c r="BF47" i="13"/>
  <c r="AF31" i="13"/>
  <c r="AT31" i="13" s="1"/>
  <c r="BH34" i="13"/>
  <c r="AE66" i="13"/>
  <c r="BH79" i="13"/>
  <c r="AF89" i="13"/>
  <c r="AT89" i="13" s="1"/>
  <c r="P93" i="13"/>
  <c r="AF95" i="13"/>
  <c r="AT95" i="13" s="1"/>
  <c r="BH99" i="13"/>
  <c r="BE111" i="13"/>
  <c r="AE110" i="13"/>
  <c r="AE112" i="13"/>
  <c r="BH119" i="13"/>
  <c r="BH120" i="13"/>
  <c r="AF132" i="13"/>
  <c r="AT132" i="13" s="1"/>
  <c r="Q138" i="13"/>
  <c r="AF144" i="13"/>
  <c r="AT144" i="13" s="1"/>
  <c r="P150" i="13"/>
  <c r="AE152" i="13"/>
  <c r="P166" i="13"/>
  <c r="AF175" i="13"/>
  <c r="AT175" i="13" s="1"/>
  <c r="Q176" i="13"/>
  <c r="BE8" i="13"/>
  <c r="AE9" i="13"/>
  <c r="G19" i="13"/>
  <c r="AV19" i="13"/>
  <c r="AV29" i="13" s="1"/>
  <c r="AV126" i="13" s="1"/>
  <c r="AV135" i="13" s="1"/>
  <c r="AV139" i="13" s="1"/>
  <c r="AV151" i="13" s="1"/>
  <c r="AV171" i="13" s="1"/>
  <c r="AV177" i="13" s="1"/>
  <c r="AE21" i="13"/>
  <c r="BH25" i="13"/>
  <c r="AF34" i="13"/>
  <c r="AT34" i="13" s="1"/>
  <c r="AF35" i="13"/>
  <c r="AT35" i="13" s="1"/>
  <c r="AF38" i="13"/>
  <c r="AT38" i="13" s="1"/>
  <c r="AE52" i="13"/>
  <c r="Q59" i="13"/>
  <c r="AF61" i="13"/>
  <c r="AT61" i="13" s="1"/>
  <c r="AF62" i="13"/>
  <c r="AT62" i="13" s="1"/>
  <c r="AF63" i="13"/>
  <c r="AT63" i="13" s="1"/>
  <c r="AF64" i="13"/>
  <c r="AT64" i="13" s="1"/>
  <c r="AF68" i="13"/>
  <c r="AT68" i="13" s="1"/>
  <c r="BH70" i="13"/>
  <c r="BH71" i="13"/>
  <c r="BI72" i="13"/>
  <c r="AE73" i="13"/>
  <c r="Q74" i="13"/>
  <c r="AR78" i="13"/>
  <c r="AE76" i="13"/>
  <c r="BH80" i="13"/>
  <c r="BH83" i="13"/>
  <c r="AF92" i="13"/>
  <c r="AT92" i="13" s="1"/>
  <c r="Q93" i="13"/>
  <c r="AE104" i="13"/>
  <c r="AF109" i="13"/>
  <c r="AT109" i="13" s="1"/>
  <c r="AF112" i="13"/>
  <c r="AT112" i="13" s="1"/>
  <c r="AE118" i="13"/>
  <c r="AE119" i="13"/>
  <c r="P125" i="13"/>
  <c r="P134" i="13"/>
  <c r="AQ134" i="13"/>
  <c r="BE134" i="13"/>
  <c r="P138" i="13"/>
  <c r="P146" i="13"/>
  <c r="AF149" i="13"/>
  <c r="AT149" i="13" s="1"/>
  <c r="BF150" i="13"/>
  <c r="AF152" i="13"/>
  <c r="AT152" i="13" s="1"/>
  <c r="AB164" i="13"/>
  <c r="Q170" i="13"/>
  <c r="AF174" i="13"/>
  <c r="AT174" i="13" s="1"/>
  <c r="BH6" i="13"/>
  <c r="N28" i="13"/>
  <c r="Q28" i="13" s="1"/>
  <c r="Q20" i="13"/>
  <c r="BI20" i="13" s="1"/>
  <c r="BI52" i="13"/>
  <c r="AQ78" i="13"/>
  <c r="Z86" i="13"/>
  <c r="AC85" i="13"/>
  <c r="BI85" i="13" s="1"/>
  <c r="BI86" i="13" s="1"/>
  <c r="N8" i="13"/>
  <c r="Q8" i="13" s="1"/>
  <c r="Q7" i="13"/>
  <c r="BH7" i="13" s="1"/>
  <c r="BH11" i="13"/>
  <c r="AE11" i="13"/>
  <c r="BI15" i="13"/>
  <c r="BF59" i="13"/>
  <c r="BH85" i="13"/>
  <c r="BH86" i="13" s="1"/>
  <c r="AR162" i="13"/>
  <c r="BE168" i="13"/>
  <c r="Z170" i="13"/>
  <c r="AC169" i="13"/>
  <c r="BI169" i="13" s="1"/>
  <c r="BI170" i="13" s="1"/>
  <c r="AC176" i="13"/>
  <c r="AF172" i="13"/>
  <c r="AT172" i="13" s="1"/>
  <c r="AB8" i="13"/>
  <c r="AI19" i="13"/>
  <c r="AI29" i="13" s="1"/>
  <c r="AB18" i="13"/>
  <c r="AF12" i="13"/>
  <c r="AT12" i="13" s="1"/>
  <c r="BI17" i="13"/>
  <c r="H19" i="13"/>
  <c r="H29" i="13" s="1"/>
  <c r="BI24" i="13"/>
  <c r="BH38" i="13"/>
  <c r="AE38" i="13"/>
  <c r="BH42" i="13"/>
  <c r="AC69" i="13"/>
  <c r="BF69" i="13"/>
  <c r="AE80" i="13"/>
  <c r="AB84" i="13"/>
  <c r="BF125" i="13"/>
  <c r="AC145" i="13"/>
  <c r="AB145" i="13"/>
  <c r="AE145" i="13" s="1"/>
  <c r="M19" i="13"/>
  <c r="M29" i="13" s="1"/>
  <c r="M126" i="13" s="1"/>
  <c r="M135" i="13" s="1"/>
  <c r="M139" i="13" s="1"/>
  <c r="M151" i="13" s="1"/>
  <c r="M171" i="13" s="1"/>
  <c r="M177" i="13" s="1"/>
  <c r="W19" i="13"/>
  <c r="W29" i="13" s="1"/>
  <c r="AK19" i="13"/>
  <c r="AK29" i="13" s="1"/>
  <c r="AK126" i="13" s="1"/>
  <c r="AK135" i="13" s="1"/>
  <c r="AK139" i="13" s="1"/>
  <c r="AK151" i="13" s="1"/>
  <c r="AK171" i="13" s="1"/>
  <c r="AK177" i="13" s="1"/>
  <c r="BC18" i="13"/>
  <c r="BC19" i="13" s="1"/>
  <c r="BD19" i="13" s="1"/>
  <c r="BF16" i="13"/>
  <c r="BI16" i="13" s="1"/>
  <c r="AL29" i="13"/>
  <c r="AM29" i="13" s="1"/>
  <c r="AM19" i="13"/>
  <c r="BF28" i="13"/>
  <c r="BI25" i="13"/>
  <c r="BI33" i="13"/>
  <c r="BH52" i="13"/>
  <c r="BH57" i="13"/>
  <c r="AE57" i="13"/>
  <c r="AQ69" i="13"/>
  <c r="BO69" i="13"/>
  <c r="BI131" i="13"/>
  <c r="AE141" i="13"/>
  <c r="BI141" i="13"/>
  <c r="BH152" i="13"/>
  <c r="BE162" i="13"/>
  <c r="AF156" i="13"/>
  <c r="AT156" i="13" s="1"/>
  <c r="BI160" i="13"/>
  <c r="AE160" i="13"/>
  <c r="BH160" i="13"/>
  <c r="AR166" i="13"/>
  <c r="BH174" i="13"/>
  <c r="AC8" i="13"/>
  <c r="P8" i="13"/>
  <c r="AR18" i="13"/>
  <c r="AR19" i="13" s="1"/>
  <c r="BH14" i="13"/>
  <c r="J19" i="13"/>
  <c r="J29" i="13" s="1"/>
  <c r="J126" i="13" s="1"/>
  <c r="J135" i="13" s="1"/>
  <c r="J139" i="13" s="1"/>
  <c r="J151" i="13" s="1"/>
  <c r="J171" i="13" s="1"/>
  <c r="J177" i="13" s="1"/>
  <c r="AR28" i="13"/>
  <c r="BH22" i="13"/>
  <c r="AF39" i="13"/>
  <c r="AT39" i="13" s="1"/>
  <c r="BH45" i="13"/>
  <c r="AR59" i="13"/>
  <c r="AQ59" i="13"/>
  <c r="AF58" i="13"/>
  <c r="AT58" i="13" s="1"/>
  <c r="BH64" i="13"/>
  <c r="BI66" i="13"/>
  <c r="AF67" i="13"/>
  <c r="AT67" i="13" s="1"/>
  <c r="BI68" i="13"/>
  <c r="BH73" i="13"/>
  <c r="P74" i="13"/>
  <c r="BH77" i="13"/>
  <c r="BI77" i="13"/>
  <c r="Q78" i="13"/>
  <c r="AF80" i="13"/>
  <c r="AT80" i="13" s="1"/>
  <c r="BF84" i="13"/>
  <c r="Q86" i="13"/>
  <c r="P88" i="13"/>
  <c r="BE93" i="13"/>
  <c r="AE90" i="13"/>
  <c r="AB98" i="13"/>
  <c r="AF104" i="13"/>
  <c r="AT104" i="13" s="1"/>
  <c r="AC107" i="13"/>
  <c r="AF107" i="13" s="1"/>
  <c r="AT107" i="13" s="1"/>
  <c r="BH116" i="13"/>
  <c r="AF124" i="13"/>
  <c r="AT124" i="13" s="1"/>
  <c r="AF133" i="13"/>
  <c r="AT133" i="13" s="1"/>
  <c r="BF134" i="13"/>
  <c r="BH140" i="13"/>
  <c r="BI140" i="13"/>
  <c r="BI152" i="13"/>
  <c r="AF154" i="13"/>
  <c r="AT154" i="13" s="1"/>
  <c r="BI158" i="13"/>
  <c r="BH163" i="13"/>
  <c r="BH164" i="13" s="1"/>
  <c r="AE163" i="13"/>
  <c r="AC166" i="13"/>
  <c r="AR168" i="13"/>
  <c r="V29" i="13"/>
  <c r="V126" i="13" s="1"/>
  <c r="V135" i="13" s="1"/>
  <c r="V139" i="13" s="1"/>
  <c r="V151" i="13" s="1"/>
  <c r="V171" i="13" s="1"/>
  <c r="V177" i="13" s="1"/>
  <c r="BH9" i="13"/>
  <c r="AF14" i="13"/>
  <c r="AT14" i="13" s="1"/>
  <c r="AN19" i="13"/>
  <c r="AN29" i="13" s="1"/>
  <c r="AN126" i="13" s="1"/>
  <c r="AN135" i="13" s="1"/>
  <c r="AN139" i="13" s="1"/>
  <c r="AN151" i="13" s="1"/>
  <c r="AN171" i="13" s="1"/>
  <c r="AN177" i="13" s="1"/>
  <c r="AB28" i="13"/>
  <c r="AF22" i="13"/>
  <c r="AT22" i="13" s="1"/>
  <c r="AF23" i="13"/>
  <c r="AT23" i="13" s="1"/>
  <c r="BH26" i="13"/>
  <c r="P28" i="13"/>
  <c r="AR47" i="13"/>
  <c r="BH32" i="13"/>
  <c r="BI32" i="13"/>
  <c r="AF33" i="13"/>
  <c r="AT33" i="13" s="1"/>
  <c r="AQ47" i="13"/>
  <c r="BH47" i="13" s="1"/>
  <c r="BH51" i="13"/>
  <c r="BI51" i="13"/>
  <c r="AF52" i="13"/>
  <c r="AT52" i="13" s="1"/>
  <c r="AB69" i="13"/>
  <c r="BE69" i="13"/>
  <c r="AR69" i="13"/>
  <c r="AE64" i="13"/>
  <c r="AE68" i="13"/>
  <c r="P69" i="13"/>
  <c r="AF73" i="13"/>
  <c r="AT73" i="13" s="1"/>
  <c r="P84" i="13"/>
  <c r="BF93" i="13"/>
  <c r="P98" i="13"/>
  <c r="BH100" i="13"/>
  <c r="BI104" i="13"/>
  <c r="BH108" i="13"/>
  <c r="AQ111" i="13"/>
  <c r="BH124" i="13"/>
  <c r="AB148" i="13"/>
  <c r="AC150" i="13"/>
  <c r="AE158" i="13"/>
  <c r="P168" i="13"/>
  <c r="AC168" i="13"/>
  <c r="BE47" i="13"/>
  <c r="BH36" i="13"/>
  <c r="BI37" i="13"/>
  <c r="AF42" i="13"/>
  <c r="AT42" i="13" s="1"/>
  <c r="AE44" i="13"/>
  <c r="AF46" i="13"/>
  <c r="AT46" i="13" s="1"/>
  <c r="BH49" i="13"/>
  <c r="BH55" i="13"/>
  <c r="BI56" i="13"/>
  <c r="AE60" i="13"/>
  <c r="BE78" i="13"/>
  <c r="AB78" i="13"/>
  <c r="P78" i="13"/>
  <c r="AF81" i="13"/>
  <c r="AT81" i="13" s="1"/>
  <c r="Q84" i="13"/>
  <c r="P86" i="13"/>
  <c r="Q88" i="13"/>
  <c r="Q98" i="13"/>
  <c r="AF101" i="13"/>
  <c r="AT101" i="13" s="1"/>
  <c r="AF106" i="13"/>
  <c r="AT106" i="13" s="1"/>
  <c r="AF108" i="13"/>
  <c r="AT108" i="13" s="1"/>
  <c r="AQ125" i="13"/>
  <c r="AF113" i="13"/>
  <c r="AT113" i="13" s="1"/>
  <c r="BI118" i="13"/>
  <c r="AF119" i="13"/>
  <c r="AT119" i="13" s="1"/>
  <c r="BI120" i="13"/>
  <c r="AB125" i="13"/>
  <c r="AQ129" i="13"/>
  <c r="AE131" i="13"/>
  <c r="AB134" i="13"/>
  <c r="AE134" i="13" s="1"/>
  <c r="BE138" i="13"/>
  <c r="AR146" i="13"/>
  <c r="Q150" i="13"/>
  <c r="AR150" i="13"/>
  <c r="BI154" i="13"/>
  <c r="BH165" i="13"/>
  <c r="BI165" i="13"/>
  <c r="AB166" i="13"/>
  <c r="BF166" i="13"/>
  <c r="BI166" i="13"/>
  <c r="AF167" i="13"/>
  <c r="AT167" i="13" s="1"/>
  <c r="AB168" i="13"/>
  <c r="AQ168" i="13"/>
  <c r="BH168" i="13" s="1"/>
  <c r="AQ176" i="13"/>
  <c r="BI173" i="13"/>
  <c r="CM172" i="1"/>
  <c r="CK172" i="1"/>
  <c r="CN172" i="1"/>
  <c r="CR172" i="1" s="1"/>
  <c r="CS172" i="1" s="1"/>
  <c r="DA66" i="1"/>
  <c r="CR113" i="1"/>
  <c r="CS113" i="1" s="1"/>
  <c r="DA91" i="1"/>
  <c r="CR108" i="1"/>
  <c r="CS108" i="1" s="1"/>
  <c r="CK82" i="1"/>
  <c r="CR50" i="1"/>
  <c r="CS50" i="1" s="1"/>
  <c r="CL116" i="1"/>
  <c r="CZ116" i="1" s="1"/>
  <c r="CL102" i="1"/>
  <c r="CM102" i="1" s="1"/>
  <c r="CY96" i="1"/>
  <c r="CZ96" i="1"/>
  <c r="CL92" i="1"/>
  <c r="CM92" i="1" s="1"/>
  <c r="CX98" i="1"/>
  <c r="CW93" i="1"/>
  <c r="CX29" i="1"/>
  <c r="CK120" i="1"/>
  <c r="CW138" i="1"/>
  <c r="CW98" i="1"/>
  <c r="CW88" i="1"/>
  <c r="CW86" i="1"/>
  <c r="CW78" i="1"/>
  <c r="CW74" i="1"/>
  <c r="CW69" i="1"/>
  <c r="CL105" i="1"/>
  <c r="CZ105" i="1" s="1"/>
  <c r="CO51" i="1"/>
  <c r="CR51" i="1"/>
  <c r="CS51" i="1" s="1"/>
  <c r="CO30" i="1"/>
  <c r="CO33" i="1"/>
  <c r="CO55" i="1"/>
  <c r="CR55" i="1"/>
  <c r="CS55" i="1" s="1"/>
  <c r="CK132" i="1"/>
  <c r="CR18" i="1"/>
  <c r="CR19" i="1" s="1"/>
  <c r="CS62" i="1"/>
  <c r="CO57" i="1"/>
  <c r="CR57" i="1"/>
  <c r="CS57" i="1" s="1"/>
  <c r="CO34" i="1"/>
  <c r="CO54" i="1"/>
  <c r="CR54" i="1"/>
  <c r="CS54" i="1" s="1"/>
  <c r="CO53" i="1"/>
  <c r="CR53" i="1"/>
  <c r="CS53" i="1" s="1"/>
  <c r="CO32" i="1"/>
  <c r="CO31" i="1"/>
  <c r="CL117" i="1"/>
  <c r="CN117" i="1" s="1"/>
  <c r="CI176" i="1"/>
  <c r="CI150" i="1"/>
  <c r="CY69" i="1"/>
  <c r="CW48" i="1"/>
  <c r="CV59" i="1"/>
  <c r="CW21" i="1"/>
  <c r="CW20" i="1"/>
  <c r="CV28" i="1"/>
  <c r="CU12" i="1"/>
  <c r="CT18" i="1"/>
  <c r="CU11" i="1"/>
  <c r="CP19" i="1"/>
  <c r="CQ18" i="1"/>
  <c r="CY19" i="1"/>
  <c r="CP30" i="1"/>
  <c r="CP31" i="1"/>
  <c r="CP32" i="1"/>
  <c r="CQ50" i="1"/>
  <c r="CL128" i="1"/>
  <c r="CN128" i="1" s="1"/>
  <c r="CK142" i="1"/>
  <c r="CK134" i="1"/>
  <c r="CK89" i="1"/>
  <c r="CO113" i="1"/>
  <c r="CO108" i="1"/>
  <c r="CN119" i="1"/>
  <c r="CP69" i="1"/>
  <c r="CQ69" i="1" s="1"/>
  <c r="CQ62" i="1"/>
  <c r="CQ53" i="1"/>
  <c r="CK112" i="1"/>
  <c r="CK121" i="1"/>
  <c r="CK173" i="1"/>
  <c r="CK118" i="1"/>
  <c r="CK122" i="1"/>
  <c r="CK149" i="1"/>
  <c r="CQ149" i="1"/>
  <c r="CZ113" i="1"/>
  <c r="DA127" i="1"/>
  <c r="CQ172" i="1"/>
  <c r="CQ55" i="1"/>
  <c r="CK124" i="1"/>
  <c r="CK130" i="1"/>
  <c r="CQ130" i="1"/>
  <c r="CM108" i="1"/>
  <c r="CK131" i="1"/>
  <c r="CQ131" i="1"/>
  <c r="CK103" i="1"/>
  <c r="CK133" i="1"/>
  <c r="CK90" i="1"/>
  <c r="CQ51" i="1"/>
  <c r="CK109" i="1"/>
  <c r="CQ57" i="1"/>
  <c r="CK119" i="1"/>
  <c r="CQ119" i="1"/>
  <c r="CP33" i="1"/>
  <c r="CK141" i="1"/>
  <c r="CK114" i="1"/>
  <c r="CL149" i="1"/>
  <c r="CL150" i="1" s="1"/>
  <c r="CZ108" i="1"/>
  <c r="CK101" i="1"/>
  <c r="CK115" i="1"/>
  <c r="CK100" i="1"/>
  <c r="CP34" i="1"/>
  <c r="CK113" i="1"/>
  <c r="CQ113" i="1"/>
  <c r="CQ54" i="1"/>
  <c r="CM127" i="1"/>
  <c r="CN127" i="1"/>
  <c r="CB135" i="1"/>
  <c r="CC135" i="1" s="1"/>
  <c r="CM119" i="1"/>
  <c r="CZ119" i="1"/>
  <c r="CL131" i="1"/>
  <c r="CZ131" i="1" s="1"/>
  <c r="CJ150" i="1"/>
  <c r="CM113" i="1"/>
  <c r="CL90" i="1"/>
  <c r="CL133" i="1"/>
  <c r="CJ93" i="1"/>
  <c r="CK93" i="1" s="1"/>
  <c r="CL112" i="1"/>
  <c r="CN112" i="1" s="1"/>
  <c r="CL130" i="1"/>
  <c r="CN130" i="1" s="1"/>
  <c r="CM132" i="1"/>
  <c r="CN132" i="1"/>
  <c r="CL141" i="1"/>
  <c r="CL115" i="1"/>
  <c r="CL89" i="1"/>
  <c r="CZ89" i="1" s="1"/>
  <c r="CI107" i="1"/>
  <c r="CM109" i="1"/>
  <c r="CZ109" i="1"/>
  <c r="CN109" i="1"/>
  <c r="CO50" i="1"/>
  <c r="CN59" i="1"/>
  <c r="CO59" i="1" s="1"/>
  <c r="CJ111" i="1"/>
  <c r="CK111" i="1" s="1"/>
  <c r="CK110" i="1"/>
  <c r="CK99" i="1"/>
  <c r="CL99" i="1"/>
  <c r="CJ84" i="1"/>
  <c r="CK84" i="1" s="1"/>
  <c r="CK83" i="1"/>
  <c r="CK104" i="1"/>
  <c r="CL104" i="1"/>
  <c r="CK174" i="1"/>
  <c r="CL174" i="1"/>
  <c r="CZ174" i="1" s="1"/>
  <c r="CI111" i="1"/>
  <c r="CL122" i="1"/>
  <c r="CZ122" i="1" s="1"/>
  <c r="CL121" i="1"/>
  <c r="CL110" i="1"/>
  <c r="CL124" i="1"/>
  <c r="CL142" i="1"/>
  <c r="DA50" i="1"/>
  <c r="CZ59" i="1"/>
  <c r="DA59" i="1" s="1"/>
  <c r="CL118" i="1"/>
  <c r="CJ98" i="1"/>
  <c r="CK98" i="1" s="1"/>
  <c r="CK97" i="1"/>
  <c r="CI129" i="1"/>
  <c r="CL101" i="1"/>
  <c r="CM82" i="1"/>
  <c r="CN82" i="1"/>
  <c r="CJ129" i="1"/>
  <c r="CK129" i="1" s="1"/>
  <c r="CK128" i="1"/>
  <c r="CK175" i="1"/>
  <c r="CL175" i="1"/>
  <c r="CK143" i="1"/>
  <c r="CL143" i="1"/>
  <c r="CK106" i="1"/>
  <c r="CL106" i="1"/>
  <c r="CL103" i="1"/>
  <c r="CN120" i="1"/>
  <c r="CZ120" i="1"/>
  <c r="CM120" i="1"/>
  <c r="CL114" i="1"/>
  <c r="CZ100" i="1"/>
  <c r="CN100" i="1"/>
  <c r="CM100" i="1"/>
  <c r="CL83" i="1"/>
  <c r="CL97" i="1"/>
  <c r="CL173" i="1"/>
  <c r="CN29" i="1"/>
  <c r="CO29" i="1" s="1"/>
  <c r="CJ146" i="1"/>
  <c r="CK146" i="1" s="1"/>
  <c r="CJ125" i="1"/>
  <c r="CK125" i="1" s="1"/>
  <c r="CJ176" i="1"/>
  <c r="CJ107" i="1"/>
  <c r="CK107" i="1" s="1"/>
  <c r="CF135" i="1"/>
  <c r="CH126" i="1"/>
  <c r="CI126" i="1" s="1"/>
  <c r="DA18" i="1"/>
  <c r="DA63" i="1"/>
  <c r="CZ69" i="1"/>
  <c r="DA19" i="1"/>
  <c r="CD126" i="1"/>
  <c r="CE29" i="1"/>
  <c r="BZ171" i="1"/>
  <c r="CA151" i="1"/>
  <c r="BT139" i="1"/>
  <c r="BP177" i="1"/>
  <c r="BQ177" i="1" s="1"/>
  <c r="BQ171" i="1"/>
  <c r="BS171" i="1"/>
  <c r="BR177" i="1"/>
  <c r="BS177" i="1" s="1"/>
  <c r="BO171" i="1"/>
  <c r="BN177" i="1"/>
  <c r="BO177" i="1" s="1"/>
  <c r="C29" i="13"/>
  <c r="BN19" i="13"/>
  <c r="BM29" i="13"/>
  <c r="AZ19" i="13"/>
  <c r="AB111" i="13"/>
  <c r="AC111" i="13"/>
  <c r="BH112" i="13"/>
  <c r="BH122" i="13"/>
  <c r="AE122" i="13"/>
  <c r="BI122" i="13"/>
  <c r="BC125" i="13"/>
  <c r="AF127" i="13"/>
  <c r="AC129" i="13"/>
  <c r="BI142" i="13"/>
  <c r="AE142" i="13"/>
  <c r="BH142" i="13"/>
  <c r="BH143" i="13"/>
  <c r="AE143" i="13"/>
  <c r="AF143" i="13"/>
  <c r="AT143" i="13" s="1"/>
  <c r="BI6" i="13"/>
  <c r="BH12" i="13"/>
  <c r="AE12" i="13"/>
  <c r="BF12" i="13"/>
  <c r="BH15" i="13"/>
  <c r="AF15" i="13"/>
  <c r="AT15" i="13" s="1"/>
  <c r="AF17" i="13"/>
  <c r="AT17" i="13" s="1"/>
  <c r="BI21" i="13"/>
  <c r="BI22" i="13"/>
  <c r="AF24" i="13"/>
  <c r="AT24" i="13" s="1"/>
  <c r="AE26" i="13"/>
  <c r="BI30" i="13"/>
  <c r="AF32" i="13"/>
  <c r="AT32" i="13" s="1"/>
  <c r="AE34" i="13"/>
  <c r="BI39" i="13"/>
  <c r="AE39" i="13"/>
  <c r="BH39" i="13"/>
  <c r="BI40" i="13"/>
  <c r="BH41" i="13"/>
  <c r="BI45" i="13"/>
  <c r="BI46" i="13"/>
  <c r="T47" i="13"/>
  <c r="BI48" i="13"/>
  <c r="BI49" i="13"/>
  <c r="AF51" i="13"/>
  <c r="AT51" i="13" s="1"/>
  <c r="AE53" i="13"/>
  <c r="BI58" i="13"/>
  <c r="AE58" i="13"/>
  <c r="BH58" i="13"/>
  <c r="BI60" i="13"/>
  <c r="BH62" i="13"/>
  <c r="AE62" i="13"/>
  <c r="BI62" i="13"/>
  <c r="Q69" i="13"/>
  <c r="AF70" i="13"/>
  <c r="AF75" i="13"/>
  <c r="BF78" i="13"/>
  <c r="BI83" i="13"/>
  <c r="BI92" i="13"/>
  <c r="BH102" i="13"/>
  <c r="BI102" i="13"/>
  <c r="AF102" i="13"/>
  <c r="AT102" i="13" s="1"/>
  <c r="BH114" i="13"/>
  <c r="AE114" i="13"/>
  <c r="BI114" i="13"/>
  <c r="BH123" i="13"/>
  <c r="AE123" i="13"/>
  <c r="BI123" i="13"/>
  <c r="AE133" i="13"/>
  <c r="BH133" i="13"/>
  <c r="BH147" i="13"/>
  <c r="BH148" i="13" s="1"/>
  <c r="BI147" i="13"/>
  <c r="BI148" i="13" s="1"/>
  <c r="AE147" i="13"/>
  <c r="AF147" i="13"/>
  <c r="BH154" i="13"/>
  <c r="AB162" i="13"/>
  <c r="AE154" i="13"/>
  <c r="BF168" i="13"/>
  <c r="AF6" i="13"/>
  <c r="Z8" i="13"/>
  <c r="Z19" i="13" s="1"/>
  <c r="AQ18" i="13"/>
  <c r="AQ19" i="13" s="1"/>
  <c r="AQ29" i="13" s="1"/>
  <c r="AC10" i="13"/>
  <c r="AF10" i="13" s="1"/>
  <c r="AT10" i="13" s="1"/>
  <c r="BH10" i="13"/>
  <c r="BH13" i="13"/>
  <c r="BE28" i="13"/>
  <c r="AF21" i="13"/>
  <c r="AT21" i="13" s="1"/>
  <c r="AE22" i="13"/>
  <c r="BI27" i="13"/>
  <c r="AE27" i="13"/>
  <c r="BH27" i="13"/>
  <c r="AE30" i="13"/>
  <c r="BI35" i="13"/>
  <c r="AE35" i="13"/>
  <c r="BH35" i="13"/>
  <c r="BI36" i="13"/>
  <c r="BH37" i="13"/>
  <c r="AE41" i="13"/>
  <c r="BI41" i="13"/>
  <c r="BI42" i="13"/>
  <c r="BH44" i="13"/>
  <c r="AF44" i="13"/>
  <c r="AT44" i="13" s="1"/>
  <c r="AE46" i="13"/>
  <c r="AF48" i="13"/>
  <c r="BE59" i="13"/>
  <c r="AE49" i="13"/>
  <c r="BI54" i="13"/>
  <c r="AE54" i="13"/>
  <c r="BH54" i="13"/>
  <c r="BI55" i="13"/>
  <c r="BH56" i="13"/>
  <c r="AB59" i="13"/>
  <c r="BI67" i="13"/>
  <c r="BI71" i="13"/>
  <c r="BH72" i="13"/>
  <c r="AF77" i="13"/>
  <c r="AT77" i="13" s="1"/>
  <c r="AR84" i="13"/>
  <c r="BI80" i="13"/>
  <c r="AE83" i="13"/>
  <c r="AE85" i="13"/>
  <c r="AE86" i="13" s="1"/>
  <c r="AB86" i="13"/>
  <c r="AF87" i="13"/>
  <c r="AE92" i="13"/>
  <c r="BH92" i="13"/>
  <c r="BH97" i="13"/>
  <c r="BI97" i="13"/>
  <c r="AF97" i="13"/>
  <c r="AT97" i="13" s="1"/>
  <c r="AT100" i="13"/>
  <c r="BH104" i="13"/>
  <c r="P107" i="13"/>
  <c r="BH128" i="13"/>
  <c r="AE128" i="13"/>
  <c r="BI128" i="13"/>
  <c r="BI132" i="13"/>
  <c r="BC162" i="13"/>
  <c r="BF161" i="13"/>
  <c r="BI161" i="13" s="1"/>
  <c r="BH173" i="13"/>
  <c r="AB176" i="13"/>
  <c r="AE173" i="13"/>
  <c r="BI9" i="13"/>
  <c r="AF13" i="13"/>
  <c r="AT13" i="13" s="1"/>
  <c r="AE16" i="13"/>
  <c r="P18" i="13"/>
  <c r="BI26" i="13"/>
  <c r="BI34" i="13"/>
  <c r="AF36" i="13"/>
  <c r="AT36" i="13" s="1"/>
  <c r="AF37" i="13"/>
  <c r="AT37" i="13" s="1"/>
  <c r="BI43" i="13"/>
  <c r="AE43" i="13"/>
  <c r="BH43" i="13"/>
  <c r="BI53" i="13"/>
  <c r="AF55" i="13"/>
  <c r="AT55" i="13" s="1"/>
  <c r="AF56" i="13"/>
  <c r="AT56" i="13" s="1"/>
  <c r="AF71" i="13"/>
  <c r="AT71" i="13" s="1"/>
  <c r="AF72" i="13"/>
  <c r="AT72" i="13" s="1"/>
  <c r="BH82" i="13"/>
  <c r="BI82" i="13"/>
  <c r="AF82" i="13"/>
  <c r="AT82" i="13" s="1"/>
  <c r="AF99" i="13"/>
  <c r="AT99" i="13" s="1"/>
  <c r="BI99" i="13"/>
  <c r="BH103" i="13"/>
  <c r="AE103" i="13"/>
  <c r="BI103" i="13"/>
  <c r="AE7" i="13"/>
  <c r="AE8" i="13" s="1"/>
  <c r="AO19" i="13"/>
  <c r="AE10" i="13"/>
  <c r="BI11" i="13"/>
  <c r="AE13" i="13"/>
  <c r="BI14" i="13"/>
  <c r="AF16" i="13"/>
  <c r="AT16" i="13" s="1"/>
  <c r="BH16" i="13"/>
  <c r="N18" i="13"/>
  <c r="Q18" i="13" s="1"/>
  <c r="BI23" i="13"/>
  <c r="AE23" i="13"/>
  <c r="BH23" i="13"/>
  <c r="BI31" i="13"/>
  <c r="AE31" i="13"/>
  <c r="BH31" i="13"/>
  <c r="AE36" i="13"/>
  <c r="AE37" i="13"/>
  <c r="BI38" i="13"/>
  <c r="BH40" i="13"/>
  <c r="AF40" i="13"/>
  <c r="AT40" i="13" s="1"/>
  <c r="AF43" i="13"/>
  <c r="AT43" i="13" s="1"/>
  <c r="BI50" i="13"/>
  <c r="AE50" i="13"/>
  <c r="BH50" i="13"/>
  <c r="AE55" i="13"/>
  <c r="AE56" i="13"/>
  <c r="BI57" i="13"/>
  <c r="BH60" i="13"/>
  <c r="AF60" i="13"/>
  <c r="BI61" i="13"/>
  <c r="AE61" i="13"/>
  <c r="BH61" i="13"/>
  <c r="BI63" i="13"/>
  <c r="AE63" i="13"/>
  <c r="BH63" i="13"/>
  <c r="BI65" i="13"/>
  <c r="AE65" i="13"/>
  <c r="BH65" i="13"/>
  <c r="BI70" i="13"/>
  <c r="AE70" i="13"/>
  <c r="AE71" i="13"/>
  <c r="AE72" i="13"/>
  <c r="BI73" i="13"/>
  <c r="AC74" i="13"/>
  <c r="BH76" i="13"/>
  <c r="BI76" i="13"/>
  <c r="AF76" i="13"/>
  <c r="AT76" i="13" s="1"/>
  <c r="AC84" i="13"/>
  <c r="AF79" i="13"/>
  <c r="BI79" i="13"/>
  <c r="AE82" i="13"/>
  <c r="AF83" i="13"/>
  <c r="AT83" i="13" s="1"/>
  <c r="AF91" i="13"/>
  <c r="AT91" i="13" s="1"/>
  <c r="AC93" i="13"/>
  <c r="BI91" i="13"/>
  <c r="AF103" i="13"/>
  <c r="AT103" i="13" s="1"/>
  <c r="BH106" i="13"/>
  <c r="AE106" i="13"/>
  <c r="BI106" i="13"/>
  <c r="BI108" i="13"/>
  <c r="AB129" i="13"/>
  <c r="BH127" i="13"/>
  <c r="AB138" i="13"/>
  <c r="AE136" i="13"/>
  <c r="BH137" i="13"/>
  <c r="BI137" i="13"/>
  <c r="AF137" i="13"/>
  <c r="AT137" i="13" s="1"/>
  <c r="AF161" i="13"/>
  <c r="AT161" i="13" s="1"/>
  <c r="BI89" i="13"/>
  <c r="AE89" i="13"/>
  <c r="AQ93" i="13"/>
  <c r="BH89" i="13"/>
  <c r="BH94" i="13"/>
  <c r="BH96" i="13"/>
  <c r="BI96" i="13"/>
  <c r="AF96" i="13"/>
  <c r="AT96" i="13" s="1"/>
  <c r="BI100" i="13"/>
  <c r="BI119" i="13"/>
  <c r="BI124" i="13"/>
  <c r="AE124" i="13"/>
  <c r="BI130" i="13"/>
  <c r="AE130" i="13"/>
  <c r="BH130" i="13"/>
  <c r="BE146" i="13"/>
  <c r="AF142" i="13"/>
  <c r="AT142" i="13" s="1"/>
  <c r="BH149" i="13"/>
  <c r="BH150" i="13" s="1"/>
  <c r="BI149" i="13"/>
  <c r="BI150" i="13" s="1"/>
  <c r="AE149" i="13"/>
  <c r="AF153" i="13"/>
  <c r="AC162" i="13"/>
  <c r="AQ166" i="13"/>
  <c r="BH166" i="13" s="1"/>
  <c r="BI168" i="13"/>
  <c r="BI64" i="13"/>
  <c r="BH66" i="13"/>
  <c r="AF66" i="13"/>
  <c r="AT66" i="13" s="1"/>
  <c r="BI75" i="13"/>
  <c r="AE75" i="13"/>
  <c r="BH75" i="13"/>
  <c r="BI81" i="13"/>
  <c r="AE81" i="13"/>
  <c r="BH81" i="13"/>
  <c r="AB93" i="13"/>
  <c r="AC98" i="13"/>
  <c r="AF94" i="13"/>
  <c r="BI94" i="13"/>
  <c r="BI105" i="13"/>
  <c r="AE105" i="13"/>
  <c r="BH105" i="13"/>
  <c r="BH110" i="13"/>
  <c r="BI110" i="13"/>
  <c r="AF110" i="13"/>
  <c r="AT110" i="13" s="1"/>
  <c r="P111" i="13"/>
  <c r="Q111" i="13"/>
  <c r="BE125" i="13"/>
  <c r="BI113" i="13"/>
  <c r="AE113" i="13"/>
  <c r="BH113" i="13"/>
  <c r="BI115" i="13"/>
  <c r="AE115" i="13"/>
  <c r="BH115" i="13"/>
  <c r="AT116" i="13"/>
  <c r="BI117" i="13"/>
  <c r="AE117" i="13"/>
  <c r="BH117" i="13"/>
  <c r="BI121" i="13"/>
  <c r="AE121" i="13"/>
  <c r="AC125" i="13"/>
  <c r="AF125" i="13" s="1"/>
  <c r="BI127" i="13"/>
  <c r="AE127" i="13"/>
  <c r="AF134" i="13"/>
  <c r="AQ146" i="13"/>
  <c r="BH159" i="13"/>
  <c r="BI159" i="13"/>
  <c r="AF159" i="13"/>
  <c r="AT159" i="13" s="1"/>
  <c r="BI87" i="13"/>
  <c r="BI88" i="13" s="1"/>
  <c r="AE87" i="13"/>
  <c r="AE88" i="13" s="1"/>
  <c r="BH87" i="13"/>
  <c r="BH88" i="13" s="1"/>
  <c r="BH90" i="13"/>
  <c r="AF90" i="13"/>
  <c r="BI95" i="13"/>
  <c r="AE95" i="13"/>
  <c r="BH95" i="13"/>
  <c r="BI101" i="13"/>
  <c r="AE101" i="13"/>
  <c r="BH101" i="13"/>
  <c r="AB107" i="13"/>
  <c r="AE107" i="13" s="1"/>
  <c r="BF111" i="13"/>
  <c r="BI109" i="13"/>
  <c r="AE109" i="13"/>
  <c r="BH109" i="13"/>
  <c r="AR125" i="13"/>
  <c r="BI116" i="13"/>
  <c r="BH118" i="13"/>
  <c r="AF118" i="13"/>
  <c r="AT118" i="13" s="1"/>
  <c r="BH131" i="13"/>
  <c r="AF131" i="13"/>
  <c r="AT131" i="13" s="1"/>
  <c r="BH136" i="13"/>
  <c r="BI136" i="13"/>
  <c r="AF136" i="13"/>
  <c r="AF141" i="13"/>
  <c r="AT141" i="13" s="1"/>
  <c r="BI144" i="13"/>
  <c r="AE144" i="13"/>
  <c r="BH144" i="13"/>
  <c r="BH155" i="13"/>
  <c r="AE155" i="13"/>
  <c r="BI155" i="13"/>
  <c r="AF163" i="13"/>
  <c r="AT163" i="13" s="1"/>
  <c r="BF174" i="13"/>
  <c r="BC176" i="13"/>
  <c r="AF140" i="13"/>
  <c r="BE150" i="13"/>
  <c r="AF165" i="13"/>
  <c r="AT165" i="13" s="1"/>
  <c r="BI167" i="13"/>
  <c r="AE167" i="13"/>
  <c r="BH167" i="13"/>
  <c r="AE169" i="13"/>
  <c r="AE170" i="13" s="1"/>
  <c r="AR176" i="13"/>
  <c r="T146" i="13"/>
  <c r="AQ162" i="13"/>
  <c r="BI153" i="13"/>
  <c r="AE153" i="13"/>
  <c r="BH153" i="13"/>
  <c r="BI157" i="13"/>
  <c r="AE157" i="13"/>
  <c r="BH157" i="13"/>
  <c r="BH161" i="13"/>
  <c r="AE161" i="13"/>
  <c r="BI172" i="13"/>
  <c r="AE172" i="13"/>
  <c r="BH172" i="13"/>
  <c r="BI175" i="13"/>
  <c r="AE175" i="13"/>
  <c r="BH175" i="13"/>
  <c r="X19" i="13" l="1"/>
  <c r="AE125" i="13"/>
  <c r="AE148" i="13"/>
  <c r="F19" i="13"/>
  <c r="AX19" i="13"/>
  <c r="BE19" i="13"/>
  <c r="BE29" i="13" s="1"/>
  <c r="BE126" i="13" s="1"/>
  <c r="BE135" i="13" s="1"/>
  <c r="BE139" i="13" s="1"/>
  <c r="BE151" i="13" s="1"/>
  <c r="BE171" i="13" s="1"/>
  <c r="BE177" i="13" s="1"/>
  <c r="EN136" i="1"/>
  <c r="EE40" i="1"/>
  <c r="EE44" i="1"/>
  <c r="EE35" i="1"/>
  <c r="EL38" i="1"/>
  <c r="EG38" i="1"/>
  <c r="DQ165" i="1"/>
  <c r="DU46" i="1"/>
  <c r="DU55" i="1"/>
  <c r="EE55" i="1"/>
  <c r="DU54" i="1"/>
  <c r="DU136" i="1"/>
  <c r="DW35" i="1"/>
  <c r="EB45" i="1"/>
  <c r="DW45" i="1"/>
  <c r="DW41" i="1"/>
  <c r="EB41" i="1"/>
  <c r="EB39" i="1"/>
  <c r="DW39" i="1"/>
  <c r="DU51" i="1"/>
  <c r="EC44" i="1"/>
  <c r="DW57" i="1"/>
  <c r="EB57" i="1"/>
  <c r="ED57" i="1" s="1"/>
  <c r="EB47" i="1"/>
  <c r="DW47" i="1"/>
  <c r="EC40" i="1"/>
  <c r="EB43" i="1"/>
  <c r="DW43" i="1"/>
  <c r="EB36" i="1"/>
  <c r="DW36" i="1"/>
  <c r="DW42" i="1"/>
  <c r="EB42" i="1"/>
  <c r="EB37" i="1"/>
  <c r="DW37" i="1"/>
  <c r="DT137" i="1"/>
  <c r="ED137" i="1" s="1"/>
  <c r="EN137" i="1" s="1"/>
  <c r="DR138" i="1"/>
  <c r="DS138" i="1" s="1"/>
  <c r="DT53" i="1"/>
  <c r="DT63" i="1"/>
  <c r="DU50" i="1"/>
  <c r="DR165" i="1"/>
  <c r="CR69" i="1"/>
  <c r="CS69" i="1" s="1"/>
  <c r="DN164" i="1"/>
  <c r="DO164" i="1" s="1"/>
  <c r="DO163" i="1"/>
  <c r="DL164" i="1"/>
  <c r="DM164" i="1" s="1"/>
  <c r="DP163" i="1"/>
  <c r="DM163" i="1"/>
  <c r="DP167" i="1"/>
  <c r="DM167" i="1"/>
  <c r="DM24" i="1"/>
  <c r="DN24" i="1"/>
  <c r="DO24" i="1" s="1"/>
  <c r="DG26" i="1"/>
  <c r="DL22" i="1"/>
  <c r="BF18" i="13"/>
  <c r="BF19" i="13" s="1"/>
  <c r="BF29" i="13" s="1"/>
  <c r="AE166" i="13"/>
  <c r="P19" i="13"/>
  <c r="AT134" i="13"/>
  <c r="AF166" i="13"/>
  <c r="AT166" i="13" s="1"/>
  <c r="BI134" i="13"/>
  <c r="AE164" i="13"/>
  <c r="DK50" i="1"/>
  <c r="DK22" i="1"/>
  <c r="DI63" i="1"/>
  <c r="DK63" i="1"/>
  <c r="DE27" i="1"/>
  <c r="DI53" i="1"/>
  <c r="DK53" i="1"/>
  <c r="DI22" i="1"/>
  <c r="DF27" i="1"/>
  <c r="CZ29" i="1"/>
  <c r="DA29" i="1" s="1"/>
  <c r="DC27" i="1"/>
  <c r="DH59" i="1"/>
  <c r="DI59" i="1" s="1"/>
  <c r="DD132" i="1"/>
  <c r="AC86" i="13"/>
  <c r="AF168" i="13"/>
  <c r="AT168" i="13" s="1"/>
  <c r="U19" i="13"/>
  <c r="BH74" i="13"/>
  <c r="BI12" i="13"/>
  <c r="BC29" i="13"/>
  <c r="BD29" i="13" s="1"/>
  <c r="BH176" i="13"/>
  <c r="AC170" i="13"/>
  <c r="AF20" i="13"/>
  <c r="AT20" i="13" s="1"/>
  <c r="AT28" i="13" s="1"/>
  <c r="AE168" i="13"/>
  <c r="DH26" i="1"/>
  <c r="DA120" i="1"/>
  <c r="DB120" i="1"/>
  <c r="DB69" i="1"/>
  <c r="DC69" i="1" s="1"/>
  <c r="DC62" i="1"/>
  <c r="DH62" i="1"/>
  <c r="DH66" i="1"/>
  <c r="DC66" i="1"/>
  <c r="DC172" i="1"/>
  <c r="DC67" i="1"/>
  <c r="DH67" i="1"/>
  <c r="DT67" i="1" s="1"/>
  <c r="DA100" i="1"/>
  <c r="DB100" i="1"/>
  <c r="DA113" i="1"/>
  <c r="DB113" i="1"/>
  <c r="DA105" i="1"/>
  <c r="DB105" i="1"/>
  <c r="DA116" i="1"/>
  <c r="DB116" i="1"/>
  <c r="DE25" i="1"/>
  <c r="DF25" i="1"/>
  <c r="DD172" i="1"/>
  <c r="DH68" i="1"/>
  <c r="DT68" i="1" s="1"/>
  <c r="DC68" i="1"/>
  <c r="DA174" i="1"/>
  <c r="DE174" i="1"/>
  <c r="DA131" i="1"/>
  <c r="DB131" i="1"/>
  <c r="DC23" i="1"/>
  <c r="DB28" i="1"/>
  <c r="DD23" i="1"/>
  <c r="DE127" i="1"/>
  <c r="DA109" i="1"/>
  <c r="DB109" i="1"/>
  <c r="DA119" i="1"/>
  <c r="DB119" i="1"/>
  <c r="DA108" i="1"/>
  <c r="DB108" i="1"/>
  <c r="DH65" i="1"/>
  <c r="DT65" i="1" s="1"/>
  <c r="ED65" i="1" s="1"/>
  <c r="EN65" i="1" s="1"/>
  <c r="DC65" i="1"/>
  <c r="DC127" i="1"/>
  <c r="DC132" i="1"/>
  <c r="DH64" i="1"/>
  <c r="DC64" i="1"/>
  <c r="BH59" i="13"/>
  <c r="CR30" i="1"/>
  <c r="CS30" i="1" s="1"/>
  <c r="CR34" i="1"/>
  <c r="CS34" i="1" s="1"/>
  <c r="CR33" i="1"/>
  <c r="CS33" i="1" s="1"/>
  <c r="AF169" i="13"/>
  <c r="AF170" i="13" s="1"/>
  <c r="AX29" i="13"/>
  <c r="CR32" i="1"/>
  <c r="CS32" i="1" s="1"/>
  <c r="AE78" i="13"/>
  <c r="BH20" i="13"/>
  <c r="BH28" i="13" s="1"/>
  <c r="BF162" i="13"/>
  <c r="AF85" i="13"/>
  <c r="AF86" i="13" s="1"/>
  <c r="AE146" i="13"/>
  <c r="AJ19" i="13"/>
  <c r="CR31" i="1"/>
  <c r="CS31" i="1" s="1"/>
  <c r="BH84" i="13"/>
  <c r="AF176" i="13"/>
  <c r="BI162" i="13"/>
  <c r="AE84" i="13"/>
  <c r="AE138" i="13"/>
  <c r="G29" i="13"/>
  <c r="G126" i="13" s="1"/>
  <c r="AE150" i="13"/>
  <c r="AE176" i="13"/>
  <c r="AE162" i="13"/>
  <c r="AE98" i="13"/>
  <c r="AE69" i="13"/>
  <c r="AQ126" i="13"/>
  <c r="AQ135" i="13" s="1"/>
  <c r="AQ139" i="13" s="1"/>
  <c r="AQ151" i="13" s="1"/>
  <c r="AQ171" i="13" s="1"/>
  <c r="AQ177" i="13" s="1"/>
  <c r="AS19" i="13"/>
  <c r="AR29" i="13"/>
  <c r="AS29" i="13" s="1"/>
  <c r="BH162" i="13"/>
  <c r="AT125" i="13"/>
  <c r="BH18" i="13"/>
  <c r="BI84" i="13"/>
  <c r="BI28" i="13"/>
  <c r="N19" i="13"/>
  <c r="BI107" i="13"/>
  <c r="BI138" i="13"/>
  <c r="BH145" i="13"/>
  <c r="BH146" i="13" s="1"/>
  <c r="BH134" i="13"/>
  <c r="BI125" i="13"/>
  <c r="BH78" i="13"/>
  <c r="AE93" i="13"/>
  <c r="AE18" i="13"/>
  <c r="AE19" i="13" s="1"/>
  <c r="AF7" i="13"/>
  <c r="AT7" i="13" s="1"/>
  <c r="BI7" i="13"/>
  <c r="BI8" i="13" s="1"/>
  <c r="AE20" i="13"/>
  <c r="AE28" i="13" s="1"/>
  <c r="AF150" i="13"/>
  <c r="AT150" i="13" s="1"/>
  <c r="BI145" i="13"/>
  <c r="BI146" i="13" s="1"/>
  <c r="AF145" i="13"/>
  <c r="AT145" i="13" s="1"/>
  <c r="AB19" i="13"/>
  <c r="AB29" i="13" s="1"/>
  <c r="AC146" i="13"/>
  <c r="AE129" i="13"/>
  <c r="BI98" i="13"/>
  <c r="BI93" i="13"/>
  <c r="AL126" i="13"/>
  <c r="AM126" i="13" s="1"/>
  <c r="AF18" i="13"/>
  <c r="AT18" i="13"/>
  <c r="AB146" i="13"/>
  <c r="BH8" i="13"/>
  <c r="CO172" i="1"/>
  <c r="CR100" i="1"/>
  <c r="CS100" i="1" s="1"/>
  <c r="CR82" i="1"/>
  <c r="CS82" i="1" s="1"/>
  <c r="CR130" i="1"/>
  <c r="CS130" i="1" s="1"/>
  <c r="CR128" i="1"/>
  <c r="CS128" i="1" s="1"/>
  <c r="CR112" i="1"/>
  <c r="CS112" i="1" s="1"/>
  <c r="CR120" i="1"/>
  <c r="CS120" i="1" s="1"/>
  <c r="CR132" i="1"/>
  <c r="CS132" i="1" s="1"/>
  <c r="CR119" i="1"/>
  <c r="CS119" i="1" s="1"/>
  <c r="DA96" i="1"/>
  <c r="CR109" i="1"/>
  <c r="CS109" i="1" s="1"/>
  <c r="CR117" i="1"/>
  <c r="CS117" i="1" s="1"/>
  <c r="DA69" i="1"/>
  <c r="CN116" i="1"/>
  <c r="CM116" i="1"/>
  <c r="CN102" i="1"/>
  <c r="CZ102" i="1"/>
  <c r="CY98" i="1"/>
  <c r="CN92" i="1"/>
  <c r="CZ92" i="1"/>
  <c r="CM105" i="1"/>
  <c r="CY29" i="1"/>
  <c r="CN105" i="1"/>
  <c r="CW59" i="1"/>
  <c r="CS18" i="1"/>
  <c r="CZ117" i="1"/>
  <c r="CM117" i="1"/>
  <c r="CO127" i="1"/>
  <c r="CR127" i="1"/>
  <c r="CS127" i="1" s="1"/>
  <c r="CR59" i="1"/>
  <c r="CS59" i="1" s="1"/>
  <c r="CM149" i="1"/>
  <c r="CQ34" i="1"/>
  <c r="CQ33" i="1"/>
  <c r="CQ32" i="1"/>
  <c r="CS19" i="1"/>
  <c r="CR29" i="1"/>
  <c r="CS29" i="1" s="1"/>
  <c r="CQ31" i="1"/>
  <c r="CQ30" i="1"/>
  <c r="CZ130" i="1"/>
  <c r="CL134" i="1"/>
  <c r="CZ134" i="1" s="1"/>
  <c r="CN131" i="1"/>
  <c r="CT30" i="1"/>
  <c r="CU30" i="1" s="1"/>
  <c r="CM131" i="1"/>
  <c r="CZ149" i="1"/>
  <c r="CN149" i="1"/>
  <c r="CT31" i="1"/>
  <c r="CV31" i="1" s="1"/>
  <c r="CW28" i="1"/>
  <c r="CQ19" i="1"/>
  <c r="CP29" i="1"/>
  <c r="CQ29" i="1" s="1"/>
  <c r="CU18" i="1"/>
  <c r="CT19" i="1"/>
  <c r="CV18" i="1"/>
  <c r="CW11" i="1"/>
  <c r="CW12" i="1"/>
  <c r="CT32" i="1"/>
  <c r="CU32" i="1" s="1"/>
  <c r="CM130" i="1"/>
  <c r="CT34" i="1"/>
  <c r="CT33" i="1"/>
  <c r="CL84" i="1"/>
  <c r="CM84" i="1" s="1"/>
  <c r="CO128" i="1"/>
  <c r="CM141" i="1"/>
  <c r="CQ132" i="1"/>
  <c r="CQ90" i="1"/>
  <c r="CQ112" i="1"/>
  <c r="CL129" i="1"/>
  <c r="CQ102" i="1"/>
  <c r="CO100" i="1"/>
  <c r="CM128" i="1"/>
  <c r="CO132" i="1"/>
  <c r="CZ112" i="1"/>
  <c r="CQ100" i="1"/>
  <c r="CQ105" i="1"/>
  <c r="CO119" i="1"/>
  <c r="CO120" i="1"/>
  <c r="CZ128" i="1"/>
  <c r="CQ116" i="1"/>
  <c r="CO109" i="1"/>
  <c r="CM89" i="1"/>
  <c r="CK150" i="1"/>
  <c r="CQ173" i="1"/>
  <c r="CP59" i="1"/>
  <c r="CK176" i="1"/>
  <c r="CO117" i="1"/>
  <c r="CO130" i="1"/>
  <c r="CO82" i="1"/>
  <c r="CZ115" i="1"/>
  <c r="CZ133" i="1"/>
  <c r="CQ115" i="1"/>
  <c r="CQ109" i="1"/>
  <c r="CQ83" i="1"/>
  <c r="CQ143" i="1"/>
  <c r="CQ108" i="1"/>
  <c r="CQ134" i="1"/>
  <c r="CQ128" i="1"/>
  <c r="CB139" i="1"/>
  <c r="CC139" i="1" s="1"/>
  <c r="CN141" i="1"/>
  <c r="CZ141" i="1"/>
  <c r="CM90" i="1"/>
  <c r="CN90" i="1"/>
  <c r="CZ90" i="1"/>
  <c r="CN89" i="1"/>
  <c r="CL93" i="1"/>
  <c r="CM93" i="1" s="1"/>
  <c r="CM112" i="1"/>
  <c r="CN133" i="1"/>
  <c r="CM133" i="1"/>
  <c r="CM115" i="1"/>
  <c r="CN115" i="1"/>
  <c r="CN106" i="1"/>
  <c r="CM106" i="1"/>
  <c r="CZ106" i="1"/>
  <c r="CN143" i="1"/>
  <c r="CM143" i="1"/>
  <c r="CZ143" i="1"/>
  <c r="CZ82" i="1"/>
  <c r="CY82" i="1"/>
  <c r="CN121" i="1"/>
  <c r="CZ121" i="1"/>
  <c r="CM121" i="1"/>
  <c r="CN174" i="1"/>
  <c r="CM174" i="1"/>
  <c r="CL176" i="1"/>
  <c r="CZ176" i="1" s="1"/>
  <c r="CF139" i="1"/>
  <c r="CG135" i="1"/>
  <c r="CM173" i="1"/>
  <c r="CN173" i="1"/>
  <c r="DA122" i="1"/>
  <c r="CM122" i="1"/>
  <c r="CN122" i="1"/>
  <c r="CO112" i="1"/>
  <c r="CL98" i="1"/>
  <c r="CN97" i="1"/>
  <c r="CZ97" i="1"/>
  <c r="CM97" i="1"/>
  <c r="CN114" i="1"/>
  <c r="CM114" i="1"/>
  <c r="CZ114" i="1"/>
  <c r="CM150" i="1"/>
  <c r="CN150" i="1"/>
  <c r="CZ150" i="1"/>
  <c r="CM103" i="1"/>
  <c r="CN103" i="1"/>
  <c r="CZ103" i="1"/>
  <c r="CN175" i="1"/>
  <c r="CM175" i="1"/>
  <c r="CN142" i="1"/>
  <c r="CZ142" i="1"/>
  <c r="CM142" i="1"/>
  <c r="CZ104" i="1"/>
  <c r="CN104" i="1"/>
  <c r="CM104" i="1"/>
  <c r="CL107" i="1"/>
  <c r="CN99" i="1"/>
  <c r="CZ99" i="1"/>
  <c r="CM99" i="1"/>
  <c r="DA89" i="1"/>
  <c r="CL125" i="1"/>
  <c r="CM125" i="1" s="1"/>
  <c r="CN83" i="1"/>
  <c r="CM83" i="1"/>
  <c r="CL146" i="1"/>
  <c r="CM146" i="1" s="1"/>
  <c r="CN101" i="1"/>
  <c r="CZ101" i="1"/>
  <c r="CM101" i="1"/>
  <c r="CN118" i="1"/>
  <c r="CZ118" i="1"/>
  <c r="CM118" i="1"/>
  <c r="CN124" i="1"/>
  <c r="CZ124" i="1"/>
  <c r="CM124" i="1"/>
  <c r="CL111" i="1"/>
  <c r="CN110" i="1"/>
  <c r="CZ110" i="1"/>
  <c r="CM110" i="1"/>
  <c r="CJ126" i="1"/>
  <c r="CK126" i="1" s="1"/>
  <c r="CH135" i="1"/>
  <c r="CI135" i="1" s="1"/>
  <c r="BT151" i="1"/>
  <c r="BU151" i="1" s="1"/>
  <c r="BU139" i="1"/>
  <c r="CE126" i="1"/>
  <c r="CD135" i="1"/>
  <c r="CA171" i="1"/>
  <c r="BZ177" i="1"/>
  <c r="CA177" i="1" s="1"/>
  <c r="BG19" i="13"/>
  <c r="AT140" i="13"/>
  <c r="BH107" i="13"/>
  <c r="AE59" i="13"/>
  <c r="AT6" i="13"/>
  <c r="AT147" i="13"/>
  <c r="AT148" i="13" s="1"/>
  <c r="AF148" i="13"/>
  <c r="AT70" i="13"/>
  <c r="AT74" i="13" s="1"/>
  <c r="AF74" i="13"/>
  <c r="BH125" i="13"/>
  <c r="BH138" i="13"/>
  <c r="BH111" i="13"/>
  <c r="AE111" i="13"/>
  <c r="BH98" i="13"/>
  <c r="AF84" i="13"/>
  <c r="AT79" i="13"/>
  <c r="AT84" i="13" s="1"/>
  <c r="AT60" i="13"/>
  <c r="AT69" i="13" s="1"/>
  <c r="AF69" i="13"/>
  <c r="AF28" i="13"/>
  <c r="BI59" i="13"/>
  <c r="AF111" i="13"/>
  <c r="BA19" i="13"/>
  <c r="AZ29" i="13"/>
  <c r="W126" i="13"/>
  <c r="X29" i="13"/>
  <c r="BI10" i="13"/>
  <c r="F29" i="13"/>
  <c r="E126" i="13"/>
  <c r="BI129" i="13"/>
  <c r="AT94" i="13"/>
  <c r="AT98" i="13" s="1"/>
  <c r="AF98" i="13"/>
  <c r="BI78" i="13"/>
  <c r="BH93" i="13"/>
  <c r="AT176" i="13"/>
  <c r="AE74" i="13"/>
  <c r="BH69" i="13"/>
  <c r="AO29" i="13"/>
  <c r="AP19" i="13"/>
  <c r="AF88" i="13"/>
  <c r="AT87" i="13"/>
  <c r="AT88" i="13" s="1"/>
  <c r="AF59" i="13"/>
  <c r="AT48" i="13"/>
  <c r="AT59" i="13" s="1"/>
  <c r="Z29" i="13"/>
  <c r="AA19" i="13"/>
  <c r="BI69" i="13"/>
  <c r="AC47" i="13"/>
  <c r="AF47" i="13" s="1"/>
  <c r="AT47" i="13" s="1"/>
  <c r="AB47" i="13"/>
  <c r="AC18" i="13"/>
  <c r="AC19" i="13" s="1"/>
  <c r="AX126" i="13"/>
  <c r="AW135" i="13"/>
  <c r="C126" i="13"/>
  <c r="D29" i="13"/>
  <c r="BC126" i="13"/>
  <c r="BI174" i="13"/>
  <c r="BI176" i="13" s="1"/>
  <c r="BF176" i="13"/>
  <c r="AT136" i="13"/>
  <c r="AT138" i="13" s="1"/>
  <c r="AF138" i="13"/>
  <c r="AT90" i="13"/>
  <c r="AT93" i="13" s="1"/>
  <c r="AF93" i="13"/>
  <c r="AT153" i="13"/>
  <c r="AT162" i="13" s="1"/>
  <c r="AF162" i="13"/>
  <c r="BH129" i="13"/>
  <c r="BI74" i="13"/>
  <c r="P29" i="13"/>
  <c r="AT75" i="13"/>
  <c r="AT78" i="13" s="1"/>
  <c r="AF78" i="13"/>
  <c r="AF129" i="13"/>
  <c r="AT127" i="13"/>
  <c r="AT129" i="13" s="1"/>
  <c r="AI126" i="13"/>
  <c r="AJ29" i="13"/>
  <c r="BM126" i="13"/>
  <c r="BN29" i="13"/>
  <c r="T126" i="13"/>
  <c r="U29" i="13"/>
  <c r="H126" i="13"/>
  <c r="BI18" i="13" l="1"/>
  <c r="AT169" i="13"/>
  <c r="AT170" i="13" s="1"/>
  <c r="AT8" i="13"/>
  <c r="EE57" i="1"/>
  <c r="EN57" i="1"/>
  <c r="EN138" i="1"/>
  <c r="ED138" i="1"/>
  <c r="EN38" i="1"/>
  <c r="EE37" i="1"/>
  <c r="EE42" i="1"/>
  <c r="EE36" i="1"/>
  <c r="EE39" i="1"/>
  <c r="EE45" i="1"/>
  <c r="EE41" i="1"/>
  <c r="EE43" i="1"/>
  <c r="DU53" i="1"/>
  <c r="EC57" i="1"/>
  <c r="EB51" i="1"/>
  <c r="ED51" i="1" s="1"/>
  <c r="DW51" i="1"/>
  <c r="EC39" i="1"/>
  <c r="EE136" i="1"/>
  <c r="DQ167" i="1"/>
  <c r="EC37" i="1"/>
  <c r="EC45" i="1"/>
  <c r="DU63" i="1"/>
  <c r="EC42" i="1"/>
  <c r="DW54" i="1"/>
  <c r="EB54" i="1"/>
  <c r="ED54" i="1" s="1"/>
  <c r="DT165" i="1"/>
  <c r="DU165" i="1" s="1"/>
  <c r="DU65" i="1"/>
  <c r="EE65" i="1"/>
  <c r="DU67" i="1"/>
  <c r="EC36" i="1"/>
  <c r="EC41" i="1"/>
  <c r="DU68" i="1"/>
  <c r="DR163" i="1"/>
  <c r="DS163" i="1" s="1"/>
  <c r="DU137" i="1"/>
  <c r="EE137" i="1"/>
  <c r="EC43" i="1"/>
  <c r="EC47" i="1"/>
  <c r="EB50" i="1"/>
  <c r="DW50" i="1"/>
  <c r="EC35" i="1"/>
  <c r="EB46" i="1"/>
  <c r="DW46" i="1"/>
  <c r="DT59" i="1"/>
  <c r="DU59" i="1" s="1"/>
  <c r="DT138" i="1"/>
  <c r="DU138" i="1" s="1"/>
  <c r="DT62" i="1"/>
  <c r="DT64" i="1"/>
  <c r="DT66" i="1"/>
  <c r="DS165" i="1"/>
  <c r="DK67" i="1"/>
  <c r="DK68" i="1"/>
  <c r="DK65" i="1"/>
  <c r="DP24" i="1"/>
  <c r="DR167" i="1"/>
  <c r="DP164" i="1"/>
  <c r="DQ164" i="1" s="1"/>
  <c r="DQ163" i="1"/>
  <c r="DK26" i="1"/>
  <c r="DM22" i="1"/>
  <c r="DG27" i="1"/>
  <c r="DL26" i="1"/>
  <c r="DN26" i="1" s="1"/>
  <c r="DO26" i="1" s="1"/>
  <c r="DG25" i="1"/>
  <c r="DN22" i="1"/>
  <c r="AT85" i="13"/>
  <c r="AT86" i="13" s="1"/>
  <c r="AT146" i="13"/>
  <c r="DI66" i="1"/>
  <c r="DK66" i="1"/>
  <c r="DH27" i="1"/>
  <c r="DK62" i="1"/>
  <c r="DJ59" i="1"/>
  <c r="DK59" i="1" s="1"/>
  <c r="DE132" i="1"/>
  <c r="DI64" i="1"/>
  <c r="DK64" i="1"/>
  <c r="DE172" i="1"/>
  <c r="DF132" i="1"/>
  <c r="DI67" i="1"/>
  <c r="DI65" i="1"/>
  <c r="DI127" i="1"/>
  <c r="DI62" i="1"/>
  <c r="DI26" i="1"/>
  <c r="DI68" i="1"/>
  <c r="DD120" i="1"/>
  <c r="DD119" i="1"/>
  <c r="DD113" i="1"/>
  <c r="DD116" i="1"/>
  <c r="DD131" i="1"/>
  <c r="DD105" i="1"/>
  <c r="DD100" i="1"/>
  <c r="DF172" i="1"/>
  <c r="DH25" i="1"/>
  <c r="DA110" i="1"/>
  <c r="DB110" i="1"/>
  <c r="DA124" i="1"/>
  <c r="DB124" i="1"/>
  <c r="DA150" i="1"/>
  <c r="DB150" i="1"/>
  <c r="DD150" i="1" s="1"/>
  <c r="DA133" i="1"/>
  <c r="DB133" i="1"/>
  <c r="DA128" i="1"/>
  <c r="DB128" i="1"/>
  <c r="DA130" i="1"/>
  <c r="DB130" i="1"/>
  <c r="DA117" i="1"/>
  <c r="DB117" i="1"/>
  <c r="DC108" i="1"/>
  <c r="DA142" i="1"/>
  <c r="DB142" i="1"/>
  <c r="DA103" i="1"/>
  <c r="DB103" i="1"/>
  <c r="DB82" i="1"/>
  <c r="DA106" i="1"/>
  <c r="DB106" i="1"/>
  <c r="DA115" i="1"/>
  <c r="DB115" i="1"/>
  <c r="DB112" i="1"/>
  <c r="CX31" i="1"/>
  <c r="DA102" i="1"/>
  <c r="DB102" i="1"/>
  <c r="DD108" i="1"/>
  <c r="DC109" i="1"/>
  <c r="DE89" i="1"/>
  <c r="DC174" i="1"/>
  <c r="DC105" i="1"/>
  <c r="DC120" i="1"/>
  <c r="DA101" i="1"/>
  <c r="DB101" i="1"/>
  <c r="DA99" i="1"/>
  <c r="DB99" i="1"/>
  <c r="DA121" i="1"/>
  <c r="DB121" i="1"/>
  <c r="DA143" i="1"/>
  <c r="DB143" i="1"/>
  <c r="DA141" i="1"/>
  <c r="DB141" i="1"/>
  <c r="DA92" i="1"/>
  <c r="DB92" i="1"/>
  <c r="DC119" i="1"/>
  <c r="DD109" i="1"/>
  <c r="DE23" i="1"/>
  <c r="DD28" i="1"/>
  <c r="DF23" i="1"/>
  <c r="DC131" i="1"/>
  <c r="DC89" i="1"/>
  <c r="DG174" i="1"/>
  <c r="DC116" i="1"/>
  <c r="DC113" i="1"/>
  <c r="DC100" i="1"/>
  <c r="DA118" i="1"/>
  <c r="DB118" i="1"/>
  <c r="DA104" i="1"/>
  <c r="DB104" i="1"/>
  <c r="DA114" i="1"/>
  <c r="DB114" i="1"/>
  <c r="DB97" i="1"/>
  <c r="DA90" i="1"/>
  <c r="DB90" i="1"/>
  <c r="DA149" i="1"/>
  <c r="DB149" i="1"/>
  <c r="DA134" i="1"/>
  <c r="DB134" i="1"/>
  <c r="DD134" i="1" s="1"/>
  <c r="DC28" i="1"/>
  <c r="DB29" i="1"/>
  <c r="DH69" i="1"/>
  <c r="DI69" i="1" s="1"/>
  <c r="AF146" i="13"/>
  <c r="AT19" i="13"/>
  <c r="AT29" i="13" s="1"/>
  <c r="AL135" i="13"/>
  <c r="AL139" i="13" s="1"/>
  <c r="AL151" i="13" s="1"/>
  <c r="AL171" i="13" s="1"/>
  <c r="AL177" i="13" s="1"/>
  <c r="AM177" i="13" s="1"/>
  <c r="AE29" i="13"/>
  <c r="AF8" i="13"/>
  <c r="AF19" i="13" s="1"/>
  <c r="AF29" i="13" s="1"/>
  <c r="N29" i="13"/>
  <c r="Q19" i="13"/>
  <c r="R19" i="13" s="1"/>
  <c r="BH19" i="13"/>
  <c r="BH29" i="13" s="1"/>
  <c r="BH126" i="13" s="1"/>
  <c r="BH135" i="13" s="1"/>
  <c r="BH139" i="13" s="1"/>
  <c r="BH151" i="13" s="1"/>
  <c r="BH171" i="13" s="1"/>
  <c r="BH177" i="13" s="1"/>
  <c r="BI19" i="13"/>
  <c r="BI29" i="13" s="1"/>
  <c r="DA112" i="1"/>
  <c r="CZ125" i="1"/>
  <c r="DA125" i="1" s="1"/>
  <c r="CR83" i="1"/>
  <c r="CS83" i="1" s="1"/>
  <c r="CR104" i="1"/>
  <c r="CS104" i="1" s="1"/>
  <c r="CR142" i="1"/>
  <c r="CS142" i="1" s="1"/>
  <c r="CR103" i="1"/>
  <c r="CS103" i="1" s="1"/>
  <c r="CR173" i="1"/>
  <c r="CS173" i="1" s="1"/>
  <c r="CR89" i="1"/>
  <c r="CS89" i="1" s="1"/>
  <c r="CR131" i="1"/>
  <c r="CS131" i="1" s="1"/>
  <c r="CR116" i="1"/>
  <c r="CS116" i="1" s="1"/>
  <c r="CR122" i="1"/>
  <c r="CS122" i="1" s="1"/>
  <c r="CR141" i="1"/>
  <c r="CS141" i="1" s="1"/>
  <c r="CR118" i="1"/>
  <c r="CS118" i="1" s="1"/>
  <c r="CR115" i="1"/>
  <c r="CS115" i="1" s="1"/>
  <c r="CR90" i="1"/>
  <c r="CS90" i="1" s="1"/>
  <c r="CR102" i="1"/>
  <c r="CS102" i="1" s="1"/>
  <c r="CR99" i="1"/>
  <c r="CS99" i="1" s="1"/>
  <c r="CR121" i="1"/>
  <c r="CS121" i="1" s="1"/>
  <c r="CR106" i="1"/>
  <c r="CS106" i="1" s="1"/>
  <c r="CR133" i="1"/>
  <c r="CS133" i="1" s="1"/>
  <c r="CR175" i="1"/>
  <c r="CS175" i="1" s="1"/>
  <c r="CR97" i="1"/>
  <c r="CR98" i="1" s="1"/>
  <c r="CS98" i="1" s="1"/>
  <c r="CR143" i="1"/>
  <c r="CS143" i="1" s="1"/>
  <c r="CR110" i="1"/>
  <c r="CS110" i="1" s="1"/>
  <c r="CR124" i="1"/>
  <c r="CS124" i="1" s="1"/>
  <c r="CR150" i="1"/>
  <c r="CS150" i="1" s="1"/>
  <c r="CR114" i="1"/>
  <c r="CR105" i="1"/>
  <c r="CS105" i="1" s="1"/>
  <c r="CO92" i="1"/>
  <c r="CO116" i="1"/>
  <c r="CO102" i="1"/>
  <c r="CR92" i="1"/>
  <c r="CS92" i="1" s="1"/>
  <c r="CO105" i="1"/>
  <c r="CO149" i="1"/>
  <c r="CR149" i="1"/>
  <c r="CS149" i="1" s="1"/>
  <c r="CO131" i="1"/>
  <c r="CO101" i="1"/>
  <c r="CR101" i="1"/>
  <c r="CS101" i="1" s="1"/>
  <c r="CO174" i="1"/>
  <c r="CR174" i="1"/>
  <c r="CS174" i="1" s="1"/>
  <c r="CM134" i="1"/>
  <c r="CV30" i="1"/>
  <c r="CN134" i="1"/>
  <c r="CV32" i="1"/>
  <c r="CU31" i="1"/>
  <c r="CN93" i="1"/>
  <c r="CO93" i="1" s="1"/>
  <c r="CY83" i="1"/>
  <c r="CY175" i="1"/>
  <c r="CY173" i="1"/>
  <c r="CW31" i="1"/>
  <c r="CU19" i="1"/>
  <c r="CT29" i="1"/>
  <c r="CV19" i="1"/>
  <c r="CW18" i="1"/>
  <c r="CV33" i="1"/>
  <c r="CU33" i="1"/>
  <c r="CV34" i="1"/>
  <c r="CU34" i="1"/>
  <c r="CO110" i="1"/>
  <c r="CO124" i="1"/>
  <c r="CO175" i="1"/>
  <c r="CQ175" i="1"/>
  <c r="CQ120" i="1"/>
  <c r="CP129" i="1"/>
  <c r="CZ129" i="1"/>
  <c r="DA129" i="1" s="1"/>
  <c r="CM129" i="1"/>
  <c r="CN129" i="1"/>
  <c r="CO150" i="1"/>
  <c r="CO114" i="1"/>
  <c r="CO89" i="1"/>
  <c r="CQ101" i="1"/>
  <c r="CQ82" i="1"/>
  <c r="CQ59" i="1"/>
  <c r="CQ174" i="1"/>
  <c r="CQ150" i="1"/>
  <c r="CO104" i="1"/>
  <c r="CQ104" i="1"/>
  <c r="CO142" i="1"/>
  <c r="CO103" i="1"/>
  <c r="CO121" i="1"/>
  <c r="CQ121" i="1"/>
  <c r="CO106" i="1"/>
  <c r="CQ106" i="1"/>
  <c r="CO133" i="1"/>
  <c r="CO141" i="1"/>
  <c r="CQ92" i="1"/>
  <c r="CO118" i="1"/>
  <c r="CO99" i="1"/>
  <c r="CO122" i="1"/>
  <c r="CO173" i="1"/>
  <c r="CO143" i="1"/>
  <c r="CO115" i="1"/>
  <c r="CO90" i="1"/>
  <c r="CQ117" i="1"/>
  <c r="CQ142" i="1"/>
  <c r="CB151" i="1"/>
  <c r="CC151" i="1" s="1"/>
  <c r="CZ93" i="1"/>
  <c r="DA93" i="1" s="1"/>
  <c r="CZ175" i="1"/>
  <c r="CZ83" i="1"/>
  <c r="CH139" i="1"/>
  <c r="CI139" i="1" s="1"/>
  <c r="CZ146" i="1"/>
  <c r="DA146" i="1" s="1"/>
  <c r="CZ173" i="1"/>
  <c r="DA97" i="1"/>
  <c r="CZ98" i="1"/>
  <c r="DA98" i="1" s="1"/>
  <c r="CN176" i="1"/>
  <c r="CM176" i="1"/>
  <c r="CM107" i="1"/>
  <c r="CN107" i="1"/>
  <c r="CM98" i="1"/>
  <c r="CL126" i="1"/>
  <c r="DA82" i="1"/>
  <c r="CO83" i="1"/>
  <c r="CN84" i="1"/>
  <c r="CN125" i="1"/>
  <c r="CO125" i="1" s="1"/>
  <c r="CM111" i="1"/>
  <c r="CN111" i="1"/>
  <c r="CN98" i="1"/>
  <c r="CO98" i="1" s="1"/>
  <c r="CO97" i="1"/>
  <c r="CF151" i="1"/>
  <c r="CG139" i="1"/>
  <c r="CN146" i="1"/>
  <c r="CO146" i="1" s="1"/>
  <c r="CJ135" i="1"/>
  <c r="CK135" i="1" s="1"/>
  <c r="BT171" i="1"/>
  <c r="BU171" i="1" s="1"/>
  <c r="CD139" i="1"/>
  <c r="CE135" i="1"/>
  <c r="U126" i="13"/>
  <c r="T135" i="13"/>
  <c r="T139" i="13" s="1"/>
  <c r="T151" i="13" s="1"/>
  <c r="T171" i="13" s="1"/>
  <c r="T177" i="13" s="1"/>
  <c r="U177" i="13" s="1"/>
  <c r="AI135" i="13"/>
  <c r="AI139" i="13" s="1"/>
  <c r="AI151" i="13" s="1"/>
  <c r="AI171" i="13" s="1"/>
  <c r="AI177" i="13" s="1"/>
  <c r="AJ177" i="13" s="1"/>
  <c r="AJ126" i="13"/>
  <c r="P126" i="13"/>
  <c r="G135" i="13"/>
  <c r="AW139" i="13"/>
  <c r="AW151" i="13" s="1"/>
  <c r="AW171" i="13" s="1"/>
  <c r="AW177" i="13" s="1"/>
  <c r="AX177" i="13" s="1"/>
  <c r="AX135" i="13"/>
  <c r="AB126" i="13"/>
  <c r="AB135" i="13" s="1"/>
  <c r="AB139" i="13" s="1"/>
  <c r="AB151" i="13" s="1"/>
  <c r="AB171" i="13" s="1"/>
  <c r="AB177" i="13" s="1"/>
  <c r="AE47" i="13"/>
  <c r="AE126" i="13" s="1"/>
  <c r="AE135" i="13" s="1"/>
  <c r="AE139" i="13" s="1"/>
  <c r="AE151" i="13" s="1"/>
  <c r="AE171" i="13" s="1"/>
  <c r="AE177" i="13" s="1"/>
  <c r="Z126" i="13"/>
  <c r="AA29" i="13"/>
  <c r="BC135" i="13"/>
  <c r="BD126" i="13"/>
  <c r="AR111" i="13"/>
  <c r="BF126" i="13"/>
  <c r="BG29" i="13"/>
  <c r="H135" i="13"/>
  <c r="BM135" i="13"/>
  <c r="BN126" i="13"/>
  <c r="AO126" i="13"/>
  <c r="AP29" i="13"/>
  <c r="E135" i="13"/>
  <c r="E139" i="13" s="1"/>
  <c r="E151" i="13" s="1"/>
  <c r="E171" i="13" s="1"/>
  <c r="E177" i="13" s="1"/>
  <c r="F126" i="13"/>
  <c r="X126" i="13"/>
  <c r="W135" i="13"/>
  <c r="W139" i="13" s="1"/>
  <c r="W151" i="13" s="1"/>
  <c r="W171" i="13" s="1"/>
  <c r="W177" i="13" s="1"/>
  <c r="X177" i="13" s="1"/>
  <c r="C135" i="13"/>
  <c r="D126" i="13"/>
  <c r="AC29" i="13"/>
  <c r="AD19" i="13"/>
  <c r="AZ126" i="13"/>
  <c r="BA29" i="13"/>
  <c r="EE54" i="1" l="1"/>
  <c r="EN54" i="1"/>
  <c r="EE51" i="1"/>
  <c r="EN51" i="1"/>
  <c r="EL42" i="1"/>
  <c r="EG42" i="1"/>
  <c r="ED50" i="1"/>
  <c r="EN50" i="1" s="1"/>
  <c r="EG40" i="1"/>
  <c r="EL40" i="1"/>
  <c r="EL36" i="1"/>
  <c r="EG36" i="1"/>
  <c r="EL45" i="1"/>
  <c r="EG45" i="1"/>
  <c r="EE46" i="1"/>
  <c r="EG35" i="1"/>
  <c r="EL35" i="1"/>
  <c r="EL44" i="1"/>
  <c r="EG44" i="1"/>
  <c r="DW65" i="1"/>
  <c r="DT163" i="1"/>
  <c r="DU163" i="1" s="1"/>
  <c r="EB63" i="1"/>
  <c r="ED63" i="1" s="1"/>
  <c r="DW63" i="1"/>
  <c r="EC51" i="1"/>
  <c r="DQ24" i="1"/>
  <c r="DU66" i="1"/>
  <c r="EB68" i="1"/>
  <c r="ED68" i="1" s="1"/>
  <c r="DW68" i="1"/>
  <c r="DU64" i="1"/>
  <c r="EC46" i="1"/>
  <c r="EB53" i="1"/>
  <c r="ED53" i="1" s="1"/>
  <c r="DW53" i="1"/>
  <c r="EC50" i="1"/>
  <c r="DW67" i="1"/>
  <c r="EB67" i="1"/>
  <c r="ED67" i="1" s="1"/>
  <c r="EC54" i="1"/>
  <c r="DV59" i="1"/>
  <c r="DW59" i="1" s="1"/>
  <c r="EE138" i="1"/>
  <c r="DT167" i="1"/>
  <c r="DU62" i="1"/>
  <c r="DT69" i="1"/>
  <c r="DU69" i="1" s="1"/>
  <c r="DU164" i="1"/>
  <c r="DL27" i="1"/>
  <c r="DM27" i="1" s="1"/>
  <c r="DS167" i="1"/>
  <c r="DR24" i="1"/>
  <c r="DG132" i="1"/>
  <c r="DK25" i="1"/>
  <c r="DL25" i="1"/>
  <c r="DK27" i="1"/>
  <c r="DO22" i="1"/>
  <c r="DP26" i="1"/>
  <c r="DM26" i="1"/>
  <c r="DP22" i="1"/>
  <c r="DI27" i="1"/>
  <c r="DG172" i="1"/>
  <c r="DH132" i="1"/>
  <c r="DE113" i="1"/>
  <c r="DE134" i="1"/>
  <c r="DE131" i="1"/>
  <c r="DE119" i="1"/>
  <c r="DE116" i="1"/>
  <c r="DE120" i="1"/>
  <c r="DK132" i="1"/>
  <c r="DK69" i="1"/>
  <c r="DE105" i="1"/>
  <c r="DE150" i="1"/>
  <c r="DE109" i="1"/>
  <c r="DE100" i="1"/>
  <c r="DI25" i="1"/>
  <c r="DD106" i="1"/>
  <c r="DF119" i="1"/>
  <c r="DF120" i="1"/>
  <c r="DF116" i="1"/>
  <c r="DF113" i="1"/>
  <c r="DF105" i="1"/>
  <c r="DD110" i="1"/>
  <c r="DD118" i="1"/>
  <c r="DF118" i="1" s="1"/>
  <c r="DD82" i="1"/>
  <c r="DD128" i="1"/>
  <c r="DD99" i="1"/>
  <c r="DC150" i="1"/>
  <c r="DD104" i="1"/>
  <c r="DD130" i="1"/>
  <c r="DF100" i="1"/>
  <c r="DF131" i="1"/>
  <c r="DD115" i="1"/>
  <c r="DB111" i="1"/>
  <c r="DD124" i="1"/>
  <c r="DH172" i="1"/>
  <c r="DF108" i="1"/>
  <c r="DF109" i="1"/>
  <c r="DH174" i="1"/>
  <c r="DA173" i="1"/>
  <c r="DB173" i="1"/>
  <c r="DA175" i="1"/>
  <c r="DB175" i="1"/>
  <c r="DG89" i="1"/>
  <c r="DC149" i="1"/>
  <c r="DC90" i="1"/>
  <c r="DH89" i="1"/>
  <c r="DC92" i="1"/>
  <c r="DB146" i="1"/>
  <c r="DC146" i="1" s="1"/>
  <c r="DC141" i="1"/>
  <c r="DC143" i="1"/>
  <c r="DC121" i="1"/>
  <c r="DC101" i="1"/>
  <c r="DC102" i="1"/>
  <c r="DC103" i="1"/>
  <c r="DC142" i="1"/>
  <c r="CX34" i="1"/>
  <c r="CZ31" i="1"/>
  <c r="DD149" i="1"/>
  <c r="DB98" i="1"/>
  <c r="DC98" i="1" s="1"/>
  <c r="DC97" i="1"/>
  <c r="DG23" i="1"/>
  <c r="DF28" i="1"/>
  <c r="DH23" i="1"/>
  <c r="DD92" i="1"/>
  <c r="DC99" i="1"/>
  <c r="DB107" i="1"/>
  <c r="DD101" i="1"/>
  <c r="DD102" i="1"/>
  <c r="DC112" i="1"/>
  <c r="DB125" i="1"/>
  <c r="DC125" i="1" s="1"/>
  <c r="DC115" i="1"/>
  <c r="DC106" i="1"/>
  <c r="DC82" i="1"/>
  <c r="DC133" i="1"/>
  <c r="DC124" i="1"/>
  <c r="DC110" i="1"/>
  <c r="CX32" i="1"/>
  <c r="CY31" i="1"/>
  <c r="DC29" i="1"/>
  <c r="DF134" i="1"/>
  <c r="DC134" i="1"/>
  <c r="DC114" i="1"/>
  <c r="DB93" i="1"/>
  <c r="DC93" i="1" s="1"/>
  <c r="DE28" i="1"/>
  <c r="DD29" i="1"/>
  <c r="DD112" i="1"/>
  <c r="DC117" i="1"/>
  <c r="DC130" i="1"/>
  <c r="DD133" i="1"/>
  <c r="DF150" i="1"/>
  <c r="DA83" i="1"/>
  <c r="DB83" i="1"/>
  <c r="DD83" i="1" s="1"/>
  <c r="CX33" i="1"/>
  <c r="DD90" i="1"/>
  <c r="DD114" i="1"/>
  <c r="DC104" i="1"/>
  <c r="DC118" i="1"/>
  <c r="DD141" i="1"/>
  <c r="DD143" i="1"/>
  <c r="DD121" i="1"/>
  <c r="DE108" i="1"/>
  <c r="DD103" i="1"/>
  <c r="DD142" i="1"/>
  <c r="DD117" i="1"/>
  <c r="DC128" i="1"/>
  <c r="DB129" i="1"/>
  <c r="DC129" i="1" s="1"/>
  <c r="AU19" i="13"/>
  <c r="AG19" i="13"/>
  <c r="BJ19" i="13"/>
  <c r="N126" i="13"/>
  <c r="Q29" i="13"/>
  <c r="R29" i="13" s="1"/>
  <c r="CS97" i="1"/>
  <c r="CR125" i="1"/>
  <c r="CS125" i="1" s="1"/>
  <c r="CS114" i="1"/>
  <c r="CR176" i="1"/>
  <c r="CS176" i="1" s="1"/>
  <c r="CR146" i="1"/>
  <c r="CS146" i="1" s="1"/>
  <c r="CW32" i="1"/>
  <c r="CR93" i="1"/>
  <c r="CS93" i="1" s="1"/>
  <c r="CW30" i="1"/>
  <c r="CX30" i="1"/>
  <c r="CO111" i="1"/>
  <c r="CO134" i="1"/>
  <c r="CR134" i="1"/>
  <c r="CS134" i="1" s="1"/>
  <c r="CO107" i="1"/>
  <c r="CO129" i="1"/>
  <c r="CR129" i="1"/>
  <c r="CS129" i="1" s="1"/>
  <c r="CQ129" i="1"/>
  <c r="CY176" i="1"/>
  <c r="CW33" i="1"/>
  <c r="CW34" i="1"/>
  <c r="CU29" i="1"/>
  <c r="CW19" i="1"/>
  <c r="CV29" i="1"/>
  <c r="CQ141" i="1"/>
  <c r="CP146" i="1"/>
  <c r="CQ114" i="1"/>
  <c r="CP125" i="1"/>
  <c r="CQ110" i="1"/>
  <c r="CP111" i="1"/>
  <c r="CX111" i="1" s="1"/>
  <c r="CP93" i="1"/>
  <c r="CX93" i="1" s="1"/>
  <c r="CQ89" i="1"/>
  <c r="CQ124" i="1"/>
  <c r="CQ122" i="1"/>
  <c r="CQ118" i="1"/>
  <c r="CQ133" i="1"/>
  <c r="CQ103" i="1"/>
  <c r="CO176" i="1"/>
  <c r="CQ99" i="1"/>
  <c r="CP107" i="1"/>
  <c r="CP98" i="1"/>
  <c r="CQ97" i="1"/>
  <c r="CB171" i="1"/>
  <c r="CC171" i="1" s="1"/>
  <c r="CH151" i="1"/>
  <c r="CI151" i="1" s="1"/>
  <c r="DA176" i="1"/>
  <c r="CJ139" i="1"/>
  <c r="CJ151" i="1" s="1"/>
  <c r="CK151" i="1" s="1"/>
  <c r="CO84" i="1"/>
  <c r="CN126" i="1"/>
  <c r="CG151" i="1"/>
  <c r="CF171" i="1"/>
  <c r="CL135" i="1"/>
  <c r="CM126" i="1"/>
  <c r="BT177" i="1"/>
  <c r="CD151" i="1"/>
  <c r="CE139" i="1"/>
  <c r="AC126" i="13"/>
  <c r="AD29" i="13"/>
  <c r="AU29" i="13"/>
  <c r="BM139" i="13"/>
  <c r="BM151" i="13" s="1"/>
  <c r="BM171" i="13" s="1"/>
  <c r="BM177" i="13" s="1"/>
  <c r="BN177" i="13" s="1"/>
  <c r="BN135" i="13"/>
  <c r="BF135" i="13"/>
  <c r="BG126" i="13"/>
  <c r="BC139" i="13"/>
  <c r="BC151" i="13" s="1"/>
  <c r="BC171" i="13" s="1"/>
  <c r="BC177" i="13" s="1"/>
  <c r="BD177" i="13" s="1"/>
  <c r="BD135" i="13"/>
  <c r="H139" i="13"/>
  <c r="BI111" i="13"/>
  <c r="BI126" i="13" s="1"/>
  <c r="AR126" i="13"/>
  <c r="AZ135" i="13"/>
  <c r="BA126" i="13"/>
  <c r="C139" i="13"/>
  <c r="C151" i="13" s="1"/>
  <c r="C171" i="13" s="1"/>
  <c r="C177" i="13" s="1"/>
  <c r="D177" i="13" s="1"/>
  <c r="D135" i="13"/>
  <c r="AO135" i="13"/>
  <c r="AO139" i="13" s="1"/>
  <c r="AO151" i="13" s="1"/>
  <c r="AO171" i="13" s="1"/>
  <c r="AO177" i="13" s="1"/>
  <c r="AP177" i="13" s="1"/>
  <c r="AP126" i="13"/>
  <c r="AT111" i="13"/>
  <c r="AT126" i="13" s="1"/>
  <c r="AA126" i="13"/>
  <c r="Z135" i="13"/>
  <c r="Z139" i="13" s="1"/>
  <c r="Z151" i="13" s="1"/>
  <c r="Z171" i="13" s="1"/>
  <c r="Z177" i="13" s="1"/>
  <c r="AA177" i="13" s="1"/>
  <c r="AF126" i="13"/>
  <c r="AG29" i="13"/>
  <c r="G139" i="13"/>
  <c r="P135" i="13"/>
  <c r="BJ29" i="13"/>
  <c r="EE67" i="1" l="1"/>
  <c r="EN67" i="1"/>
  <c r="EE53" i="1"/>
  <c r="EN53" i="1"/>
  <c r="EE68" i="1"/>
  <c r="EN68" i="1"/>
  <c r="EE63" i="1"/>
  <c r="EN63" i="1"/>
  <c r="EN36" i="1"/>
  <c r="EN44" i="1"/>
  <c r="EN40" i="1"/>
  <c r="EN42" i="1"/>
  <c r="EN35" i="1"/>
  <c r="EN45" i="1"/>
  <c r="EL41" i="1"/>
  <c r="EG41" i="1"/>
  <c r="EG37" i="1"/>
  <c r="EL37" i="1"/>
  <c r="EG43" i="1"/>
  <c r="EL43" i="1"/>
  <c r="EL39" i="1"/>
  <c r="EG39" i="1"/>
  <c r="EE50" i="1"/>
  <c r="ED59" i="1"/>
  <c r="EE59" i="1" s="1"/>
  <c r="EB59" i="1"/>
  <c r="EC59" i="1" s="1"/>
  <c r="EC68" i="1"/>
  <c r="EB62" i="1"/>
  <c r="ED62" i="1" s="1"/>
  <c r="DW62" i="1"/>
  <c r="DV69" i="1"/>
  <c r="DW69" i="1" s="1"/>
  <c r="DQ26" i="1"/>
  <c r="EC65" i="1"/>
  <c r="DU167" i="1"/>
  <c r="EC67" i="1"/>
  <c r="EB64" i="1"/>
  <c r="ED64" i="1" s="1"/>
  <c r="DW64" i="1"/>
  <c r="DW165" i="1"/>
  <c r="EC53" i="1"/>
  <c r="DW66" i="1"/>
  <c r="EB66" i="1"/>
  <c r="ED66" i="1" s="1"/>
  <c r="EC63" i="1"/>
  <c r="DT174" i="1"/>
  <c r="ED174" i="1" s="1"/>
  <c r="EN174" i="1" s="1"/>
  <c r="DT24" i="1"/>
  <c r="DT89" i="1"/>
  <c r="ED89" i="1" s="1"/>
  <c r="EN89" i="1" s="1"/>
  <c r="DN27" i="1"/>
  <c r="DO27" i="1" s="1"/>
  <c r="DL132" i="1"/>
  <c r="DM132" i="1" s="1"/>
  <c r="DS24" i="1"/>
  <c r="DL23" i="1"/>
  <c r="DL28" i="1" s="1"/>
  <c r="DR26" i="1"/>
  <c r="DG105" i="1"/>
  <c r="DG119" i="1"/>
  <c r="DG134" i="1"/>
  <c r="DG113" i="1"/>
  <c r="DG109" i="1"/>
  <c r="DG131" i="1"/>
  <c r="DG118" i="1"/>
  <c r="DG116" i="1"/>
  <c r="DG150" i="1"/>
  <c r="DH108" i="1"/>
  <c r="DG100" i="1"/>
  <c r="DG120" i="1"/>
  <c r="DL172" i="1"/>
  <c r="DN172" i="1" s="1"/>
  <c r="DQ22" i="1"/>
  <c r="DR22" i="1"/>
  <c r="DM25" i="1"/>
  <c r="DN25" i="1"/>
  <c r="DO25" i="1" s="1"/>
  <c r="DI132" i="1"/>
  <c r="DH119" i="1"/>
  <c r="DB176" i="1"/>
  <c r="DC176" i="1" s="1"/>
  <c r="DK172" i="1"/>
  <c r="DH131" i="1"/>
  <c r="DF141" i="1"/>
  <c r="DF90" i="1"/>
  <c r="DF112" i="1"/>
  <c r="DE104" i="1"/>
  <c r="DE82" i="1"/>
  <c r="DE106" i="1"/>
  <c r="DE117" i="1"/>
  <c r="DK131" i="1"/>
  <c r="DE142" i="1"/>
  <c r="DE121" i="1"/>
  <c r="DE83" i="1"/>
  <c r="DE149" i="1"/>
  <c r="DH116" i="1"/>
  <c r="DL116" i="1" s="1"/>
  <c r="DE99" i="1"/>
  <c r="DE110" i="1"/>
  <c r="DE97" i="1"/>
  <c r="DE133" i="1"/>
  <c r="DE124" i="1"/>
  <c r="DE118" i="1"/>
  <c r="DK113" i="1"/>
  <c r="DE103" i="1"/>
  <c r="DE143" i="1"/>
  <c r="DE102" i="1"/>
  <c r="DE115" i="1"/>
  <c r="DE130" i="1"/>
  <c r="DH128" i="1"/>
  <c r="DT128" i="1" s="1"/>
  <c r="ED128" i="1" s="1"/>
  <c r="DK100" i="1"/>
  <c r="DK119" i="1"/>
  <c r="DI174" i="1"/>
  <c r="DI89" i="1"/>
  <c r="DI172" i="1"/>
  <c r="DF106" i="1"/>
  <c r="CY33" i="1"/>
  <c r="DD111" i="1"/>
  <c r="DE111" i="1" s="1"/>
  <c r="DH120" i="1"/>
  <c r="DH113" i="1"/>
  <c r="DD98" i="1"/>
  <c r="DE98" i="1" s="1"/>
  <c r="DF82" i="1"/>
  <c r="DF104" i="1"/>
  <c r="DH28" i="1"/>
  <c r="DI23" i="1"/>
  <c r="CZ33" i="1"/>
  <c r="DH100" i="1"/>
  <c r="DF110" i="1"/>
  <c r="DF99" i="1"/>
  <c r="DH109" i="1"/>
  <c r="DF115" i="1"/>
  <c r="DH118" i="1"/>
  <c r="DH105" i="1"/>
  <c r="DF130" i="1"/>
  <c r="DF98" i="1"/>
  <c r="DG98" i="1" s="1"/>
  <c r="DD129" i="1"/>
  <c r="DE129" i="1" s="1"/>
  <c r="DC107" i="1"/>
  <c r="DF124" i="1"/>
  <c r="DE128" i="1"/>
  <c r="DD173" i="1"/>
  <c r="DE173" i="1" s="1"/>
  <c r="DC111" i="1"/>
  <c r="CY32" i="1"/>
  <c r="DA31" i="1"/>
  <c r="DF143" i="1"/>
  <c r="DF103" i="1"/>
  <c r="DG108" i="1"/>
  <c r="DF133" i="1"/>
  <c r="DF149" i="1"/>
  <c r="DF102" i="1"/>
  <c r="CZ32" i="1"/>
  <c r="DD175" i="1"/>
  <c r="DC175" i="1"/>
  <c r="DE90" i="1"/>
  <c r="DD93" i="1"/>
  <c r="DE93" i="1" s="1"/>
  <c r="DC83" i="1"/>
  <c r="DF117" i="1"/>
  <c r="DE112" i="1"/>
  <c r="DD125" i="1"/>
  <c r="DE125" i="1" s="1"/>
  <c r="DF101" i="1"/>
  <c r="DE101" i="1"/>
  <c r="CZ34" i="1"/>
  <c r="DF83" i="1"/>
  <c r="DE29" i="1"/>
  <c r="DB84" i="1"/>
  <c r="DG28" i="1"/>
  <c r="DF29" i="1"/>
  <c r="DD84" i="1"/>
  <c r="DE84" i="1" s="1"/>
  <c r="DD107" i="1"/>
  <c r="DE107" i="1" s="1"/>
  <c r="DF121" i="1"/>
  <c r="CY34" i="1"/>
  <c r="DD146" i="1"/>
  <c r="DE146" i="1" s="1"/>
  <c r="DE141" i="1"/>
  <c r="DE114" i="1"/>
  <c r="DF114" i="1"/>
  <c r="DF142" i="1"/>
  <c r="DF92" i="1"/>
  <c r="DE92" i="1"/>
  <c r="DC173" i="1"/>
  <c r="DB31" i="1"/>
  <c r="N135" i="13"/>
  <c r="Q126" i="13"/>
  <c r="R126" i="13" s="1"/>
  <c r="CY93" i="1"/>
  <c r="CR107" i="1"/>
  <c r="CS107" i="1" s="1"/>
  <c r="CX107" i="1"/>
  <c r="CY30" i="1"/>
  <c r="CZ30" i="1"/>
  <c r="CY111" i="1"/>
  <c r="CZ111" i="1"/>
  <c r="CR111" i="1"/>
  <c r="CS111" i="1" s="1"/>
  <c r="CQ98" i="1"/>
  <c r="CQ107" i="1"/>
  <c r="CQ125" i="1"/>
  <c r="CQ111" i="1"/>
  <c r="CQ146" i="1"/>
  <c r="CW29" i="1"/>
  <c r="CQ93" i="1"/>
  <c r="CQ176" i="1"/>
  <c r="CB177" i="1"/>
  <c r="CC177" i="1" s="1"/>
  <c r="CH171" i="1"/>
  <c r="CI171" i="1" s="1"/>
  <c r="CK139" i="1"/>
  <c r="CG171" i="1"/>
  <c r="CF177" i="1"/>
  <c r="CG177" i="1" s="1"/>
  <c r="CO126" i="1"/>
  <c r="CN135" i="1"/>
  <c r="CM135" i="1"/>
  <c r="CL139" i="1"/>
  <c r="CJ171" i="1"/>
  <c r="CK171" i="1" s="1"/>
  <c r="BU177" i="1"/>
  <c r="CD171" i="1"/>
  <c r="CE151" i="1"/>
  <c r="AU126" i="13"/>
  <c r="AT135" i="13"/>
  <c r="BJ126" i="13"/>
  <c r="BI135" i="13"/>
  <c r="AC135" i="13"/>
  <c r="AD126" i="13"/>
  <c r="AF135" i="13"/>
  <c r="AG126" i="13"/>
  <c r="BA135" i="13"/>
  <c r="AZ139" i="13"/>
  <c r="AZ151" i="13" s="1"/>
  <c r="AZ171" i="13" s="1"/>
  <c r="AZ177" i="13" s="1"/>
  <c r="BA177" i="13" s="1"/>
  <c r="H151" i="13"/>
  <c r="BF139" i="13"/>
  <c r="BF151" i="13" s="1"/>
  <c r="BF171" i="13" s="1"/>
  <c r="BF177" i="13" s="1"/>
  <c r="BG177" i="13" s="1"/>
  <c r="BG135" i="13"/>
  <c r="P139" i="13"/>
  <c r="G151" i="13"/>
  <c r="AS126" i="13"/>
  <c r="AR135" i="13"/>
  <c r="EE62" i="1" l="1"/>
  <c r="EN62" i="1"/>
  <c r="EE66" i="1"/>
  <c r="EN66" i="1"/>
  <c r="EE64" i="1"/>
  <c r="EN64" i="1"/>
  <c r="ED69" i="1"/>
  <c r="EE69" i="1" s="1"/>
  <c r="EN59" i="1"/>
  <c r="EN128" i="1"/>
  <c r="ED129" i="1"/>
  <c r="EN43" i="1"/>
  <c r="EN41" i="1"/>
  <c r="EN37" i="1"/>
  <c r="EN39" i="1"/>
  <c r="EG46" i="1"/>
  <c r="EL46" i="1"/>
  <c r="DW167" i="1"/>
  <c r="DT22" i="1"/>
  <c r="ED22" i="1" s="1"/>
  <c r="EN22" i="1" s="1"/>
  <c r="DU174" i="1"/>
  <c r="EE174" i="1"/>
  <c r="EC66" i="1"/>
  <c r="DY165" i="1"/>
  <c r="DY167" i="1"/>
  <c r="EC64" i="1"/>
  <c r="DY26" i="1"/>
  <c r="DU24" i="1"/>
  <c r="DU89" i="1"/>
  <c r="DW164" i="1"/>
  <c r="DW163" i="1"/>
  <c r="EC62" i="1"/>
  <c r="EB69" i="1"/>
  <c r="EC69" i="1" s="1"/>
  <c r="DM23" i="1"/>
  <c r="DT26" i="1"/>
  <c r="ED26" i="1" s="1"/>
  <c r="EN26" i="1" s="1"/>
  <c r="DN23" i="1"/>
  <c r="DP23" i="1" s="1"/>
  <c r="DN132" i="1"/>
  <c r="DO132" i="1" s="1"/>
  <c r="DP27" i="1"/>
  <c r="DL109" i="1"/>
  <c r="DM109" i="1" s="1"/>
  <c r="DL131" i="1"/>
  <c r="DM131" i="1" s="1"/>
  <c r="DS26" i="1"/>
  <c r="DL108" i="1"/>
  <c r="DM108" i="1" s="1"/>
  <c r="DL118" i="1"/>
  <c r="DN118" i="1" s="1"/>
  <c r="DO118" i="1" s="1"/>
  <c r="DL113" i="1"/>
  <c r="DM113" i="1" s="1"/>
  <c r="DL120" i="1"/>
  <c r="DN120" i="1" s="1"/>
  <c r="DO120" i="1" s="1"/>
  <c r="DI108" i="1"/>
  <c r="DG101" i="1"/>
  <c r="DG115" i="1"/>
  <c r="DG104" i="1"/>
  <c r="DL119" i="1"/>
  <c r="DN119" i="1" s="1"/>
  <c r="DO119" i="1" s="1"/>
  <c r="DG83" i="1"/>
  <c r="DG124" i="1"/>
  <c r="DG130" i="1"/>
  <c r="DH82" i="1"/>
  <c r="DG102" i="1"/>
  <c r="DG103" i="1"/>
  <c r="DK105" i="1"/>
  <c r="DG99" i="1"/>
  <c r="DG90" i="1"/>
  <c r="DP25" i="1"/>
  <c r="DL105" i="1"/>
  <c r="DG133" i="1"/>
  <c r="DK120" i="1"/>
  <c r="DL100" i="1"/>
  <c r="DM116" i="1"/>
  <c r="DO172" i="1"/>
  <c r="DK109" i="1"/>
  <c r="DG112" i="1"/>
  <c r="DP172" i="1"/>
  <c r="DM172" i="1"/>
  <c r="DG92" i="1"/>
  <c r="DG149" i="1"/>
  <c r="DG143" i="1"/>
  <c r="DK118" i="1"/>
  <c r="DG110" i="1"/>
  <c r="DG106" i="1"/>
  <c r="DK116" i="1"/>
  <c r="DN116" i="1"/>
  <c r="DO116" i="1" s="1"/>
  <c r="DH141" i="1"/>
  <c r="DM28" i="1"/>
  <c r="DL29" i="1"/>
  <c r="DS22" i="1"/>
  <c r="DI119" i="1"/>
  <c r="DI116" i="1"/>
  <c r="DH90" i="1"/>
  <c r="DI90" i="1" s="1"/>
  <c r="DG128" i="1"/>
  <c r="DG141" i="1"/>
  <c r="DF129" i="1"/>
  <c r="DG129" i="1" s="1"/>
  <c r="DB33" i="1"/>
  <c r="DC33" i="1" s="1"/>
  <c r="DH104" i="1"/>
  <c r="DH129" i="1"/>
  <c r="DT129" i="1" s="1"/>
  <c r="DD176" i="1"/>
  <c r="DE176" i="1" s="1"/>
  <c r="DH130" i="1"/>
  <c r="DH112" i="1"/>
  <c r="DH106" i="1"/>
  <c r="DK129" i="1"/>
  <c r="DK128" i="1"/>
  <c r="DK114" i="1"/>
  <c r="DK141" i="1"/>
  <c r="DK143" i="1"/>
  <c r="DF173" i="1"/>
  <c r="DK23" i="1"/>
  <c r="DK108" i="1"/>
  <c r="DE175" i="1"/>
  <c r="DK115" i="1"/>
  <c r="DK90" i="1"/>
  <c r="DK106" i="1"/>
  <c r="DK104" i="1"/>
  <c r="DI105" i="1"/>
  <c r="DI113" i="1"/>
  <c r="DF111" i="1"/>
  <c r="DG111" i="1" s="1"/>
  <c r="DI100" i="1"/>
  <c r="DI118" i="1"/>
  <c r="DI120" i="1"/>
  <c r="DI131" i="1"/>
  <c r="DI109" i="1"/>
  <c r="DH99" i="1"/>
  <c r="DG82" i="1"/>
  <c r="DH110" i="1"/>
  <c r="DA33" i="1"/>
  <c r="DH29" i="1"/>
  <c r="DI29" i="1" s="1"/>
  <c r="DI28" i="1"/>
  <c r="DK130" i="1"/>
  <c r="DI128" i="1"/>
  <c r="DF175" i="1"/>
  <c r="DH97" i="1"/>
  <c r="DG97" i="1"/>
  <c r="DH115" i="1"/>
  <c r="DH101" i="1"/>
  <c r="DH124" i="1"/>
  <c r="DF146" i="1"/>
  <c r="DG146" i="1" s="1"/>
  <c r="DH143" i="1"/>
  <c r="DH133" i="1"/>
  <c r="DH149" i="1"/>
  <c r="DH83" i="1"/>
  <c r="DH102" i="1"/>
  <c r="DH103" i="1"/>
  <c r="DF107" i="1"/>
  <c r="DG107" i="1" s="1"/>
  <c r="DA32" i="1"/>
  <c r="DB32" i="1"/>
  <c r="DC32" i="1" s="1"/>
  <c r="DH31" i="1"/>
  <c r="DT31" i="1" s="1"/>
  <c r="DC31" i="1"/>
  <c r="DG114" i="1"/>
  <c r="DH114" i="1"/>
  <c r="DD126" i="1"/>
  <c r="DE126" i="1" s="1"/>
  <c r="DC84" i="1"/>
  <c r="DB126" i="1"/>
  <c r="DF93" i="1"/>
  <c r="DG93" i="1" s="1"/>
  <c r="DG142" i="1"/>
  <c r="DH142" i="1"/>
  <c r="DG29" i="1"/>
  <c r="DB30" i="1"/>
  <c r="DA34" i="1"/>
  <c r="DH92" i="1"/>
  <c r="DF125" i="1"/>
  <c r="DG125" i="1" s="1"/>
  <c r="DG121" i="1"/>
  <c r="DH121" i="1"/>
  <c r="DF84" i="1"/>
  <c r="DG84" i="1" s="1"/>
  <c r="DH117" i="1"/>
  <c r="DG117" i="1"/>
  <c r="DB34" i="1"/>
  <c r="N139" i="13"/>
  <c r="Q135" i="13"/>
  <c r="R135" i="13" s="1"/>
  <c r="DA30" i="1"/>
  <c r="DA111" i="1"/>
  <c r="CY107" i="1"/>
  <c r="CZ107" i="1"/>
  <c r="CH177" i="1"/>
  <c r="CL151" i="1"/>
  <c r="CM139" i="1"/>
  <c r="CN139" i="1"/>
  <c r="CO135" i="1"/>
  <c r="CJ177" i="1"/>
  <c r="CK177" i="1" s="1"/>
  <c r="CE171" i="1"/>
  <c r="CD177" i="1"/>
  <c r="CE177" i="1" s="1"/>
  <c r="AD135" i="13"/>
  <c r="AC139" i="13"/>
  <c r="AC151" i="13" s="1"/>
  <c r="AC171" i="13" s="1"/>
  <c r="AC177" i="13" s="1"/>
  <c r="AD177" i="13" s="1"/>
  <c r="G171" i="13"/>
  <c r="P151" i="13"/>
  <c r="BI139" i="13"/>
  <c r="BI151" i="13" s="1"/>
  <c r="BI171" i="13" s="1"/>
  <c r="BI177" i="13" s="1"/>
  <c r="BJ177" i="13" s="1"/>
  <c r="BJ135" i="13"/>
  <c r="H171" i="13"/>
  <c r="AF139" i="13"/>
  <c r="AF151" i="13" s="1"/>
  <c r="AF171" i="13" s="1"/>
  <c r="AF177" i="13" s="1"/>
  <c r="AG177" i="13" s="1"/>
  <c r="AG135" i="13"/>
  <c r="AS135" i="13"/>
  <c r="AR139" i="13"/>
  <c r="AR151" i="13" s="1"/>
  <c r="AR171" i="13" s="1"/>
  <c r="AR177" i="13" s="1"/>
  <c r="AS177" i="13" s="1"/>
  <c r="AU135" i="13"/>
  <c r="AT139" i="13"/>
  <c r="AT151" i="13" s="1"/>
  <c r="AT171" i="13" s="1"/>
  <c r="AT177" i="13" s="1"/>
  <c r="AU177" i="13" s="1"/>
  <c r="EN129" i="1" l="1"/>
  <c r="EN69" i="1"/>
  <c r="EN46" i="1"/>
  <c r="DW22" i="1"/>
  <c r="DQ27" i="1"/>
  <c r="DW24" i="1"/>
  <c r="DY24" i="1"/>
  <c r="EA165" i="1"/>
  <c r="EB165" i="1"/>
  <c r="ED165" i="1" s="1"/>
  <c r="DY164" i="1"/>
  <c r="DY163" i="1"/>
  <c r="EE89" i="1"/>
  <c r="DU128" i="1"/>
  <c r="DW26" i="1"/>
  <c r="DU31" i="1"/>
  <c r="DU26" i="1"/>
  <c r="EE26" i="1"/>
  <c r="DM118" i="1"/>
  <c r="DN131" i="1"/>
  <c r="DO131" i="1" s="1"/>
  <c r="DN28" i="1"/>
  <c r="DO28" i="1" s="1"/>
  <c r="DO23" i="1"/>
  <c r="DT97" i="1"/>
  <c r="DP132" i="1"/>
  <c r="DR132" i="1" s="1"/>
  <c r="DU22" i="1"/>
  <c r="DN108" i="1"/>
  <c r="DP108" i="1" s="1"/>
  <c r="DN109" i="1"/>
  <c r="DO109" i="1" s="1"/>
  <c r="DN113" i="1"/>
  <c r="DO113" i="1" s="1"/>
  <c r="DR27" i="1"/>
  <c r="DM120" i="1"/>
  <c r="DL115" i="1"/>
  <c r="DM115" i="1" s="1"/>
  <c r="DL141" i="1"/>
  <c r="DN141" i="1" s="1"/>
  <c r="DP141" i="1" s="1"/>
  <c r="DI82" i="1"/>
  <c r="DL130" i="1"/>
  <c r="DM130" i="1" s="1"/>
  <c r="DL117" i="1"/>
  <c r="DN117" i="1" s="1"/>
  <c r="DO117" i="1" s="1"/>
  <c r="DK31" i="1"/>
  <c r="DL110" i="1"/>
  <c r="DM110" i="1" s="1"/>
  <c r="DJ82" i="1"/>
  <c r="DL124" i="1"/>
  <c r="DN124" i="1" s="1"/>
  <c r="DO124" i="1" s="1"/>
  <c r="DL112" i="1"/>
  <c r="DN112" i="1" s="1"/>
  <c r="DL104" i="1"/>
  <c r="DM104" i="1" s="1"/>
  <c r="DI141" i="1"/>
  <c r="DL106" i="1"/>
  <c r="DN106" i="1" s="1"/>
  <c r="DO106" i="1" s="1"/>
  <c r="DK103" i="1"/>
  <c r="DK133" i="1"/>
  <c r="DK101" i="1"/>
  <c r="DG175" i="1"/>
  <c r="DM100" i="1"/>
  <c r="DN100" i="1"/>
  <c r="DO100" i="1" s="1"/>
  <c r="DK121" i="1"/>
  <c r="DK102" i="1"/>
  <c r="DI106" i="1"/>
  <c r="DL143" i="1"/>
  <c r="DN143" i="1" s="1"/>
  <c r="DO143" i="1" s="1"/>
  <c r="DL133" i="1"/>
  <c r="DM105" i="1"/>
  <c r="DL99" i="1"/>
  <c r="DL103" i="1"/>
  <c r="DL121" i="1"/>
  <c r="DN121" i="1" s="1"/>
  <c r="DO121" i="1" s="1"/>
  <c r="DJ83" i="1"/>
  <c r="DL92" i="1"/>
  <c r="DN92" i="1" s="1"/>
  <c r="DO92" i="1" s="1"/>
  <c r="DQ172" i="1"/>
  <c r="DP116" i="1"/>
  <c r="DQ25" i="1"/>
  <c r="DR25" i="1"/>
  <c r="DL114" i="1"/>
  <c r="DL101" i="1"/>
  <c r="DK117" i="1"/>
  <c r="DH150" i="1"/>
  <c r="DK124" i="1"/>
  <c r="DI104" i="1"/>
  <c r="DL149" i="1"/>
  <c r="DR172" i="1"/>
  <c r="DL142" i="1"/>
  <c r="DL90" i="1"/>
  <c r="DN90" i="1" s="1"/>
  <c r="DN105" i="1"/>
  <c r="DO105" i="1" s="1"/>
  <c r="DL102" i="1"/>
  <c r="DN102" i="1" s="1"/>
  <c r="DO102" i="1" s="1"/>
  <c r="DP119" i="1"/>
  <c r="DM119" i="1"/>
  <c r="DP120" i="1"/>
  <c r="DP118" i="1"/>
  <c r="DQ23" i="1"/>
  <c r="DP28" i="1"/>
  <c r="DR23" i="1"/>
  <c r="DM29" i="1"/>
  <c r="DH33" i="1"/>
  <c r="DT33" i="1" s="1"/>
  <c r="DI112" i="1"/>
  <c r="DH125" i="1"/>
  <c r="DI125" i="1" s="1"/>
  <c r="DH134" i="1"/>
  <c r="DG173" i="1"/>
  <c r="DF176" i="1"/>
  <c r="DG176" i="1" s="1"/>
  <c r="DH173" i="1"/>
  <c r="DK110" i="1"/>
  <c r="DK111" i="1"/>
  <c r="DK99" i="1"/>
  <c r="DK107" i="1"/>
  <c r="DK142" i="1"/>
  <c r="DK146" i="1"/>
  <c r="DK28" i="1"/>
  <c r="DJ29" i="1"/>
  <c r="DK33" i="1"/>
  <c r="DK173" i="1"/>
  <c r="DK149" i="1"/>
  <c r="DK98" i="1"/>
  <c r="DK97" i="1"/>
  <c r="DK112" i="1"/>
  <c r="DK125" i="1"/>
  <c r="DI103" i="1"/>
  <c r="DI129" i="1"/>
  <c r="DH111" i="1"/>
  <c r="DI142" i="1"/>
  <c r="DI102" i="1"/>
  <c r="DI133" i="1"/>
  <c r="DI124" i="1"/>
  <c r="DI114" i="1"/>
  <c r="DI117" i="1"/>
  <c r="DI121" i="1"/>
  <c r="DI143" i="1"/>
  <c r="DI101" i="1"/>
  <c r="DI99" i="1"/>
  <c r="DI31" i="1"/>
  <c r="DI115" i="1"/>
  <c r="DI130" i="1"/>
  <c r="DI110" i="1"/>
  <c r="DK134" i="1"/>
  <c r="DH84" i="1"/>
  <c r="DI84" i="1" s="1"/>
  <c r="DI83" i="1"/>
  <c r="DH93" i="1"/>
  <c r="DI93" i="1" s="1"/>
  <c r="DI92" i="1"/>
  <c r="DH175" i="1"/>
  <c r="DK150" i="1"/>
  <c r="DI149" i="1"/>
  <c r="DH98" i="1"/>
  <c r="DI98" i="1" s="1"/>
  <c r="DI97" i="1"/>
  <c r="DH146" i="1"/>
  <c r="DI146" i="1" s="1"/>
  <c r="DH107" i="1"/>
  <c r="DH32" i="1"/>
  <c r="DT32" i="1" s="1"/>
  <c r="DH34" i="1"/>
  <c r="DT34" i="1" s="1"/>
  <c r="DC34" i="1"/>
  <c r="DH30" i="1"/>
  <c r="DT30" i="1" s="1"/>
  <c r="DC30" i="1"/>
  <c r="DB135" i="1"/>
  <c r="DC126" i="1"/>
  <c r="DD135" i="1"/>
  <c r="DF126" i="1"/>
  <c r="N151" i="13"/>
  <c r="Q139" i="13"/>
  <c r="DA107" i="1"/>
  <c r="CI177" i="1"/>
  <c r="CN151" i="1"/>
  <c r="CO139" i="1"/>
  <c r="CL171" i="1"/>
  <c r="CM151" i="1"/>
  <c r="H177" i="13"/>
  <c r="G177" i="13"/>
  <c r="P177" i="13" s="1"/>
  <c r="P171" i="13"/>
  <c r="EE165" i="1" l="1"/>
  <c r="EN165" i="1"/>
  <c r="DU32" i="1"/>
  <c r="DQ132" i="1"/>
  <c r="EE22" i="1"/>
  <c r="EA24" i="1"/>
  <c r="EA167" i="1"/>
  <c r="EC26" i="1"/>
  <c r="DT23" i="1"/>
  <c r="DQ120" i="1"/>
  <c r="DN115" i="1"/>
  <c r="DO115" i="1" s="1"/>
  <c r="DQ108" i="1"/>
  <c r="DY22" i="1"/>
  <c r="EB31" i="1"/>
  <c r="DW31" i="1"/>
  <c r="EB167" i="1"/>
  <c r="ED167" i="1" s="1"/>
  <c r="EB24" i="1"/>
  <c r="ED24" i="1" s="1"/>
  <c r="DU33" i="1"/>
  <c r="DQ119" i="1"/>
  <c r="DW129" i="1"/>
  <c r="DW128" i="1"/>
  <c r="DU30" i="1"/>
  <c r="DT172" i="1"/>
  <c r="DU172" i="1" s="1"/>
  <c r="EA163" i="1"/>
  <c r="EA164" i="1"/>
  <c r="EB163" i="1"/>
  <c r="ED163" i="1" s="1"/>
  <c r="EC165" i="1"/>
  <c r="EC22" i="1"/>
  <c r="DU34" i="1"/>
  <c r="DQ116" i="1"/>
  <c r="DT27" i="1"/>
  <c r="ED27" i="1" s="1"/>
  <c r="EN27" i="1" s="1"/>
  <c r="DU129" i="1"/>
  <c r="EE129" i="1"/>
  <c r="EA26" i="1"/>
  <c r="EE128" i="1"/>
  <c r="EA22" i="1"/>
  <c r="DP131" i="1"/>
  <c r="DR131" i="1" s="1"/>
  <c r="DN29" i="1"/>
  <c r="DO29" i="1" s="1"/>
  <c r="DU97" i="1"/>
  <c r="DT98" i="1"/>
  <c r="DU98" i="1" s="1"/>
  <c r="DT25" i="1"/>
  <c r="DO108" i="1"/>
  <c r="DP109" i="1"/>
  <c r="DT132" i="1"/>
  <c r="DR108" i="1"/>
  <c r="DS27" i="1"/>
  <c r="DM112" i="1"/>
  <c r="DL82" i="1"/>
  <c r="DM82" i="1" s="1"/>
  <c r="DM106" i="1"/>
  <c r="DP106" i="1"/>
  <c r="DP113" i="1"/>
  <c r="DN110" i="1"/>
  <c r="DO110" i="1" s="1"/>
  <c r="DM141" i="1"/>
  <c r="DK82" i="1"/>
  <c r="DL111" i="1"/>
  <c r="DM111" i="1" s="1"/>
  <c r="DM117" i="1"/>
  <c r="DK34" i="1"/>
  <c r="DK30" i="1"/>
  <c r="DN130" i="1"/>
  <c r="DO130" i="1" s="1"/>
  <c r="DM124" i="1"/>
  <c r="DS132" i="1"/>
  <c r="DK32" i="1"/>
  <c r="DN104" i="1"/>
  <c r="DO104" i="1" s="1"/>
  <c r="DS25" i="1"/>
  <c r="DR116" i="1"/>
  <c r="DP124" i="1"/>
  <c r="DP100" i="1"/>
  <c r="DR119" i="1"/>
  <c r="DI173" i="1"/>
  <c r="DM142" i="1"/>
  <c r="DM149" i="1"/>
  <c r="DM101" i="1"/>
  <c r="DM114" i="1"/>
  <c r="DQ141" i="1"/>
  <c r="DO112" i="1"/>
  <c r="DM103" i="1"/>
  <c r="DP105" i="1"/>
  <c r="DK175" i="1"/>
  <c r="DL134" i="1"/>
  <c r="DN134" i="1" s="1"/>
  <c r="DO134" i="1" s="1"/>
  <c r="DP102" i="1"/>
  <c r="DM102" i="1"/>
  <c r="DO141" i="1"/>
  <c r="DL173" i="1"/>
  <c r="DN173" i="1" s="1"/>
  <c r="DN149" i="1"/>
  <c r="DO149" i="1" s="1"/>
  <c r="DL146" i="1"/>
  <c r="DM146" i="1" s="1"/>
  <c r="DM99" i="1"/>
  <c r="DL107" i="1"/>
  <c r="DM107" i="1" s="1"/>
  <c r="DM133" i="1"/>
  <c r="DN101" i="1"/>
  <c r="DO101" i="1" s="1"/>
  <c r="DN103" i="1"/>
  <c r="DO103" i="1" s="1"/>
  <c r="DP117" i="1"/>
  <c r="DL125" i="1"/>
  <c r="DL150" i="1"/>
  <c r="DN150" i="1" s="1"/>
  <c r="DP92" i="1"/>
  <c r="DM92" i="1"/>
  <c r="DN93" i="1"/>
  <c r="DO93" i="1" s="1"/>
  <c r="DO90" i="1"/>
  <c r="DK83" i="1"/>
  <c r="DP143" i="1"/>
  <c r="DM143" i="1"/>
  <c r="DR120" i="1"/>
  <c r="DP112" i="1"/>
  <c r="DJ84" i="1"/>
  <c r="DK84" i="1" s="1"/>
  <c r="DQ118" i="1"/>
  <c r="DR118" i="1"/>
  <c r="DL93" i="1"/>
  <c r="DM93" i="1" s="1"/>
  <c r="DP90" i="1"/>
  <c r="DM90" i="1"/>
  <c r="DS172" i="1"/>
  <c r="DR141" i="1"/>
  <c r="DN114" i="1"/>
  <c r="DO114" i="1" s="1"/>
  <c r="DP121" i="1"/>
  <c r="DM121" i="1"/>
  <c r="DN99" i="1"/>
  <c r="DL175" i="1"/>
  <c r="DN133" i="1"/>
  <c r="DO133" i="1" s="1"/>
  <c r="DN142" i="1"/>
  <c r="DO142" i="1" s="1"/>
  <c r="DL83" i="1"/>
  <c r="DS23" i="1"/>
  <c r="DR28" i="1"/>
  <c r="DQ28" i="1"/>
  <c r="DP29" i="1"/>
  <c r="DI33" i="1"/>
  <c r="DH176" i="1"/>
  <c r="DK92" i="1"/>
  <c r="DK93" i="1"/>
  <c r="DK29" i="1"/>
  <c r="DI34" i="1"/>
  <c r="DI134" i="1"/>
  <c r="DI32" i="1"/>
  <c r="DI150" i="1"/>
  <c r="DI30" i="1"/>
  <c r="DI107" i="1"/>
  <c r="DI175" i="1"/>
  <c r="DI111" i="1"/>
  <c r="DH126" i="1"/>
  <c r="DD139" i="1"/>
  <c r="DE135" i="1"/>
  <c r="DC135" i="1"/>
  <c r="DB139" i="1"/>
  <c r="DF135" i="1"/>
  <c r="DG126" i="1"/>
  <c r="N171" i="13"/>
  <c r="Q151" i="13"/>
  <c r="CN171" i="1"/>
  <c r="CO151" i="1"/>
  <c r="CL177" i="1"/>
  <c r="CM171" i="1"/>
  <c r="B23" i="12"/>
  <c r="D21" i="12"/>
  <c r="C21" i="12"/>
  <c r="B20" i="12"/>
  <c r="B21" i="12" s="1"/>
  <c r="D19" i="12"/>
  <c r="C19" i="12"/>
  <c r="B18" i="12"/>
  <c r="B19" i="12" s="1"/>
  <c r="C16" i="12"/>
  <c r="B16" i="12" s="1"/>
  <c r="D15" i="12"/>
  <c r="C15" i="12"/>
  <c r="D14" i="12"/>
  <c r="C14" i="12"/>
  <c r="C13" i="12"/>
  <c r="B13" i="12" s="1"/>
  <c r="B12" i="12"/>
  <c r="D11" i="12"/>
  <c r="C11" i="12"/>
  <c r="B10" i="12"/>
  <c r="B9" i="12"/>
  <c r="B8" i="12"/>
  <c r="D7" i="12"/>
  <c r="C7" i="12"/>
  <c r="B6" i="12"/>
  <c r="B5" i="12"/>
  <c r="B4" i="12"/>
  <c r="B3" i="12"/>
  <c r="DU27" i="1" l="1"/>
  <c r="EE167" i="1"/>
  <c r="EN167" i="1"/>
  <c r="EE163" i="1"/>
  <c r="EN163" i="1"/>
  <c r="EE24" i="1"/>
  <c r="EN24" i="1"/>
  <c r="EE31" i="1"/>
  <c r="DW132" i="1"/>
  <c r="DQ143" i="1"/>
  <c r="DQ102" i="1"/>
  <c r="EC31" i="1"/>
  <c r="DW32" i="1"/>
  <c r="EB32" i="1"/>
  <c r="DQ100" i="1"/>
  <c r="DQ113" i="1"/>
  <c r="DX129" i="1"/>
  <c r="DY129" i="1" s="1"/>
  <c r="DY128" i="1"/>
  <c r="EB30" i="1"/>
  <c r="DW30" i="1"/>
  <c r="DQ106" i="1"/>
  <c r="DW34" i="1"/>
  <c r="EB34" i="1"/>
  <c r="EC163" i="1"/>
  <c r="EB33" i="1"/>
  <c r="DW33" i="1"/>
  <c r="EC167" i="1"/>
  <c r="DW98" i="1"/>
  <c r="EB97" i="1"/>
  <c r="ED97" i="1" s="1"/>
  <c r="EE97" i="1" s="1"/>
  <c r="DW97" i="1"/>
  <c r="DT108" i="1"/>
  <c r="DU132" i="1"/>
  <c r="DQ131" i="1"/>
  <c r="EC128" i="1"/>
  <c r="DT141" i="1"/>
  <c r="DQ92" i="1"/>
  <c r="DQ109" i="1"/>
  <c r="EC24" i="1"/>
  <c r="DQ121" i="1"/>
  <c r="DP115" i="1"/>
  <c r="DR115" i="1" s="1"/>
  <c r="DQ105" i="1"/>
  <c r="DQ124" i="1"/>
  <c r="DU25" i="1"/>
  <c r="EE27" i="1"/>
  <c r="DY132" i="1"/>
  <c r="DR109" i="1"/>
  <c r="DS109" i="1" s="1"/>
  <c r="DR106" i="1"/>
  <c r="DT118" i="1"/>
  <c r="DT131" i="1"/>
  <c r="ED131" i="1" s="1"/>
  <c r="EN131" i="1" s="1"/>
  <c r="DS108" i="1"/>
  <c r="DT119" i="1"/>
  <c r="DT116" i="1"/>
  <c r="DT120" i="1"/>
  <c r="DN82" i="1"/>
  <c r="DP82" i="1" s="1"/>
  <c r="DL84" i="1"/>
  <c r="DL126" i="1" s="1"/>
  <c r="DU23" i="1"/>
  <c r="DT28" i="1"/>
  <c r="DO150" i="1"/>
  <c r="DP110" i="1"/>
  <c r="DN111" i="1"/>
  <c r="DO111" i="1" s="1"/>
  <c r="DR124" i="1"/>
  <c r="DP104" i="1"/>
  <c r="DR113" i="1"/>
  <c r="DP130" i="1"/>
  <c r="DS119" i="1"/>
  <c r="DS116" i="1"/>
  <c r="DS118" i="1"/>
  <c r="DN125" i="1"/>
  <c r="DO125" i="1" s="1"/>
  <c r="DS120" i="1"/>
  <c r="DS131" i="1"/>
  <c r="DR100" i="1"/>
  <c r="DR102" i="1"/>
  <c r="DR121" i="1"/>
  <c r="DP142" i="1"/>
  <c r="DR143" i="1"/>
  <c r="DJ126" i="1"/>
  <c r="DJ135" i="1" s="1"/>
  <c r="DR92" i="1"/>
  <c r="DP103" i="1"/>
  <c r="DM125" i="1"/>
  <c r="DO173" i="1"/>
  <c r="DS141" i="1"/>
  <c r="DQ112" i="1"/>
  <c r="DQ117" i="1"/>
  <c r="DR117" i="1"/>
  <c r="DP101" i="1"/>
  <c r="DN146" i="1"/>
  <c r="DO146" i="1" s="1"/>
  <c r="DM134" i="1"/>
  <c r="DP134" i="1"/>
  <c r="DP114" i="1"/>
  <c r="DR112" i="1"/>
  <c r="DO99" i="1"/>
  <c r="DN107" i="1"/>
  <c r="DO107" i="1" s="1"/>
  <c r="DP93" i="1"/>
  <c r="DQ93" i="1" s="1"/>
  <c r="DQ90" i="1"/>
  <c r="DP99" i="1"/>
  <c r="DP149" i="1"/>
  <c r="DM83" i="1"/>
  <c r="DM175" i="1"/>
  <c r="DR105" i="1"/>
  <c r="DR90" i="1"/>
  <c r="DM150" i="1"/>
  <c r="DP150" i="1"/>
  <c r="DP133" i="1"/>
  <c r="DP173" i="1"/>
  <c r="DM173" i="1"/>
  <c r="DL176" i="1"/>
  <c r="DM176" i="1" s="1"/>
  <c r="DN175" i="1"/>
  <c r="DO175" i="1" s="1"/>
  <c r="DN83" i="1"/>
  <c r="DS28" i="1"/>
  <c r="DR29" i="1"/>
  <c r="DQ29" i="1"/>
  <c r="DI176" i="1"/>
  <c r="DH135" i="1"/>
  <c r="DI126" i="1"/>
  <c r="DG135" i="1"/>
  <c r="DF139" i="1"/>
  <c r="DD151" i="1"/>
  <c r="DE139" i="1"/>
  <c r="DC139" i="1"/>
  <c r="DB151" i="1"/>
  <c r="B15" i="12"/>
  <c r="B14" i="12"/>
  <c r="B7" i="12"/>
  <c r="B11" i="12"/>
  <c r="C17" i="12"/>
  <c r="C24" i="12" s="1"/>
  <c r="N177" i="13"/>
  <c r="Q177" i="13" s="1"/>
  <c r="R177" i="13" s="1"/>
  <c r="Q171" i="13"/>
  <c r="CN177" i="1"/>
  <c r="CO171" i="1"/>
  <c r="CM177" i="1"/>
  <c r="CL178" i="1"/>
  <c r="D17" i="12"/>
  <c r="D24" i="12" s="1"/>
  <c r="B17" i="12" l="1"/>
  <c r="B24" i="12" s="1"/>
  <c r="ED98" i="1"/>
  <c r="EE98" i="1" s="1"/>
  <c r="EN97" i="1"/>
  <c r="EE32" i="1"/>
  <c r="EE33" i="1"/>
  <c r="EE34" i="1"/>
  <c r="EL31" i="1"/>
  <c r="EG31" i="1"/>
  <c r="DW119" i="1"/>
  <c r="DY108" i="1"/>
  <c r="DR173" i="1"/>
  <c r="DQ149" i="1"/>
  <c r="DP125" i="1"/>
  <c r="DQ125" i="1" s="1"/>
  <c r="DT124" i="1"/>
  <c r="DU124" i="1" s="1"/>
  <c r="DS106" i="1"/>
  <c r="EC97" i="1"/>
  <c r="EB98" i="1"/>
  <c r="EC98" i="1" s="1"/>
  <c r="EC30" i="1"/>
  <c r="DQ130" i="1"/>
  <c r="EC129" i="1"/>
  <c r="DY119" i="1"/>
  <c r="DQ150" i="1"/>
  <c r="DP111" i="1"/>
  <c r="DQ111" i="1" s="1"/>
  <c r="DU120" i="1"/>
  <c r="DU131" i="1"/>
  <c r="EE131" i="1"/>
  <c r="DW172" i="1"/>
  <c r="EC33" i="1"/>
  <c r="DT90" i="1"/>
  <c r="ED90" i="1" s="1"/>
  <c r="EN90" i="1" s="1"/>
  <c r="DQ101" i="1"/>
  <c r="DU119" i="1"/>
  <c r="DW23" i="1"/>
  <c r="DV28" i="1"/>
  <c r="DW116" i="1"/>
  <c r="DY116" i="1"/>
  <c r="DQ133" i="1"/>
  <c r="DQ134" i="1"/>
  <c r="DQ82" i="1"/>
  <c r="DT109" i="1"/>
  <c r="DW25" i="1"/>
  <c r="DY25" i="1"/>
  <c r="DQ115" i="1"/>
  <c r="DW131" i="1"/>
  <c r="EC34" i="1"/>
  <c r="DT112" i="1"/>
  <c r="DQ103" i="1"/>
  <c r="DQ142" i="1"/>
  <c r="DQ104" i="1"/>
  <c r="DU116" i="1"/>
  <c r="DU118" i="1"/>
  <c r="DW108" i="1"/>
  <c r="EB108" i="1"/>
  <c r="ED108" i="1" s="1"/>
  <c r="EN108" i="1" s="1"/>
  <c r="DW27" i="1"/>
  <c r="EC32" i="1"/>
  <c r="DY131" i="1"/>
  <c r="DT106" i="1"/>
  <c r="DR82" i="1"/>
  <c r="DS82" i="1" s="1"/>
  <c r="DS113" i="1"/>
  <c r="DO82" i="1"/>
  <c r="DQ110" i="1"/>
  <c r="DR110" i="1"/>
  <c r="DT92" i="1"/>
  <c r="ED92" i="1" s="1"/>
  <c r="EN92" i="1" s="1"/>
  <c r="DT113" i="1"/>
  <c r="DM84" i="1"/>
  <c r="DT102" i="1"/>
  <c r="DT115" i="1"/>
  <c r="DT121" i="1"/>
  <c r="DR101" i="1"/>
  <c r="DT105" i="1"/>
  <c r="ED105" i="1" s="1"/>
  <c r="EN105" i="1" s="1"/>
  <c r="DT117" i="1"/>
  <c r="DT143" i="1"/>
  <c r="DT100" i="1"/>
  <c r="DU108" i="1"/>
  <c r="DU28" i="1"/>
  <c r="DT29" i="1"/>
  <c r="DU141" i="1"/>
  <c r="DS124" i="1"/>
  <c r="DR104" i="1"/>
  <c r="DR130" i="1"/>
  <c r="DK126" i="1"/>
  <c r="DS115" i="1"/>
  <c r="DS102" i="1"/>
  <c r="DS117" i="1"/>
  <c r="DS143" i="1"/>
  <c r="DS100" i="1"/>
  <c r="DS105" i="1"/>
  <c r="DS92" i="1"/>
  <c r="DS121" i="1"/>
  <c r="DP146" i="1"/>
  <c r="DQ146" i="1" s="1"/>
  <c r="DR142" i="1"/>
  <c r="DR103" i="1"/>
  <c r="DR149" i="1"/>
  <c r="DS90" i="1"/>
  <c r="DR93" i="1"/>
  <c r="DS93" i="1" s="1"/>
  <c r="DL135" i="1"/>
  <c r="DM126" i="1"/>
  <c r="DO83" i="1"/>
  <c r="DN84" i="1"/>
  <c r="DQ114" i="1"/>
  <c r="DR114" i="1"/>
  <c r="DQ173" i="1"/>
  <c r="DQ99" i="1"/>
  <c r="DP107" i="1"/>
  <c r="DQ107" i="1" s="1"/>
  <c r="DN176" i="1"/>
  <c r="DO176" i="1" s="1"/>
  <c r="DR99" i="1"/>
  <c r="DP83" i="1"/>
  <c r="DP175" i="1"/>
  <c r="DR133" i="1"/>
  <c r="DS112" i="1"/>
  <c r="DS29" i="1"/>
  <c r="DJ139" i="1"/>
  <c r="DJ151" i="1" s="1"/>
  <c r="DJ171" i="1" s="1"/>
  <c r="DJ177" i="1" s="1"/>
  <c r="DH139" i="1"/>
  <c r="DI135" i="1"/>
  <c r="DB171" i="1"/>
  <c r="DC151" i="1"/>
  <c r="DE151" i="1"/>
  <c r="DD171" i="1"/>
  <c r="DG139" i="1"/>
  <c r="DF151" i="1"/>
  <c r="CN178" i="1"/>
  <c r="CO177" i="1"/>
  <c r="BK170" i="1"/>
  <c r="EZ76" i="11"/>
  <c r="EV76" i="11"/>
  <c r="ER76" i="11"/>
  <c r="ER75" i="11" s="1"/>
  <c r="EN76" i="11"/>
  <c r="EN75" i="11" s="1"/>
  <c r="EI76" i="11"/>
  <c r="EE76" i="11"/>
  <c r="EA76" i="11"/>
  <c r="DW76" i="11"/>
  <c r="DR76" i="11"/>
  <c r="DN76" i="11"/>
  <c r="DN75" i="11" s="1"/>
  <c r="DJ76" i="11"/>
  <c r="DJ75" i="11" s="1"/>
  <c r="DF76" i="11"/>
  <c r="DF75" i="11" s="1"/>
  <c r="DA76" i="11"/>
  <c r="DA75" i="11" s="1"/>
  <c r="CW76" i="11"/>
  <c r="CW75" i="11" s="1"/>
  <c r="CS76" i="11"/>
  <c r="CS75" i="11" s="1"/>
  <c r="CO76" i="11"/>
  <c r="CO75" i="11" s="1"/>
  <c r="CJ76" i="11"/>
  <c r="CF76" i="11"/>
  <c r="CB76" i="11"/>
  <c r="BX76" i="11"/>
  <c r="BS76" i="11"/>
  <c r="BO76" i="11"/>
  <c r="BK76" i="11"/>
  <c r="BG76" i="11"/>
  <c r="BB76" i="11"/>
  <c r="AX76" i="11"/>
  <c r="AT76" i="11"/>
  <c r="AP76" i="11"/>
  <c r="AK76" i="11"/>
  <c r="AG76" i="11"/>
  <c r="AC76" i="11"/>
  <c r="Y76" i="11"/>
  <c r="T76" i="11"/>
  <c r="P76" i="11"/>
  <c r="L76" i="11"/>
  <c r="H76" i="11"/>
  <c r="EY75" i="11"/>
  <c r="EX75" i="11"/>
  <c r="EW75" i="11"/>
  <c r="EU75" i="11"/>
  <c r="ET75" i="11"/>
  <c r="ES75" i="11"/>
  <c r="EQ75" i="11"/>
  <c r="EP75" i="11"/>
  <c r="EO75" i="11"/>
  <c r="EM75" i="11"/>
  <c r="EL75" i="11"/>
  <c r="EK75" i="11"/>
  <c r="EH75" i="11"/>
  <c r="EG75" i="11"/>
  <c r="EF75" i="11"/>
  <c r="ED75" i="11"/>
  <c r="EC75" i="11"/>
  <c r="EB75" i="11"/>
  <c r="DZ75" i="11"/>
  <c r="DY75" i="11"/>
  <c r="DX75" i="11"/>
  <c r="DV75" i="11"/>
  <c r="DU75" i="11"/>
  <c r="DT75" i="11"/>
  <c r="DQ75" i="11"/>
  <c r="DP75" i="11"/>
  <c r="DO75" i="11"/>
  <c r="DM75" i="11"/>
  <c r="DL75" i="11"/>
  <c r="DK75" i="11"/>
  <c r="DI75" i="11"/>
  <c r="DH75" i="11"/>
  <c r="DG75" i="11"/>
  <c r="DE75" i="11"/>
  <c r="DD75" i="11"/>
  <c r="DC75" i="11"/>
  <c r="CZ75" i="11"/>
  <c r="CY75" i="11"/>
  <c r="CX75" i="11"/>
  <c r="CV75" i="11"/>
  <c r="CU75" i="11"/>
  <c r="CT75" i="11"/>
  <c r="CR75" i="11"/>
  <c r="CQ75" i="11"/>
  <c r="CP75" i="11"/>
  <c r="CN75" i="11"/>
  <c r="CM75" i="11"/>
  <c r="CL75" i="11"/>
  <c r="CI75" i="11"/>
  <c r="CH75" i="11"/>
  <c r="CG75" i="11"/>
  <c r="CE75" i="11"/>
  <c r="CD75" i="11"/>
  <c r="CC75" i="11"/>
  <c r="CA75" i="11"/>
  <c r="BZ75" i="11"/>
  <c r="BY75" i="11"/>
  <c r="BW75" i="11"/>
  <c r="BV75" i="11"/>
  <c r="BU75" i="11"/>
  <c r="BR75" i="11"/>
  <c r="BQ75" i="11"/>
  <c r="BP75" i="11"/>
  <c r="BN75" i="11"/>
  <c r="BM75" i="11"/>
  <c r="BL75" i="11"/>
  <c r="BJ75" i="11"/>
  <c r="BI75" i="11"/>
  <c r="BH75" i="11"/>
  <c r="BF75" i="11"/>
  <c r="BE75" i="11"/>
  <c r="BD75" i="11"/>
  <c r="BA75" i="11"/>
  <c r="AZ75" i="11"/>
  <c r="AY75" i="11"/>
  <c r="AW75" i="11"/>
  <c r="AV75" i="11"/>
  <c r="AU75" i="11"/>
  <c r="AS75" i="11"/>
  <c r="AR75" i="11"/>
  <c r="AQ75" i="11"/>
  <c r="AO75" i="11"/>
  <c r="AN75" i="11"/>
  <c r="AM75" i="11"/>
  <c r="AJ75" i="11"/>
  <c r="AI75" i="11"/>
  <c r="AH75" i="11"/>
  <c r="AF75" i="11"/>
  <c r="AE75" i="11"/>
  <c r="AD75" i="11"/>
  <c r="AB75" i="11"/>
  <c r="AA75" i="11"/>
  <c r="Z75" i="11"/>
  <c r="X75" i="11"/>
  <c r="W75" i="11"/>
  <c r="V75" i="11"/>
  <c r="S75" i="11"/>
  <c r="R75" i="11"/>
  <c r="Q75" i="11"/>
  <c r="O75" i="11"/>
  <c r="N75" i="11"/>
  <c r="M75" i="11"/>
  <c r="K75" i="11"/>
  <c r="J75" i="11"/>
  <c r="I75" i="11"/>
  <c r="G75" i="11"/>
  <c r="F75" i="11"/>
  <c r="E75" i="11"/>
  <c r="EZ74" i="11"/>
  <c r="EV74" i="11"/>
  <c r="ER74" i="11"/>
  <c r="EN74" i="11"/>
  <c r="EI74" i="11"/>
  <c r="EE74" i="11"/>
  <c r="EA74" i="11"/>
  <c r="DW74" i="11"/>
  <c r="DR74" i="11"/>
  <c r="DN74" i="11"/>
  <c r="DJ74" i="11"/>
  <c r="DF74" i="11"/>
  <c r="DA74" i="11"/>
  <c r="CW74" i="11"/>
  <c r="CS74" i="11"/>
  <c r="CO74" i="11"/>
  <c r="CJ74" i="11"/>
  <c r="CF74" i="11"/>
  <c r="CB74" i="11"/>
  <c r="BX74" i="11"/>
  <c r="BS74" i="11"/>
  <c r="BO74" i="11"/>
  <c r="BK74" i="11"/>
  <c r="BG74" i="11"/>
  <c r="BB74" i="11"/>
  <c r="AX74" i="11"/>
  <c r="AT74" i="11"/>
  <c r="AP74" i="11"/>
  <c r="AK74" i="11"/>
  <c r="AG74" i="11"/>
  <c r="AC74" i="11"/>
  <c r="Y74" i="11"/>
  <c r="T74" i="11"/>
  <c r="P74" i="11"/>
  <c r="L74" i="11"/>
  <c r="H74" i="11"/>
  <c r="EZ73" i="11"/>
  <c r="EV73" i="11"/>
  <c r="ER73" i="11"/>
  <c r="EN73" i="11"/>
  <c r="EI73" i="11"/>
  <c r="EE73" i="11"/>
  <c r="EA73" i="11"/>
  <c r="DW73" i="11"/>
  <c r="DR73" i="11"/>
  <c r="DN73" i="11"/>
  <c r="DJ73" i="11"/>
  <c r="DF73" i="11"/>
  <c r="DA73" i="11"/>
  <c r="CW73" i="11"/>
  <c r="CS73" i="11"/>
  <c r="CO73" i="11"/>
  <c r="CJ73" i="11"/>
  <c r="CF73" i="11"/>
  <c r="CB73" i="11"/>
  <c r="BX73" i="11"/>
  <c r="BS73" i="11"/>
  <c r="BO73" i="11"/>
  <c r="BK73" i="11"/>
  <c r="BG73" i="11"/>
  <c r="BB73" i="11"/>
  <c r="AX73" i="11"/>
  <c r="AT73" i="11"/>
  <c r="AP73" i="11"/>
  <c r="AK73" i="11"/>
  <c r="AG73" i="11"/>
  <c r="AC73" i="11"/>
  <c r="Y73" i="11"/>
  <c r="T73" i="11"/>
  <c r="P73" i="11"/>
  <c r="L73" i="11"/>
  <c r="H73" i="11"/>
  <c r="EZ72" i="11"/>
  <c r="EV72" i="11"/>
  <c r="ER72" i="11"/>
  <c r="EN72" i="11"/>
  <c r="EI72" i="11"/>
  <c r="EE72" i="11"/>
  <c r="EA72" i="11"/>
  <c r="DW72" i="11"/>
  <c r="DR72" i="11"/>
  <c r="DN72" i="11"/>
  <c r="DJ72" i="11"/>
  <c r="DF72" i="11"/>
  <c r="DA72" i="11"/>
  <c r="CW72" i="11"/>
  <c r="CS72" i="11"/>
  <c r="CO72" i="11"/>
  <c r="CJ72" i="11"/>
  <c r="CF72" i="11"/>
  <c r="CB72" i="11"/>
  <c r="BX72" i="11"/>
  <c r="BS72" i="11"/>
  <c r="BO72" i="11"/>
  <c r="BK72" i="11"/>
  <c r="BG72" i="11"/>
  <c r="BB72" i="11"/>
  <c r="AX72" i="11"/>
  <c r="AT72" i="11"/>
  <c r="AP72" i="11"/>
  <c r="AK72" i="11"/>
  <c r="AG72" i="11"/>
  <c r="AC72" i="11"/>
  <c r="Y72" i="11"/>
  <c r="T72" i="11"/>
  <c r="P72" i="11"/>
  <c r="L72" i="11"/>
  <c r="H72" i="11"/>
  <c r="EZ71" i="11"/>
  <c r="EV71" i="11"/>
  <c r="ER71" i="11"/>
  <c r="EN71" i="11"/>
  <c r="EI71" i="11"/>
  <c r="EE71" i="11"/>
  <c r="EA71" i="11"/>
  <c r="DW71" i="11"/>
  <c r="DR71" i="11"/>
  <c r="DN71" i="11"/>
  <c r="DJ71" i="11"/>
  <c r="DF71" i="11"/>
  <c r="DA71" i="11"/>
  <c r="CW71" i="11"/>
  <c r="CS71" i="11"/>
  <c r="CO71" i="11"/>
  <c r="CJ71" i="11"/>
  <c r="CF71" i="11"/>
  <c r="CB71" i="11"/>
  <c r="BX71" i="11"/>
  <c r="BS71" i="11"/>
  <c r="BO71" i="11"/>
  <c r="BK71" i="11"/>
  <c r="BG71" i="11"/>
  <c r="BB71" i="11"/>
  <c r="AX71" i="11"/>
  <c r="AT71" i="11"/>
  <c r="AP71" i="11"/>
  <c r="AK71" i="11"/>
  <c r="AG71" i="11"/>
  <c r="AC71" i="11"/>
  <c r="Y71" i="11"/>
  <c r="T71" i="11"/>
  <c r="P71" i="11"/>
  <c r="L71" i="11"/>
  <c r="H71" i="11"/>
  <c r="EZ70" i="11"/>
  <c r="EV70" i="11"/>
  <c r="ER70" i="11"/>
  <c r="EN70" i="11"/>
  <c r="EI70" i="11"/>
  <c r="EE70" i="11"/>
  <c r="EA70" i="11"/>
  <c r="DW70" i="11"/>
  <c r="DR70" i="11"/>
  <c r="DN70" i="11"/>
  <c r="DJ70" i="11"/>
  <c r="DF70" i="11"/>
  <c r="DA70" i="11"/>
  <c r="CW70" i="11"/>
  <c r="CS70" i="11"/>
  <c r="CO70" i="11"/>
  <c r="CJ70" i="11"/>
  <c r="CF70" i="11"/>
  <c r="CB70" i="11"/>
  <c r="BX70" i="11"/>
  <c r="BS70" i="11"/>
  <c r="BO70" i="11"/>
  <c r="BK70" i="11"/>
  <c r="BG70" i="11"/>
  <c r="BB70" i="11"/>
  <c r="AX70" i="11"/>
  <c r="AT70" i="11"/>
  <c r="AP70" i="11"/>
  <c r="AK70" i="11"/>
  <c r="AG70" i="11"/>
  <c r="AC70" i="11"/>
  <c r="Y70" i="11"/>
  <c r="T70" i="11"/>
  <c r="P70" i="11"/>
  <c r="L70" i="11"/>
  <c r="H70" i="11"/>
  <c r="EZ69" i="11"/>
  <c r="EV69" i="11"/>
  <c r="ER69" i="11"/>
  <c r="EN69" i="11"/>
  <c r="EI69" i="11"/>
  <c r="EE69" i="11"/>
  <c r="EA69" i="11"/>
  <c r="DW69" i="11"/>
  <c r="DR69" i="11"/>
  <c r="DN69" i="11"/>
  <c r="DJ69" i="11"/>
  <c r="DF69" i="11"/>
  <c r="DA69" i="11"/>
  <c r="CW69" i="11"/>
  <c r="CS69" i="11"/>
  <c r="CO69" i="11"/>
  <c r="CJ69" i="11"/>
  <c r="CF69" i="11"/>
  <c r="CB69" i="11"/>
  <c r="BX69" i="11"/>
  <c r="BS69" i="11"/>
  <c r="BO69" i="11"/>
  <c r="BK69" i="11"/>
  <c r="BG69" i="11"/>
  <c r="BB69" i="11"/>
  <c r="AX69" i="11"/>
  <c r="AT69" i="11"/>
  <c r="AP69" i="11"/>
  <c r="AK69" i="11"/>
  <c r="AG69" i="11"/>
  <c r="AC69" i="11"/>
  <c r="Y69" i="11"/>
  <c r="T69" i="11"/>
  <c r="P69" i="11"/>
  <c r="L69" i="11"/>
  <c r="H69" i="11"/>
  <c r="EZ68" i="11"/>
  <c r="EV68" i="11"/>
  <c r="ER68" i="11"/>
  <c r="EN68" i="11"/>
  <c r="EI68" i="11"/>
  <c r="EE68" i="11"/>
  <c r="EA68" i="11"/>
  <c r="DW68" i="11"/>
  <c r="DR68" i="11"/>
  <c r="DN68" i="11"/>
  <c r="DJ68" i="11"/>
  <c r="DF68" i="11"/>
  <c r="DA68" i="11"/>
  <c r="CW68" i="11"/>
  <c r="CS68" i="11"/>
  <c r="CO68" i="11"/>
  <c r="CJ68" i="11"/>
  <c r="CF68" i="11"/>
  <c r="CB68" i="11"/>
  <c r="BX68" i="11"/>
  <c r="BS68" i="11"/>
  <c r="BO68" i="11"/>
  <c r="BK68" i="11"/>
  <c r="BG68" i="11"/>
  <c r="BB68" i="11"/>
  <c r="AX68" i="11"/>
  <c r="AT68" i="11"/>
  <c r="AP68" i="11"/>
  <c r="AK68" i="11"/>
  <c r="AG68" i="11"/>
  <c r="AC68" i="11"/>
  <c r="Y68" i="11"/>
  <c r="T68" i="11"/>
  <c r="P68" i="11"/>
  <c r="L68" i="11"/>
  <c r="H68" i="11"/>
  <c r="EZ67" i="11"/>
  <c r="EV67" i="11"/>
  <c r="ER67" i="11"/>
  <c r="EN67" i="11"/>
  <c r="EI67" i="11"/>
  <c r="EE67" i="11"/>
  <c r="EA67" i="11"/>
  <c r="DW67" i="11"/>
  <c r="DR67" i="11"/>
  <c r="DN67" i="11"/>
  <c r="DJ67" i="11"/>
  <c r="DF67" i="11"/>
  <c r="DA67" i="11"/>
  <c r="CW67" i="11"/>
  <c r="CS67" i="11"/>
  <c r="CO67" i="11"/>
  <c r="CJ67" i="11"/>
  <c r="CF67" i="11"/>
  <c r="CB67" i="11"/>
  <c r="BX67" i="11"/>
  <c r="BS67" i="11"/>
  <c r="BO67" i="11"/>
  <c r="BK67" i="11"/>
  <c r="BG67" i="11"/>
  <c r="BB67" i="11"/>
  <c r="AX67" i="11"/>
  <c r="AT67" i="11"/>
  <c r="AP67" i="11"/>
  <c r="AK67" i="11"/>
  <c r="AG67" i="11"/>
  <c r="AC67" i="11"/>
  <c r="Y67" i="11"/>
  <c r="T67" i="11"/>
  <c r="P67" i="11"/>
  <c r="L67" i="11"/>
  <c r="H67" i="11"/>
  <c r="EZ66" i="11"/>
  <c r="EV66" i="11"/>
  <c r="ER66" i="11"/>
  <c r="EN66" i="11"/>
  <c r="EI66" i="11"/>
  <c r="EE66" i="11"/>
  <c r="EA66" i="11"/>
  <c r="DW66" i="11"/>
  <c r="DR66" i="11"/>
  <c r="DN66" i="11"/>
  <c r="DJ66" i="11"/>
  <c r="DF66" i="11"/>
  <c r="DA66" i="11"/>
  <c r="CW66" i="11"/>
  <c r="CS66" i="11"/>
  <c r="CO66" i="11"/>
  <c r="CJ66" i="11"/>
  <c r="CF66" i="11"/>
  <c r="CB66" i="11"/>
  <c r="BX66" i="11"/>
  <c r="BS66" i="11"/>
  <c r="BO66" i="11"/>
  <c r="BK66" i="11"/>
  <c r="BG66" i="11"/>
  <c r="BB66" i="11"/>
  <c r="AX66" i="11"/>
  <c r="AT66" i="11"/>
  <c r="AP66" i="11"/>
  <c r="AK66" i="11"/>
  <c r="AG66" i="11"/>
  <c r="AC66" i="11"/>
  <c r="Y66" i="11"/>
  <c r="T66" i="11"/>
  <c r="P66" i="11"/>
  <c r="L66" i="11"/>
  <c r="H66" i="11"/>
  <c r="EZ65" i="11"/>
  <c r="EV65" i="11"/>
  <c r="ER65" i="11"/>
  <c r="EN65" i="11"/>
  <c r="EI65" i="11"/>
  <c r="EE65" i="11"/>
  <c r="EA65" i="11"/>
  <c r="DW65" i="11"/>
  <c r="DR65" i="11"/>
  <c r="DN65" i="11"/>
  <c r="DJ65" i="11"/>
  <c r="DF65" i="11"/>
  <c r="DA65" i="11"/>
  <c r="CW65" i="11"/>
  <c r="CS65" i="11"/>
  <c r="CO65" i="11"/>
  <c r="CJ65" i="11"/>
  <c r="CF65" i="11"/>
  <c r="CB65" i="11"/>
  <c r="BX65" i="11"/>
  <c r="BS65" i="11"/>
  <c r="BO65" i="11"/>
  <c r="BK65" i="11"/>
  <c r="BG65" i="11"/>
  <c r="BB65" i="11"/>
  <c r="AX65" i="11"/>
  <c r="AT65" i="11"/>
  <c r="AP65" i="11"/>
  <c r="AK65" i="11"/>
  <c r="AG65" i="11"/>
  <c r="AC65" i="11"/>
  <c r="Y65" i="11"/>
  <c r="T65" i="11"/>
  <c r="P65" i="11"/>
  <c r="L65" i="11"/>
  <c r="H65" i="11"/>
  <c r="EY64" i="11"/>
  <c r="EX64" i="11"/>
  <c r="EW64" i="11"/>
  <c r="EU64" i="11"/>
  <c r="ET64" i="11"/>
  <c r="ES64" i="11"/>
  <c r="EQ64" i="11"/>
  <c r="EP64" i="11"/>
  <c r="EO64" i="11"/>
  <c r="EM64" i="11"/>
  <c r="EL64" i="11"/>
  <c r="EK64" i="11"/>
  <c r="EH64" i="11"/>
  <c r="EG64" i="11"/>
  <c r="EF64" i="11"/>
  <c r="ED64" i="11"/>
  <c r="EC64" i="11"/>
  <c r="EB64" i="11"/>
  <c r="DZ64" i="11"/>
  <c r="DY64" i="11"/>
  <c r="DX64" i="11"/>
  <c r="DV64" i="11"/>
  <c r="DU64" i="11"/>
  <c r="DT64" i="11"/>
  <c r="DQ64" i="11"/>
  <c r="DP64" i="11"/>
  <c r="DO64" i="11"/>
  <c r="DM64" i="11"/>
  <c r="DL64" i="11"/>
  <c r="DK64" i="11"/>
  <c r="DI64" i="11"/>
  <c r="DH64" i="11"/>
  <c r="DG64" i="11"/>
  <c r="DE64" i="11"/>
  <c r="DD64" i="11"/>
  <c r="DC64" i="11"/>
  <c r="CZ64" i="11"/>
  <c r="CY64" i="11"/>
  <c r="CX64" i="11"/>
  <c r="CV64" i="11"/>
  <c r="CU64" i="11"/>
  <c r="CT64" i="11"/>
  <c r="CR64" i="11"/>
  <c r="CQ64" i="11"/>
  <c r="CP64" i="11"/>
  <c r="CN64" i="11"/>
  <c r="CM64" i="11"/>
  <c r="CL64" i="11"/>
  <c r="CI64" i="11"/>
  <c r="CH64" i="11"/>
  <c r="CG64" i="11"/>
  <c r="CE64" i="11"/>
  <c r="CD64" i="11"/>
  <c r="CC64" i="11"/>
  <c r="CA64" i="11"/>
  <c r="BZ64" i="11"/>
  <c r="BY64" i="11"/>
  <c r="BW64" i="11"/>
  <c r="BV64" i="11"/>
  <c r="BU64" i="11"/>
  <c r="BR64" i="11"/>
  <c r="BQ64" i="11"/>
  <c r="BP64" i="11"/>
  <c r="BN64" i="11"/>
  <c r="BM64" i="11"/>
  <c r="BL64" i="11"/>
  <c r="BJ64" i="11"/>
  <c r="BI64" i="11"/>
  <c r="BH64" i="11"/>
  <c r="BF64" i="11"/>
  <c r="BE64" i="11"/>
  <c r="BD64" i="11"/>
  <c r="BA64" i="11"/>
  <c r="AZ64" i="11"/>
  <c r="AY64" i="11"/>
  <c r="AW64" i="11"/>
  <c r="AV64" i="11"/>
  <c r="AU64" i="11"/>
  <c r="AS64" i="11"/>
  <c r="AR64" i="11"/>
  <c r="AQ64" i="11"/>
  <c r="AO64" i="11"/>
  <c r="AN64" i="11"/>
  <c r="AM64" i="11"/>
  <c r="AJ64" i="11"/>
  <c r="AI64" i="11"/>
  <c r="AH64" i="11"/>
  <c r="AF64" i="11"/>
  <c r="AE64" i="11"/>
  <c r="AD64" i="11"/>
  <c r="AB64" i="11"/>
  <c r="AA64" i="11"/>
  <c r="Z64" i="11"/>
  <c r="X64" i="11"/>
  <c r="W64" i="11"/>
  <c r="V64" i="11"/>
  <c r="S64" i="11"/>
  <c r="R64" i="11"/>
  <c r="Q64" i="11"/>
  <c r="O64" i="11"/>
  <c r="N64" i="11"/>
  <c r="M64" i="11"/>
  <c r="K64" i="11"/>
  <c r="J64" i="11"/>
  <c r="I64" i="11"/>
  <c r="G64" i="11"/>
  <c r="F64" i="11"/>
  <c r="E64" i="11"/>
  <c r="EZ63" i="11"/>
  <c r="EV63" i="11"/>
  <c r="ER63" i="11"/>
  <c r="ER62" i="11" s="1"/>
  <c r="EN63" i="11"/>
  <c r="EN62" i="11" s="1"/>
  <c r="EI63" i="11"/>
  <c r="EE63" i="11"/>
  <c r="EA63" i="11"/>
  <c r="DW63" i="11"/>
  <c r="DR63" i="11"/>
  <c r="DR62" i="11" s="1"/>
  <c r="DN63" i="11"/>
  <c r="DN62" i="11" s="1"/>
  <c r="DJ63" i="11"/>
  <c r="DF63" i="11"/>
  <c r="DF62" i="11" s="1"/>
  <c r="DA63" i="11"/>
  <c r="DA62" i="11" s="1"/>
  <c r="CW63" i="11"/>
  <c r="CW62" i="11" s="1"/>
  <c r="CS63" i="11"/>
  <c r="CS62" i="11" s="1"/>
  <c r="CO63" i="11"/>
  <c r="CO62" i="11" s="1"/>
  <c r="CJ63" i="11"/>
  <c r="CF63" i="11"/>
  <c r="CB63" i="11"/>
  <c r="BX63" i="11"/>
  <c r="BS63" i="11"/>
  <c r="BO63" i="11"/>
  <c r="BK63" i="11"/>
  <c r="BG63" i="11"/>
  <c r="BB63" i="11"/>
  <c r="AX63" i="11"/>
  <c r="AT63" i="11"/>
  <c r="AP63" i="11"/>
  <c r="AK63" i="11"/>
  <c r="AG63" i="11"/>
  <c r="AC63" i="11"/>
  <c r="Y63" i="11"/>
  <c r="T63" i="11"/>
  <c r="P63" i="11"/>
  <c r="L63" i="11"/>
  <c r="H63" i="11"/>
  <c r="EY62" i="11"/>
  <c r="EX62" i="11"/>
  <c r="EW62" i="11"/>
  <c r="EU62" i="11"/>
  <c r="ET62" i="11"/>
  <c r="ES62" i="11"/>
  <c r="EQ62" i="11"/>
  <c r="EP62" i="11"/>
  <c r="EO62" i="11"/>
  <c r="EM62" i="11"/>
  <c r="EL62" i="11"/>
  <c r="EK62" i="11"/>
  <c r="EH62" i="11"/>
  <c r="EG62" i="11"/>
  <c r="EF62" i="11"/>
  <c r="ED62" i="11"/>
  <c r="EC62" i="11"/>
  <c r="EB62" i="11"/>
  <c r="DZ62" i="11"/>
  <c r="DY62" i="11"/>
  <c r="DX62" i="11"/>
  <c r="DV62" i="11"/>
  <c r="DU62" i="11"/>
  <c r="DT62" i="11"/>
  <c r="DQ62" i="11"/>
  <c r="DP62" i="11"/>
  <c r="DO62" i="11"/>
  <c r="DM62" i="11"/>
  <c r="DL62" i="11"/>
  <c r="DK62" i="11"/>
  <c r="DJ62" i="11"/>
  <c r="DI62" i="11"/>
  <c r="DH62" i="11"/>
  <c r="DG62" i="11"/>
  <c r="DE62" i="11"/>
  <c r="DD62" i="11"/>
  <c r="DC62" i="11"/>
  <c r="CZ62" i="11"/>
  <c r="CY62" i="11"/>
  <c r="CX62" i="11"/>
  <c r="CV62" i="11"/>
  <c r="CU62" i="11"/>
  <c r="CT62" i="11"/>
  <c r="CR62" i="11"/>
  <c r="CQ62" i="11"/>
  <c r="CP62" i="11"/>
  <c r="CN62" i="11"/>
  <c r="CM62" i="11"/>
  <c r="CL62" i="11"/>
  <c r="CI62" i="11"/>
  <c r="CH62" i="11"/>
  <c r="CG62" i="11"/>
  <c r="CE62" i="11"/>
  <c r="CD62" i="11"/>
  <c r="CC62" i="11"/>
  <c r="CA62" i="11"/>
  <c r="BZ62" i="11"/>
  <c r="BY62" i="11"/>
  <c r="BW62" i="11"/>
  <c r="BV62" i="11"/>
  <c r="BU62" i="11"/>
  <c r="BR62" i="11"/>
  <c r="BQ62" i="11"/>
  <c r="BP62" i="11"/>
  <c r="BN62" i="11"/>
  <c r="BM62" i="11"/>
  <c r="BL62" i="11"/>
  <c r="BJ62" i="11"/>
  <c r="BI62" i="11"/>
  <c r="BH62" i="11"/>
  <c r="BF62" i="11"/>
  <c r="BE62" i="11"/>
  <c r="BD62" i="11"/>
  <c r="BA62" i="11"/>
  <c r="AZ62" i="11"/>
  <c r="AY62" i="11"/>
  <c r="AW62" i="11"/>
  <c r="AV62" i="11"/>
  <c r="AU62" i="11"/>
  <c r="AS62" i="11"/>
  <c r="AR62" i="11"/>
  <c r="AQ62" i="11"/>
  <c r="AO62" i="11"/>
  <c r="AN62" i="11"/>
  <c r="AM62" i="11"/>
  <c r="AJ62" i="11"/>
  <c r="AI62" i="11"/>
  <c r="AH62" i="11"/>
  <c r="AF62" i="11"/>
  <c r="AE62" i="11"/>
  <c r="AD62" i="11"/>
  <c r="AB62" i="11"/>
  <c r="AA62" i="11"/>
  <c r="Z62" i="11"/>
  <c r="X62" i="11"/>
  <c r="W62" i="11"/>
  <c r="V62" i="11"/>
  <c r="S62" i="11"/>
  <c r="R62" i="11"/>
  <c r="Q62" i="11"/>
  <c r="O62" i="11"/>
  <c r="N62" i="11"/>
  <c r="M62" i="11"/>
  <c r="K62" i="11"/>
  <c r="J62" i="11"/>
  <c r="I62" i="11"/>
  <c r="G62" i="11"/>
  <c r="F62" i="11"/>
  <c r="E62" i="11"/>
  <c r="EZ61" i="11"/>
  <c r="EV61" i="11"/>
  <c r="ER61" i="11"/>
  <c r="EN61" i="11"/>
  <c r="EI61" i="11"/>
  <c r="EE61" i="11"/>
  <c r="EA61" i="11"/>
  <c r="DW61" i="11"/>
  <c r="DR61" i="11"/>
  <c r="DN61" i="11"/>
  <c r="DJ61" i="11"/>
  <c r="DF61" i="11"/>
  <c r="DA61" i="11"/>
  <c r="CW61" i="11"/>
  <c r="CS61" i="11"/>
  <c r="CO61" i="11"/>
  <c r="CJ61" i="11"/>
  <c r="CF61" i="11"/>
  <c r="CB61" i="11"/>
  <c r="BX61" i="11"/>
  <c r="BS61" i="11"/>
  <c r="BO61" i="11"/>
  <c r="BK61" i="11"/>
  <c r="BG61" i="11"/>
  <c r="BB61" i="11"/>
  <c r="AX61" i="11"/>
  <c r="AT61" i="11"/>
  <c r="AP61" i="11"/>
  <c r="AK61" i="11"/>
  <c r="AG61" i="11"/>
  <c r="AC61" i="11"/>
  <c r="Y61" i="11"/>
  <c r="T61" i="11"/>
  <c r="P61" i="11"/>
  <c r="L61" i="11"/>
  <c r="H61" i="11"/>
  <c r="EZ60" i="11"/>
  <c r="EV60" i="11"/>
  <c r="ER60" i="11"/>
  <c r="EN60" i="11"/>
  <c r="EI60" i="11"/>
  <c r="EE60" i="11"/>
  <c r="EA60" i="11"/>
  <c r="DW60" i="11"/>
  <c r="DR60" i="11"/>
  <c r="DN60" i="11"/>
  <c r="DJ60" i="11"/>
  <c r="DF60" i="11"/>
  <c r="DA60" i="11"/>
  <c r="CW60" i="11"/>
  <c r="CS60" i="11"/>
  <c r="CO60" i="11"/>
  <c r="CJ60" i="11"/>
  <c r="CF60" i="11"/>
  <c r="CB60" i="11"/>
  <c r="BX60" i="11"/>
  <c r="BS60" i="11"/>
  <c r="BO60" i="11"/>
  <c r="BK60" i="11"/>
  <c r="BG60" i="11"/>
  <c r="BB60" i="11"/>
  <c r="AX60" i="11"/>
  <c r="AT60" i="11"/>
  <c r="AP60" i="11"/>
  <c r="AK60" i="11"/>
  <c r="AG60" i="11"/>
  <c r="AC60" i="11"/>
  <c r="Y60" i="11"/>
  <c r="T60" i="11"/>
  <c r="P60" i="11"/>
  <c r="L60" i="11"/>
  <c r="H60" i="11"/>
  <c r="EZ59" i="11"/>
  <c r="EV59" i="11"/>
  <c r="ER59" i="11"/>
  <c r="EN59" i="11"/>
  <c r="EI59" i="11"/>
  <c r="EE59" i="11"/>
  <c r="EA59" i="11"/>
  <c r="DW59" i="11"/>
  <c r="DR59" i="11"/>
  <c r="DN59" i="11"/>
  <c r="DJ59" i="11"/>
  <c r="DF59" i="11"/>
  <c r="DA59" i="11"/>
  <c r="CW59" i="11"/>
  <c r="CS59" i="11"/>
  <c r="CO59" i="11"/>
  <c r="CJ59" i="11"/>
  <c r="CF59" i="11"/>
  <c r="CB59" i="11"/>
  <c r="BX59" i="11"/>
  <c r="BS59" i="11"/>
  <c r="BO59" i="11"/>
  <c r="BK59" i="11"/>
  <c r="BG59" i="11"/>
  <c r="BB59" i="11"/>
  <c r="AX59" i="11"/>
  <c r="AT59" i="11"/>
  <c r="AP59" i="11"/>
  <c r="AK59" i="11"/>
  <c r="AG59" i="11"/>
  <c r="AC59" i="11"/>
  <c r="Y59" i="11"/>
  <c r="T59" i="11"/>
  <c r="P59" i="11"/>
  <c r="L59" i="11"/>
  <c r="H59" i="11"/>
  <c r="EZ58" i="11"/>
  <c r="EV58" i="11"/>
  <c r="ER58" i="11"/>
  <c r="EN58" i="11"/>
  <c r="EI58" i="11"/>
  <c r="EE58" i="11"/>
  <c r="EA58" i="11"/>
  <c r="DW58" i="11"/>
  <c r="DR58" i="11"/>
  <c r="DN58" i="11"/>
  <c r="DJ58" i="11"/>
  <c r="DF58" i="11"/>
  <c r="DA58" i="11"/>
  <c r="CW58" i="11"/>
  <c r="CS58" i="11"/>
  <c r="CO58" i="11"/>
  <c r="CJ58" i="11"/>
  <c r="CF58" i="11"/>
  <c r="CB58" i="11"/>
  <c r="BX58" i="11"/>
  <c r="BS58" i="11"/>
  <c r="BO58" i="11"/>
  <c r="BK58" i="11"/>
  <c r="BG58" i="11"/>
  <c r="BB58" i="11"/>
  <c r="AX58" i="11"/>
  <c r="AT58" i="11"/>
  <c r="AP58" i="11"/>
  <c r="AK58" i="11"/>
  <c r="AG58" i="11"/>
  <c r="AC58" i="11"/>
  <c r="Y58" i="11"/>
  <c r="T58" i="11"/>
  <c r="P58" i="11"/>
  <c r="L58" i="11"/>
  <c r="H58" i="11"/>
  <c r="EZ57" i="11"/>
  <c r="EV57" i="11"/>
  <c r="ER57" i="11"/>
  <c r="EN57" i="11"/>
  <c r="EI57" i="11"/>
  <c r="EE57" i="11"/>
  <c r="EA57" i="11"/>
  <c r="DW57" i="11"/>
  <c r="DR57" i="11"/>
  <c r="DN57" i="11"/>
  <c r="DJ57" i="11"/>
  <c r="DF57" i="11"/>
  <c r="DA57" i="11"/>
  <c r="CW57" i="11"/>
  <c r="CS57" i="11"/>
  <c r="CO57" i="11"/>
  <c r="CJ57" i="11"/>
  <c r="CF57" i="11"/>
  <c r="CB57" i="11"/>
  <c r="BX57" i="11"/>
  <c r="BS57" i="11"/>
  <c r="BO57" i="11"/>
  <c r="BK57" i="11"/>
  <c r="BG57" i="11"/>
  <c r="BB57" i="11"/>
  <c r="AX57" i="11"/>
  <c r="AT57" i="11"/>
  <c r="AP57" i="11"/>
  <c r="AK57" i="11"/>
  <c r="AG57" i="11"/>
  <c r="AC57" i="11"/>
  <c r="Y57" i="11"/>
  <c r="T57" i="11"/>
  <c r="P57" i="11"/>
  <c r="L57" i="11"/>
  <c r="H57" i="11"/>
  <c r="EZ56" i="11"/>
  <c r="EV56" i="11"/>
  <c r="ER56" i="11"/>
  <c r="EN56" i="11"/>
  <c r="EI56" i="11"/>
  <c r="EE56" i="11"/>
  <c r="EA56" i="11"/>
  <c r="DW56" i="11"/>
  <c r="DR56" i="11"/>
  <c r="DN56" i="11"/>
  <c r="DJ56" i="11"/>
  <c r="DF56" i="11"/>
  <c r="DA56" i="11"/>
  <c r="CW56" i="11"/>
  <c r="CS56" i="11"/>
  <c r="CO56" i="11"/>
  <c r="CJ56" i="11"/>
  <c r="CF56" i="11"/>
  <c r="CB56" i="11"/>
  <c r="BX56" i="11"/>
  <c r="BS56" i="11"/>
  <c r="BO56" i="11"/>
  <c r="BK56" i="11"/>
  <c r="BG56" i="11"/>
  <c r="BB56" i="11"/>
  <c r="AX56" i="11"/>
  <c r="AT56" i="11"/>
  <c r="AP56" i="11"/>
  <c r="AK56" i="11"/>
  <c r="AG56" i="11"/>
  <c r="AC56" i="11"/>
  <c r="Y56" i="11"/>
  <c r="T56" i="11"/>
  <c r="P56" i="11"/>
  <c r="L56" i="11"/>
  <c r="H56" i="11"/>
  <c r="EZ55" i="11"/>
  <c r="EV55" i="11"/>
  <c r="ER55" i="11"/>
  <c r="EN55" i="11"/>
  <c r="EI55" i="11"/>
  <c r="EE55" i="11"/>
  <c r="EA55" i="11"/>
  <c r="DW55" i="11"/>
  <c r="DR55" i="11"/>
  <c r="DN55" i="11"/>
  <c r="DJ55" i="11"/>
  <c r="DF55" i="11"/>
  <c r="DA55" i="11"/>
  <c r="CW55" i="11"/>
  <c r="CS55" i="11"/>
  <c r="CO55" i="11"/>
  <c r="CJ55" i="11"/>
  <c r="CF55" i="11"/>
  <c r="CB55" i="11"/>
  <c r="BX55" i="11"/>
  <c r="BS55" i="11"/>
  <c r="BO55" i="11"/>
  <c r="BK55" i="11"/>
  <c r="BG55" i="11"/>
  <c r="BB55" i="11"/>
  <c r="AX55" i="11"/>
  <c r="AT55" i="11"/>
  <c r="AP55" i="11"/>
  <c r="AK55" i="11"/>
  <c r="AG55" i="11"/>
  <c r="AC55" i="11"/>
  <c r="Y55" i="11"/>
  <c r="T55" i="11"/>
  <c r="P55" i="11"/>
  <c r="L55" i="11"/>
  <c r="H55" i="11"/>
  <c r="EZ54" i="11"/>
  <c r="EV54" i="11"/>
  <c r="ER54" i="11"/>
  <c r="EN54" i="11"/>
  <c r="EI54" i="11"/>
  <c r="EE54" i="11"/>
  <c r="EA54" i="11"/>
  <c r="DW54" i="11"/>
  <c r="DR54" i="11"/>
  <c r="DN54" i="11"/>
  <c r="DJ54" i="11"/>
  <c r="DF54" i="11"/>
  <c r="DA54" i="11"/>
  <c r="CW54" i="11"/>
  <c r="CS54" i="11"/>
  <c r="CO54" i="11"/>
  <c r="CJ54" i="11"/>
  <c r="CF54" i="11"/>
  <c r="CB54" i="11"/>
  <c r="BX54" i="11"/>
  <c r="BS54" i="11"/>
  <c r="BO54" i="11"/>
  <c r="BK54" i="11"/>
  <c r="BG54" i="11"/>
  <c r="BB54" i="11"/>
  <c r="AX54" i="11"/>
  <c r="AT54" i="11"/>
  <c r="AP54" i="11"/>
  <c r="AK54" i="11"/>
  <c r="AG54" i="11"/>
  <c r="AC54" i="11"/>
  <c r="Y54" i="11"/>
  <c r="T54" i="11"/>
  <c r="P54" i="11"/>
  <c r="L54" i="11"/>
  <c r="H54" i="11"/>
  <c r="EZ53" i="11"/>
  <c r="EV53" i="11"/>
  <c r="ER53" i="11"/>
  <c r="EN53" i="11"/>
  <c r="EI53" i="11"/>
  <c r="EE53" i="11"/>
  <c r="EA53" i="11"/>
  <c r="DW53" i="11"/>
  <c r="DR53" i="11"/>
  <c r="DN53" i="11"/>
  <c r="DJ53" i="11"/>
  <c r="DF53" i="11"/>
  <c r="DA53" i="11"/>
  <c r="CW53" i="11"/>
  <c r="CS53" i="11"/>
  <c r="CO53" i="11"/>
  <c r="CJ53" i="11"/>
  <c r="CF53" i="11"/>
  <c r="CB53" i="11"/>
  <c r="BX53" i="11"/>
  <c r="BS53" i="11"/>
  <c r="BO53" i="11"/>
  <c r="BK53" i="11"/>
  <c r="BG53" i="11"/>
  <c r="BB53" i="11"/>
  <c r="AX53" i="11"/>
  <c r="AT53" i="11"/>
  <c r="AP53" i="11"/>
  <c r="AK53" i="11"/>
  <c r="AG53" i="11"/>
  <c r="AC53" i="11"/>
  <c r="Y53" i="11"/>
  <c r="T53" i="11"/>
  <c r="P53" i="11"/>
  <c r="L53" i="11"/>
  <c r="H53" i="11"/>
  <c r="EZ52" i="11"/>
  <c r="EV52" i="11"/>
  <c r="ER52" i="11"/>
  <c r="EN52" i="11"/>
  <c r="EI52" i="11"/>
  <c r="EE52" i="11"/>
  <c r="EA52" i="11"/>
  <c r="DW52" i="11"/>
  <c r="DR52" i="11"/>
  <c r="DN52" i="11"/>
  <c r="DJ52" i="11"/>
  <c r="DF52" i="11"/>
  <c r="DA52" i="11"/>
  <c r="DA51" i="11" s="1"/>
  <c r="CW52" i="11"/>
  <c r="CS52" i="11"/>
  <c r="CO52" i="11"/>
  <c r="CJ52" i="11"/>
  <c r="CF52" i="11"/>
  <c r="CB52" i="11"/>
  <c r="BX52" i="11"/>
  <c r="BS52" i="11"/>
  <c r="BO52" i="11"/>
  <c r="BK52" i="11"/>
  <c r="BG52" i="11"/>
  <c r="BB52" i="11"/>
  <c r="AX52" i="11"/>
  <c r="AT52" i="11"/>
  <c r="AP52" i="11"/>
  <c r="AK52" i="11"/>
  <c r="AG52" i="11"/>
  <c r="AC52" i="11"/>
  <c r="Y52" i="11"/>
  <c r="T52" i="11"/>
  <c r="P52" i="11"/>
  <c r="L52" i="11"/>
  <c r="H52" i="11"/>
  <c r="EY51" i="11"/>
  <c r="EX51" i="11"/>
  <c r="EW51" i="11"/>
  <c r="EU51" i="11"/>
  <c r="ET51" i="11"/>
  <c r="ES51" i="11"/>
  <c r="EQ51" i="11"/>
  <c r="EP51" i="11"/>
  <c r="EO51" i="11"/>
  <c r="EM51" i="11"/>
  <c r="EL51" i="11"/>
  <c r="EK51" i="11"/>
  <c r="EH51" i="11"/>
  <c r="EG51" i="11"/>
  <c r="EF51" i="11"/>
  <c r="ED51" i="11"/>
  <c r="EC51" i="11"/>
  <c r="EB51" i="11"/>
  <c r="DZ51" i="11"/>
  <c r="DY51" i="11"/>
  <c r="DX51" i="11"/>
  <c r="DV51" i="11"/>
  <c r="DU51" i="11"/>
  <c r="DT51" i="11"/>
  <c r="DQ51" i="11"/>
  <c r="DP51" i="11"/>
  <c r="DO51" i="11"/>
  <c r="DM51" i="11"/>
  <c r="DL51" i="11"/>
  <c r="DK51" i="11"/>
  <c r="DI51" i="11"/>
  <c r="DH51" i="11"/>
  <c r="DG51" i="11"/>
  <c r="DE51" i="11"/>
  <c r="DD51" i="11"/>
  <c r="DC51" i="11"/>
  <c r="CZ51" i="11"/>
  <c r="CY51" i="11"/>
  <c r="CX51" i="11"/>
  <c r="CV51" i="11"/>
  <c r="CU51" i="11"/>
  <c r="CT51" i="11"/>
  <c r="CR51" i="11"/>
  <c r="CQ51" i="11"/>
  <c r="CP51" i="11"/>
  <c r="CN51" i="11"/>
  <c r="CM51" i="11"/>
  <c r="CL51" i="11"/>
  <c r="CI51" i="11"/>
  <c r="CH51" i="11"/>
  <c r="CG51" i="11"/>
  <c r="CE51" i="11"/>
  <c r="CD51" i="11"/>
  <c r="CC51" i="11"/>
  <c r="CA51" i="11"/>
  <c r="BZ51" i="11"/>
  <c r="BY51" i="11"/>
  <c r="BW51" i="11"/>
  <c r="BV51" i="11"/>
  <c r="BU51" i="11"/>
  <c r="BR51" i="11"/>
  <c r="BQ51" i="11"/>
  <c r="BP51" i="11"/>
  <c r="BN51" i="11"/>
  <c r="BM51" i="11"/>
  <c r="BL51" i="11"/>
  <c r="BJ51" i="11"/>
  <c r="BI51" i="11"/>
  <c r="BH51" i="11"/>
  <c r="BF51" i="11"/>
  <c r="BE51" i="11"/>
  <c r="BD51" i="11"/>
  <c r="BA51" i="11"/>
  <c r="AZ51" i="11"/>
  <c r="AY51" i="11"/>
  <c r="AW51" i="11"/>
  <c r="AV51" i="11"/>
  <c r="AU51" i="11"/>
  <c r="AS51" i="11"/>
  <c r="AR51" i="11"/>
  <c r="AQ51" i="11"/>
  <c r="AO51" i="11"/>
  <c r="AN51" i="11"/>
  <c r="AM51" i="11"/>
  <c r="AJ51" i="11"/>
  <c r="AI51" i="11"/>
  <c r="AH51" i="11"/>
  <c r="AF51" i="11"/>
  <c r="AE51" i="11"/>
  <c r="AD51" i="11"/>
  <c r="AB51" i="11"/>
  <c r="AA51" i="11"/>
  <c r="Z51" i="11"/>
  <c r="X51" i="11"/>
  <c r="W51" i="11"/>
  <c r="V51" i="11"/>
  <c r="S51" i="11"/>
  <c r="R51" i="11"/>
  <c r="Q51" i="11"/>
  <c r="O51" i="11"/>
  <c r="N51" i="11"/>
  <c r="M51" i="11"/>
  <c r="K51" i="11"/>
  <c r="J51" i="11"/>
  <c r="I51" i="11"/>
  <c r="G51" i="11"/>
  <c r="F51" i="11"/>
  <c r="E51" i="11"/>
  <c r="EZ50" i="11"/>
  <c r="EV50" i="11"/>
  <c r="ER50" i="11"/>
  <c r="ER49" i="11" s="1"/>
  <c r="EN50" i="11"/>
  <c r="EI50" i="11"/>
  <c r="EE50" i="11"/>
  <c r="EA50" i="11"/>
  <c r="DW50" i="11"/>
  <c r="DR50" i="11"/>
  <c r="DR49" i="11" s="1"/>
  <c r="DN50" i="11"/>
  <c r="DN49" i="11" s="1"/>
  <c r="DJ50" i="11"/>
  <c r="DJ49" i="11" s="1"/>
  <c r="DF50" i="11"/>
  <c r="DF49" i="11" s="1"/>
  <c r="DA50" i="11"/>
  <c r="DA49" i="11" s="1"/>
  <c r="CW50" i="11"/>
  <c r="CW49" i="11" s="1"/>
  <c r="CS50" i="11"/>
  <c r="CO50" i="11"/>
  <c r="CO49" i="11" s="1"/>
  <c r="CJ50" i="11"/>
  <c r="CF50" i="11"/>
  <c r="CB50" i="11"/>
  <c r="BX50" i="11"/>
  <c r="BS50" i="11"/>
  <c r="BO50" i="11"/>
  <c r="BK50" i="11"/>
  <c r="BG50" i="11"/>
  <c r="BB50" i="11"/>
  <c r="AX50" i="11"/>
  <c r="AT50" i="11"/>
  <c r="AP50" i="11"/>
  <c r="AK50" i="11"/>
  <c r="AG50" i="11"/>
  <c r="AC50" i="11"/>
  <c r="Y50" i="11"/>
  <c r="T50" i="11"/>
  <c r="P50" i="11"/>
  <c r="L50" i="11"/>
  <c r="H50" i="11"/>
  <c r="EY49" i="11"/>
  <c r="EX49" i="11"/>
  <c r="EW49" i="11"/>
  <c r="EU49" i="11"/>
  <c r="ET49" i="11"/>
  <c r="ES49" i="11"/>
  <c r="EQ49" i="11"/>
  <c r="EP49" i="11"/>
  <c r="EO49" i="11"/>
  <c r="EM49" i="11"/>
  <c r="EL49" i="11"/>
  <c r="EK49" i="11"/>
  <c r="EH49" i="11"/>
  <c r="EG49" i="11"/>
  <c r="EF49" i="11"/>
  <c r="ED49" i="11"/>
  <c r="EC49" i="11"/>
  <c r="EB49" i="11"/>
  <c r="DZ49" i="11"/>
  <c r="DY49" i="11"/>
  <c r="DX49" i="11"/>
  <c r="DV49" i="11"/>
  <c r="DU49" i="11"/>
  <c r="DT49" i="11"/>
  <c r="DQ49" i="11"/>
  <c r="DP49" i="11"/>
  <c r="DO49" i="11"/>
  <c r="DM49" i="11"/>
  <c r="DL49" i="11"/>
  <c r="DK49" i="11"/>
  <c r="DI49" i="11"/>
  <c r="DH49" i="11"/>
  <c r="DG49" i="11"/>
  <c r="DE49" i="11"/>
  <c r="DD49" i="11"/>
  <c r="DC49" i="11"/>
  <c r="CZ49" i="11"/>
  <c r="CY49" i="11"/>
  <c r="CX49" i="11"/>
  <c r="CV49" i="11"/>
  <c r="CU49" i="11"/>
  <c r="CT49" i="11"/>
  <c r="CS49" i="11"/>
  <c r="CR49" i="11"/>
  <c r="CQ49" i="11"/>
  <c r="CP49" i="11"/>
  <c r="CN49" i="11"/>
  <c r="CM49" i="11"/>
  <c r="CL49" i="11"/>
  <c r="CI49" i="11"/>
  <c r="CH49" i="11"/>
  <c r="CG49" i="11"/>
  <c r="CE49" i="11"/>
  <c r="CD49" i="11"/>
  <c r="CC49" i="11"/>
  <c r="CA49" i="11"/>
  <c r="BZ49" i="11"/>
  <c r="BY49" i="11"/>
  <c r="BW49" i="11"/>
  <c r="BV49" i="11"/>
  <c r="BU49" i="11"/>
  <c r="BR49" i="11"/>
  <c r="BQ49" i="11"/>
  <c r="BP49" i="11"/>
  <c r="BN49" i="11"/>
  <c r="BM49" i="11"/>
  <c r="BL49" i="11"/>
  <c r="BJ49" i="11"/>
  <c r="BI49" i="11"/>
  <c r="BH49" i="11"/>
  <c r="BF49" i="11"/>
  <c r="BE49" i="11"/>
  <c r="BD49" i="11"/>
  <c r="BA49" i="11"/>
  <c r="AZ49" i="11"/>
  <c r="AY49" i="11"/>
  <c r="AW49" i="11"/>
  <c r="AV49" i="11"/>
  <c r="AU49" i="11"/>
  <c r="AS49" i="11"/>
  <c r="AR49" i="11"/>
  <c r="AQ49" i="11"/>
  <c r="AO49" i="11"/>
  <c r="AN49" i="11"/>
  <c r="AM49" i="11"/>
  <c r="AJ49" i="11"/>
  <c r="AI49" i="11"/>
  <c r="AH49" i="11"/>
  <c r="AF49" i="11"/>
  <c r="AE49" i="11"/>
  <c r="AD49" i="11"/>
  <c r="AB49" i="11"/>
  <c r="AA49" i="11"/>
  <c r="Z49" i="11"/>
  <c r="X49" i="11"/>
  <c r="W49" i="11"/>
  <c r="V49" i="11"/>
  <c r="S49" i="11"/>
  <c r="R49" i="11"/>
  <c r="Q49" i="11"/>
  <c r="O49" i="11"/>
  <c r="N49" i="11"/>
  <c r="M49" i="11"/>
  <c r="K49" i="11"/>
  <c r="J49" i="11"/>
  <c r="I49" i="11"/>
  <c r="G49" i="11"/>
  <c r="F49" i="11"/>
  <c r="E49" i="11"/>
  <c r="EZ48" i="11"/>
  <c r="EV48" i="11"/>
  <c r="ER48" i="11"/>
  <c r="EN48" i="11"/>
  <c r="EI48" i="11"/>
  <c r="EE48" i="11"/>
  <c r="EA48" i="11"/>
  <c r="DW48" i="11"/>
  <c r="DR48" i="11"/>
  <c r="DN48" i="11"/>
  <c r="DJ48" i="11"/>
  <c r="DF48" i="11"/>
  <c r="DA48" i="11"/>
  <c r="CW48" i="11"/>
  <c r="CS48" i="11"/>
  <c r="CO48" i="11"/>
  <c r="CJ48" i="11"/>
  <c r="CF48" i="11"/>
  <c r="CB48" i="11"/>
  <c r="BX48" i="11"/>
  <c r="BS48" i="11"/>
  <c r="BO48" i="11"/>
  <c r="BK48" i="11"/>
  <c r="BG48" i="11"/>
  <c r="BB48" i="11"/>
  <c r="AX48" i="11"/>
  <c r="AT48" i="11"/>
  <c r="AP48" i="11"/>
  <c r="AK48" i="11"/>
  <c r="AG48" i="11"/>
  <c r="AC48" i="11"/>
  <c r="Y48" i="11"/>
  <c r="T48" i="11"/>
  <c r="P48" i="11"/>
  <c r="L48" i="11"/>
  <c r="H48" i="11"/>
  <c r="EZ47" i="11"/>
  <c r="EV47" i="11"/>
  <c r="ER47" i="11"/>
  <c r="EN47" i="11"/>
  <c r="EI47" i="11"/>
  <c r="EE47" i="11"/>
  <c r="EA47" i="11"/>
  <c r="DW47" i="11"/>
  <c r="DR47" i="11"/>
  <c r="DN47" i="11"/>
  <c r="DJ47" i="11"/>
  <c r="DF47" i="11"/>
  <c r="DA47" i="11"/>
  <c r="CW47" i="11"/>
  <c r="CS47" i="11"/>
  <c r="CO47" i="11"/>
  <c r="CJ47" i="11"/>
  <c r="CF47" i="11"/>
  <c r="CB47" i="11"/>
  <c r="BX47" i="11"/>
  <c r="BS47" i="11"/>
  <c r="BO47" i="11"/>
  <c r="BK47" i="11"/>
  <c r="BG47" i="11"/>
  <c r="BB47" i="11"/>
  <c r="AX47" i="11"/>
  <c r="AT47" i="11"/>
  <c r="AP47" i="11"/>
  <c r="AK47" i="11"/>
  <c r="AG47" i="11"/>
  <c r="AC47" i="11"/>
  <c r="Y47" i="11"/>
  <c r="T47" i="11"/>
  <c r="P47" i="11"/>
  <c r="L47" i="11"/>
  <c r="H47" i="11"/>
  <c r="EZ46" i="11"/>
  <c r="EV46" i="11"/>
  <c r="ER46" i="11"/>
  <c r="EN46" i="11"/>
  <c r="EI46" i="11"/>
  <c r="EE46" i="11"/>
  <c r="EA46" i="11"/>
  <c r="DW46" i="11"/>
  <c r="DR46" i="11"/>
  <c r="DN46" i="11"/>
  <c r="DJ46" i="11"/>
  <c r="DF46" i="11"/>
  <c r="DA46" i="11"/>
  <c r="CW46" i="11"/>
  <c r="CS46" i="11"/>
  <c r="CO46" i="11"/>
  <c r="CJ46" i="11"/>
  <c r="CF46" i="11"/>
  <c r="CB46" i="11"/>
  <c r="BX46" i="11"/>
  <c r="BS46" i="11"/>
  <c r="BO46" i="11"/>
  <c r="BK46" i="11"/>
  <c r="BG46" i="11"/>
  <c r="BB46" i="11"/>
  <c r="AX46" i="11"/>
  <c r="AT46" i="11"/>
  <c r="AP46" i="11"/>
  <c r="AK46" i="11"/>
  <c r="AG46" i="11"/>
  <c r="AC46" i="11"/>
  <c r="Y46" i="11"/>
  <c r="T46" i="11"/>
  <c r="P46" i="11"/>
  <c r="L46" i="11"/>
  <c r="H46" i="11"/>
  <c r="EZ45" i="11"/>
  <c r="EV45" i="11"/>
  <c r="ER45" i="11"/>
  <c r="EN45" i="11"/>
  <c r="EI45" i="11"/>
  <c r="EE45" i="11"/>
  <c r="EA45" i="11"/>
  <c r="DW45" i="11"/>
  <c r="DR45" i="11"/>
  <c r="DN45" i="11"/>
  <c r="DJ45" i="11"/>
  <c r="DF45" i="11"/>
  <c r="DA45" i="11"/>
  <c r="CW45" i="11"/>
  <c r="CS45" i="11"/>
  <c r="CO45" i="11"/>
  <c r="CJ45" i="11"/>
  <c r="CF45" i="11"/>
  <c r="CB45" i="11"/>
  <c r="BX45" i="11"/>
  <c r="BS45" i="11"/>
  <c r="BO45" i="11"/>
  <c r="BK45" i="11"/>
  <c r="BG45" i="11"/>
  <c r="BB45" i="11"/>
  <c r="AX45" i="11"/>
  <c r="AT45" i="11"/>
  <c r="AP45" i="11"/>
  <c r="AK45" i="11"/>
  <c r="AG45" i="11"/>
  <c r="AC45" i="11"/>
  <c r="Y45" i="11"/>
  <c r="T45" i="11"/>
  <c r="P45" i="11"/>
  <c r="L45" i="11"/>
  <c r="H45" i="11"/>
  <c r="EZ44" i="11"/>
  <c r="EV44" i="11"/>
  <c r="ER44" i="11"/>
  <c r="EN44" i="11"/>
  <c r="EI44" i="11"/>
  <c r="EE44" i="11"/>
  <c r="EA44" i="11"/>
  <c r="DW44" i="11"/>
  <c r="DR44" i="11"/>
  <c r="DN44" i="11"/>
  <c r="DJ44" i="11"/>
  <c r="DF44" i="11"/>
  <c r="DA44" i="11"/>
  <c r="CW44" i="11"/>
  <c r="CS44" i="11"/>
  <c r="CO44" i="11"/>
  <c r="CJ44" i="11"/>
  <c r="CF44" i="11"/>
  <c r="CB44" i="11"/>
  <c r="BX44" i="11"/>
  <c r="BS44" i="11"/>
  <c r="BO44" i="11"/>
  <c r="BK44" i="11"/>
  <c r="BG44" i="11"/>
  <c r="BB44" i="11"/>
  <c r="AX44" i="11"/>
  <c r="AT44" i="11"/>
  <c r="AP44" i="11"/>
  <c r="AK44" i="11"/>
  <c r="AG44" i="11"/>
  <c r="AC44" i="11"/>
  <c r="Y44" i="11"/>
  <c r="T44" i="11"/>
  <c r="P44" i="11"/>
  <c r="L44" i="11"/>
  <c r="H44" i="11"/>
  <c r="EZ43" i="11"/>
  <c r="EV43" i="11"/>
  <c r="ER43" i="11"/>
  <c r="EN43" i="11"/>
  <c r="EI43" i="11"/>
  <c r="EE43" i="11"/>
  <c r="EA43" i="11"/>
  <c r="DW43" i="11"/>
  <c r="DR43" i="11"/>
  <c r="DN43" i="11"/>
  <c r="DJ43" i="11"/>
  <c r="DF43" i="11"/>
  <c r="DA43" i="11"/>
  <c r="CW43" i="11"/>
  <c r="CS43" i="11"/>
  <c r="CO43" i="11"/>
  <c r="CJ43" i="11"/>
  <c r="CF43" i="11"/>
  <c r="CB43" i="11"/>
  <c r="BX43" i="11"/>
  <c r="BS43" i="11"/>
  <c r="BO43" i="11"/>
  <c r="BK43" i="11"/>
  <c r="BG43" i="11"/>
  <c r="BB43" i="11"/>
  <c r="AX43" i="11"/>
  <c r="AT43" i="11"/>
  <c r="AP43" i="11"/>
  <c r="AK43" i="11"/>
  <c r="AG43" i="11"/>
  <c r="AC43" i="11"/>
  <c r="Y43" i="11"/>
  <c r="T43" i="11"/>
  <c r="P43" i="11"/>
  <c r="L43" i="11"/>
  <c r="H43" i="11"/>
  <c r="EZ42" i="11"/>
  <c r="EV42" i="11"/>
  <c r="ER42" i="11"/>
  <c r="EN42" i="11"/>
  <c r="EI42" i="11"/>
  <c r="EE42" i="11"/>
  <c r="EA42" i="11"/>
  <c r="DW42" i="11"/>
  <c r="DR42" i="11"/>
  <c r="DN42" i="11"/>
  <c r="DJ42" i="11"/>
  <c r="DF42" i="11"/>
  <c r="DA42" i="11"/>
  <c r="CW42" i="11"/>
  <c r="CS42" i="11"/>
  <c r="CO42" i="11"/>
  <c r="CJ42" i="11"/>
  <c r="CF42" i="11"/>
  <c r="CB42" i="11"/>
  <c r="BX42" i="11"/>
  <c r="BS42" i="11"/>
  <c r="BO42" i="11"/>
  <c r="BK42" i="11"/>
  <c r="BG42" i="11"/>
  <c r="BB42" i="11"/>
  <c r="AX42" i="11"/>
  <c r="AT42" i="11"/>
  <c r="AP42" i="11"/>
  <c r="AK42" i="11"/>
  <c r="AG42" i="11"/>
  <c r="AC42" i="11"/>
  <c r="Y42" i="11"/>
  <c r="T42" i="11"/>
  <c r="P42" i="11"/>
  <c r="L42" i="11"/>
  <c r="H42" i="11"/>
  <c r="EZ41" i="11"/>
  <c r="EV41" i="11"/>
  <c r="ER41" i="11"/>
  <c r="EN41" i="11"/>
  <c r="EI41" i="11"/>
  <c r="EE41" i="11"/>
  <c r="EA41" i="11"/>
  <c r="DW41" i="11"/>
  <c r="DR41" i="11"/>
  <c r="DN41" i="11"/>
  <c r="DJ41" i="11"/>
  <c r="DF41" i="11"/>
  <c r="DA41" i="11"/>
  <c r="CW41" i="11"/>
  <c r="CS41" i="11"/>
  <c r="CO41" i="11"/>
  <c r="CJ41" i="11"/>
  <c r="CF41" i="11"/>
  <c r="CB41" i="11"/>
  <c r="BX41" i="11"/>
  <c r="BS41" i="11"/>
  <c r="BO41" i="11"/>
  <c r="BK41" i="11"/>
  <c r="BG41" i="11"/>
  <c r="BB41" i="11"/>
  <c r="AX41" i="11"/>
  <c r="AT41" i="11"/>
  <c r="AP41" i="11"/>
  <c r="AK41" i="11"/>
  <c r="AG41" i="11"/>
  <c r="AC41" i="11"/>
  <c r="Y41" i="11"/>
  <c r="T41" i="11"/>
  <c r="P41" i="11"/>
  <c r="L41" i="11"/>
  <c r="H41" i="11"/>
  <c r="EZ40" i="11"/>
  <c r="EV40" i="11"/>
  <c r="ER40" i="11"/>
  <c r="EN40" i="11"/>
  <c r="EI40" i="11"/>
  <c r="EE40" i="11"/>
  <c r="EA40" i="11"/>
  <c r="DW40" i="11"/>
  <c r="DR40" i="11"/>
  <c r="DN40" i="11"/>
  <c r="DJ40" i="11"/>
  <c r="DF40" i="11"/>
  <c r="DA40" i="11"/>
  <c r="CW40" i="11"/>
  <c r="CS40" i="11"/>
  <c r="CO40" i="11"/>
  <c r="CJ40" i="11"/>
  <c r="CF40" i="11"/>
  <c r="CB40" i="11"/>
  <c r="BX40" i="11"/>
  <c r="BS40" i="11"/>
  <c r="BO40" i="11"/>
  <c r="BK40" i="11"/>
  <c r="BG40" i="11"/>
  <c r="BB40" i="11"/>
  <c r="AX40" i="11"/>
  <c r="AT40" i="11"/>
  <c r="AP40" i="11"/>
  <c r="AK40" i="11"/>
  <c r="AG40" i="11"/>
  <c r="AC40" i="11"/>
  <c r="Y40" i="11"/>
  <c r="T40" i="11"/>
  <c r="P40" i="11"/>
  <c r="L40" i="11"/>
  <c r="H40" i="11"/>
  <c r="EZ39" i="11"/>
  <c r="EV39" i="11"/>
  <c r="ER39" i="11"/>
  <c r="EN39" i="11"/>
  <c r="EI39" i="11"/>
  <c r="EE39" i="11"/>
  <c r="EA39" i="11"/>
  <c r="DW39" i="11"/>
  <c r="DR39" i="11"/>
  <c r="DN39" i="11"/>
  <c r="DJ39" i="11"/>
  <c r="DF39" i="11"/>
  <c r="DA39" i="11"/>
  <c r="CW39" i="11"/>
  <c r="CS39" i="11"/>
  <c r="CO39" i="11"/>
  <c r="CJ39" i="11"/>
  <c r="CF39" i="11"/>
  <c r="CB39" i="11"/>
  <c r="BX39" i="11"/>
  <c r="BS39" i="11"/>
  <c r="BO39" i="11"/>
  <c r="BK39" i="11"/>
  <c r="BG39" i="11"/>
  <c r="BB39" i="11"/>
  <c r="AX39" i="11"/>
  <c r="AT39" i="11"/>
  <c r="AP39" i="11"/>
  <c r="AK39" i="11"/>
  <c r="AG39" i="11"/>
  <c r="AC39" i="11"/>
  <c r="Y39" i="11"/>
  <c r="T39" i="11"/>
  <c r="P39" i="11"/>
  <c r="L39" i="11"/>
  <c r="H39" i="11"/>
  <c r="EY38" i="11"/>
  <c r="EX38" i="11"/>
  <c r="EW38" i="11"/>
  <c r="EU38" i="11"/>
  <c r="ET38" i="11"/>
  <c r="ES38" i="11"/>
  <c r="ER38" i="11"/>
  <c r="EQ38" i="11"/>
  <c r="EP38" i="11"/>
  <c r="EO38" i="11"/>
  <c r="EM38" i="11"/>
  <c r="EL38" i="11"/>
  <c r="EK38" i="11"/>
  <c r="EH38" i="11"/>
  <c r="EG38" i="11"/>
  <c r="EF38" i="11"/>
  <c r="ED38" i="11"/>
  <c r="EC38" i="11"/>
  <c r="EB38" i="11"/>
  <c r="DZ38" i="11"/>
  <c r="DY38" i="11"/>
  <c r="DX38" i="11"/>
  <c r="DV38" i="11"/>
  <c r="DU38" i="11"/>
  <c r="DT38" i="11"/>
  <c r="DQ38" i="11"/>
  <c r="DP38" i="11"/>
  <c r="DO38" i="11"/>
  <c r="DM38" i="11"/>
  <c r="DL38" i="11"/>
  <c r="DK38" i="11"/>
  <c r="DI38" i="11"/>
  <c r="DH38" i="11"/>
  <c r="DG38" i="11"/>
  <c r="DE38" i="11"/>
  <c r="DD38" i="11"/>
  <c r="DC38" i="11"/>
  <c r="CZ38" i="11"/>
  <c r="CY38" i="11"/>
  <c r="CX38" i="11"/>
  <c r="CV38" i="11"/>
  <c r="CU38" i="11"/>
  <c r="CT38" i="11"/>
  <c r="CR38" i="11"/>
  <c r="CQ38" i="11"/>
  <c r="CP38" i="11"/>
  <c r="CN38" i="11"/>
  <c r="CM38" i="11"/>
  <c r="CL38" i="11"/>
  <c r="CI38" i="11"/>
  <c r="CH38" i="11"/>
  <c r="CG38" i="11"/>
  <c r="CE38" i="11"/>
  <c r="CD38" i="11"/>
  <c r="CC38" i="11"/>
  <c r="CA38" i="11"/>
  <c r="BZ38" i="11"/>
  <c r="BY38" i="11"/>
  <c r="BW38" i="11"/>
  <c r="BV38" i="11"/>
  <c r="BU38" i="11"/>
  <c r="BR38" i="11"/>
  <c r="BQ38" i="11"/>
  <c r="BP38" i="11"/>
  <c r="BN38" i="11"/>
  <c r="BM38" i="11"/>
  <c r="BL38" i="11"/>
  <c r="BJ38" i="11"/>
  <c r="BI38" i="11"/>
  <c r="BH38" i="11"/>
  <c r="BF38" i="11"/>
  <c r="BE38" i="11"/>
  <c r="BD38" i="11"/>
  <c r="BA38" i="11"/>
  <c r="AZ38" i="11"/>
  <c r="AY38" i="11"/>
  <c r="AW38" i="11"/>
  <c r="AV38" i="11"/>
  <c r="AU38" i="11"/>
  <c r="AS38" i="11"/>
  <c r="AR38" i="11"/>
  <c r="AQ38" i="11"/>
  <c r="AO38" i="11"/>
  <c r="AN38" i="11"/>
  <c r="AM38" i="11"/>
  <c r="AJ38" i="11"/>
  <c r="AI38" i="11"/>
  <c r="AH38" i="11"/>
  <c r="AF38" i="11"/>
  <c r="AE38" i="11"/>
  <c r="AD38" i="11"/>
  <c r="AB38" i="11"/>
  <c r="AA38" i="11"/>
  <c r="Z38" i="11"/>
  <c r="X38" i="11"/>
  <c r="W38" i="11"/>
  <c r="V38" i="11"/>
  <c r="S38" i="11"/>
  <c r="R38" i="11"/>
  <c r="Q38" i="11"/>
  <c r="O38" i="11"/>
  <c r="N38" i="11"/>
  <c r="M38" i="11"/>
  <c r="K38" i="11"/>
  <c r="J38" i="11"/>
  <c r="I38" i="11"/>
  <c r="G38" i="11"/>
  <c r="F38" i="11"/>
  <c r="E38" i="11"/>
  <c r="EZ37" i="11"/>
  <c r="EV37" i="11"/>
  <c r="ER37" i="11"/>
  <c r="EN37" i="11"/>
  <c r="EI37" i="11"/>
  <c r="EE37" i="11"/>
  <c r="EA37" i="11"/>
  <c r="DW37" i="11"/>
  <c r="DR37" i="11"/>
  <c r="DN37" i="11"/>
  <c r="DJ37" i="11"/>
  <c r="DF37" i="11"/>
  <c r="DA37" i="11"/>
  <c r="CW37" i="11"/>
  <c r="CS37" i="11"/>
  <c r="CO37" i="11"/>
  <c r="CJ37" i="11"/>
  <c r="CF37" i="11"/>
  <c r="CB37" i="11"/>
  <c r="BX37" i="11"/>
  <c r="BS37" i="11"/>
  <c r="BO37" i="11"/>
  <c r="BK37" i="11"/>
  <c r="BG37" i="11"/>
  <c r="BB37" i="11"/>
  <c r="AX37" i="11"/>
  <c r="AT37" i="11"/>
  <c r="AP37" i="11"/>
  <c r="AK37" i="11"/>
  <c r="AG37" i="11"/>
  <c r="AC37" i="11"/>
  <c r="Y37" i="11"/>
  <c r="T37" i="11"/>
  <c r="P37" i="11"/>
  <c r="L37" i="11"/>
  <c r="H37" i="11"/>
  <c r="EZ36" i="11"/>
  <c r="EV36" i="11"/>
  <c r="ER36" i="11"/>
  <c r="EN36" i="11"/>
  <c r="EI36" i="11"/>
  <c r="EE36" i="11"/>
  <c r="EA36" i="11"/>
  <c r="DW36" i="11"/>
  <c r="DR36" i="11"/>
  <c r="DN36" i="11"/>
  <c r="DJ36" i="11"/>
  <c r="DF36" i="11"/>
  <c r="DA36" i="11"/>
  <c r="CW36" i="11"/>
  <c r="CS36" i="11"/>
  <c r="CO36" i="11"/>
  <c r="CJ36" i="11"/>
  <c r="CF36" i="11"/>
  <c r="CB36" i="11"/>
  <c r="BX36" i="11"/>
  <c r="BS36" i="11"/>
  <c r="BO36" i="11"/>
  <c r="BK36" i="11"/>
  <c r="BG36" i="11"/>
  <c r="BB36" i="11"/>
  <c r="AX36" i="11"/>
  <c r="AT36" i="11"/>
  <c r="AP36" i="11"/>
  <c r="AK36" i="11"/>
  <c r="AG36" i="11"/>
  <c r="AC36" i="11"/>
  <c r="Y36" i="11"/>
  <c r="T36" i="11"/>
  <c r="P36" i="11"/>
  <c r="L36" i="11"/>
  <c r="H36" i="11"/>
  <c r="EZ35" i="11"/>
  <c r="EV35" i="11"/>
  <c r="ER35" i="11"/>
  <c r="EN35" i="11"/>
  <c r="EI35" i="11"/>
  <c r="EE35" i="11"/>
  <c r="EA35" i="11"/>
  <c r="DW35" i="11"/>
  <c r="DR35" i="11"/>
  <c r="DN35" i="11"/>
  <c r="DJ35" i="11"/>
  <c r="DF35" i="11"/>
  <c r="DA35" i="11"/>
  <c r="CW35" i="11"/>
  <c r="CS35" i="11"/>
  <c r="CO35" i="11"/>
  <c r="CJ35" i="11"/>
  <c r="CF35" i="11"/>
  <c r="CB35" i="11"/>
  <c r="BX35" i="11"/>
  <c r="BS35" i="11"/>
  <c r="BO35" i="11"/>
  <c r="BK35" i="11"/>
  <c r="BG35" i="11"/>
  <c r="BB35" i="11"/>
  <c r="AX35" i="11"/>
  <c r="AT35" i="11"/>
  <c r="AP35" i="11"/>
  <c r="AK35" i="11"/>
  <c r="AG35" i="11"/>
  <c r="AC35" i="11"/>
  <c r="Y35" i="11"/>
  <c r="T35" i="11"/>
  <c r="P35" i="11"/>
  <c r="L35" i="11"/>
  <c r="H35" i="11"/>
  <c r="EZ34" i="11"/>
  <c r="EV34" i="11"/>
  <c r="ER34" i="11"/>
  <c r="EN34" i="11"/>
  <c r="EI34" i="11"/>
  <c r="EE34" i="11"/>
  <c r="EA34" i="11"/>
  <c r="DW34" i="11"/>
  <c r="DR34" i="11"/>
  <c r="DN34" i="11"/>
  <c r="DJ34" i="11"/>
  <c r="DF34" i="11"/>
  <c r="DA34" i="11"/>
  <c r="CW34" i="11"/>
  <c r="CS34" i="11"/>
  <c r="CO34" i="11"/>
  <c r="CJ34" i="11"/>
  <c r="CF34" i="11"/>
  <c r="CB34" i="11"/>
  <c r="BX34" i="11"/>
  <c r="BS34" i="11"/>
  <c r="BO34" i="11"/>
  <c r="BK34" i="11"/>
  <c r="BG34" i="11"/>
  <c r="BB34" i="11"/>
  <c r="AX34" i="11"/>
  <c r="AT34" i="11"/>
  <c r="AP34" i="11"/>
  <c r="AK34" i="11"/>
  <c r="AG34" i="11"/>
  <c r="AC34" i="11"/>
  <c r="Y34" i="11"/>
  <c r="T34" i="11"/>
  <c r="P34" i="11"/>
  <c r="L34" i="11"/>
  <c r="H34" i="11"/>
  <c r="EZ33" i="11"/>
  <c r="EV33" i="11"/>
  <c r="ER33" i="11"/>
  <c r="EN33" i="11"/>
  <c r="EI33" i="11"/>
  <c r="EE33" i="11"/>
  <c r="EA33" i="11"/>
  <c r="DW33" i="11"/>
  <c r="DR33" i="11"/>
  <c r="DN33" i="11"/>
  <c r="DJ33" i="11"/>
  <c r="DF33" i="11"/>
  <c r="DA33" i="11"/>
  <c r="CW33" i="11"/>
  <c r="CS33" i="11"/>
  <c r="CO33" i="11"/>
  <c r="CJ33" i="11"/>
  <c r="CF33" i="11"/>
  <c r="CB33" i="11"/>
  <c r="BX33" i="11"/>
  <c r="BS33" i="11"/>
  <c r="BO33" i="11"/>
  <c r="BK33" i="11"/>
  <c r="BG33" i="11"/>
  <c r="BB33" i="11"/>
  <c r="AX33" i="11"/>
  <c r="AT33" i="11"/>
  <c r="AP33" i="11"/>
  <c r="AK33" i="11"/>
  <c r="AG33" i="11"/>
  <c r="AC33" i="11"/>
  <c r="Y33" i="11"/>
  <c r="T33" i="11"/>
  <c r="P33" i="11"/>
  <c r="L33" i="11"/>
  <c r="H33" i="11"/>
  <c r="EZ32" i="11"/>
  <c r="EV32" i="11"/>
  <c r="ER32" i="11"/>
  <c r="EN32" i="11"/>
  <c r="EI32" i="11"/>
  <c r="EE32" i="11"/>
  <c r="EA32" i="11"/>
  <c r="DW32" i="11"/>
  <c r="DR32" i="11"/>
  <c r="DN32" i="11"/>
  <c r="DJ32" i="11"/>
  <c r="DF32" i="11"/>
  <c r="DA32" i="11"/>
  <c r="CW32" i="11"/>
  <c r="CS32" i="11"/>
  <c r="CO32" i="11"/>
  <c r="CJ32" i="11"/>
  <c r="CF32" i="11"/>
  <c r="CB32" i="11"/>
  <c r="BX32" i="11"/>
  <c r="BS32" i="11"/>
  <c r="BO32" i="11"/>
  <c r="BK32" i="11"/>
  <c r="BG32" i="11"/>
  <c r="BB32" i="11"/>
  <c r="AX32" i="11"/>
  <c r="AT32" i="11"/>
  <c r="AP32" i="11"/>
  <c r="AK32" i="11"/>
  <c r="AG32" i="11"/>
  <c r="AC32" i="11"/>
  <c r="Y32" i="11"/>
  <c r="T32" i="11"/>
  <c r="P32" i="11"/>
  <c r="L32" i="11"/>
  <c r="H32" i="11"/>
  <c r="EY31" i="11"/>
  <c r="EX31" i="11"/>
  <c r="EW31" i="11"/>
  <c r="EU31" i="11"/>
  <c r="ET31" i="11"/>
  <c r="ES31" i="11"/>
  <c r="EQ31" i="11"/>
  <c r="EP31" i="11"/>
  <c r="EO31" i="11"/>
  <c r="EM31" i="11"/>
  <c r="EL31" i="11"/>
  <c r="EK31" i="11"/>
  <c r="EH31" i="11"/>
  <c r="EG31" i="11"/>
  <c r="EF31" i="11"/>
  <c r="ED31" i="11"/>
  <c r="EC31" i="11"/>
  <c r="EB31" i="11"/>
  <c r="DZ31" i="11"/>
  <c r="DY31" i="11"/>
  <c r="DX31" i="11"/>
  <c r="DV31" i="11"/>
  <c r="DU31" i="11"/>
  <c r="DT31" i="11"/>
  <c r="DQ31" i="11"/>
  <c r="DP31" i="11"/>
  <c r="DO31" i="11"/>
  <c r="DM31" i="11"/>
  <c r="DL31" i="11"/>
  <c r="DK31" i="11"/>
  <c r="DI31" i="11"/>
  <c r="DH31" i="11"/>
  <c r="DG31" i="11"/>
  <c r="DE31" i="11"/>
  <c r="DD31" i="11"/>
  <c r="DC31" i="11"/>
  <c r="CZ31" i="11"/>
  <c r="CY31" i="11"/>
  <c r="CX31" i="11"/>
  <c r="CV31" i="11"/>
  <c r="CU31" i="11"/>
  <c r="CT31" i="11"/>
  <c r="CR31" i="11"/>
  <c r="CQ31" i="11"/>
  <c r="CP31" i="11"/>
  <c r="CN31" i="11"/>
  <c r="CM31" i="11"/>
  <c r="CL31" i="11"/>
  <c r="CI31" i="11"/>
  <c r="CH31" i="11"/>
  <c r="CG31" i="11"/>
  <c r="CE31" i="11"/>
  <c r="CD31" i="11"/>
  <c r="CC31" i="11"/>
  <c r="CA31" i="11"/>
  <c r="BZ31" i="11"/>
  <c r="BY31" i="11"/>
  <c r="BW31" i="11"/>
  <c r="BV31" i="11"/>
  <c r="BU31" i="11"/>
  <c r="BR31" i="11"/>
  <c r="BQ31" i="11"/>
  <c r="BP31" i="11"/>
  <c r="BN31" i="11"/>
  <c r="BM31" i="11"/>
  <c r="BL31" i="11"/>
  <c r="BJ31" i="11"/>
  <c r="BI31" i="11"/>
  <c r="BH31" i="11"/>
  <c r="BF31" i="11"/>
  <c r="BE31" i="11"/>
  <c r="BD31" i="11"/>
  <c r="BA31" i="11"/>
  <c r="AZ31" i="11"/>
  <c r="AY31" i="11"/>
  <c r="AW31" i="11"/>
  <c r="AV31" i="11"/>
  <c r="AU31" i="11"/>
  <c r="AS31" i="11"/>
  <c r="AR31" i="11"/>
  <c r="AQ31" i="11"/>
  <c r="AO31" i="11"/>
  <c r="AN31" i="11"/>
  <c r="AM31" i="11"/>
  <c r="AJ31" i="11"/>
  <c r="AI31" i="11"/>
  <c r="AH31" i="11"/>
  <c r="AF31" i="11"/>
  <c r="AE31" i="11"/>
  <c r="AD31" i="11"/>
  <c r="AB31" i="11"/>
  <c r="AA31" i="11"/>
  <c r="Z31" i="11"/>
  <c r="X31" i="11"/>
  <c r="W31" i="11"/>
  <c r="V31" i="11"/>
  <c r="S31" i="11"/>
  <c r="R31" i="11"/>
  <c r="Q31" i="11"/>
  <c r="O31" i="11"/>
  <c r="N31" i="11"/>
  <c r="M31" i="11"/>
  <c r="K31" i="11"/>
  <c r="J31" i="11"/>
  <c r="I31" i="11"/>
  <c r="G31" i="11"/>
  <c r="F31" i="11"/>
  <c r="E31" i="11"/>
  <c r="EZ30" i="11"/>
  <c r="EV30" i="11"/>
  <c r="ER30" i="11"/>
  <c r="EN30" i="11"/>
  <c r="EI30" i="11"/>
  <c r="EE30" i="11"/>
  <c r="EA30" i="11"/>
  <c r="DW30" i="11"/>
  <c r="DR30" i="11"/>
  <c r="DN30" i="11"/>
  <c r="DJ30" i="11"/>
  <c r="DF30" i="11"/>
  <c r="DA30" i="11"/>
  <c r="CW30" i="11"/>
  <c r="CS30" i="11"/>
  <c r="CO30" i="11"/>
  <c r="CJ30" i="11"/>
  <c r="CF30" i="11"/>
  <c r="CB30" i="11"/>
  <c r="BX30" i="11"/>
  <c r="BS30" i="11"/>
  <c r="BO30" i="11"/>
  <c r="BK30" i="11"/>
  <c r="BG30" i="11"/>
  <c r="BB30" i="11"/>
  <c r="AX30" i="11"/>
  <c r="AT30" i="11"/>
  <c r="AP30" i="11"/>
  <c r="AK30" i="11"/>
  <c r="AG30" i="11"/>
  <c r="AC30" i="11"/>
  <c r="Y30" i="11"/>
  <c r="T30" i="11"/>
  <c r="P30" i="11"/>
  <c r="L30" i="11"/>
  <c r="H30" i="11"/>
  <c r="EZ29" i="11"/>
  <c r="EV29" i="11"/>
  <c r="ER29" i="11"/>
  <c r="EN29" i="11"/>
  <c r="EI29" i="11"/>
  <c r="EE29" i="11"/>
  <c r="EA29" i="11"/>
  <c r="DW29" i="11"/>
  <c r="DR29" i="11"/>
  <c r="DN29" i="11"/>
  <c r="DJ29" i="11"/>
  <c r="DF29" i="11"/>
  <c r="DA29" i="11"/>
  <c r="CW29" i="11"/>
  <c r="CS29" i="11"/>
  <c r="CO29" i="11"/>
  <c r="CJ29" i="11"/>
  <c r="CF29" i="11"/>
  <c r="CB29" i="11"/>
  <c r="BX29" i="11"/>
  <c r="BS29" i="11"/>
  <c r="BO29" i="11"/>
  <c r="BK29" i="11"/>
  <c r="BG29" i="11"/>
  <c r="BB29" i="11"/>
  <c r="AX29" i="11"/>
  <c r="AT29" i="11"/>
  <c r="AP29" i="11"/>
  <c r="AK29" i="11"/>
  <c r="AG29" i="11"/>
  <c r="AC29" i="11"/>
  <c r="Y29" i="11"/>
  <c r="T29" i="11"/>
  <c r="P29" i="11"/>
  <c r="L29" i="11"/>
  <c r="H29" i="11"/>
  <c r="EZ28" i="11"/>
  <c r="EV28" i="11"/>
  <c r="ER28" i="11"/>
  <c r="EN28" i="11"/>
  <c r="EI28" i="11"/>
  <c r="EE28" i="11"/>
  <c r="EA28" i="11"/>
  <c r="DW28" i="11"/>
  <c r="DR28" i="11"/>
  <c r="DN28" i="11"/>
  <c r="DJ28" i="11"/>
  <c r="DF28" i="11"/>
  <c r="DA28" i="11"/>
  <c r="CW28" i="11"/>
  <c r="CS28" i="11"/>
  <c r="CO28" i="11"/>
  <c r="CJ28" i="11"/>
  <c r="CF28" i="11"/>
  <c r="CB28" i="11"/>
  <c r="BX28" i="11"/>
  <c r="BS28" i="11"/>
  <c r="BO28" i="11"/>
  <c r="BK28" i="11"/>
  <c r="BG28" i="11"/>
  <c r="BB28" i="11"/>
  <c r="AX28" i="11"/>
  <c r="AT28" i="11"/>
  <c r="AP28" i="11"/>
  <c r="AK28" i="11"/>
  <c r="AG28" i="11"/>
  <c r="AC28" i="11"/>
  <c r="Y28" i="11"/>
  <c r="T28" i="11"/>
  <c r="P28" i="11"/>
  <c r="L28" i="11"/>
  <c r="H28" i="11"/>
  <c r="EZ27" i="11"/>
  <c r="EV27" i="11"/>
  <c r="ER27" i="11"/>
  <c r="EN27" i="11"/>
  <c r="EI27" i="11"/>
  <c r="EE27" i="11"/>
  <c r="EA27" i="11"/>
  <c r="DW27" i="11"/>
  <c r="DR27" i="11"/>
  <c r="DN27" i="11"/>
  <c r="DJ27" i="11"/>
  <c r="DJ25" i="11" s="1"/>
  <c r="DF27" i="11"/>
  <c r="DA27" i="11"/>
  <c r="CW27" i="11"/>
  <c r="CS27" i="11"/>
  <c r="CO27" i="11"/>
  <c r="CJ27" i="11"/>
  <c r="CF27" i="11"/>
  <c r="CB27" i="11"/>
  <c r="BX27" i="11"/>
  <c r="BS27" i="11"/>
  <c r="BO27" i="11"/>
  <c r="BK27" i="11"/>
  <c r="BG27" i="11"/>
  <c r="BB27" i="11"/>
  <c r="AX27" i="11"/>
  <c r="AT27" i="11"/>
  <c r="AP27" i="11"/>
  <c r="AK27" i="11"/>
  <c r="AG27" i="11"/>
  <c r="AC27" i="11"/>
  <c r="Y27" i="11"/>
  <c r="T27" i="11"/>
  <c r="P27" i="11"/>
  <c r="L27" i="11"/>
  <c r="H27" i="11"/>
  <c r="EZ26" i="11"/>
  <c r="EV26" i="11"/>
  <c r="ER26" i="11"/>
  <c r="EN26" i="11"/>
  <c r="EI26" i="11"/>
  <c r="EE26" i="11"/>
  <c r="EA26" i="11"/>
  <c r="DW26" i="11"/>
  <c r="DR26" i="11"/>
  <c r="DN26" i="11"/>
  <c r="DJ26" i="11"/>
  <c r="DF26" i="11"/>
  <c r="DA26" i="11"/>
  <c r="CW26" i="11"/>
  <c r="CS26" i="11"/>
  <c r="CO26" i="11"/>
  <c r="CJ26" i="11"/>
  <c r="CF26" i="11"/>
  <c r="CB26" i="11"/>
  <c r="BX26" i="11"/>
  <c r="BS26" i="11"/>
  <c r="BO26" i="11"/>
  <c r="BK26" i="11"/>
  <c r="BG26" i="11"/>
  <c r="BB26" i="11"/>
  <c r="AX26" i="11"/>
  <c r="AT26" i="11"/>
  <c r="AP26" i="11"/>
  <c r="AK26" i="11"/>
  <c r="AG26" i="11"/>
  <c r="AC26" i="11"/>
  <c r="Y26" i="11"/>
  <c r="T26" i="11"/>
  <c r="P26" i="11"/>
  <c r="L26" i="11"/>
  <c r="H26" i="11"/>
  <c r="EY25" i="11"/>
  <c r="EX25" i="11"/>
  <c r="EW25" i="11"/>
  <c r="EU25" i="11"/>
  <c r="ET25" i="11"/>
  <c r="ET86" i="11" s="1"/>
  <c r="ES25" i="11"/>
  <c r="EQ25" i="11"/>
  <c r="EP25" i="11"/>
  <c r="EO25" i="11"/>
  <c r="EM25" i="11"/>
  <c r="EL25" i="11"/>
  <c r="EK25" i="11"/>
  <c r="EH25" i="11"/>
  <c r="EG25" i="11"/>
  <c r="EF25" i="11"/>
  <c r="ED25" i="11"/>
  <c r="EC25" i="11"/>
  <c r="EB25" i="11"/>
  <c r="EB82" i="11" s="1"/>
  <c r="DZ25" i="11"/>
  <c r="DY25" i="11"/>
  <c r="DX25" i="11"/>
  <c r="DV25" i="11"/>
  <c r="DU25" i="11"/>
  <c r="DT25" i="11"/>
  <c r="DQ25" i="11"/>
  <c r="DP25" i="11"/>
  <c r="DO25" i="11"/>
  <c r="DM25" i="11"/>
  <c r="DL25" i="11"/>
  <c r="DK25" i="11"/>
  <c r="DI25" i="11"/>
  <c r="DH25" i="11"/>
  <c r="DG25" i="11"/>
  <c r="DE25" i="11"/>
  <c r="DD25" i="11"/>
  <c r="DC25" i="11"/>
  <c r="CZ25" i="11"/>
  <c r="CY25" i="11"/>
  <c r="CX25" i="11"/>
  <c r="CV25" i="11"/>
  <c r="CU25" i="11"/>
  <c r="CT25" i="11"/>
  <c r="CR25" i="11"/>
  <c r="CQ25" i="11"/>
  <c r="CP25" i="11"/>
  <c r="CN25" i="11"/>
  <c r="CM25" i="11"/>
  <c r="CL25" i="11"/>
  <c r="CI25" i="11"/>
  <c r="CH25" i="11"/>
  <c r="CG25" i="11"/>
  <c r="CE25" i="11"/>
  <c r="CD25" i="11"/>
  <c r="CC25" i="11"/>
  <c r="CA25" i="11"/>
  <c r="BZ25" i="11"/>
  <c r="BY25" i="11"/>
  <c r="BW25" i="11"/>
  <c r="BW86" i="11" s="1"/>
  <c r="BV25" i="11"/>
  <c r="BU25" i="11"/>
  <c r="BR25" i="11"/>
  <c r="BQ25" i="11"/>
  <c r="BP25" i="11"/>
  <c r="BP82" i="11" s="1"/>
  <c r="BN25" i="11"/>
  <c r="BM25" i="11"/>
  <c r="BL25" i="11"/>
  <c r="BJ25" i="11"/>
  <c r="BI25" i="11"/>
  <c r="BH25" i="11"/>
  <c r="BF25" i="11"/>
  <c r="BE25" i="11"/>
  <c r="BD25" i="11"/>
  <c r="BA25" i="11"/>
  <c r="AZ25" i="11"/>
  <c r="AY25" i="11"/>
  <c r="AW25" i="11"/>
  <c r="AV25" i="11"/>
  <c r="AU25" i="11"/>
  <c r="AS25" i="11"/>
  <c r="AR25" i="11"/>
  <c r="AR86" i="11" s="1"/>
  <c r="AQ25" i="11"/>
  <c r="AO25" i="11"/>
  <c r="AN25" i="11"/>
  <c r="AM25" i="11"/>
  <c r="AJ25" i="11"/>
  <c r="AI25" i="11"/>
  <c r="AH25" i="11"/>
  <c r="AF25" i="11"/>
  <c r="AF82" i="11" s="1"/>
  <c r="AE25" i="11"/>
  <c r="AD25" i="11"/>
  <c r="AB25" i="11"/>
  <c r="AA25" i="11"/>
  <c r="Z25" i="11"/>
  <c r="X25" i="11"/>
  <c r="W25" i="11"/>
  <c r="V25" i="11"/>
  <c r="V86" i="11" s="1"/>
  <c r="S25" i="11"/>
  <c r="S82" i="11" s="1"/>
  <c r="R25" i="11"/>
  <c r="Q25" i="11"/>
  <c r="O25" i="11"/>
  <c r="O82" i="11" s="1"/>
  <c r="N25" i="11"/>
  <c r="N82" i="11" s="1"/>
  <c r="M25" i="11"/>
  <c r="M82" i="11" s="1"/>
  <c r="K25" i="11"/>
  <c r="K82" i="11" s="1"/>
  <c r="J25" i="11"/>
  <c r="I25" i="11"/>
  <c r="I82" i="11" s="1"/>
  <c r="G25" i="11"/>
  <c r="G82" i="11" s="1"/>
  <c r="F25" i="11"/>
  <c r="E25" i="11"/>
  <c r="E82" i="11" s="1"/>
  <c r="EZ23" i="11"/>
  <c r="EV23" i="11"/>
  <c r="ER23" i="11"/>
  <c r="EN23" i="11"/>
  <c r="EI23" i="11"/>
  <c r="EE23" i="11"/>
  <c r="EA23" i="11"/>
  <c r="DW23" i="11"/>
  <c r="DR23" i="11"/>
  <c r="DN23" i="11"/>
  <c r="DJ23" i="11"/>
  <c r="DF23" i="11"/>
  <c r="DA23" i="11"/>
  <c r="CW23" i="11"/>
  <c r="CS23" i="11"/>
  <c r="CO23" i="11"/>
  <c r="CJ23" i="11"/>
  <c r="CF23" i="11"/>
  <c r="CB23" i="11"/>
  <c r="BX23" i="11"/>
  <c r="BS23" i="11"/>
  <c r="BO23" i="11"/>
  <c r="BK23" i="11"/>
  <c r="BG23" i="11"/>
  <c r="BB23" i="11"/>
  <c r="AX23" i="11"/>
  <c r="AT23" i="11"/>
  <c r="AP23" i="11"/>
  <c r="AK23" i="11"/>
  <c r="AG23" i="11"/>
  <c r="AC23" i="11"/>
  <c r="Y23" i="11"/>
  <c r="T23" i="11"/>
  <c r="P23" i="11"/>
  <c r="L23" i="11"/>
  <c r="H23" i="11"/>
  <c r="EZ22" i="11"/>
  <c r="EV22" i="11"/>
  <c r="ER22" i="11"/>
  <c r="EN22" i="11"/>
  <c r="EI22" i="11"/>
  <c r="EE22" i="11"/>
  <c r="EA22" i="11"/>
  <c r="DW22" i="11"/>
  <c r="DR22" i="11"/>
  <c r="DN22" i="11"/>
  <c r="DJ22" i="11"/>
  <c r="DF22" i="11"/>
  <c r="DA22" i="11"/>
  <c r="CW22" i="11"/>
  <c r="CS22" i="11"/>
  <c r="CO22" i="11"/>
  <c r="CJ22" i="11"/>
  <c r="CF22" i="11"/>
  <c r="CB22" i="11"/>
  <c r="BX22" i="11"/>
  <c r="BS22" i="11"/>
  <c r="BO22" i="11"/>
  <c r="BK22" i="11"/>
  <c r="BG22" i="11"/>
  <c r="BB22" i="11"/>
  <c r="AX22" i="11"/>
  <c r="AT22" i="11"/>
  <c r="AP22" i="11"/>
  <c r="AK22" i="11"/>
  <c r="AG22" i="11"/>
  <c r="AC22" i="11"/>
  <c r="Y22" i="11"/>
  <c r="T22" i="11"/>
  <c r="P22" i="11"/>
  <c r="L22" i="11"/>
  <c r="H22" i="11"/>
  <c r="EZ21" i="11"/>
  <c r="EV21" i="11"/>
  <c r="ER21" i="11"/>
  <c r="EN21" i="11"/>
  <c r="EI21" i="11"/>
  <c r="EE21" i="11"/>
  <c r="EA21" i="11"/>
  <c r="DW21" i="11"/>
  <c r="DR21" i="11"/>
  <c r="DN21" i="11"/>
  <c r="DJ21" i="11"/>
  <c r="DF21" i="11"/>
  <c r="DA21" i="11"/>
  <c r="CW21" i="11"/>
  <c r="CS21" i="11"/>
  <c r="CO21" i="11"/>
  <c r="CJ21" i="11"/>
  <c r="CF21" i="11"/>
  <c r="CB21" i="11"/>
  <c r="BX21" i="11"/>
  <c r="BS21" i="11"/>
  <c r="BO21" i="11"/>
  <c r="BK21" i="11"/>
  <c r="BG21" i="11"/>
  <c r="BB21" i="11"/>
  <c r="AX21" i="11"/>
  <c r="AT21" i="11"/>
  <c r="AP21" i="11"/>
  <c r="AK21" i="11"/>
  <c r="AG21" i="11"/>
  <c r="AC21" i="11"/>
  <c r="Y21" i="11"/>
  <c r="T21" i="11"/>
  <c r="P21" i="11"/>
  <c r="L21" i="11"/>
  <c r="H21" i="11"/>
  <c r="EZ20" i="11"/>
  <c r="EV20" i="11"/>
  <c r="ER20" i="11"/>
  <c r="EN20" i="11"/>
  <c r="EI20" i="11"/>
  <c r="EE20" i="11"/>
  <c r="EA20" i="11"/>
  <c r="DW20" i="11"/>
  <c r="DR20" i="11"/>
  <c r="DN20" i="11"/>
  <c r="DJ20" i="11"/>
  <c r="DF20" i="11"/>
  <c r="DA20" i="11"/>
  <c r="CW20" i="11"/>
  <c r="CS20" i="11"/>
  <c r="CO20" i="11"/>
  <c r="CJ20" i="11"/>
  <c r="CF20" i="11"/>
  <c r="CB20" i="11"/>
  <c r="BX20" i="11"/>
  <c r="BS20" i="11"/>
  <c r="BO20" i="11"/>
  <c r="BK20" i="11"/>
  <c r="BG20" i="11"/>
  <c r="BB20" i="11"/>
  <c r="AX20" i="11"/>
  <c r="AT20" i="11"/>
  <c r="AP20" i="11"/>
  <c r="AK20" i="11"/>
  <c r="AG20" i="11"/>
  <c r="AC20" i="11"/>
  <c r="Y20" i="11"/>
  <c r="T20" i="11"/>
  <c r="P20" i="11"/>
  <c r="L20" i="11"/>
  <c r="H20" i="11"/>
  <c r="EI19" i="11"/>
  <c r="EE19" i="11"/>
  <c r="EA19" i="11"/>
  <c r="DW19" i="11"/>
  <c r="DR19" i="11"/>
  <c r="DN19" i="11"/>
  <c r="DJ19" i="11"/>
  <c r="DF19" i="11"/>
  <c r="DA19" i="11"/>
  <c r="CW19" i="11"/>
  <c r="CS19" i="11"/>
  <c r="CO19" i="11"/>
  <c r="CJ19" i="11"/>
  <c r="CF19" i="11"/>
  <c r="CB19" i="11"/>
  <c r="BX19" i="11"/>
  <c r="BS19" i="11"/>
  <c r="BO19" i="11"/>
  <c r="BK19" i="11"/>
  <c r="BG19" i="11"/>
  <c r="BB19" i="11"/>
  <c r="AP19" i="11"/>
  <c r="AK19" i="11"/>
  <c r="AG19" i="11"/>
  <c r="AC19" i="11"/>
  <c r="Y19" i="11"/>
  <c r="T19" i="11"/>
  <c r="P19" i="11"/>
  <c r="L19" i="11"/>
  <c r="H19" i="11"/>
  <c r="EI18" i="11"/>
  <c r="EE18" i="11"/>
  <c r="EA18" i="11"/>
  <c r="DW18" i="11"/>
  <c r="DR18" i="11"/>
  <c r="DN18" i="11"/>
  <c r="DJ18" i="11"/>
  <c r="DF18" i="11"/>
  <c r="DA18" i="11"/>
  <c r="CW18" i="11"/>
  <c r="CS18" i="11"/>
  <c r="CO18" i="11"/>
  <c r="CJ18" i="11"/>
  <c r="CF18" i="11"/>
  <c r="CB18" i="11"/>
  <c r="BX18" i="11"/>
  <c r="BS18" i="11"/>
  <c r="BO18" i="11"/>
  <c r="BK18" i="11"/>
  <c r="BG18" i="11"/>
  <c r="BB18" i="11"/>
  <c r="AX18" i="11"/>
  <c r="AT18" i="11"/>
  <c r="AP18" i="11"/>
  <c r="AK18" i="11"/>
  <c r="AG18" i="11"/>
  <c r="AC18" i="11"/>
  <c r="Y18" i="11"/>
  <c r="S18" i="11"/>
  <c r="S17" i="11" s="1"/>
  <c r="R18" i="11"/>
  <c r="R17" i="11" s="1"/>
  <c r="Q18" i="11"/>
  <c r="Q17" i="11" s="1"/>
  <c r="O18" i="11"/>
  <c r="O17" i="11" s="1"/>
  <c r="N18" i="11"/>
  <c r="N17" i="11" s="1"/>
  <c r="M18" i="11"/>
  <c r="K18" i="11"/>
  <c r="K17" i="11" s="1"/>
  <c r="J18" i="11"/>
  <c r="J17" i="11" s="1"/>
  <c r="I18" i="11"/>
  <c r="G18" i="11"/>
  <c r="G17" i="11" s="1"/>
  <c r="F18" i="11"/>
  <c r="F17" i="11" s="1"/>
  <c r="E18" i="11"/>
  <c r="EY17" i="11"/>
  <c r="EX17" i="11"/>
  <c r="EW17" i="11"/>
  <c r="EU17" i="11"/>
  <c r="ET17" i="11"/>
  <c r="ES17" i="11"/>
  <c r="EQ17" i="11"/>
  <c r="EP17" i="11"/>
  <c r="EO17" i="11"/>
  <c r="EM17" i="11"/>
  <c r="EL17" i="11"/>
  <c r="EK17" i="11"/>
  <c r="EH17" i="11"/>
  <c r="EG17" i="11"/>
  <c r="EF17" i="11"/>
  <c r="ED17" i="11"/>
  <c r="EC17" i="11"/>
  <c r="EB17" i="11"/>
  <c r="DZ17" i="11"/>
  <c r="DY17" i="11"/>
  <c r="DX17" i="11"/>
  <c r="DV17" i="11"/>
  <c r="DU17" i="11"/>
  <c r="DT17" i="11"/>
  <c r="DQ17" i="11"/>
  <c r="DP17" i="11"/>
  <c r="DO17" i="11"/>
  <c r="DM17" i="11"/>
  <c r="DL17" i="11"/>
  <c r="DK17" i="11"/>
  <c r="DI17" i="11"/>
  <c r="DH17" i="11"/>
  <c r="DG17" i="11"/>
  <c r="DE17" i="11"/>
  <c r="DD17" i="11"/>
  <c r="DC17" i="11"/>
  <c r="CZ17" i="11"/>
  <c r="CY17" i="11"/>
  <c r="CX17" i="11"/>
  <c r="CV17" i="11"/>
  <c r="CU17" i="11"/>
  <c r="CT17" i="11"/>
  <c r="CR17" i="11"/>
  <c r="CQ17" i="11"/>
  <c r="CP17" i="11"/>
  <c r="CN17" i="11"/>
  <c r="CM17" i="11"/>
  <c r="CL17" i="11"/>
  <c r="CI17" i="11"/>
  <c r="CH17" i="11"/>
  <c r="CG17" i="11"/>
  <c r="CE17" i="11"/>
  <c r="CD17" i="11"/>
  <c r="CC17" i="11"/>
  <c r="CA17" i="11"/>
  <c r="BZ17" i="11"/>
  <c r="BY17" i="11"/>
  <c r="BW17" i="11"/>
  <c r="BV17" i="11"/>
  <c r="BU17" i="11"/>
  <c r="BR17" i="11"/>
  <c r="BQ17" i="11"/>
  <c r="BP17" i="11"/>
  <c r="BN17" i="11"/>
  <c r="BM17" i="11"/>
  <c r="BL17" i="11"/>
  <c r="BJ17" i="11"/>
  <c r="BI17" i="11"/>
  <c r="BH17" i="11"/>
  <c r="BF17" i="11"/>
  <c r="BE17" i="11"/>
  <c r="BD17" i="11"/>
  <c r="BA17" i="11"/>
  <c r="AZ17" i="11"/>
  <c r="AY17" i="11"/>
  <c r="AW17" i="11"/>
  <c r="AV17" i="11"/>
  <c r="AU17" i="11"/>
  <c r="AS17" i="11"/>
  <c r="AR17" i="11"/>
  <c r="AQ17" i="11"/>
  <c r="AO17" i="11"/>
  <c r="AN17" i="11"/>
  <c r="AM17" i="11"/>
  <c r="AJ17" i="11"/>
  <c r="AI17" i="11"/>
  <c r="AH17" i="11"/>
  <c r="AF17" i="11"/>
  <c r="AE17" i="11"/>
  <c r="AD17" i="11"/>
  <c r="AB17" i="11"/>
  <c r="AA17" i="11"/>
  <c r="Z17" i="11"/>
  <c r="X17" i="11"/>
  <c r="W17" i="11"/>
  <c r="V17" i="11"/>
  <c r="I17" i="11"/>
  <c r="EZ16" i="11"/>
  <c r="EV16" i="11"/>
  <c r="ER16" i="11"/>
  <c r="EN16" i="11"/>
  <c r="EI16" i="11"/>
  <c r="EE16" i="11"/>
  <c r="EA16" i="11"/>
  <c r="DW16" i="11"/>
  <c r="DR16" i="11"/>
  <c r="DN16" i="11"/>
  <c r="DJ16" i="11"/>
  <c r="DF16" i="11"/>
  <c r="DA16" i="11"/>
  <c r="CW16" i="11"/>
  <c r="CS16" i="11"/>
  <c r="CO16" i="11"/>
  <c r="CJ16" i="11"/>
  <c r="CF16" i="11"/>
  <c r="CB16" i="11"/>
  <c r="BX16" i="11"/>
  <c r="BS16" i="11"/>
  <c r="BO16" i="11"/>
  <c r="BK16" i="11"/>
  <c r="BG16" i="11"/>
  <c r="BB16" i="11"/>
  <c r="AX16" i="11"/>
  <c r="AT16" i="11"/>
  <c r="AP16" i="11"/>
  <c r="AK16" i="11"/>
  <c r="AD16" i="11"/>
  <c r="AG16" i="11" s="1"/>
  <c r="AB16" i="11"/>
  <c r="AB7" i="11" s="1"/>
  <c r="AA16" i="11"/>
  <c r="Z16" i="11"/>
  <c r="Z7" i="11" s="1"/>
  <c r="X16" i="11"/>
  <c r="T16" i="11"/>
  <c r="P16" i="11"/>
  <c r="L16" i="11"/>
  <c r="H16" i="11"/>
  <c r="EZ15" i="11"/>
  <c r="EV15" i="11"/>
  <c r="ER15" i="11"/>
  <c r="EN15" i="11"/>
  <c r="EI15" i="11"/>
  <c r="EE15" i="11"/>
  <c r="EA15" i="11"/>
  <c r="DW15" i="11"/>
  <c r="DR15" i="11"/>
  <c r="DN15" i="11"/>
  <c r="DJ15" i="11"/>
  <c r="DF15" i="11"/>
  <c r="DA15" i="11"/>
  <c r="CW15" i="11"/>
  <c r="CS15" i="11"/>
  <c r="CO15" i="11"/>
  <c r="CJ15" i="11"/>
  <c r="CF15" i="11"/>
  <c r="CB15" i="11"/>
  <c r="BX15" i="11"/>
  <c r="BS15" i="11"/>
  <c r="BO15" i="11"/>
  <c r="BK15" i="11"/>
  <c r="BG15" i="11"/>
  <c r="BB15" i="11"/>
  <c r="AX15" i="11"/>
  <c r="AT15" i="11"/>
  <c r="AP15" i="11"/>
  <c r="AK15" i="11"/>
  <c r="AG15" i="11"/>
  <c r="AC15" i="11"/>
  <c r="Y15" i="11"/>
  <c r="T15" i="11"/>
  <c r="P15" i="11"/>
  <c r="L15" i="11"/>
  <c r="H15" i="11"/>
  <c r="EZ14" i="11"/>
  <c r="EV14" i="11"/>
  <c r="ER14" i="11"/>
  <c r="EN14" i="11"/>
  <c r="EI14" i="11"/>
  <c r="EE14" i="11"/>
  <c r="EA14" i="11"/>
  <c r="DW14" i="11"/>
  <c r="DR14" i="11"/>
  <c r="DN14" i="11"/>
  <c r="DJ14" i="11"/>
  <c r="DF14" i="11"/>
  <c r="DA14" i="11"/>
  <c r="CW14" i="11"/>
  <c r="CS14" i="11"/>
  <c r="CO14" i="11"/>
  <c r="CJ14" i="11"/>
  <c r="CF14" i="11"/>
  <c r="CB14" i="11"/>
  <c r="BX14" i="11"/>
  <c r="BS14" i="11"/>
  <c r="BO14" i="11"/>
  <c r="BK14" i="11"/>
  <c r="BG14" i="11"/>
  <c r="BB14" i="11"/>
  <c r="AX14" i="11"/>
  <c r="AT14" i="11"/>
  <c r="AP14" i="11"/>
  <c r="AK14" i="11"/>
  <c r="AG14" i="11"/>
  <c r="AC14" i="11"/>
  <c r="Y14" i="11"/>
  <c r="T14" i="11"/>
  <c r="P14" i="11"/>
  <c r="L14" i="11"/>
  <c r="H14" i="11"/>
  <c r="EZ13" i="11"/>
  <c r="EV13" i="11"/>
  <c r="ER13" i="11"/>
  <c r="EN13" i="11"/>
  <c r="EI13" i="11"/>
  <c r="EE13" i="11"/>
  <c r="EA13" i="11"/>
  <c r="DW13" i="11"/>
  <c r="DR13" i="11"/>
  <c r="DN13" i="11"/>
  <c r="DJ13" i="11"/>
  <c r="DF13" i="11"/>
  <c r="DA13" i="11"/>
  <c r="CW13" i="11"/>
  <c r="CS13" i="11"/>
  <c r="CO13" i="11"/>
  <c r="CJ13" i="11"/>
  <c r="CF13" i="11"/>
  <c r="CB13" i="11"/>
  <c r="BX13" i="11"/>
  <c r="BS13" i="11"/>
  <c r="BO13" i="11"/>
  <c r="BK13" i="11"/>
  <c r="BG13" i="11"/>
  <c r="BB13" i="11"/>
  <c r="AX13" i="11"/>
  <c r="AT13" i="11"/>
  <c r="AP13" i="11"/>
  <c r="AK13" i="11"/>
  <c r="AG13" i="11"/>
  <c r="AC13" i="11"/>
  <c r="Y13" i="11"/>
  <c r="T13" i="11"/>
  <c r="P13" i="11"/>
  <c r="L13" i="11"/>
  <c r="H13" i="11"/>
  <c r="EZ12" i="11"/>
  <c r="EV12" i="11"/>
  <c r="ER12" i="11"/>
  <c r="EN12" i="11"/>
  <c r="EI12" i="11"/>
  <c r="EE12" i="11"/>
  <c r="EA12" i="11"/>
  <c r="DW12" i="11"/>
  <c r="DR12" i="11"/>
  <c r="DN12" i="11"/>
  <c r="DJ12" i="11"/>
  <c r="DF12" i="11"/>
  <c r="DA12" i="11"/>
  <c r="CW12" i="11"/>
  <c r="CS12" i="11"/>
  <c r="CO12" i="11"/>
  <c r="CJ12" i="11"/>
  <c r="CF12" i="11"/>
  <c r="CB12" i="11"/>
  <c r="BX12" i="11"/>
  <c r="BS12" i="11"/>
  <c r="BO12" i="11"/>
  <c r="BK12" i="11"/>
  <c r="BG12" i="11"/>
  <c r="BB12" i="11"/>
  <c r="AX12" i="11"/>
  <c r="AT12" i="11"/>
  <c r="AP12" i="11"/>
  <c r="AK12" i="11"/>
  <c r="AG12" i="11"/>
  <c r="AC12" i="11"/>
  <c r="Y12" i="11"/>
  <c r="T12" i="11"/>
  <c r="P12" i="11"/>
  <c r="L12" i="11"/>
  <c r="H12" i="11"/>
  <c r="EZ11" i="11"/>
  <c r="EV11" i="11"/>
  <c r="ER11" i="11"/>
  <c r="EN11" i="11"/>
  <c r="EI11" i="11"/>
  <c r="EE11" i="11"/>
  <c r="EA11" i="11"/>
  <c r="DW11" i="11"/>
  <c r="DR11" i="11"/>
  <c r="DN11" i="11"/>
  <c r="DJ11" i="11"/>
  <c r="DF11" i="11"/>
  <c r="DA11" i="11"/>
  <c r="CW11" i="11"/>
  <c r="CS11" i="11"/>
  <c r="CO11" i="11"/>
  <c r="CJ11" i="11"/>
  <c r="CF11" i="11"/>
  <c r="CB11" i="11"/>
  <c r="BX11" i="11"/>
  <c r="BS11" i="11"/>
  <c r="BO11" i="11"/>
  <c r="BK11" i="11"/>
  <c r="BG11" i="11"/>
  <c r="BB11" i="11"/>
  <c r="AX11" i="11"/>
  <c r="AT11" i="11"/>
  <c r="AP11" i="11"/>
  <c r="AK11" i="11"/>
  <c r="AG11" i="11"/>
  <c r="AC11" i="11"/>
  <c r="Y11" i="11"/>
  <c r="T11" i="11"/>
  <c r="P11" i="11"/>
  <c r="L11" i="11"/>
  <c r="H11" i="11"/>
  <c r="EZ10" i="11"/>
  <c r="EV10" i="11"/>
  <c r="ER10" i="11"/>
  <c r="EN10" i="11"/>
  <c r="EI10" i="11"/>
  <c r="EE10" i="11"/>
  <c r="EA10" i="11"/>
  <c r="DW10" i="11"/>
  <c r="DR10" i="11"/>
  <c r="DN10" i="11"/>
  <c r="DJ10" i="11"/>
  <c r="DF10" i="11"/>
  <c r="DA10" i="11"/>
  <c r="CW10" i="11"/>
  <c r="CS10" i="11"/>
  <c r="CO10" i="11"/>
  <c r="CJ10" i="11"/>
  <c r="CF10" i="11"/>
  <c r="CB10" i="11"/>
  <c r="BX10" i="11"/>
  <c r="BS10" i="11"/>
  <c r="BO10" i="11"/>
  <c r="BK10" i="11"/>
  <c r="BG10" i="11"/>
  <c r="BB10" i="11"/>
  <c r="AX10" i="11"/>
  <c r="AT10" i="11"/>
  <c r="AP10" i="11"/>
  <c r="AK10" i="11"/>
  <c r="AG10" i="11"/>
  <c r="AC10" i="11"/>
  <c r="Y10" i="11"/>
  <c r="T10" i="11"/>
  <c r="P10" i="11"/>
  <c r="L10" i="11"/>
  <c r="H10" i="11"/>
  <c r="EZ9" i="11"/>
  <c r="EV9" i="11"/>
  <c r="ER9" i="11"/>
  <c r="EN9" i="11"/>
  <c r="EI9" i="11"/>
  <c r="EE9" i="11"/>
  <c r="EA9" i="11"/>
  <c r="DW9" i="11"/>
  <c r="DR9" i="11"/>
  <c r="DN9" i="11"/>
  <c r="DJ9" i="11"/>
  <c r="DF9" i="11"/>
  <c r="DA9" i="11"/>
  <c r="CW9" i="11"/>
  <c r="CS9" i="11"/>
  <c r="CO9" i="11"/>
  <c r="CJ9" i="11"/>
  <c r="CF9" i="11"/>
  <c r="CB9" i="11"/>
  <c r="BX9" i="11"/>
  <c r="BS9" i="11"/>
  <c r="BO9" i="11"/>
  <c r="BK9" i="11"/>
  <c r="BG9" i="11"/>
  <c r="BB9" i="11"/>
  <c r="AX9" i="11"/>
  <c r="AT9" i="11"/>
  <c r="AP9" i="11"/>
  <c r="AK9" i="11"/>
  <c r="AG9" i="11"/>
  <c r="AC9" i="11"/>
  <c r="Y9" i="11"/>
  <c r="T9" i="11"/>
  <c r="P9" i="11"/>
  <c r="L9" i="11"/>
  <c r="H9" i="11"/>
  <c r="EZ8" i="11"/>
  <c r="EV8" i="11"/>
  <c r="ER8" i="11"/>
  <c r="EN8" i="11"/>
  <c r="EI8" i="11"/>
  <c r="EE8" i="11"/>
  <c r="EA8" i="11"/>
  <c r="DW8" i="11"/>
  <c r="DR8" i="11"/>
  <c r="DN8" i="11"/>
  <c r="DJ8" i="11"/>
  <c r="DF8" i="11"/>
  <c r="DA8" i="11"/>
  <c r="CW8" i="11"/>
  <c r="CS8" i="11"/>
  <c r="CO8" i="11"/>
  <c r="CJ8" i="11"/>
  <c r="CF8" i="11"/>
  <c r="CB8" i="11"/>
  <c r="BX8" i="11"/>
  <c r="BS8" i="11"/>
  <c r="BO8" i="11"/>
  <c r="BK8" i="11"/>
  <c r="BG8" i="11"/>
  <c r="BB8" i="11"/>
  <c r="AX8" i="11"/>
  <c r="AT8" i="11"/>
  <c r="AP8" i="11"/>
  <c r="AK8" i="11"/>
  <c r="AG8" i="11"/>
  <c r="AC8" i="11"/>
  <c r="Y8" i="11"/>
  <c r="T8" i="11"/>
  <c r="P8" i="11"/>
  <c r="L8" i="11"/>
  <c r="H8" i="11"/>
  <c r="EY7" i="11"/>
  <c r="EX7" i="11"/>
  <c r="EW7" i="11"/>
  <c r="EU7" i="11"/>
  <c r="ET7" i="11"/>
  <c r="ES7" i="11"/>
  <c r="EQ7" i="11"/>
  <c r="EP7" i="11"/>
  <c r="EO7" i="11"/>
  <c r="EM7" i="11"/>
  <c r="EL7" i="11"/>
  <c r="EK7" i="11"/>
  <c r="EH7" i="11"/>
  <c r="EG7" i="11"/>
  <c r="EF7" i="11"/>
  <c r="ED7" i="11"/>
  <c r="EC7" i="11"/>
  <c r="EB7" i="11"/>
  <c r="DZ7" i="11"/>
  <c r="DY7" i="11"/>
  <c r="DX7" i="11"/>
  <c r="DV7" i="11"/>
  <c r="DU7" i="11"/>
  <c r="DT7" i="11"/>
  <c r="DQ7" i="11"/>
  <c r="DP7" i="11"/>
  <c r="DO7" i="11"/>
  <c r="DM7" i="11"/>
  <c r="DL7" i="11"/>
  <c r="DK7" i="11"/>
  <c r="DI7" i="11"/>
  <c r="DH7" i="11"/>
  <c r="DG7" i="11"/>
  <c r="DE7" i="11"/>
  <c r="DD7" i="11"/>
  <c r="DC7" i="11"/>
  <c r="CZ7" i="11"/>
  <c r="CY7" i="11"/>
  <c r="CX7" i="11"/>
  <c r="CV7" i="11"/>
  <c r="CU7" i="11"/>
  <c r="CT7" i="11"/>
  <c r="CR7" i="11"/>
  <c r="CQ7" i="11"/>
  <c r="CP7" i="11"/>
  <c r="CN7" i="11"/>
  <c r="CM7" i="11"/>
  <c r="CL7" i="11"/>
  <c r="CI7" i="11"/>
  <c r="CH7" i="11"/>
  <c r="CG7" i="11"/>
  <c r="CE7" i="11"/>
  <c r="CD7" i="11"/>
  <c r="CC7" i="11"/>
  <c r="CA7" i="11"/>
  <c r="BZ7" i="11"/>
  <c r="BY7" i="11"/>
  <c r="BW7" i="11"/>
  <c r="BV7" i="11"/>
  <c r="BU7" i="11"/>
  <c r="BR7" i="11"/>
  <c r="BQ7" i="11"/>
  <c r="BP7" i="11"/>
  <c r="BN7" i="11"/>
  <c r="BM7" i="11"/>
  <c r="BL7" i="11"/>
  <c r="BJ7" i="11"/>
  <c r="BI7" i="11"/>
  <c r="BH7" i="11"/>
  <c r="BF7" i="11"/>
  <c r="BE7" i="11"/>
  <c r="BD7" i="11"/>
  <c r="BA7" i="11"/>
  <c r="AZ7" i="11"/>
  <c r="AY7" i="11"/>
  <c r="AW7" i="11"/>
  <c r="AV7" i="11"/>
  <c r="AU7" i="11"/>
  <c r="AS7" i="11"/>
  <c r="AR7" i="11"/>
  <c r="AQ7" i="11"/>
  <c r="AO7" i="11"/>
  <c r="AN7" i="11"/>
  <c r="AM7" i="11"/>
  <c r="AM6" i="11" s="1"/>
  <c r="AJ7" i="11"/>
  <c r="AI7" i="11"/>
  <c r="AH7" i="11"/>
  <c r="AF7" i="11"/>
  <c r="AE7" i="11"/>
  <c r="AA7" i="11"/>
  <c r="W7" i="11"/>
  <c r="V7" i="11"/>
  <c r="S7" i="11"/>
  <c r="R7" i="11"/>
  <c r="Q7" i="11"/>
  <c r="O7" i="11"/>
  <c r="N7" i="11"/>
  <c r="M7" i="11"/>
  <c r="K7" i="11"/>
  <c r="J7" i="11"/>
  <c r="I7" i="11"/>
  <c r="G7" i="11"/>
  <c r="F7" i="11"/>
  <c r="E7" i="11"/>
  <c r="DC6" i="11"/>
  <c r="CO25" i="11" l="1"/>
  <c r="ER31" i="11"/>
  <c r="Z6" i="11"/>
  <c r="CO51" i="11"/>
  <c r="L38" i="11"/>
  <c r="L25" i="11"/>
  <c r="L82" i="11" s="1"/>
  <c r="ER25" i="11"/>
  <c r="ER82" i="11" s="1"/>
  <c r="DF64" i="11"/>
  <c r="L31" i="11"/>
  <c r="DJ31" i="11"/>
  <c r="CW51" i="11"/>
  <c r="DS173" i="1"/>
  <c r="EE108" i="1"/>
  <c r="EN98" i="1"/>
  <c r="EN93" i="1"/>
  <c r="EN31" i="1"/>
  <c r="EG30" i="1"/>
  <c r="EL30" i="1"/>
  <c r="EG33" i="1"/>
  <c r="EL33" i="1"/>
  <c r="EE30" i="1"/>
  <c r="EG32" i="1"/>
  <c r="EL32" i="1"/>
  <c r="EB25" i="1"/>
  <c r="ED25" i="1" s="1"/>
  <c r="DW109" i="1"/>
  <c r="DY143" i="1"/>
  <c r="DT99" i="1"/>
  <c r="DU121" i="1"/>
  <c r="DU113" i="1"/>
  <c r="DW106" i="1"/>
  <c r="DW105" i="1"/>
  <c r="EC108" i="1"/>
  <c r="DW118" i="1"/>
  <c r="EA116" i="1"/>
  <c r="EB116" i="1"/>
  <c r="ED116" i="1" s="1"/>
  <c r="DW92" i="1"/>
  <c r="DW102" i="1"/>
  <c r="DY118" i="1"/>
  <c r="DW93" i="1"/>
  <c r="DW90" i="1"/>
  <c r="DU117" i="1"/>
  <c r="DU92" i="1"/>
  <c r="EE92" i="1"/>
  <c r="DU106" i="1"/>
  <c r="DY23" i="1"/>
  <c r="DX28" i="1"/>
  <c r="DY106" i="1"/>
  <c r="DY92" i="1"/>
  <c r="DP176" i="1"/>
  <c r="DQ176" i="1" s="1"/>
  <c r="DT130" i="1"/>
  <c r="DU105" i="1"/>
  <c r="EE105" i="1"/>
  <c r="DU102" i="1"/>
  <c r="DT110" i="1"/>
  <c r="DY27" i="1"/>
  <c r="DY102" i="1"/>
  <c r="DW28" i="1"/>
  <c r="DV29" i="1"/>
  <c r="DY105" i="1"/>
  <c r="DU143" i="1"/>
  <c r="DU115" i="1"/>
  <c r="EA132" i="1"/>
  <c r="DY104" i="1"/>
  <c r="DU100" i="1"/>
  <c r="DT82" i="1"/>
  <c r="DU82" i="1" s="1"/>
  <c r="DY172" i="1"/>
  <c r="EB172" i="1"/>
  <c r="ED172" i="1" s="1"/>
  <c r="DY113" i="1"/>
  <c r="EA108" i="1"/>
  <c r="DW141" i="1"/>
  <c r="DU109" i="1"/>
  <c r="DY117" i="1"/>
  <c r="EB119" i="1"/>
  <c r="ED119" i="1" s="1"/>
  <c r="DW120" i="1"/>
  <c r="DY120" i="1"/>
  <c r="EB132" i="1"/>
  <c r="ED132" i="1" s="1"/>
  <c r="DT173" i="1"/>
  <c r="DR111" i="1"/>
  <c r="DT111" i="1" s="1"/>
  <c r="DU111" i="1" s="1"/>
  <c r="DS110" i="1"/>
  <c r="DT133" i="1"/>
  <c r="DT149" i="1"/>
  <c r="DT101" i="1"/>
  <c r="DT103" i="1"/>
  <c r="DT114" i="1"/>
  <c r="DT142" i="1"/>
  <c r="DT104" i="1"/>
  <c r="DS101" i="1"/>
  <c r="DU90" i="1"/>
  <c r="DT93" i="1"/>
  <c r="DU93" i="1" s="1"/>
  <c r="DU29" i="1"/>
  <c r="DS104" i="1"/>
  <c r="DU112" i="1"/>
  <c r="DR125" i="1"/>
  <c r="DS125" i="1" s="1"/>
  <c r="DR146" i="1"/>
  <c r="DS146" i="1" s="1"/>
  <c r="DS130" i="1"/>
  <c r="DS133" i="1"/>
  <c r="DS149" i="1"/>
  <c r="DS103" i="1"/>
  <c r="DS114" i="1"/>
  <c r="DS142" i="1"/>
  <c r="DR150" i="1"/>
  <c r="DR107" i="1"/>
  <c r="DT107" i="1" s="1"/>
  <c r="DS99" i="1"/>
  <c r="DR134" i="1"/>
  <c r="DL139" i="1"/>
  <c r="DM135" i="1"/>
  <c r="DQ175" i="1"/>
  <c r="DR175" i="1"/>
  <c r="DO84" i="1"/>
  <c r="DN126" i="1"/>
  <c r="DQ83" i="1"/>
  <c r="DP84" i="1"/>
  <c r="DR83" i="1"/>
  <c r="DK135" i="1"/>
  <c r="DK139" i="1"/>
  <c r="DH151" i="1"/>
  <c r="DI139" i="1"/>
  <c r="R6" i="11"/>
  <c r="AO6" i="11"/>
  <c r="AU6" i="11"/>
  <c r="AZ6" i="11"/>
  <c r="BF6" i="11"/>
  <c r="BL6" i="11"/>
  <c r="BQ6" i="11"/>
  <c r="DK6" i="11"/>
  <c r="EB6" i="11"/>
  <c r="EX6" i="11"/>
  <c r="AV6" i="11"/>
  <c r="BA6" i="11"/>
  <c r="BH6" i="11"/>
  <c r="BM6" i="11"/>
  <c r="BR6" i="11"/>
  <c r="CD6" i="11"/>
  <c r="CZ6" i="11"/>
  <c r="DL6" i="11"/>
  <c r="DQ6" i="11"/>
  <c r="DX6" i="11"/>
  <c r="EC6" i="11"/>
  <c r="EH6" i="11"/>
  <c r="EO6" i="11"/>
  <c r="ET6" i="11"/>
  <c r="AN6" i="11"/>
  <c r="BP6" i="11"/>
  <c r="CA6" i="11"/>
  <c r="EL6" i="11"/>
  <c r="DE171" i="1"/>
  <c r="DD177" i="1"/>
  <c r="DE177" i="1" s="1"/>
  <c r="DG151" i="1"/>
  <c r="DF171" i="1"/>
  <c r="DC171" i="1"/>
  <c r="DB177" i="1"/>
  <c r="V6" i="11"/>
  <c r="BN6" i="11"/>
  <c r="H18" i="11"/>
  <c r="H17" i="11" s="1"/>
  <c r="J6" i="11"/>
  <c r="Y17" i="11"/>
  <c r="CO17" i="11"/>
  <c r="DW17" i="11"/>
  <c r="AT49" i="11"/>
  <c r="AK62" i="11"/>
  <c r="CJ62" i="11"/>
  <c r="AB6" i="11"/>
  <c r="L18" i="11"/>
  <c r="L17" i="11" s="1"/>
  <c r="CS17" i="11"/>
  <c r="BG25" i="11"/>
  <c r="BG86" i="11" s="1"/>
  <c r="AT64" i="11"/>
  <c r="EA64" i="11"/>
  <c r="AA6" i="11"/>
  <c r="AR6" i="11"/>
  <c r="EY6" i="11"/>
  <c r="DS19" i="11"/>
  <c r="U20" i="11"/>
  <c r="BC20" i="11"/>
  <c r="FA20" i="11"/>
  <c r="EJ21" i="11"/>
  <c r="DB22" i="11"/>
  <c r="AL23" i="11"/>
  <c r="BT23" i="11"/>
  <c r="CB31" i="11"/>
  <c r="AL33" i="11"/>
  <c r="BC34" i="11"/>
  <c r="BT34" i="11"/>
  <c r="CK34" i="11"/>
  <c r="DB34" i="11"/>
  <c r="DS34" i="11"/>
  <c r="FA34" i="11"/>
  <c r="U35" i="11"/>
  <c r="BT35" i="11"/>
  <c r="EJ35" i="11"/>
  <c r="FA35" i="11"/>
  <c r="U36" i="11"/>
  <c r="BC36" i="11"/>
  <c r="BT36" i="11"/>
  <c r="CK36" i="11"/>
  <c r="DB36" i="11"/>
  <c r="FA36" i="11"/>
  <c r="AL37" i="11"/>
  <c r="BC37" i="11"/>
  <c r="BT37" i="11"/>
  <c r="CK37" i="11"/>
  <c r="DB37" i="11"/>
  <c r="EJ37" i="11"/>
  <c r="FA37" i="11"/>
  <c r="AW6" i="11"/>
  <c r="BD6" i="11"/>
  <c r="BI6" i="11"/>
  <c r="BU6" i="11"/>
  <c r="BZ6" i="11"/>
  <c r="CL6" i="11"/>
  <c r="CV6" i="11"/>
  <c r="DH6" i="11"/>
  <c r="DM6" i="11"/>
  <c r="DT6" i="11"/>
  <c r="ED6" i="11"/>
  <c r="EK6" i="11"/>
  <c r="EP6" i="11"/>
  <c r="AP7" i="11"/>
  <c r="BX7" i="11"/>
  <c r="T18" i="11"/>
  <c r="T17" i="11" s="1"/>
  <c r="AC17" i="11"/>
  <c r="AT17" i="11"/>
  <c r="AK17" i="11"/>
  <c r="BS25" i="11"/>
  <c r="BS82" i="11" s="1"/>
  <c r="CD24" i="11"/>
  <c r="BO31" i="11"/>
  <c r="L51" i="11"/>
  <c r="AT51" i="11"/>
  <c r="F6" i="11"/>
  <c r="K6" i="11"/>
  <c r="Q6" i="11"/>
  <c r="AH6" i="11"/>
  <c r="AS6" i="11"/>
  <c r="BE6" i="11"/>
  <c r="BJ6" i="11"/>
  <c r="BV6" i="11"/>
  <c r="CX6" i="11"/>
  <c r="DD6" i="11"/>
  <c r="AJ6" i="11"/>
  <c r="CI6" i="11"/>
  <c r="CP6" i="11"/>
  <c r="P18" i="11"/>
  <c r="P17" i="11" s="1"/>
  <c r="BO25" i="11"/>
  <c r="BO82" i="11" s="1"/>
  <c r="EV62" i="11"/>
  <c r="AX64" i="11"/>
  <c r="EE64" i="11"/>
  <c r="AK75" i="11"/>
  <c r="G6" i="11"/>
  <c r="CG6" i="11"/>
  <c r="CR6" i="11"/>
  <c r="EJ15" i="11"/>
  <c r="DS16" i="11"/>
  <c r="DO6" i="11"/>
  <c r="EQ6" i="11"/>
  <c r="BC19" i="11"/>
  <c r="BK25" i="11"/>
  <c r="BK82" i="11" s="1"/>
  <c r="CZ24" i="11"/>
  <c r="DS29" i="11"/>
  <c r="DB30" i="11"/>
  <c r="Y31" i="11"/>
  <c r="BX31" i="11"/>
  <c r="AK51" i="11"/>
  <c r="AG75" i="11"/>
  <c r="I6" i="11"/>
  <c r="N6" i="11"/>
  <c r="S6" i="11"/>
  <c r="CC6" i="11"/>
  <c r="CH6" i="11"/>
  <c r="DN7" i="11"/>
  <c r="EE7" i="11"/>
  <c r="EV7" i="11"/>
  <c r="CF7" i="11"/>
  <c r="CK10" i="11"/>
  <c r="DS10" i="11"/>
  <c r="U12" i="11"/>
  <c r="CK12" i="11"/>
  <c r="BT13" i="11"/>
  <c r="BT14" i="11"/>
  <c r="E17" i="11"/>
  <c r="E6" i="11" s="1"/>
  <c r="M17" i="11"/>
  <c r="M6" i="11" s="1"/>
  <c r="CT6" i="11"/>
  <c r="CY6" i="11"/>
  <c r="DV6" i="11"/>
  <c r="EM6" i="11"/>
  <c r="BT27" i="11"/>
  <c r="DR25" i="11"/>
  <c r="DR82" i="11" s="1"/>
  <c r="FA27" i="11"/>
  <c r="BC28" i="11"/>
  <c r="DB28" i="11"/>
  <c r="AL29" i="11"/>
  <c r="AK31" i="11"/>
  <c r="AT31" i="11"/>
  <c r="CJ31" i="11"/>
  <c r="CK32" i="11"/>
  <c r="BO38" i="11"/>
  <c r="EE38" i="11"/>
  <c r="EE49" i="11"/>
  <c r="EP24" i="11"/>
  <c r="EV51" i="11"/>
  <c r="AG62" i="11"/>
  <c r="CF62" i="11"/>
  <c r="AP64" i="11"/>
  <c r="BN24" i="11"/>
  <c r="DW64" i="11"/>
  <c r="AC75" i="11"/>
  <c r="O6" i="11"/>
  <c r="AF6" i="11"/>
  <c r="AL8" i="11"/>
  <c r="CJ7" i="11"/>
  <c r="DB8" i="11"/>
  <c r="BC26" i="11"/>
  <c r="BC27" i="11"/>
  <c r="CF31" i="11"/>
  <c r="BO49" i="11"/>
  <c r="CF49" i="11"/>
  <c r="EZ62" i="11"/>
  <c r="BB64" i="11"/>
  <c r="EI64" i="11"/>
  <c r="Y75" i="11"/>
  <c r="AP75" i="11"/>
  <c r="FA76" i="11"/>
  <c r="FA75" i="11" s="1"/>
  <c r="EH24" i="11"/>
  <c r="M24" i="11"/>
  <c r="CT24" i="11"/>
  <c r="L75" i="11"/>
  <c r="BB75" i="11"/>
  <c r="CF75" i="11"/>
  <c r="EI75" i="11"/>
  <c r="AF24" i="11"/>
  <c r="BI24" i="11"/>
  <c r="BD24" i="11"/>
  <c r="BG64" i="11"/>
  <c r="K24" i="11"/>
  <c r="AH24" i="11"/>
  <c r="BV24" i="11"/>
  <c r="BJ24" i="11"/>
  <c r="BJ5" i="11" s="1"/>
  <c r="P64" i="11"/>
  <c r="AC64" i="11"/>
  <c r="BS64" i="11"/>
  <c r="CB62" i="11"/>
  <c r="Y62" i="11"/>
  <c r="BX62" i="11"/>
  <c r="EA62" i="11"/>
  <c r="CS51" i="11"/>
  <c r="AJ24" i="11"/>
  <c r="AG51" i="11"/>
  <c r="EI51" i="11"/>
  <c r="EL24" i="11"/>
  <c r="AC51" i="11"/>
  <c r="DR51" i="11"/>
  <c r="Y51" i="11"/>
  <c r="BS51" i="11"/>
  <c r="EJ57" i="11"/>
  <c r="EA49" i="11"/>
  <c r="Z24" i="11"/>
  <c r="Z5" i="11" s="1"/>
  <c r="AV24" i="11"/>
  <c r="AV5" i="11" s="1"/>
  <c r="X24" i="11"/>
  <c r="BB49" i="11"/>
  <c r="BS49" i="11"/>
  <c r="CJ49" i="11"/>
  <c r="EI49" i="11"/>
  <c r="DZ24" i="11"/>
  <c r="AP49" i="11"/>
  <c r="DW49" i="11"/>
  <c r="EV49" i="11"/>
  <c r="BK38" i="11"/>
  <c r="EA38" i="11"/>
  <c r="EB24" i="11"/>
  <c r="BR24" i="11"/>
  <c r="CC24" i="11"/>
  <c r="DU24" i="11"/>
  <c r="AB24" i="11"/>
  <c r="AP38" i="11"/>
  <c r="CF38" i="11"/>
  <c r="DW38" i="11"/>
  <c r="EZ38" i="11"/>
  <c r="BF24" i="11"/>
  <c r="BF5" i="11" s="1"/>
  <c r="DP24" i="11"/>
  <c r="EG24" i="11"/>
  <c r="BS38" i="11"/>
  <c r="EI38" i="11"/>
  <c r="DS8" i="11"/>
  <c r="T7" i="11"/>
  <c r="BT9" i="11"/>
  <c r="DS9" i="11"/>
  <c r="U10" i="11"/>
  <c r="BT10" i="11"/>
  <c r="DA7" i="11"/>
  <c r="FA10" i="11"/>
  <c r="U11" i="11"/>
  <c r="CK11" i="11"/>
  <c r="AQ6" i="11"/>
  <c r="AL18" i="11"/>
  <c r="AX17" i="11"/>
  <c r="BT18" i="11"/>
  <c r="DB19" i="11"/>
  <c r="EJ20" i="11"/>
  <c r="BC21" i="11"/>
  <c r="CK21" i="11"/>
  <c r="U22" i="11"/>
  <c r="BC22" i="11"/>
  <c r="FA22" i="11"/>
  <c r="U23" i="11"/>
  <c r="DS23" i="11"/>
  <c r="FA23" i="11"/>
  <c r="EF86" i="11"/>
  <c r="EF24" i="11"/>
  <c r="EF82" i="11"/>
  <c r="CK27" i="11"/>
  <c r="EJ27" i="11"/>
  <c r="EN25" i="11"/>
  <c r="EN82" i="11" s="1"/>
  <c r="AL28" i="11"/>
  <c r="CK28" i="11"/>
  <c r="BC29" i="11"/>
  <c r="DB29" i="11"/>
  <c r="BC30" i="11"/>
  <c r="CK30" i="11"/>
  <c r="EJ30" i="11"/>
  <c r="AC31" i="11"/>
  <c r="AG31" i="11"/>
  <c r="BA24" i="11"/>
  <c r="EE31" i="11"/>
  <c r="BT32" i="11"/>
  <c r="CS31" i="11"/>
  <c r="BC46" i="11"/>
  <c r="EJ11" i="11"/>
  <c r="AL12" i="11"/>
  <c r="AL13" i="11"/>
  <c r="DS13" i="11"/>
  <c r="U14" i="11"/>
  <c r="BC14" i="11"/>
  <c r="CK14" i="11"/>
  <c r="EJ14" i="11"/>
  <c r="AL15" i="11"/>
  <c r="FA16" i="11"/>
  <c r="I24" i="11"/>
  <c r="EC24" i="11"/>
  <c r="AX38" i="11"/>
  <c r="AZ24" i="11"/>
  <c r="BX38" i="11"/>
  <c r="DN51" i="11"/>
  <c r="W6" i="11"/>
  <c r="DP6" i="11"/>
  <c r="EG6" i="11"/>
  <c r="ES6" i="11"/>
  <c r="AG7" i="11"/>
  <c r="AX7" i="11"/>
  <c r="ER7" i="11"/>
  <c r="L7" i="11"/>
  <c r="AT7" i="11"/>
  <c r="BT11" i="11"/>
  <c r="FA12" i="11"/>
  <c r="CB7" i="11"/>
  <c r="DS14" i="11"/>
  <c r="U15" i="11"/>
  <c r="DB15" i="11"/>
  <c r="FA15" i="11"/>
  <c r="CK16" i="11"/>
  <c r="AI6" i="11"/>
  <c r="AY6" i="11"/>
  <c r="CM6" i="11"/>
  <c r="DY6" i="11"/>
  <c r="EU6" i="11"/>
  <c r="U19" i="11"/>
  <c r="AP17" i="11"/>
  <c r="BK17" i="11"/>
  <c r="EA17" i="11"/>
  <c r="F82" i="11"/>
  <c r="F24" i="11"/>
  <c r="Q82" i="11"/>
  <c r="Q24" i="11"/>
  <c r="BQ24" i="11"/>
  <c r="CG24" i="11"/>
  <c r="CR82" i="11"/>
  <c r="CR24" i="11"/>
  <c r="DD86" i="11"/>
  <c r="DD82" i="11"/>
  <c r="DX24" i="11"/>
  <c r="BT26" i="11"/>
  <c r="DS26" i="11"/>
  <c r="U27" i="11"/>
  <c r="DS27" i="11"/>
  <c r="DN25" i="11"/>
  <c r="DN82" i="11" s="1"/>
  <c r="EJ28" i="11"/>
  <c r="U29" i="11"/>
  <c r="FA29" i="11"/>
  <c r="AN24" i="11"/>
  <c r="AN5" i="11" s="1"/>
  <c r="DD24" i="11"/>
  <c r="DW31" i="11"/>
  <c r="BC33" i="11"/>
  <c r="DS33" i="11"/>
  <c r="T31" i="11"/>
  <c r="S24" i="11"/>
  <c r="BG38" i="11"/>
  <c r="CJ38" i="11"/>
  <c r="AX49" i="11"/>
  <c r="DL24" i="11"/>
  <c r="DQ24" i="11"/>
  <c r="BO51" i="11"/>
  <c r="AC62" i="11"/>
  <c r="AE6" i="11"/>
  <c r="BW6" i="11"/>
  <c r="CO86" i="11"/>
  <c r="CO82" i="11"/>
  <c r="H25" i="11"/>
  <c r="H82" i="11" s="1"/>
  <c r="G24" i="11"/>
  <c r="CN24" i="11"/>
  <c r="DE24" i="11"/>
  <c r="DR64" i="11"/>
  <c r="BY6" i="11"/>
  <c r="CN6" i="11"/>
  <c r="DE6" i="11"/>
  <c r="DU6" i="11"/>
  <c r="DZ6" i="11"/>
  <c r="EF6" i="11"/>
  <c r="EW6" i="11"/>
  <c r="BK7" i="11"/>
  <c r="CK8" i="11"/>
  <c r="EN7" i="11"/>
  <c r="BC9" i="11"/>
  <c r="BC10" i="11"/>
  <c r="EJ10" i="11"/>
  <c r="DB11" i="11"/>
  <c r="FA11" i="11"/>
  <c r="DB12" i="11"/>
  <c r="EJ12" i="11"/>
  <c r="EJ13" i="11"/>
  <c r="FA14" i="11"/>
  <c r="BT15" i="11"/>
  <c r="BC16" i="11"/>
  <c r="EJ16" i="11"/>
  <c r="CE6" i="11"/>
  <c r="CQ6" i="11"/>
  <c r="CU6" i="11"/>
  <c r="DG6" i="11"/>
  <c r="AL19" i="11"/>
  <c r="DF17" i="11"/>
  <c r="CK20" i="11"/>
  <c r="DS20" i="11"/>
  <c r="AL21" i="11"/>
  <c r="BT21" i="11"/>
  <c r="AL22" i="11"/>
  <c r="BG17" i="11"/>
  <c r="EJ22" i="11"/>
  <c r="DB23" i="11"/>
  <c r="EJ23" i="11"/>
  <c r="EX24" i="11"/>
  <c r="AL26" i="11"/>
  <c r="CW25" i="11"/>
  <c r="CW86" i="11" s="1"/>
  <c r="EJ26" i="11"/>
  <c r="CS25" i="11"/>
  <c r="CS86" i="11" s="1"/>
  <c r="BT28" i="11"/>
  <c r="CK29" i="11"/>
  <c r="DF25" i="11"/>
  <c r="DF86" i="11" s="1"/>
  <c r="AL30" i="11"/>
  <c r="BT30" i="11"/>
  <c r="DS30" i="11"/>
  <c r="E24" i="11"/>
  <c r="O24" i="11"/>
  <c r="AR24" i="11"/>
  <c r="BG31" i="11"/>
  <c r="DH24" i="11"/>
  <c r="DM24" i="11"/>
  <c r="DM5" i="11" s="1"/>
  <c r="DT24" i="11"/>
  <c r="EA31" i="11"/>
  <c r="AL32" i="11"/>
  <c r="EJ32" i="11"/>
  <c r="CK33" i="11"/>
  <c r="FA33" i="11"/>
  <c r="CW31" i="11"/>
  <c r="CB38" i="11"/>
  <c r="EV38" i="11"/>
  <c r="AL39" i="11"/>
  <c r="BC39" i="11"/>
  <c r="BT39" i="11"/>
  <c r="CK39" i="11"/>
  <c r="DB39" i="11"/>
  <c r="DS39" i="11"/>
  <c r="EJ39" i="11"/>
  <c r="AL40" i="11"/>
  <c r="CK40" i="11"/>
  <c r="DS40" i="11"/>
  <c r="EJ40" i="11"/>
  <c r="U41" i="11"/>
  <c r="AL41" i="11"/>
  <c r="DB41" i="11"/>
  <c r="U42" i="11"/>
  <c r="AL42" i="11"/>
  <c r="BC42" i="11"/>
  <c r="BT42" i="11"/>
  <c r="CK42" i="11"/>
  <c r="DB42" i="11"/>
  <c r="DS42" i="11"/>
  <c r="U43" i="11"/>
  <c r="BT43" i="11"/>
  <c r="DB43" i="11"/>
  <c r="DS43" i="11"/>
  <c r="EJ43" i="11"/>
  <c r="FA43" i="11"/>
  <c r="U44" i="11"/>
  <c r="CK44" i="11"/>
  <c r="DB44" i="11"/>
  <c r="FA44" i="11"/>
  <c r="U45" i="11"/>
  <c r="AL45" i="11"/>
  <c r="BC45" i="11"/>
  <c r="BT45" i="11"/>
  <c r="CK45" i="11"/>
  <c r="DB45" i="11"/>
  <c r="BK49" i="11"/>
  <c r="EA51" i="11"/>
  <c r="AL52" i="11"/>
  <c r="BC52" i="11"/>
  <c r="BT52" i="11"/>
  <c r="DB52" i="11"/>
  <c r="DS52" i="11"/>
  <c r="EJ52" i="11"/>
  <c r="FA52" i="11"/>
  <c r="BT53" i="11"/>
  <c r="CK53" i="11"/>
  <c r="EJ53" i="11"/>
  <c r="U54" i="11"/>
  <c r="AL54" i="11"/>
  <c r="BC54" i="11"/>
  <c r="BT54" i="11"/>
  <c r="CK54" i="11"/>
  <c r="DB54" i="11"/>
  <c r="EJ54" i="11"/>
  <c r="FA54" i="11"/>
  <c r="AL55" i="11"/>
  <c r="BC55" i="11"/>
  <c r="CK55" i="11"/>
  <c r="DB55" i="11"/>
  <c r="EJ55" i="11"/>
  <c r="FA55" i="11"/>
  <c r="AL56" i="11"/>
  <c r="BC56" i="11"/>
  <c r="BT56" i="11"/>
  <c r="DB56" i="11"/>
  <c r="DS56" i="11"/>
  <c r="EJ56" i="11"/>
  <c r="AL57" i="11"/>
  <c r="BC57" i="11"/>
  <c r="BT57" i="11"/>
  <c r="AX62" i="11"/>
  <c r="BK62" i="11"/>
  <c r="BK64" i="11"/>
  <c r="DJ64" i="11"/>
  <c r="AT75" i="11"/>
  <c r="BX75" i="11"/>
  <c r="AF86" i="11"/>
  <c r="CK46" i="11"/>
  <c r="DB46" i="11"/>
  <c r="DS46" i="11"/>
  <c r="EJ46" i="11"/>
  <c r="FA46" i="11"/>
  <c r="BT47" i="11"/>
  <c r="CK47" i="11"/>
  <c r="EJ47" i="11"/>
  <c r="U48" i="11"/>
  <c r="AL48" i="11"/>
  <c r="BC48" i="11"/>
  <c r="BT48" i="11"/>
  <c r="CK48" i="11"/>
  <c r="FA48" i="11"/>
  <c r="EZ49" i="11"/>
  <c r="BG51" i="11"/>
  <c r="CJ51" i="11"/>
  <c r="ER51" i="11"/>
  <c r="DJ51" i="11"/>
  <c r="U58" i="11"/>
  <c r="AL58" i="11"/>
  <c r="BT58" i="11"/>
  <c r="CK58" i="11"/>
  <c r="DB58" i="11"/>
  <c r="DS58" i="11"/>
  <c r="EJ58" i="11"/>
  <c r="AL59" i="11"/>
  <c r="BC59" i="11"/>
  <c r="DB59" i="11"/>
  <c r="FA59" i="11"/>
  <c r="U60" i="11"/>
  <c r="AL60" i="11"/>
  <c r="BC60" i="11"/>
  <c r="BT60" i="11"/>
  <c r="DB60" i="11"/>
  <c r="DS60" i="11"/>
  <c r="U61" i="11"/>
  <c r="BC61" i="11"/>
  <c r="BT61" i="11"/>
  <c r="DB61" i="11"/>
  <c r="DS61" i="11"/>
  <c r="FA61" i="11"/>
  <c r="H62" i="11"/>
  <c r="AT62" i="11"/>
  <c r="BG62" i="11"/>
  <c r="DN64" i="11"/>
  <c r="P75" i="11"/>
  <c r="BO75" i="11"/>
  <c r="CJ75" i="11"/>
  <c r="EZ75" i="11"/>
  <c r="U76" i="11"/>
  <c r="U75" i="11" s="1"/>
  <c r="BC76" i="11"/>
  <c r="BC75" i="11" s="1"/>
  <c r="CK76" i="11"/>
  <c r="CK75" i="11" s="1"/>
  <c r="EB86" i="11"/>
  <c r="P49" i="11"/>
  <c r="BG49" i="11"/>
  <c r="U50" i="11"/>
  <c r="U49" i="11" s="1"/>
  <c r="CK50" i="11"/>
  <c r="CK49" i="11" s="1"/>
  <c r="EJ50" i="11"/>
  <c r="EJ49" i="11" s="1"/>
  <c r="FA50" i="11"/>
  <c r="FA49" i="11" s="1"/>
  <c r="H51" i="11"/>
  <c r="AP51" i="11"/>
  <c r="BK51" i="11"/>
  <c r="BZ24" i="11"/>
  <c r="BZ5" i="11" s="1"/>
  <c r="P62" i="11"/>
  <c r="DW62" i="11"/>
  <c r="U63" i="11"/>
  <c r="AL63" i="11"/>
  <c r="AL62" i="11" s="1"/>
  <c r="BT63" i="11"/>
  <c r="BT62" i="11" s="1"/>
  <c r="CK63" i="11"/>
  <c r="CK62" i="11" s="1"/>
  <c r="DB63" i="11"/>
  <c r="DB62" i="11" s="1"/>
  <c r="FA63" i="11"/>
  <c r="FA62" i="11" s="1"/>
  <c r="L64" i="11"/>
  <c r="Y64" i="11"/>
  <c r="BO64" i="11"/>
  <c r="BC65" i="11"/>
  <c r="BT65" i="11"/>
  <c r="DB65" i="11"/>
  <c r="EJ65" i="11"/>
  <c r="U66" i="11"/>
  <c r="BC66" i="11"/>
  <c r="BT66" i="11"/>
  <c r="CK66" i="11"/>
  <c r="EJ66" i="11"/>
  <c r="U67" i="11"/>
  <c r="AL67" i="11"/>
  <c r="CK67" i="11"/>
  <c r="DB67" i="11"/>
  <c r="EJ67" i="11"/>
  <c r="FA67" i="11"/>
  <c r="AL68" i="11"/>
  <c r="BC68" i="11"/>
  <c r="CK68" i="11"/>
  <c r="DB68" i="11"/>
  <c r="DS68" i="11"/>
  <c r="AL69" i="11"/>
  <c r="BC69" i="11"/>
  <c r="BT69" i="11"/>
  <c r="DS69" i="11"/>
  <c r="EJ69" i="11"/>
  <c r="U70" i="11"/>
  <c r="BT70" i="11"/>
  <c r="CK70" i="11"/>
  <c r="DS70" i="11"/>
  <c r="EJ70" i="11"/>
  <c r="FA70" i="11"/>
  <c r="BT71" i="11"/>
  <c r="CK71" i="11"/>
  <c r="EJ71" i="11"/>
  <c r="FA71" i="11"/>
  <c r="U72" i="11"/>
  <c r="AL72" i="11"/>
  <c r="BC72" i="11"/>
  <c r="DS72" i="11"/>
  <c r="EJ72" i="11"/>
  <c r="FA72" i="11"/>
  <c r="AL73" i="11"/>
  <c r="BC73" i="11"/>
  <c r="BT73" i="11"/>
  <c r="DS73" i="11"/>
  <c r="EJ73" i="11"/>
  <c r="FA73" i="11"/>
  <c r="U74" i="11"/>
  <c r="BC74" i="11"/>
  <c r="BT74" i="11"/>
  <c r="DS74" i="11"/>
  <c r="EJ74" i="11"/>
  <c r="FA74" i="11"/>
  <c r="H75" i="11"/>
  <c r="AX75" i="11"/>
  <c r="CB75" i="11"/>
  <c r="EV75" i="11"/>
  <c r="U8" i="11"/>
  <c r="P7" i="11"/>
  <c r="DB18" i="11"/>
  <c r="BT19" i="11"/>
  <c r="BS17" i="11"/>
  <c r="DI6" i="11"/>
  <c r="CS7" i="11"/>
  <c r="AL11" i="11"/>
  <c r="BB7" i="11"/>
  <c r="BC12" i="11"/>
  <c r="DF7" i="11"/>
  <c r="DS12" i="11"/>
  <c r="DB13" i="11"/>
  <c r="Y16" i="11"/>
  <c r="Y7" i="11" s="1"/>
  <c r="X7" i="11"/>
  <c r="X6" i="11" s="1"/>
  <c r="AG17" i="11"/>
  <c r="FA8" i="11"/>
  <c r="DB9" i="11"/>
  <c r="CW7" i="11"/>
  <c r="AL14" i="11"/>
  <c r="AK7" i="11"/>
  <c r="DS15" i="11"/>
  <c r="DR7" i="11"/>
  <c r="DS18" i="11"/>
  <c r="DR17" i="11"/>
  <c r="BC8" i="11"/>
  <c r="BT8" i="11"/>
  <c r="BS7" i="11"/>
  <c r="DW7" i="11"/>
  <c r="DW6" i="11" s="1"/>
  <c r="EJ9" i="11"/>
  <c r="FA9" i="11"/>
  <c r="EZ7" i="11"/>
  <c r="DB20" i="11"/>
  <c r="DA17" i="11"/>
  <c r="DB21" i="11"/>
  <c r="CW17" i="11"/>
  <c r="H7" i="11"/>
  <c r="CO7" i="11"/>
  <c r="AL9" i="11"/>
  <c r="DJ7" i="11"/>
  <c r="BC13" i="11"/>
  <c r="CK15" i="11"/>
  <c r="DB16" i="11"/>
  <c r="BT22" i="11"/>
  <c r="BO17" i="11"/>
  <c r="AM82" i="11"/>
  <c r="AM86" i="11"/>
  <c r="AM24" i="11"/>
  <c r="AP25" i="11"/>
  <c r="BY86" i="11"/>
  <c r="BY82" i="11"/>
  <c r="CB25" i="11"/>
  <c r="CP86" i="11"/>
  <c r="CP82" i="11"/>
  <c r="CP24" i="11"/>
  <c r="CP5" i="11" s="1"/>
  <c r="DV86" i="11"/>
  <c r="DV82" i="11"/>
  <c r="DV24" i="11"/>
  <c r="EM82" i="11"/>
  <c r="EM86" i="11"/>
  <c r="EM24" i="11"/>
  <c r="BH24" i="11"/>
  <c r="BK31" i="11"/>
  <c r="AG49" i="11"/>
  <c r="AD24" i="11"/>
  <c r="BX51" i="11"/>
  <c r="BU24" i="11"/>
  <c r="EV64" i="11"/>
  <c r="ET24" i="11"/>
  <c r="ET5" i="11" s="1"/>
  <c r="EA7" i="11"/>
  <c r="BG7" i="11"/>
  <c r="CK9" i="11"/>
  <c r="BC11" i="11"/>
  <c r="BT12" i="11"/>
  <c r="FA13" i="11"/>
  <c r="AC16" i="11"/>
  <c r="BT16" i="11"/>
  <c r="CB17" i="11"/>
  <c r="EJ18" i="11"/>
  <c r="BX17" i="11"/>
  <c r="CK19" i="11"/>
  <c r="BY24" i="11"/>
  <c r="R82" i="11"/>
  <c r="R24" i="11"/>
  <c r="W82" i="11"/>
  <c r="W86" i="11"/>
  <c r="W24" i="11"/>
  <c r="AA82" i="11"/>
  <c r="AA86" i="11"/>
  <c r="AA24" i="11"/>
  <c r="AE82" i="11"/>
  <c r="AE86" i="11"/>
  <c r="AE24" i="11"/>
  <c r="AI82" i="11"/>
  <c r="AI86" i="11"/>
  <c r="AI24" i="11"/>
  <c r="AS86" i="11"/>
  <c r="AS82" i="11"/>
  <c r="AY82" i="11"/>
  <c r="AY86" i="11"/>
  <c r="AY24" i="11"/>
  <c r="BB25" i="11"/>
  <c r="CL82" i="11"/>
  <c r="CL86" i="11"/>
  <c r="DJ86" i="11"/>
  <c r="DJ82" i="11"/>
  <c r="EH82" i="11"/>
  <c r="EH86" i="11"/>
  <c r="DB26" i="11"/>
  <c r="DB27" i="11"/>
  <c r="DA25" i="11"/>
  <c r="EZ31" i="11"/>
  <c r="EW24" i="11"/>
  <c r="H31" i="11"/>
  <c r="U32" i="11"/>
  <c r="DN31" i="11"/>
  <c r="CO31" i="11"/>
  <c r="DB33" i="11"/>
  <c r="EJ34" i="11"/>
  <c r="AL36" i="11"/>
  <c r="DS37" i="11"/>
  <c r="AG38" i="11"/>
  <c r="FA39" i="11"/>
  <c r="H38" i="11"/>
  <c r="U40" i="11"/>
  <c r="BC41" i="11"/>
  <c r="BT41" i="11"/>
  <c r="CK41" i="11"/>
  <c r="EJ42" i="11"/>
  <c r="FA42" i="11"/>
  <c r="AL44" i="11"/>
  <c r="BC44" i="11"/>
  <c r="BT44" i="11"/>
  <c r="DS45" i="11"/>
  <c r="EJ45" i="11"/>
  <c r="FA45" i="11"/>
  <c r="U47" i="11"/>
  <c r="AL47" i="11"/>
  <c r="BC47" i="11"/>
  <c r="DB48" i="11"/>
  <c r="DS48" i="11"/>
  <c r="EJ48" i="11"/>
  <c r="U53" i="11"/>
  <c r="BC53" i="11"/>
  <c r="U55" i="11"/>
  <c r="U57" i="11"/>
  <c r="FA58" i="11"/>
  <c r="U59" i="11"/>
  <c r="EJ60" i="11"/>
  <c r="DA64" i="11"/>
  <c r="BG82" i="11"/>
  <c r="CI82" i="11"/>
  <c r="CI86" i="11"/>
  <c r="CI24" i="11"/>
  <c r="EX82" i="11"/>
  <c r="EX86" i="11"/>
  <c r="DB10" i="11"/>
  <c r="BC15" i="11"/>
  <c r="EJ19" i="11"/>
  <c r="CK22" i="11"/>
  <c r="AO86" i="11"/>
  <c r="AO82" i="11"/>
  <c r="AO24" i="11"/>
  <c r="BE86" i="11"/>
  <c r="BE82" i="11"/>
  <c r="BE24" i="11"/>
  <c r="BQ86" i="11"/>
  <c r="BQ82" i="11"/>
  <c r="CG86" i="11"/>
  <c r="CG82" i="11"/>
  <c r="CJ25" i="11"/>
  <c r="EK86" i="11"/>
  <c r="EK82" i="11"/>
  <c r="EU82" i="11"/>
  <c r="EU86" i="11"/>
  <c r="EU24" i="11"/>
  <c r="FA28" i="11"/>
  <c r="EJ29" i="11"/>
  <c r="BS31" i="11"/>
  <c r="BP24" i="11"/>
  <c r="EI31" i="11"/>
  <c r="BC35" i="11"/>
  <c r="EJ36" i="11"/>
  <c r="CW38" i="11"/>
  <c r="BC40" i="11"/>
  <c r="EJ41" i="11"/>
  <c r="FA41" i="11"/>
  <c r="BC43" i="11"/>
  <c r="DS44" i="11"/>
  <c r="Y49" i="11"/>
  <c r="V24" i="11"/>
  <c r="BT50" i="11"/>
  <c r="BT49" i="11" s="1"/>
  <c r="AX51" i="11"/>
  <c r="DS55" i="11"/>
  <c r="AW86" i="11"/>
  <c r="AW82" i="11"/>
  <c r="AW24" i="11"/>
  <c r="CD86" i="11"/>
  <c r="CD82" i="11"/>
  <c r="ES86" i="11"/>
  <c r="ES82" i="11"/>
  <c r="EV25" i="11"/>
  <c r="U9" i="11"/>
  <c r="CK13" i="11"/>
  <c r="BB17" i="11"/>
  <c r="DJ17" i="11"/>
  <c r="AL20" i="11"/>
  <c r="DS21" i="11"/>
  <c r="BC23" i="11"/>
  <c r="AU82" i="11"/>
  <c r="AU24" i="11"/>
  <c r="AU86" i="11"/>
  <c r="AX25" i="11"/>
  <c r="BI86" i="11"/>
  <c r="BI82" i="11"/>
  <c r="BM86" i="11"/>
  <c r="BM82" i="11"/>
  <c r="BM24" i="11"/>
  <c r="BV82" i="11"/>
  <c r="BV86" i="11"/>
  <c r="CA82" i="11"/>
  <c r="CA86" i="11"/>
  <c r="CA24" i="11"/>
  <c r="CX86" i="11"/>
  <c r="CX82" i="11"/>
  <c r="CX24" i="11"/>
  <c r="ED86" i="11"/>
  <c r="ED82" i="11"/>
  <c r="ED24" i="11"/>
  <c r="EP86" i="11"/>
  <c r="EP82" i="11"/>
  <c r="FA26" i="11"/>
  <c r="BB31" i="11"/>
  <c r="CV24" i="11"/>
  <c r="EO24" i="11"/>
  <c r="EV31" i="11"/>
  <c r="DB32" i="11"/>
  <c r="DA31" i="11"/>
  <c r="U33" i="11"/>
  <c r="P31" i="11"/>
  <c r="AL35" i="11"/>
  <c r="DS36" i="11"/>
  <c r="T38" i="11"/>
  <c r="DN38" i="11"/>
  <c r="BT40" i="11"/>
  <c r="P38" i="11"/>
  <c r="AL43" i="11"/>
  <c r="EJ44" i="11"/>
  <c r="U46" i="11"/>
  <c r="AL46" i="11"/>
  <c r="DB47" i="11"/>
  <c r="DS47" i="11"/>
  <c r="H49" i="11"/>
  <c r="BX49" i="11"/>
  <c r="AL50" i="11"/>
  <c r="AL49" i="11" s="1"/>
  <c r="DS53" i="11"/>
  <c r="EN51" i="11"/>
  <c r="FA53" i="11"/>
  <c r="CK57" i="11"/>
  <c r="DS57" i="11"/>
  <c r="CK59" i="11"/>
  <c r="DF51" i="11"/>
  <c r="DS59" i="11"/>
  <c r="CK61" i="11"/>
  <c r="CJ64" i="11"/>
  <c r="CH24" i="11"/>
  <c r="AD7" i="11"/>
  <c r="AD6" i="11" s="1"/>
  <c r="BO7" i="11"/>
  <c r="EJ8" i="11"/>
  <c r="EI7" i="11"/>
  <c r="AL10" i="11"/>
  <c r="DS11" i="11"/>
  <c r="U13" i="11"/>
  <c r="DB14" i="11"/>
  <c r="U16" i="11"/>
  <c r="EE17" i="11"/>
  <c r="EI17" i="11"/>
  <c r="BC18" i="11"/>
  <c r="CK18" i="11"/>
  <c r="CJ17" i="11"/>
  <c r="DN17" i="11"/>
  <c r="DN6" i="11" s="1"/>
  <c r="CF17" i="11"/>
  <c r="BT20" i="11"/>
  <c r="U21" i="11"/>
  <c r="FA21" i="11"/>
  <c r="DS22" i="11"/>
  <c r="CK23" i="11"/>
  <c r="AS24" i="11"/>
  <c r="BL24" i="11"/>
  <c r="CL24" i="11"/>
  <c r="EK24" i="11"/>
  <c r="ES24" i="11"/>
  <c r="J82" i="11"/>
  <c r="J24" i="11"/>
  <c r="Y25" i="11"/>
  <c r="AC25" i="11"/>
  <c r="AG25" i="11"/>
  <c r="AK25" i="11"/>
  <c r="AQ82" i="11"/>
  <c r="AQ86" i="11"/>
  <c r="AQ24" i="11"/>
  <c r="AT25" i="11"/>
  <c r="BA86" i="11"/>
  <c r="BA82" i="11"/>
  <c r="CT86" i="11"/>
  <c r="CT82" i="11"/>
  <c r="DZ86" i="11"/>
  <c r="DZ82" i="11"/>
  <c r="U26" i="11"/>
  <c r="T25" i="11"/>
  <c r="T82" i="11" s="1"/>
  <c r="U28" i="11"/>
  <c r="EN31" i="11"/>
  <c r="FA32" i="11"/>
  <c r="U34" i="11"/>
  <c r="AL34" i="11"/>
  <c r="CK35" i="11"/>
  <c r="DB35" i="11"/>
  <c r="DS35" i="11"/>
  <c r="U37" i="11"/>
  <c r="Y38" i="11"/>
  <c r="U39" i="11"/>
  <c r="EN38" i="11"/>
  <c r="FA40" i="11"/>
  <c r="CK43" i="11"/>
  <c r="BT46" i="11"/>
  <c r="FA47" i="11"/>
  <c r="FA57" i="11"/>
  <c r="EJ61" i="11"/>
  <c r="U62" i="11"/>
  <c r="EN64" i="11"/>
  <c r="FA66" i="11"/>
  <c r="BU86" i="11"/>
  <c r="BU82" i="11"/>
  <c r="BX25" i="11"/>
  <c r="BZ86" i="11"/>
  <c r="BZ82" i="11"/>
  <c r="CE82" i="11"/>
  <c r="CE86" i="11"/>
  <c r="CE24" i="11"/>
  <c r="DE86" i="11"/>
  <c r="DE82" i="11"/>
  <c r="DI86" i="11"/>
  <c r="DI82" i="11"/>
  <c r="DM86" i="11"/>
  <c r="DM82" i="11"/>
  <c r="DQ86" i="11"/>
  <c r="DQ82" i="11"/>
  <c r="DU86" i="11"/>
  <c r="DU82" i="11"/>
  <c r="DY86" i="11"/>
  <c r="DY82" i="11"/>
  <c r="EC86" i="11"/>
  <c r="EC82" i="11"/>
  <c r="EG86" i="11"/>
  <c r="EG82" i="11"/>
  <c r="EL86" i="11"/>
  <c r="EL82" i="11"/>
  <c r="EQ82" i="11"/>
  <c r="EQ86" i="11"/>
  <c r="EQ24" i="11"/>
  <c r="EW86" i="11"/>
  <c r="EW82" i="11"/>
  <c r="EZ25" i="11"/>
  <c r="P82" i="11"/>
  <c r="P25" i="11"/>
  <c r="CK26" i="11"/>
  <c r="BT29" i="11"/>
  <c r="FA30" i="11"/>
  <c r="AP31" i="11"/>
  <c r="BC32" i="11"/>
  <c r="DF31" i="11"/>
  <c r="EJ33" i="11"/>
  <c r="AC38" i="11"/>
  <c r="AT38" i="11"/>
  <c r="DA38" i="11"/>
  <c r="DF38" i="11"/>
  <c r="DS41" i="11"/>
  <c r="L49" i="11"/>
  <c r="AC49" i="11"/>
  <c r="DW51" i="11"/>
  <c r="EZ51" i="11"/>
  <c r="FA56" i="11"/>
  <c r="EJ59" i="11"/>
  <c r="L62" i="11"/>
  <c r="CK65" i="11"/>
  <c r="DS65" i="11"/>
  <c r="BT68" i="11"/>
  <c r="FA69" i="11"/>
  <c r="DB76" i="11"/>
  <c r="DB75" i="11" s="1"/>
  <c r="DR75" i="11"/>
  <c r="DS76" i="11"/>
  <c r="DS75" i="11" s="1"/>
  <c r="V82" i="11"/>
  <c r="N24" i="11"/>
  <c r="DI24" i="11"/>
  <c r="DY24" i="11"/>
  <c r="Z82" i="11"/>
  <c r="Z86" i="11"/>
  <c r="AD86" i="11"/>
  <c r="AD82" i="11"/>
  <c r="AH86" i="11"/>
  <c r="AH82" i="11"/>
  <c r="BF82" i="11"/>
  <c r="BF86" i="11"/>
  <c r="BJ86" i="11"/>
  <c r="BJ82" i="11"/>
  <c r="BN86" i="11"/>
  <c r="BN82" i="11"/>
  <c r="BR86" i="11"/>
  <c r="BR82" i="11"/>
  <c r="BW82" i="11"/>
  <c r="BW24" i="11"/>
  <c r="CC86" i="11"/>
  <c r="CC82" i="11"/>
  <c r="CF25" i="11"/>
  <c r="CH86" i="11"/>
  <c r="CH82" i="11"/>
  <c r="CM82" i="11"/>
  <c r="CM86" i="11"/>
  <c r="CM24" i="11"/>
  <c r="CQ82" i="11"/>
  <c r="CQ86" i="11"/>
  <c r="CQ24" i="11"/>
  <c r="CU82" i="11"/>
  <c r="CU86" i="11"/>
  <c r="CU24" i="11"/>
  <c r="CY82" i="11"/>
  <c r="CY86" i="11"/>
  <c r="CY24" i="11"/>
  <c r="DC82" i="11"/>
  <c r="DC86" i="11"/>
  <c r="DC24" i="11"/>
  <c r="DG82" i="11"/>
  <c r="DG86" i="11"/>
  <c r="DG24" i="11"/>
  <c r="DK82" i="11"/>
  <c r="DK86" i="11"/>
  <c r="DK24" i="11"/>
  <c r="DO82" i="11"/>
  <c r="DO86" i="11"/>
  <c r="DO24" i="11"/>
  <c r="DW25" i="11"/>
  <c r="EA25" i="11"/>
  <c r="EE25" i="11"/>
  <c r="EI25" i="11"/>
  <c r="EO86" i="11"/>
  <c r="EO82" i="11"/>
  <c r="EY82" i="11"/>
  <c r="EY86" i="11"/>
  <c r="EY24" i="11"/>
  <c r="EY5" i="11" s="1"/>
  <c r="AL27" i="11"/>
  <c r="DS28" i="11"/>
  <c r="U30" i="11"/>
  <c r="AX31" i="11"/>
  <c r="DS32" i="11"/>
  <c r="DR31" i="11"/>
  <c r="BT33" i="11"/>
  <c r="AK38" i="11"/>
  <c r="BB38" i="11"/>
  <c r="CS38" i="11"/>
  <c r="DJ38" i="11"/>
  <c r="CO38" i="11"/>
  <c r="DB40" i="11"/>
  <c r="DR38" i="11"/>
  <c r="T49" i="11"/>
  <c r="AK49" i="11"/>
  <c r="CB49" i="11"/>
  <c r="DB50" i="11"/>
  <c r="DB49" i="11" s="1"/>
  <c r="BB51" i="11"/>
  <c r="EE51" i="11"/>
  <c r="CK52" i="11"/>
  <c r="BT55" i="11"/>
  <c r="BC58" i="11"/>
  <c r="AL61" i="11"/>
  <c r="T62" i="11"/>
  <c r="BC63" i="11"/>
  <c r="BC62" i="11" s="1"/>
  <c r="BX64" i="11"/>
  <c r="AL66" i="11"/>
  <c r="DS67" i="11"/>
  <c r="U69" i="11"/>
  <c r="DB70" i="11"/>
  <c r="ET82" i="11"/>
  <c r="X86" i="11"/>
  <c r="X82" i="11"/>
  <c r="AB86" i="11"/>
  <c r="AB82" i="11"/>
  <c r="AJ82" i="11"/>
  <c r="AJ86" i="11"/>
  <c r="AN86" i="11"/>
  <c r="AN82" i="11"/>
  <c r="AV82" i="11"/>
  <c r="AV86" i="11"/>
  <c r="AZ82" i="11"/>
  <c r="AZ86" i="11"/>
  <c r="BD86" i="11"/>
  <c r="BD82" i="11"/>
  <c r="BH86" i="11"/>
  <c r="BH82" i="11"/>
  <c r="BL82" i="11"/>
  <c r="BL86" i="11"/>
  <c r="CN86" i="11"/>
  <c r="CN82" i="11"/>
  <c r="CV82" i="11"/>
  <c r="CV86" i="11"/>
  <c r="CZ86" i="11"/>
  <c r="CZ82" i="11"/>
  <c r="DH82" i="11"/>
  <c r="DH86" i="11"/>
  <c r="DL82" i="11"/>
  <c r="DL86" i="11"/>
  <c r="DP86" i="11"/>
  <c r="DP82" i="11"/>
  <c r="DT86" i="11"/>
  <c r="DT82" i="11"/>
  <c r="DX82" i="11"/>
  <c r="DX86" i="11"/>
  <c r="EN49" i="11"/>
  <c r="DS50" i="11"/>
  <c r="DS49" i="11" s="1"/>
  <c r="T51" i="11"/>
  <c r="CF51" i="11"/>
  <c r="U52" i="11"/>
  <c r="DB53" i="11"/>
  <c r="CK56" i="11"/>
  <c r="BT59" i="11"/>
  <c r="FA60" i="11"/>
  <c r="AP62" i="11"/>
  <c r="BS62" i="11"/>
  <c r="EI62" i="11"/>
  <c r="H64" i="11"/>
  <c r="AK64" i="11"/>
  <c r="CF64" i="11"/>
  <c r="CS64" i="11"/>
  <c r="ER64" i="11"/>
  <c r="EJ76" i="11"/>
  <c r="EJ75" i="11" s="1"/>
  <c r="CR86" i="11"/>
  <c r="BC50" i="11"/>
  <c r="BC49" i="11" s="1"/>
  <c r="P51" i="11"/>
  <c r="CB51" i="11"/>
  <c r="AL53" i="11"/>
  <c r="DS54" i="11"/>
  <c r="U56" i="11"/>
  <c r="DB57" i="11"/>
  <c r="CK60" i="11"/>
  <c r="BB62" i="11"/>
  <c r="BO62" i="11"/>
  <c r="EE62" i="11"/>
  <c r="DS63" i="11"/>
  <c r="DS62" i="11" s="1"/>
  <c r="EJ63" i="11"/>
  <c r="EJ62" i="11" s="1"/>
  <c r="T64" i="11"/>
  <c r="AG64" i="11"/>
  <c r="CB64" i="11"/>
  <c r="EZ64" i="11"/>
  <c r="U65" i="11"/>
  <c r="AL65" i="11"/>
  <c r="CW64" i="11"/>
  <c r="FA65" i="11"/>
  <c r="CO64" i="11"/>
  <c r="DS66" i="11"/>
  <c r="BC67" i="11"/>
  <c r="BT67" i="11"/>
  <c r="U68" i="11"/>
  <c r="EJ68" i="11"/>
  <c r="FA68" i="11"/>
  <c r="CK69" i="11"/>
  <c r="DB69" i="11"/>
  <c r="AL70" i="11"/>
  <c r="BC70" i="11"/>
  <c r="AL71" i="11"/>
  <c r="BC71" i="11"/>
  <c r="CK72" i="11"/>
  <c r="DB72" i="11"/>
  <c r="DW75" i="11"/>
  <c r="AR82" i="11"/>
  <c r="BP86" i="11"/>
  <c r="DB66" i="11"/>
  <c r="DB71" i="11"/>
  <c r="DS71" i="11"/>
  <c r="DB73" i="11"/>
  <c r="AL74" i="11"/>
  <c r="U71" i="11"/>
  <c r="BT72" i="11"/>
  <c r="U73" i="11"/>
  <c r="BG75" i="11"/>
  <c r="AL76" i="11"/>
  <c r="AL75" i="11" s="1"/>
  <c r="CK73" i="11"/>
  <c r="CK74" i="11"/>
  <c r="DB74" i="11"/>
  <c r="T75" i="11"/>
  <c r="BK75" i="11"/>
  <c r="EA75" i="11"/>
  <c r="BS75" i="11"/>
  <c r="EE75" i="11"/>
  <c r="BT76" i="11"/>
  <c r="BT75" i="11" s="1"/>
  <c r="CV5" i="11" l="1"/>
  <c r="DD5" i="11"/>
  <c r="BM5" i="11"/>
  <c r="BQ5" i="11"/>
  <c r="BQ85" i="11" s="1"/>
  <c r="M5" i="11"/>
  <c r="M81" i="11" s="1"/>
  <c r="ER24" i="11"/>
  <c r="ER19" i="11" s="1"/>
  <c r="ER18" i="11" s="1"/>
  <c r="ER17" i="11" s="1"/>
  <c r="BR5" i="11"/>
  <c r="BR85" i="11" s="1"/>
  <c r="CX5" i="11"/>
  <c r="CX85" i="11" s="1"/>
  <c r="AW5" i="11"/>
  <c r="AL16" i="11"/>
  <c r="FB16" i="11" s="1"/>
  <c r="ER86" i="11"/>
  <c r="AK6" i="11"/>
  <c r="CZ5" i="11"/>
  <c r="CZ81" i="11" s="1"/>
  <c r="EB5" i="11"/>
  <c r="EB81" i="11" s="1"/>
  <c r="BE5" i="11"/>
  <c r="AR5" i="11"/>
  <c r="AR85" i="11" s="1"/>
  <c r="BA5" i="11"/>
  <c r="BA85" i="11" s="1"/>
  <c r="EE119" i="1"/>
  <c r="EN119" i="1"/>
  <c r="EE132" i="1"/>
  <c r="EN132" i="1"/>
  <c r="EE25" i="1"/>
  <c r="EN25" i="1"/>
  <c r="EE116" i="1"/>
  <c r="EN116" i="1"/>
  <c r="EN32" i="1"/>
  <c r="EN33" i="1"/>
  <c r="EN30" i="1"/>
  <c r="EE172" i="1"/>
  <c r="EE47" i="1"/>
  <c r="EL34" i="1"/>
  <c r="EG34" i="1"/>
  <c r="EA106" i="1"/>
  <c r="EC25" i="1"/>
  <c r="EA25" i="1"/>
  <c r="DY112" i="1"/>
  <c r="EC172" i="1"/>
  <c r="DY110" i="1"/>
  <c r="DW173" i="1"/>
  <c r="DT83" i="1"/>
  <c r="DV83" i="1" s="1"/>
  <c r="DX83" i="1" s="1"/>
  <c r="DU101" i="1"/>
  <c r="DT175" i="1"/>
  <c r="DY100" i="1"/>
  <c r="EC119" i="1"/>
  <c r="EA131" i="1"/>
  <c r="DU104" i="1"/>
  <c r="DU103" i="1"/>
  <c r="EA23" i="1"/>
  <c r="DZ28" i="1"/>
  <c r="EC132" i="1"/>
  <c r="EB23" i="1"/>
  <c r="DY101" i="1"/>
  <c r="DW29" i="1"/>
  <c r="DW117" i="1"/>
  <c r="DW115" i="1"/>
  <c r="DW124" i="1"/>
  <c r="EA109" i="1"/>
  <c r="DW100" i="1"/>
  <c r="DW143" i="1"/>
  <c r="EB143" i="1"/>
  <c r="ED143" i="1" s="1"/>
  <c r="DW125" i="1"/>
  <c r="DW112" i="1"/>
  <c r="EA90" i="1"/>
  <c r="EA93" i="1"/>
  <c r="DY141" i="1"/>
  <c r="DU110" i="1"/>
  <c r="DY130" i="1"/>
  <c r="DY93" i="1"/>
  <c r="DY90" i="1"/>
  <c r="DT146" i="1"/>
  <c r="DU146" i="1" s="1"/>
  <c r="DU149" i="1"/>
  <c r="DY149" i="1"/>
  <c r="DU173" i="1"/>
  <c r="DW113" i="1"/>
  <c r="EA118" i="1"/>
  <c r="DW114" i="1"/>
  <c r="EE90" i="1"/>
  <c r="ED93" i="1"/>
  <c r="EE93" i="1" s="1"/>
  <c r="EA27" i="1"/>
  <c r="DY28" i="1"/>
  <c r="DX29" i="1"/>
  <c r="DY114" i="1"/>
  <c r="EB118" i="1"/>
  <c r="ED118" i="1" s="1"/>
  <c r="DU130" i="1"/>
  <c r="DU114" i="1"/>
  <c r="DU133" i="1"/>
  <c r="DW121" i="1"/>
  <c r="DY124" i="1"/>
  <c r="EA119" i="1"/>
  <c r="DW104" i="1"/>
  <c r="EA172" i="1"/>
  <c r="DV82" i="1"/>
  <c r="DY109" i="1"/>
  <c r="EB117" i="1"/>
  <c r="ED117" i="1" s="1"/>
  <c r="EC116" i="1"/>
  <c r="EB109" i="1"/>
  <c r="ED109" i="1" s="1"/>
  <c r="DS111" i="1"/>
  <c r="DT125" i="1"/>
  <c r="DU125" i="1" s="1"/>
  <c r="DU142" i="1"/>
  <c r="DT150" i="1"/>
  <c r="DT134" i="1"/>
  <c r="DU107" i="1"/>
  <c r="DU99" i="1"/>
  <c r="DS107" i="1"/>
  <c r="DS134" i="1"/>
  <c r="DS150" i="1"/>
  <c r="DS83" i="1"/>
  <c r="DR84" i="1"/>
  <c r="DM139" i="1"/>
  <c r="DL151" i="1"/>
  <c r="DQ84" i="1"/>
  <c r="DP126" i="1"/>
  <c r="DS175" i="1"/>
  <c r="DR176" i="1"/>
  <c r="DT176" i="1" s="1"/>
  <c r="DO126" i="1"/>
  <c r="DN135" i="1"/>
  <c r="EX5" i="11"/>
  <c r="EX85" i="11" s="1"/>
  <c r="EH5" i="11"/>
  <c r="EH85" i="11" s="1"/>
  <c r="K5" i="11"/>
  <c r="K81" i="11" s="1"/>
  <c r="CD5" i="11"/>
  <c r="CD81" i="11" s="1"/>
  <c r="DK151" i="1"/>
  <c r="DC177" i="1"/>
  <c r="DH171" i="1"/>
  <c r="DI151" i="1"/>
  <c r="DR86" i="11"/>
  <c r="O5" i="11"/>
  <c r="O81" i="11" s="1"/>
  <c r="AS5" i="11"/>
  <c r="AS81" i="11" s="1"/>
  <c r="CJ6" i="11"/>
  <c r="CS6" i="11"/>
  <c r="DQ5" i="11"/>
  <c r="DQ81" i="11" s="1"/>
  <c r="DX5" i="11"/>
  <c r="DX85" i="11" s="1"/>
  <c r="AT6" i="11"/>
  <c r="AZ5" i="11"/>
  <c r="AZ81" i="11" s="1"/>
  <c r="EL5" i="11"/>
  <c r="EL81" i="11" s="1"/>
  <c r="CT5" i="11"/>
  <c r="CT85" i="11" s="1"/>
  <c r="CS82" i="11"/>
  <c r="EO5" i="11"/>
  <c r="CA5" i="11"/>
  <c r="CA81" i="11" s="1"/>
  <c r="V5" i="11"/>
  <c r="V85" i="11" s="1"/>
  <c r="AO5" i="11"/>
  <c r="AO85" i="11" s="1"/>
  <c r="DF82" i="11"/>
  <c r="CO6" i="11"/>
  <c r="Y6" i="11"/>
  <c r="DL5" i="11"/>
  <c r="DL85" i="11" s="1"/>
  <c r="F5" i="11"/>
  <c r="F81" i="11" s="1"/>
  <c r="AP6" i="11"/>
  <c r="BD5" i="11"/>
  <c r="BD85" i="11" s="1"/>
  <c r="BN5" i="11"/>
  <c r="BN85" i="11" s="1"/>
  <c r="DF177" i="1"/>
  <c r="DG171" i="1"/>
  <c r="J5" i="11"/>
  <c r="J81" i="11" s="1"/>
  <c r="CK7" i="11"/>
  <c r="ED5" i="11"/>
  <c r="ED85" i="11" s="1"/>
  <c r="BO86" i="11"/>
  <c r="BX6" i="11"/>
  <c r="DV5" i="11"/>
  <c r="DV85" i="11" s="1"/>
  <c r="DA6" i="11"/>
  <c r="AB5" i="11"/>
  <c r="AB81" i="11" s="1"/>
  <c r="U18" i="11"/>
  <c r="U17" i="11" s="1"/>
  <c r="CM5" i="11"/>
  <c r="CM85" i="11" s="1"/>
  <c r="BT17" i="11"/>
  <c r="G5" i="11"/>
  <c r="G81" i="11" s="1"/>
  <c r="CF6" i="11"/>
  <c r="BW5" i="11"/>
  <c r="BW85" i="11" s="1"/>
  <c r="FB13" i="11"/>
  <c r="FC13" i="11" s="1"/>
  <c r="EJ7" i="11"/>
  <c r="FB23" i="11"/>
  <c r="FC23" i="11" s="1"/>
  <c r="BS86" i="11"/>
  <c r="W5" i="11"/>
  <c r="W81" i="11" s="1"/>
  <c r="BV5" i="11"/>
  <c r="BV85" i="11" s="1"/>
  <c r="CQ5" i="11"/>
  <c r="CQ81" i="11" s="1"/>
  <c r="ES5" i="11"/>
  <c r="ES85" i="11" s="1"/>
  <c r="BO6" i="11"/>
  <c r="CI5" i="11"/>
  <c r="CI85" i="11" s="1"/>
  <c r="CB6" i="11"/>
  <c r="L6" i="11"/>
  <c r="EM5" i="11"/>
  <c r="EM81" i="11" s="1"/>
  <c r="BK86" i="11"/>
  <c r="AG6" i="11"/>
  <c r="DM81" i="11"/>
  <c r="AJ5" i="11"/>
  <c r="AJ85" i="11" s="1"/>
  <c r="AH5" i="11"/>
  <c r="AH81" i="11" s="1"/>
  <c r="BI5" i="11"/>
  <c r="BI85" i="11" s="1"/>
  <c r="EP5" i="11"/>
  <c r="EP81" i="11" s="1"/>
  <c r="FB29" i="11"/>
  <c r="FC29" i="11" s="1"/>
  <c r="CW82" i="11"/>
  <c r="EK5" i="11"/>
  <c r="AE5" i="11"/>
  <c r="AE81" i="11" s="1"/>
  <c r="DF6" i="11"/>
  <c r="DH5" i="11"/>
  <c r="DH85" i="11" s="1"/>
  <c r="Q5" i="11"/>
  <c r="CC5" i="11"/>
  <c r="CC85" i="11" s="1"/>
  <c r="AF5" i="11"/>
  <c r="AF81" i="11" s="1"/>
  <c r="EE6" i="11"/>
  <c r="EE5" i="11" s="1"/>
  <c r="DS7" i="11"/>
  <c r="EW5" i="11"/>
  <c r="EW81" i="11" s="1"/>
  <c r="DB25" i="11"/>
  <c r="DB82" i="11" s="1"/>
  <c r="BG6" i="11"/>
  <c r="FB14" i="11"/>
  <c r="FC14" i="11" s="1"/>
  <c r="EJ25" i="11"/>
  <c r="EJ82" i="11" s="1"/>
  <c r="CR5" i="11"/>
  <c r="CR81" i="11" s="1"/>
  <c r="N5" i="11"/>
  <c r="N81" i="11" s="1"/>
  <c r="BC31" i="11"/>
  <c r="EN86" i="11"/>
  <c r="EQ5" i="11"/>
  <c r="CK31" i="11"/>
  <c r="EN24" i="11"/>
  <c r="EN19" i="11" s="1"/>
  <c r="EN18" i="11" s="1"/>
  <c r="EN17" i="11" s="1"/>
  <c r="EN6" i="11" s="1"/>
  <c r="EN5" i="11" s="1"/>
  <c r="BC38" i="11"/>
  <c r="FB48" i="11"/>
  <c r="FC48" i="11" s="1"/>
  <c r="DQ85" i="11"/>
  <c r="DS25" i="11"/>
  <c r="BC25" i="11"/>
  <c r="BC82" i="11" s="1"/>
  <c r="FB10" i="11"/>
  <c r="FC10" i="11" s="1"/>
  <c r="FB58" i="11"/>
  <c r="FC58" i="11" s="1"/>
  <c r="BT31" i="11"/>
  <c r="CY5" i="11"/>
  <c r="CY81" i="11" s="1"/>
  <c r="CE5" i="11"/>
  <c r="CE85" i="11" s="1"/>
  <c r="FB37" i="11"/>
  <c r="FC37" i="11" s="1"/>
  <c r="CT81" i="11"/>
  <c r="ER6" i="11"/>
  <c r="ER5" i="11" s="1"/>
  <c r="ER85" i="11" s="1"/>
  <c r="FB54" i="11"/>
  <c r="FC54" i="11" s="1"/>
  <c r="DL81" i="11"/>
  <c r="S5" i="11"/>
  <c r="S81" i="11" s="1"/>
  <c r="CG5" i="11"/>
  <c r="CG81" i="11" s="1"/>
  <c r="I5" i="11"/>
  <c r="I81" i="11" s="1"/>
  <c r="BA81" i="11"/>
  <c r="BF85" i="11"/>
  <c r="DU5" i="11"/>
  <c r="DU85" i="11" s="1"/>
  <c r="EE24" i="11"/>
  <c r="CW24" i="11"/>
  <c r="AD5" i="11"/>
  <c r="AD85" i="11" s="1"/>
  <c r="FB70" i="11"/>
  <c r="FC70" i="11" s="1"/>
  <c r="BJ85" i="11"/>
  <c r="DW24" i="11"/>
  <c r="DW5" i="11" s="1"/>
  <c r="FB73" i="11"/>
  <c r="FC73" i="11" s="1"/>
  <c r="EJ64" i="11"/>
  <c r="BJ81" i="11"/>
  <c r="AC24" i="11"/>
  <c r="BK24" i="11"/>
  <c r="BC64" i="11"/>
  <c r="BT64" i="11"/>
  <c r="DP5" i="11"/>
  <c r="DP81" i="11" s="1"/>
  <c r="AK24" i="11"/>
  <c r="X5" i="11"/>
  <c r="X81" i="11" s="1"/>
  <c r="FB63" i="11"/>
  <c r="FB62" i="11" s="1"/>
  <c r="FC62" i="11" s="1"/>
  <c r="EL85" i="11"/>
  <c r="AB85" i="11"/>
  <c r="Z81" i="11"/>
  <c r="AJ81" i="11"/>
  <c r="BC51" i="11"/>
  <c r="EI24" i="11"/>
  <c r="FB60" i="11"/>
  <c r="FC60" i="11" s="1"/>
  <c r="DB51" i="11"/>
  <c r="FB61" i="11"/>
  <c r="FC61" i="11" s="1"/>
  <c r="Z85" i="11"/>
  <c r="DT5" i="11"/>
  <c r="DT85" i="11" s="1"/>
  <c r="AV85" i="11"/>
  <c r="BV81" i="11"/>
  <c r="AV81" i="11"/>
  <c r="BF81" i="11"/>
  <c r="CJ24" i="11"/>
  <c r="CD85" i="11"/>
  <c r="EG5" i="11"/>
  <c r="EG81" i="11" s="1"/>
  <c r="DZ5" i="11"/>
  <c r="DZ81" i="11" s="1"/>
  <c r="FB36" i="11"/>
  <c r="FC36" i="11" s="1"/>
  <c r="BQ81" i="11"/>
  <c r="CB24" i="11"/>
  <c r="CB5" i="11" s="1"/>
  <c r="EU5" i="11"/>
  <c r="EU85" i="11" s="1"/>
  <c r="CK38" i="11"/>
  <c r="H24" i="11"/>
  <c r="FB43" i="11"/>
  <c r="FC43" i="11" s="1"/>
  <c r="EF5" i="11"/>
  <c r="BR81" i="11"/>
  <c r="BZ81" i="11"/>
  <c r="BS24" i="11"/>
  <c r="EC5" i="11"/>
  <c r="EC81" i="11" s="1"/>
  <c r="DR24" i="11"/>
  <c r="BZ85" i="11"/>
  <c r="AT24" i="11"/>
  <c r="BO24" i="11"/>
  <c r="DD81" i="11"/>
  <c r="DD85" i="11"/>
  <c r="FB66" i="11"/>
  <c r="FC66" i="11" s="1"/>
  <c r="BT38" i="11"/>
  <c r="AL38" i="11"/>
  <c r="FB42" i="11"/>
  <c r="FC42" i="11" s="1"/>
  <c r="FB41" i="11"/>
  <c r="FC41" i="11" s="1"/>
  <c r="EH81" i="11"/>
  <c r="BB24" i="11"/>
  <c r="FB12" i="11"/>
  <c r="FC12" i="11" s="1"/>
  <c r="EA6" i="11"/>
  <c r="DB7" i="11"/>
  <c r="DN86" i="11"/>
  <c r="DM85" i="11"/>
  <c r="BK6" i="11"/>
  <c r="FB72" i="11"/>
  <c r="FC72" i="11" s="1"/>
  <c r="AR81" i="11"/>
  <c r="DS38" i="11"/>
  <c r="AL31" i="11"/>
  <c r="FB21" i="11"/>
  <c r="DS51" i="11"/>
  <c r="FB45" i="11"/>
  <c r="FC45" i="11" s="1"/>
  <c r="FB44" i="11"/>
  <c r="FC44" i="11" s="1"/>
  <c r="FB22" i="11"/>
  <c r="CU5" i="11"/>
  <c r="CU81" i="11" s="1"/>
  <c r="FB11" i="11"/>
  <c r="FC11" i="11" s="1"/>
  <c r="P6" i="11"/>
  <c r="E5" i="11"/>
  <c r="E81" i="11" s="1"/>
  <c r="BT51" i="11"/>
  <c r="DY5" i="11"/>
  <c r="DY85" i="11" s="1"/>
  <c r="EJ31" i="11"/>
  <c r="CK25" i="11"/>
  <c r="CK82" i="11" s="1"/>
  <c r="FB74" i="11"/>
  <c r="FC74" i="11" s="1"/>
  <c r="DB64" i="11"/>
  <c r="FB67" i="11"/>
  <c r="FC67" i="11" s="1"/>
  <c r="AL51" i="11"/>
  <c r="DX81" i="11"/>
  <c r="DB38" i="11"/>
  <c r="DS31" i="11"/>
  <c r="FB27" i="11"/>
  <c r="FC27" i="11" s="1"/>
  <c r="DJ24" i="11"/>
  <c r="EJ51" i="11"/>
  <c r="BT25" i="11"/>
  <c r="BT82" i="11" s="1"/>
  <c r="FA31" i="11"/>
  <c r="CO24" i="11"/>
  <c r="FA51" i="11"/>
  <c r="FB33" i="11"/>
  <c r="FC33" i="11" s="1"/>
  <c r="FB20" i="11"/>
  <c r="FC20" i="11" s="1"/>
  <c r="EJ38" i="11"/>
  <c r="FB15" i="11"/>
  <c r="T24" i="11"/>
  <c r="T6" i="11"/>
  <c r="H6" i="11"/>
  <c r="DS17" i="11"/>
  <c r="DS6" i="11" s="1"/>
  <c r="FA7" i="11"/>
  <c r="AA5" i="11"/>
  <c r="AA85" i="11" s="1"/>
  <c r="DE5" i="11"/>
  <c r="DE85" i="11" s="1"/>
  <c r="CG85" i="11"/>
  <c r="AC7" i="11"/>
  <c r="AC6" i="11" s="1"/>
  <c r="AQ5" i="11"/>
  <c r="AQ85" i="11" s="1"/>
  <c r="BB6" i="11"/>
  <c r="CN5" i="11"/>
  <c r="Q81" i="11"/>
  <c r="AX6" i="11"/>
  <c r="CQ85" i="11"/>
  <c r="EO81" i="11"/>
  <c r="EO85" i="11"/>
  <c r="ET85" i="11"/>
  <c r="ET81" i="11"/>
  <c r="W85" i="11"/>
  <c r="EM85" i="11"/>
  <c r="CK51" i="11"/>
  <c r="CF82" i="11"/>
  <c r="CF86" i="11"/>
  <c r="EZ86" i="11"/>
  <c r="EZ82" i="11"/>
  <c r="EZ24" i="11"/>
  <c r="EZ19" i="11" s="1"/>
  <c r="EZ18" i="11" s="1"/>
  <c r="EZ17" i="11" s="1"/>
  <c r="EZ6" i="11" s="1"/>
  <c r="EZ5" i="11" s="1"/>
  <c r="AT86" i="11"/>
  <c r="AT82" i="11"/>
  <c r="AL25" i="11"/>
  <c r="L24" i="11"/>
  <c r="AW81" i="11"/>
  <c r="AW85" i="11"/>
  <c r="FB35" i="11"/>
  <c r="FC35" i="11" s="1"/>
  <c r="CJ86" i="11"/>
  <c r="CJ82" i="11"/>
  <c r="FB53" i="11"/>
  <c r="FC53" i="11" s="1"/>
  <c r="EJ86" i="11"/>
  <c r="CH5" i="11"/>
  <c r="CV85" i="11"/>
  <c r="CV81" i="11"/>
  <c r="FB68" i="11"/>
  <c r="FC68" i="11" s="1"/>
  <c r="FB65" i="11"/>
  <c r="U64" i="11"/>
  <c r="FB56" i="11"/>
  <c r="FC56" i="11" s="1"/>
  <c r="EY85" i="11"/>
  <c r="EY81" i="11"/>
  <c r="DN24" i="11"/>
  <c r="DN5" i="11" s="1"/>
  <c r="DK5" i="11"/>
  <c r="AG86" i="11"/>
  <c r="AG82" i="11"/>
  <c r="FB46" i="11"/>
  <c r="FC46" i="11" s="1"/>
  <c r="EV86" i="11"/>
  <c r="EV82" i="11"/>
  <c r="EV24" i="11"/>
  <c r="EV19" i="11" s="1"/>
  <c r="EV18" i="11" s="1"/>
  <c r="EV17" i="11" s="1"/>
  <c r="EV6" i="11" s="1"/>
  <c r="EV5" i="11" s="1"/>
  <c r="DB86" i="11"/>
  <c r="BX24" i="11"/>
  <c r="BU5" i="11"/>
  <c r="CB82" i="11"/>
  <c r="CB86" i="11"/>
  <c r="DJ6" i="11"/>
  <c r="BC7" i="11"/>
  <c r="AL7" i="11"/>
  <c r="CL5" i="11"/>
  <c r="U7" i="11"/>
  <c r="FB8" i="11"/>
  <c r="BY5" i="11"/>
  <c r="AS85" i="11"/>
  <c r="FB71" i="11"/>
  <c r="FC71" i="11" s="1"/>
  <c r="FA64" i="11"/>
  <c r="U51" i="11"/>
  <c r="FB52" i="11"/>
  <c r="FB30" i="11"/>
  <c r="FC30" i="11" s="1"/>
  <c r="EI82" i="11"/>
  <c r="EI86" i="11"/>
  <c r="DS64" i="11"/>
  <c r="FB34" i="11"/>
  <c r="FC34" i="11" s="1"/>
  <c r="FB28" i="11"/>
  <c r="FC28" i="11" s="1"/>
  <c r="AC86" i="11"/>
  <c r="AC82" i="11"/>
  <c r="BG24" i="11"/>
  <c r="BG5" i="11" s="1"/>
  <c r="CK17" i="11"/>
  <c r="DB31" i="11"/>
  <c r="DA24" i="11"/>
  <c r="DA5" i="11" s="1"/>
  <c r="BM81" i="11"/>
  <c r="BM85" i="11"/>
  <c r="Y24" i="11"/>
  <c r="Y5" i="11" s="1"/>
  <c r="FB55" i="11"/>
  <c r="FC55" i="11" s="1"/>
  <c r="FB47" i="11"/>
  <c r="FC47" i="11" s="1"/>
  <c r="FB40" i="11"/>
  <c r="FC40" i="11" s="1"/>
  <c r="FB32" i="11"/>
  <c r="U31" i="11"/>
  <c r="DA86" i="11"/>
  <c r="DA82" i="11"/>
  <c r="BB82" i="11"/>
  <c r="BB86" i="11"/>
  <c r="CS24" i="11"/>
  <c r="CS5" i="11" s="1"/>
  <c r="AP82" i="11"/>
  <c r="AP86" i="11"/>
  <c r="CF24" i="11"/>
  <c r="AY5" i="11"/>
  <c r="AL17" i="11"/>
  <c r="DR6" i="11"/>
  <c r="BH5" i="11"/>
  <c r="DI5" i="11"/>
  <c r="BP5" i="11"/>
  <c r="R5" i="11"/>
  <c r="R81" i="11" s="1"/>
  <c r="DB17" i="11"/>
  <c r="AL64" i="11"/>
  <c r="EA82" i="11"/>
  <c r="EA86" i="11"/>
  <c r="CK64" i="11"/>
  <c r="AK86" i="11"/>
  <c r="AK82" i="11"/>
  <c r="FA38" i="11"/>
  <c r="DS82" i="11"/>
  <c r="DS86" i="11"/>
  <c r="EU81" i="11"/>
  <c r="CP85" i="11"/>
  <c r="CP81" i="11"/>
  <c r="BT7" i="11"/>
  <c r="DW82" i="11"/>
  <c r="DW86" i="11"/>
  <c r="BX86" i="11"/>
  <c r="BX82" i="11"/>
  <c r="FB26" i="11"/>
  <c r="U25" i="11"/>
  <c r="AU5" i="11"/>
  <c r="AX24" i="11"/>
  <c r="AX5" i="11" s="1"/>
  <c r="BE81" i="11"/>
  <c r="BE85" i="11"/>
  <c r="FB57" i="11"/>
  <c r="FC57" i="11" s="1"/>
  <c r="FB69" i="11"/>
  <c r="FC69" i="11" s="1"/>
  <c r="EE82" i="11"/>
  <c r="EE86" i="11"/>
  <c r="DF24" i="11"/>
  <c r="DC5" i="11"/>
  <c r="FB76" i="11"/>
  <c r="EQ81" i="11"/>
  <c r="EQ85" i="11"/>
  <c r="FB50" i="11"/>
  <c r="FB39" i="11"/>
  <c r="U38" i="11"/>
  <c r="Y86" i="11"/>
  <c r="Y82" i="11"/>
  <c r="EK81" i="11"/>
  <c r="EK85" i="11"/>
  <c r="BC17" i="11"/>
  <c r="EI6" i="11"/>
  <c r="FA25" i="11"/>
  <c r="AX86" i="11"/>
  <c r="AX82" i="11"/>
  <c r="FB9" i="11"/>
  <c r="FC9" i="11" s="1"/>
  <c r="FB59" i="11"/>
  <c r="FC59" i="11" s="1"/>
  <c r="EA24" i="11"/>
  <c r="EJ17" i="11"/>
  <c r="AG24" i="11"/>
  <c r="AP24" i="11"/>
  <c r="AP5" i="11" s="1"/>
  <c r="AM5" i="11"/>
  <c r="AI5" i="11"/>
  <c r="AN81" i="11"/>
  <c r="AN85" i="11"/>
  <c r="P24" i="11"/>
  <c r="DG5" i="11"/>
  <c r="BS6" i="11"/>
  <c r="BL5" i="11"/>
  <c r="CW6" i="11"/>
  <c r="DO5" i="11"/>
  <c r="EN85" i="11" l="1"/>
  <c r="CX81" i="11"/>
  <c r="AO81" i="11"/>
  <c r="DH81" i="11"/>
  <c r="CA85" i="11"/>
  <c r="AK5" i="11"/>
  <c r="AK81" i="11" s="1"/>
  <c r="CZ85" i="11"/>
  <c r="ED81" i="11"/>
  <c r="CE81" i="11"/>
  <c r="CY85" i="11"/>
  <c r="EN81" i="11"/>
  <c r="AH85" i="11"/>
  <c r="EB85" i="11"/>
  <c r="DF5" i="11"/>
  <c r="DF85" i="11" s="1"/>
  <c r="BT6" i="11"/>
  <c r="ES81" i="11"/>
  <c r="CI81" i="11"/>
  <c r="ER81" i="11"/>
  <c r="CR85" i="11"/>
  <c r="AZ85" i="11"/>
  <c r="DT81" i="11"/>
  <c r="DU81" i="11"/>
  <c r="EX81" i="11"/>
  <c r="BC86" i="11"/>
  <c r="EE118" i="1"/>
  <c r="EN118" i="1"/>
  <c r="EE109" i="1"/>
  <c r="EN109" i="1"/>
  <c r="EE143" i="1"/>
  <c r="EN143" i="1"/>
  <c r="EE117" i="1"/>
  <c r="EN117" i="1"/>
  <c r="EN34" i="1"/>
  <c r="ED23" i="1"/>
  <c r="EN23" i="1" s="1"/>
  <c r="EB28" i="1"/>
  <c r="EL47" i="1"/>
  <c r="EG47" i="1"/>
  <c r="EB106" i="1"/>
  <c r="ED106" i="1" s="1"/>
  <c r="DY83" i="1"/>
  <c r="EC117" i="1"/>
  <c r="DU150" i="1"/>
  <c r="EA113" i="1"/>
  <c r="DY121" i="1"/>
  <c r="EB104" i="1"/>
  <c r="ED104" i="1" s="1"/>
  <c r="EA104" i="1"/>
  <c r="EA124" i="1"/>
  <c r="EA105" i="1"/>
  <c r="EA112" i="1"/>
  <c r="DZ29" i="1"/>
  <c r="EA28" i="1"/>
  <c r="EA102" i="1"/>
  <c r="DY173" i="1"/>
  <c r="DX125" i="1"/>
  <c r="DY125" i="1" s="1"/>
  <c r="DU175" i="1"/>
  <c r="DW142" i="1"/>
  <c r="DW146" i="1"/>
  <c r="DW110" i="1"/>
  <c r="DW111" i="1"/>
  <c r="DY29" i="1"/>
  <c r="DW101" i="1"/>
  <c r="EC109" i="1"/>
  <c r="EB102" i="1"/>
  <c r="ED102" i="1" s="1"/>
  <c r="DY111" i="1"/>
  <c r="EB130" i="1"/>
  <c r="ED130" i="1" s="1"/>
  <c r="EC131" i="1"/>
  <c r="DZ83" i="1"/>
  <c r="EA117" i="1"/>
  <c r="DW83" i="1"/>
  <c r="EB120" i="1"/>
  <c r="ED120" i="1" s="1"/>
  <c r="EA120" i="1"/>
  <c r="EC27" i="1"/>
  <c r="DW149" i="1"/>
  <c r="DW99" i="1"/>
  <c r="DW107" i="1"/>
  <c r="DW82" i="1"/>
  <c r="DV84" i="1"/>
  <c r="DX82" i="1"/>
  <c r="DW133" i="1"/>
  <c r="EA141" i="1"/>
  <c r="DW130" i="1"/>
  <c r="EC143" i="1"/>
  <c r="DW103" i="1"/>
  <c r="DY103" i="1"/>
  <c r="EB101" i="1"/>
  <c r="ED101" i="1" s="1"/>
  <c r="DU134" i="1"/>
  <c r="DY115" i="1"/>
  <c r="EA125" i="1"/>
  <c r="EC90" i="1"/>
  <c r="EB93" i="1"/>
  <c r="EC93" i="1" s="1"/>
  <c r="EB114" i="1"/>
  <c r="ED114" i="1" s="1"/>
  <c r="EN114" i="1" s="1"/>
  <c r="EB99" i="1"/>
  <c r="ED99" i="1" s="1"/>
  <c r="EC118" i="1"/>
  <c r="EA143" i="1"/>
  <c r="EB113" i="1"/>
  <c r="ED113" i="1" s="1"/>
  <c r="EC92" i="1"/>
  <c r="EB112" i="1"/>
  <c r="ED112" i="1" s="1"/>
  <c r="EN112" i="1" s="1"/>
  <c r="EB124" i="1"/>
  <c r="ED124" i="1" s="1"/>
  <c r="EA92" i="1"/>
  <c r="EC23" i="1"/>
  <c r="EB103" i="1"/>
  <c r="ED103" i="1" s="1"/>
  <c r="DY175" i="1"/>
  <c r="EB141" i="1"/>
  <c r="ED141" i="1" s="1"/>
  <c r="DY133" i="1"/>
  <c r="DU176" i="1"/>
  <c r="DU83" i="1"/>
  <c r="DT84" i="1"/>
  <c r="DS176" i="1"/>
  <c r="DL171" i="1"/>
  <c r="DM151" i="1"/>
  <c r="DN139" i="1"/>
  <c r="DO135" i="1"/>
  <c r="DQ126" i="1"/>
  <c r="DP135" i="1"/>
  <c r="DS84" i="1"/>
  <c r="DR126" i="1"/>
  <c r="EG85" i="11"/>
  <c r="DG177" i="1"/>
  <c r="DH177" i="1"/>
  <c r="GY179" i="1" s="1"/>
  <c r="DK177" i="1"/>
  <c r="DK171" i="1"/>
  <c r="DI171" i="1"/>
  <c r="CK6" i="11"/>
  <c r="AE85" i="11"/>
  <c r="EW85" i="11"/>
  <c r="L5" i="11"/>
  <c r="L81" i="11" s="1"/>
  <c r="BC24" i="11"/>
  <c r="BN81" i="11"/>
  <c r="AG5" i="11"/>
  <c r="AG85" i="11" s="1"/>
  <c r="EI5" i="11"/>
  <c r="EI85" i="11" s="1"/>
  <c r="DV81" i="11"/>
  <c r="AD81" i="11"/>
  <c r="BW81" i="11"/>
  <c r="CM81" i="11"/>
  <c r="V81" i="11"/>
  <c r="CC81" i="11"/>
  <c r="BD81" i="11"/>
  <c r="EP85" i="11"/>
  <c r="BI81" i="11"/>
  <c r="EJ6" i="11"/>
  <c r="EJ5" i="11" s="1"/>
  <c r="EJ81" i="11" s="1"/>
  <c r="CF5" i="11"/>
  <c r="CF85" i="11" s="1"/>
  <c r="BX5" i="11"/>
  <c r="BX85" i="11" s="1"/>
  <c r="T5" i="11"/>
  <c r="T81" i="11" s="1"/>
  <c r="EJ24" i="11"/>
  <c r="CO5" i="11"/>
  <c r="CO85" i="11" s="1"/>
  <c r="AT5" i="11"/>
  <c r="AT85" i="11" s="1"/>
  <c r="CJ5" i="11"/>
  <c r="BO5" i="11"/>
  <c r="BO81" i="11" s="1"/>
  <c r="EA5" i="11"/>
  <c r="EA81" i="11" s="1"/>
  <c r="BT86" i="11"/>
  <c r="AC5" i="11"/>
  <c r="AC85" i="11" s="1"/>
  <c r="AF85" i="11"/>
  <c r="BK5" i="11"/>
  <c r="BK85" i="11" s="1"/>
  <c r="CW5" i="11"/>
  <c r="CW85" i="11" s="1"/>
  <c r="P5" i="11"/>
  <c r="P81" i="11" s="1"/>
  <c r="DP85" i="11"/>
  <c r="DB6" i="11"/>
  <c r="X85" i="11"/>
  <c r="FC63" i="11"/>
  <c r="U6" i="11"/>
  <c r="BT24" i="11"/>
  <c r="BT5" i="11" s="1"/>
  <c r="BT81" i="11" s="1"/>
  <c r="DR5" i="11"/>
  <c r="DR81" i="11" s="1"/>
  <c r="CB85" i="11"/>
  <c r="BS5" i="11"/>
  <c r="BS85" i="11" s="1"/>
  <c r="CK24" i="11"/>
  <c r="CK5" i="11" s="1"/>
  <c r="CK81" i="11" s="1"/>
  <c r="DZ85" i="11"/>
  <c r="BB5" i="11"/>
  <c r="BB85" i="11" s="1"/>
  <c r="H5" i="11"/>
  <c r="H81" i="11" s="1"/>
  <c r="EC85" i="11"/>
  <c r="EE85" i="11"/>
  <c r="AA81" i="11"/>
  <c r="EF81" i="11"/>
  <c r="EF85" i="11"/>
  <c r="DY81" i="11"/>
  <c r="EE81" i="11"/>
  <c r="DB24" i="11"/>
  <c r="DS24" i="11"/>
  <c r="DS5" i="11" s="1"/>
  <c r="DE81" i="11"/>
  <c r="DJ5" i="11"/>
  <c r="DJ81" i="11" s="1"/>
  <c r="DW85" i="11"/>
  <c r="AQ81" i="11"/>
  <c r="CK86" i="11"/>
  <c r="CB81" i="11"/>
  <c r="CU85" i="11"/>
  <c r="DW81" i="11"/>
  <c r="CN85" i="11"/>
  <c r="CN81" i="11"/>
  <c r="AG81" i="11"/>
  <c r="Y81" i="11"/>
  <c r="Y85" i="11"/>
  <c r="BP85" i="11"/>
  <c r="BP81" i="11"/>
  <c r="AY81" i="11"/>
  <c r="AY85" i="11"/>
  <c r="FC32" i="11"/>
  <c r="FB31" i="11"/>
  <c r="FC31" i="11" s="1"/>
  <c r="FC52" i="11"/>
  <c r="FB51" i="11"/>
  <c r="FC51" i="11" s="1"/>
  <c r="BC6" i="11"/>
  <c r="EV81" i="11"/>
  <c r="EV85" i="11"/>
  <c r="DK81" i="11"/>
  <c r="DK85" i="11"/>
  <c r="CJ81" i="11"/>
  <c r="CJ85" i="11"/>
  <c r="BL85" i="11"/>
  <c r="BL81" i="11"/>
  <c r="AP85" i="11"/>
  <c r="AP81" i="11"/>
  <c r="DC85" i="11"/>
  <c r="DC81" i="11"/>
  <c r="AX85" i="11"/>
  <c r="AX81" i="11"/>
  <c r="FB25" i="11"/>
  <c r="FC26" i="11"/>
  <c r="DI81" i="11"/>
  <c r="DI85" i="11"/>
  <c r="BH85" i="11"/>
  <c r="BH81" i="11"/>
  <c r="CL85" i="11"/>
  <c r="CL81" i="11"/>
  <c r="EZ85" i="11"/>
  <c r="EZ81" i="11"/>
  <c r="BU81" i="11"/>
  <c r="BU85" i="11"/>
  <c r="AL86" i="11"/>
  <c r="AL82" i="11"/>
  <c r="AL24" i="11"/>
  <c r="AM85" i="11"/>
  <c r="AM81" i="11"/>
  <c r="U82" i="11"/>
  <c r="U24" i="11"/>
  <c r="DO85" i="11"/>
  <c r="DO81" i="11"/>
  <c r="FA86" i="11"/>
  <c r="FA82" i="11"/>
  <c r="FA24" i="11"/>
  <c r="FA19" i="11" s="1"/>
  <c r="FC39" i="11"/>
  <c r="FB38" i="11"/>
  <c r="FC38" i="11" s="1"/>
  <c r="FB75" i="11"/>
  <c r="FC75" i="11" s="1"/>
  <c r="FC76" i="11"/>
  <c r="AU85" i="11"/>
  <c r="AU81" i="11"/>
  <c r="DA81" i="11"/>
  <c r="DA85" i="11"/>
  <c r="BY81" i="11"/>
  <c r="BY85" i="11"/>
  <c r="AL6" i="11"/>
  <c r="FC65" i="11"/>
  <c r="FB64" i="11"/>
  <c r="FC64" i="11" s="1"/>
  <c r="DN85" i="11"/>
  <c r="DN81" i="11"/>
  <c r="CS81" i="11"/>
  <c r="CS85" i="11"/>
  <c r="DG85" i="11"/>
  <c r="DG81" i="11"/>
  <c r="AI81" i="11"/>
  <c r="AI85" i="11"/>
  <c r="BG85" i="11"/>
  <c r="BG81" i="11"/>
  <c r="FC50" i="11"/>
  <c r="FB49" i="11"/>
  <c r="FC49" i="11" s="1"/>
  <c r="FC8" i="11"/>
  <c r="FB7" i="11"/>
  <c r="CH85" i="11"/>
  <c r="CH81" i="11"/>
  <c r="CF81" i="11" l="1"/>
  <c r="DF81" i="11"/>
  <c r="AC81" i="11"/>
  <c r="AK85" i="11"/>
  <c r="BC5" i="11"/>
  <c r="BO85" i="11"/>
  <c r="EN47" i="1"/>
  <c r="DB5" i="11"/>
  <c r="DB85" i="11" s="1"/>
  <c r="EA85" i="11"/>
  <c r="BK81" i="11"/>
  <c r="CO81" i="11"/>
  <c r="EE101" i="1"/>
  <c r="EN101" i="1"/>
  <c r="EE130" i="1"/>
  <c r="EN130" i="1"/>
  <c r="EE124" i="1"/>
  <c r="EN124" i="1"/>
  <c r="EE120" i="1"/>
  <c r="EN120" i="1"/>
  <c r="EE114" i="1"/>
  <c r="EE106" i="1"/>
  <c r="EN106" i="1"/>
  <c r="EN28" i="1"/>
  <c r="EE103" i="1"/>
  <c r="EN103" i="1"/>
  <c r="EE99" i="1"/>
  <c r="EN99" i="1"/>
  <c r="EE104" i="1"/>
  <c r="EN104" i="1"/>
  <c r="EE141" i="1"/>
  <c r="EN141" i="1"/>
  <c r="EE113" i="1"/>
  <c r="EN113" i="1"/>
  <c r="EE102" i="1"/>
  <c r="EN102" i="1"/>
  <c r="ED28" i="1"/>
  <c r="ED29" i="1" s="1"/>
  <c r="EE29" i="1" s="1"/>
  <c r="EE23" i="1"/>
  <c r="EE112" i="1"/>
  <c r="EC106" i="1"/>
  <c r="EC99" i="1"/>
  <c r="EC114" i="1"/>
  <c r="EC103" i="1"/>
  <c r="EA83" i="1"/>
  <c r="EA176" i="1"/>
  <c r="EA121" i="1"/>
  <c r="DW175" i="1"/>
  <c r="DW176" i="1"/>
  <c r="EC120" i="1"/>
  <c r="EC141" i="1"/>
  <c r="EA103" i="1"/>
  <c r="EC112" i="1"/>
  <c r="EC113" i="1"/>
  <c r="EB121" i="1"/>
  <c r="ED121" i="1" s="1"/>
  <c r="EA115" i="1"/>
  <c r="EB115" i="1"/>
  <c r="ED115" i="1" s="1"/>
  <c r="EB133" i="1"/>
  <c r="EB83" i="1"/>
  <c r="EA100" i="1"/>
  <c r="EB100" i="1"/>
  <c r="ED100" i="1" s="1"/>
  <c r="EA130" i="1"/>
  <c r="EC102" i="1"/>
  <c r="EA110" i="1"/>
  <c r="EA111" i="1"/>
  <c r="EB110" i="1"/>
  <c r="ED110" i="1" s="1"/>
  <c r="EC105" i="1"/>
  <c r="DY142" i="1"/>
  <c r="DX146" i="1"/>
  <c r="DY146" i="1" s="1"/>
  <c r="EA99" i="1"/>
  <c r="EA107" i="1"/>
  <c r="EC130" i="1"/>
  <c r="EC101" i="1"/>
  <c r="EC124" i="1"/>
  <c r="DW134" i="1"/>
  <c r="EA114" i="1"/>
  <c r="DW84" i="1"/>
  <c r="DV126" i="1"/>
  <c r="EA173" i="1"/>
  <c r="DY176" i="1"/>
  <c r="EA29" i="1"/>
  <c r="EB29" i="1"/>
  <c r="EC28" i="1"/>
  <c r="EA101" i="1"/>
  <c r="EA149" i="1"/>
  <c r="DX84" i="1"/>
  <c r="DY82" i="1"/>
  <c r="DY99" i="1"/>
  <c r="DX107" i="1"/>
  <c r="DY107" i="1" s="1"/>
  <c r="EB149" i="1"/>
  <c r="ED149" i="1" s="1"/>
  <c r="EN149" i="1" s="1"/>
  <c r="EB173" i="1"/>
  <c r="ED173" i="1" s="1"/>
  <c r="EN173" i="1" s="1"/>
  <c r="DW150" i="1"/>
  <c r="EC104" i="1"/>
  <c r="DZ82" i="1"/>
  <c r="DU84" i="1"/>
  <c r="DT126" i="1"/>
  <c r="DH178" i="1"/>
  <c r="DR135" i="1"/>
  <c r="DS126" i="1"/>
  <c r="DO139" i="1"/>
  <c r="DN151" i="1"/>
  <c r="DP139" i="1"/>
  <c r="DQ135" i="1"/>
  <c r="DL177" i="1"/>
  <c r="DM171" i="1"/>
  <c r="EI81" i="11"/>
  <c r="EJ85" i="11"/>
  <c r="DI177" i="1"/>
  <c r="AT81" i="11"/>
  <c r="BS81" i="11"/>
  <c r="BX81" i="11"/>
  <c r="CW81" i="11"/>
  <c r="DR85" i="11"/>
  <c r="U5" i="11"/>
  <c r="EJ3" i="11" s="1"/>
  <c r="DJ85" i="11"/>
  <c r="BT85" i="11"/>
  <c r="CK85" i="11"/>
  <c r="BB81" i="11"/>
  <c r="DS85" i="11"/>
  <c r="DS81" i="11"/>
  <c r="DB81" i="11"/>
  <c r="BC85" i="11"/>
  <c r="BC81" i="11"/>
  <c r="FC7" i="11"/>
  <c r="AL5" i="11"/>
  <c r="FA18" i="11"/>
  <c r="FB19" i="11"/>
  <c r="FB86" i="11"/>
  <c r="FB82" i="11"/>
  <c r="FB24" i="11"/>
  <c r="FC24" i="11" s="1"/>
  <c r="FC25" i="11"/>
  <c r="BC3" i="11" l="1"/>
  <c r="DB3" i="11"/>
  <c r="EN150" i="1"/>
  <c r="EE121" i="1"/>
  <c r="EN121" i="1"/>
  <c r="EE100" i="1"/>
  <c r="EN100" i="1"/>
  <c r="EE115" i="1"/>
  <c r="EN115" i="1"/>
  <c r="EE110" i="1"/>
  <c r="EN110" i="1"/>
  <c r="EE173" i="1"/>
  <c r="ED83" i="1"/>
  <c r="ED125" i="1"/>
  <c r="EE125" i="1" s="1"/>
  <c r="EE28" i="1"/>
  <c r="ED150" i="1"/>
  <c r="EE150" i="1" s="1"/>
  <c r="EE149" i="1"/>
  <c r="EB134" i="1"/>
  <c r="ED134" i="1" s="1"/>
  <c r="ED133" i="1"/>
  <c r="EC110" i="1"/>
  <c r="EB111" i="1"/>
  <c r="EC115" i="1"/>
  <c r="EA175" i="1"/>
  <c r="EA82" i="1"/>
  <c r="DZ84" i="1"/>
  <c r="EB82" i="1"/>
  <c r="DY150" i="1"/>
  <c r="EC149" i="1"/>
  <c r="EB150" i="1"/>
  <c r="EC133" i="1"/>
  <c r="EC100" i="1"/>
  <c r="EA133" i="1"/>
  <c r="EC173" i="1"/>
  <c r="DV135" i="1"/>
  <c r="DW126" i="1"/>
  <c r="EA142" i="1"/>
  <c r="EA146" i="1"/>
  <c r="EB142" i="1"/>
  <c r="ED142" i="1" s="1"/>
  <c r="EN142" i="1" s="1"/>
  <c r="EC121" i="1"/>
  <c r="EC29" i="1"/>
  <c r="DY134" i="1"/>
  <c r="EC83" i="1"/>
  <c r="DY84" i="1"/>
  <c r="DX126" i="1"/>
  <c r="EB125" i="1"/>
  <c r="EC125" i="1" s="1"/>
  <c r="EB175" i="1"/>
  <c r="ED175" i="1" s="1"/>
  <c r="EB107" i="1"/>
  <c r="DT135" i="1"/>
  <c r="DU126" i="1"/>
  <c r="DM177" i="1"/>
  <c r="DN171" i="1"/>
  <c r="DO151" i="1"/>
  <c r="DQ139" i="1"/>
  <c r="DP151" i="1"/>
  <c r="DR139" i="1"/>
  <c r="DS135" i="1"/>
  <c r="DS3" i="11"/>
  <c r="BT3" i="11"/>
  <c r="U81" i="11"/>
  <c r="FA17" i="11"/>
  <c r="FB18" i="11"/>
  <c r="FC18" i="11" s="1"/>
  <c r="AL85" i="11"/>
  <c r="AL81" i="11"/>
  <c r="AL3" i="11"/>
  <c r="CK3" i="11"/>
  <c r="EC134" i="1" l="1"/>
  <c r="EN146" i="1"/>
  <c r="EN125" i="1"/>
  <c r="EE175" i="1"/>
  <c r="EN175" i="1"/>
  <c r="EE133" i="1"/>
  <c r="EN133" i="1"/>
  <c r="EE134" i="1"/>
  <c r="EN134" i="1"/>
  <c r="EC107" i="1"/>
  <c r="ED107" i="1"/>
  <c r="EE142" i="1"/>
  <c r="ED146" i="1"/>
  <c r="EE146" i="1" s="1"/>
  <c r="ED82" i="1"/>
  <c r="EG83" i="1"/>
  <c r="EI83" i="1"/>
  <c r="EC111" i="1"/>
  <c r="ED111" i="1"/>
  <c r="ED176" i="1"/>
  <c r="EE176" i="1" s="1"/>
  <c r="EB176" i="1"/>
  <c r="EC176" i="1" s="1"/>
  <c r="EE83" i="1"/>
  <c r="EA150" i="1"/>
  <c r="DW135" i="1"/>
  <c r="DV139" i="1"/>
  <c r="EC150" i="1"/>
  <c r="EC175" i="1"/>
  <c r="EB84" i="1"/>
  <c r="EC82" i="1"/>
  <c r="DY126" i="1"/>
  <c r="DX135" i="1"/>
  <c r="EA134" i="1"/>
  <c r="EC142" i="1"/>
  <c r="EB146" i="1"/>
  <c r="EC146" i="1" s="1"/>
  <c r="EA84" i="1"/>
  <c r="DZ126" i="1"/>
  <c r="DU135" i="1"/>
  <c r="DT139" i="1"/>
  <c r="DP171" i="1"/>
  <c r="DQ151" i="1"/>
  <c r="DS139" i="1"/>
  <c r="DR151" i="1"/>
  <c r="DN177" i="1"/>
  <c r="DO177" i="1" s="1"/>
  <c r="DO171" i="1"/>
  <c r="FA6" i="11"/>
  <c r="FA5" i="11" s="1"/>
  <c r="FB17" i="11"/>
  <c r="EE111" i="1" l="1"/>
  <c r="EN111" i="1"/>
  <c r="EE107" i="1"/>
  <c r="EN107" i="1"/>
  <c r="EF84" i="1"/>
  <c r="EG82" i="1"/>
  <c r="EL83" i="1"/>
  <c r="EL82" i="1"/>
  <c r="EN82" i="1" s="1"/>
  <c r="EC84" i="1"/>
  <c r="EB126" i="1"/>
  <c r="EA126" i="1"/>
  <c r="DZ135" i="1"/>
  <c r="DX139" i="1"/>
  <c r="DY135" i="1"/>
  <c r="DV151" i="1"/>
  <c r="DW139" i="1"/>
  <c r="DU139" i="1"/>
  <c r="DT151" i="1"/>
  <c r="DR171" i="1"/>
  <c r="DS151" i="1"/>
  <c r="DP177" i="1"/>
  <c r="DQ171" i="1"/>
  <c r="FC17" i="11"/>
  <c r="FB6" i="11"/>
  <c r="FA81" i="11"/>
  <c r="FA85" i="11"/>
  <c r="FA3" i="11"/>
  <c r="EN83" i="1" l="1"/>
  <c r="EL84" i="1"/>
  <c r="EI82" i="1"/>
  <c r="EH84" i="1"/>
  <c r="EJ84" i="1"/>
  <c r="EG84" i="1"/>
  <c r="EF126" i="1"/>
  <c r="EE82" i="1"/>
  <c r="ED84" i="1"/>
  <c r="ED126" i="1" s="1"/>
  <c r="EB135" i="1"/>
  <c r="EC126" i="1"/>
  <c r="EA135" i="1"/>
  <c r="DZ139" i="1"/>
  <c r="DZ151" i="1" s="1"/>
  <c r="DV171" i="1"/>
  <c r="DW151" i="1"/>
  <c r="DY139" i="1"/>
  <c r="DX151" i="1"/>
  <c r="DQ177" i="1"/>
  <c r="DT171" i="1"/>
  <c r="DU151" i="1"/>
  <c r="DR177" i="1"/>
  <c r="DS177" i="1" s="1"/>
  <c r="DS171" i="1"/>
  <c r="FC6" i="11"/>
  <c r="FB5" i="11"/>
  <c r="EN84" i="1" l="1"/>
  <c r="EI84" i="1"/>
  <c r="EH126" i="1"/>
  <c r="EG126" i="1"/>
  <c r="EF135" i="1"/>
  <c r="EF139" i="1" s="1"/>
  <c r="DY151" i="1"/>
  <c r="DX171" i="1"/>
  <c r="EA139" i="1"/>
  <c r="DV177" i="1"/>
  <c r="DW171" i="1"/>
  <c r="EB139" i="1"/>
  <c r="EC135" i="1"/>
  <c r="EE84" i="1"/>
  <c r="DR178" i="1"/>
  <c r="DU171" i="1"/>
  <c r="DT177" i="1"/>
  <c r="FB85" i="11"/>
  <c r="FB81" i="11"/>
  <c r="FB2" i="11"/>
  <c r="FC5" i="11"/>
  <c r="EG135" i="1" l="1"/>
  <c r="EH135" i="1"/>
  <c r="EI126" i="1"/>
  <c r="DT178" i="1"/>
  <c r="EC139" i="1"/>
  <c r="EB151" i="1"/>
  <c r="EA151" i="1"/>
  <c r="DZ171" i="1"/>
  <c r="EE126" i="1"/>
  <c r="ED135" i="1"/>
  <c r="DY171" i="1"/>
  <c r="DX177" i="1"/>
  <c r="DY177" i="1" s="1"/>
  <c r="DW177" i="1"/>
  <c r="DU177" i="1"/>
  <c r="BM74" i="1"/>
  <c r="BM69" i="1" s="1"/>
  <c r="EF151" i="1" l="1"/>
  <c r="EG139" i="1"/>
  <c r="EH139" i="1"/>
  <c r="EI135" i="1"/>
  <c r="EA171" i="1"/>
  <c r="DZ177" i="1"/>
  <c r="EE135" i="1"/>
  <c r="ED139" i="1"/>
  <c r="EC151" i="1"/>
  <c r="EB171" i="1"/>
  <c r="F13" i="10"/>
  <c r="I12" i="10"/>
  <c r="H12" i="10"/>
  <c r="F12" i="10"/>
  <c r="D12" i="10"/>
  <c r="B12" i="10"/>
  <c r="E8" i="10"/>
  <c r="E12" i="10" s="1"/>
  <c r="C8" i="10"/>
  <c r="C6" i="10"/>
  <c r="EG151" i="1" l="1"/>
  <c r="EF171" i="1"/>
  <c r="EI139" i="1"/>
  <c r="EH151" i="1"/>
  <c r="EC171" i="1"/>
  <c r="EB177" i="1"/>
  <c r="ED151" i="1"/>
  <c r="EE139" i="1"/>
  <c r="EA177" i="1"/>
  <c r="C12" i="10"/>
  <c r="BC174" i="1"/>
  <c r="BF174" i="1" s="1"/>
  <c r="EF177" i="1" l="1"/>
  <c r="EG171" i="1"/>
  <c r="EC177" i="1"/>
  <c r="EI151" i="1"/>
  <c r="EH171" i="1"/>
  <c r="EB178" i="1"/>
  <c r="EE151" i="1"/>
  <c r="ED171" i="1"/>
  <c r="BK176" i="1"/>
  <c r="EG177" i="1" l="1"/>
  <c r="EH177" i="1"/>
  <c r="EI177" i="1" s="1"/>
  <c r="EI171" i="1"/>
  <c r="ED177" i="1"/>
  <c r="EE171" i="1"/>
  <c r="Q191" i="8"/>
  <c r="M191" i="8"/>
  <c r="I191" i="8"/>
  <c r="E191" i="8"/>
  <c r="Q190" i="8"/>
  <c r="M190" i="8"/>
  <c r="I190" i="8"/>
  <c r="E190" i="8"/>
  <c r="Q189" i="8"/>
  <c r="M189" i="8"/>
  <c r="I189" i="8"/>
  <c r="E189" i="8"/>
  <c r="M188" i="8"/>
  <c r="I188" i="8"/>
  <c r="E188" i="8"/>
  <c r="P185" i="8"/>
  <c r="O185" i="8"/>
  <c r="N185" i="8"/>
  <c r="L185" i="8"/>
  <c r="K185" i="8"/>
  <c r="J185" i="8"/>
  <c r="H185" i="8"/>
  <c r="G185" i="8"/>
  <c r="F185" i="8"/>
  <c r="D185" i="8"/>
  <c r="C185" i="8"/>
  <c r="B185" i="8"/>
  <c r="P184" i="8"/>
  <c r="O184" i="8"/>
  <c r="N184" i="8"/>
  <c r="L184" i="8"/>
  <c r="K184" i="8"/>
  <c r="J184" i="8"/>
  <c r="H184" i="8"/>
  <c r="G184" i="8"/>
  <c r="F184" i="8"/>
  <c r="D184" i="8"/>
  <c r="C184" i="8"/>
  <c r="B184" i="8"/>
  <c r="P183" i="8"/>
  <c r="O183" i="8"/>
  <c r="N183" i="8"/>
  <c r="L183" i="8"/>
  <c r="K183" i="8"/>
  <c r="J183" i="8"/>
  <c r="H183" i="8"/>
  <c r="G183" i="8"/>
  <c r="F183" i="8"/>
  <c r="D183" i="8"/>
  <c r="C183" i="8"/>
  <c r="B183" i="8"/>
  <c r="P182" i="8"/>
  <c r="O182" i="8"/>
  <c r="N182" i="8"/>
  <c r="L182" i="8"/>
  <c r="K182" i="8"/>
  <c r="J182" i="8"/>
  <c r="H182" i="8"/>
  <c r="G182" i="8"/>
  <c r="F182" i="8"/>
  <c r="D182" i="8"/>
  <c r="C182" i="8"/>
  <c r="B182" i="8"/>
  <c r="P181" i="8"/>
  <c r="O181" i="8"/>
  <c r="N181" i="8"/>
  <c r="L181" i="8"/>
  <c r="K181" i="8"/>
  <c r="J181" i="8"/>
  <c r="H181" i="8"/>
  <c r="G181" i="8"/>
  <c r="F181" i="8"/>
  <c r="D181" i="8"/>
  <c r="C181" i="8"/>
  <c r="B181" i="8"/>
  <c r="P180" i="8"/>
  <c r="O180" i="8"/>
  <c r="N180" i="8"/>
  <c r="L180" i="8"/>
  <c r="K180" i="8"/>
  <c r="J180" i="8"/>
  <c r="H180" i="8"/>
  <c r="G180" i="8"/>
  <c r="F180" i="8"/>
  <c r="D180" i="8"/>
  <c r="C180" i="8"/>
  <c r="B180" i="8"/>
  <c r="P175" i="8"/>
  <c r="O175" i="8"/>
  <c r="N175" i="8"/>
  <c r="L175" i="8"/>
  <c r="K175" i="8"/>
  <c r="J175" i="8"/>
  <c r="H175" i="8"/>
  <c r="G175" i="8"/>
  <c r="F175" i="8"/>
  <c r="D175" i="8"/>
  <c r="C175" i="8"/>
  <c r="B175" i="8"/>
  <c r="P174" i="8"/>
  <c r="O174" i="8"/>
  <c r="N174" i="8"/>
  <c r="L174" i="8"/>
  <c r="K174" i="8"/>
  <c r="J174" i="8"/>
  <c r="H174" i="8"/>
  <c r="G174" i="8"/>
  <c r="F174" i="8"/>
  <c r="D174" i="8"/>
  <c r="C174" i="8"/>
  <c r="B174" i="8"/>
  <c r="P173" i="8"/>
  <c r="P171" i="8" s="1"/>
  <c r="O173" i="8"/>
  <c r="N173" i="8"/>
  <c r="L173" i="8"/>
  <c r="K173" i="8"/>
  <c r="J173" i="8"/>
  <c r="H173" i="8"/>
  <c r="G173" i="8"/>
  <c r="F173" i="8"/>
  <c r="D173" i="8"/>
  <c r="C173" i="8"/>
  <c r="B173" i="8"/>
  <c r="P172" i="8"/>
  <c r="O172" i="8"/>
  <c r="N172" i="8"/>
  <c r="L172" i="8"/>
  <c r="K172" i="8"/>
  <c r="J172" i="8"/>
  <c r="H172" i="8"/>
  <c r="G172" i="8"/>
  <c r="F172" i="8"/>
  <c r="D172" i="8"/>
  <c r="C172" i="8"/>
  <c r="B172" i="8"/>
  <c r="P170" i="8"/>
  <c r="O170" i="8"/>
  <c r="N170" i="8"/>
  <c r="L170" i="8"/>
  <c r="K170" i="8"/>
  <c r="J170" i="8"/>
  <c r="H170" i="8"/>
  <c r="G170" i="8"/>
  <c r="F170" i="8"/>
  <c r="D170" i="8"/>
  <c r="C170" i="8"/>
  <c r="B170" i="8"/>
  <c r="P169" i="8"/>
  <c r="O169" i="8"/>
  <c r="N169" i="8"/>
  <c r="L169" i="8"/>
  <c r="K169" i="8"/>
  <c r="J169" i="8"/>
  <c r="H169" i="8"/>
  <c r="G169" i="8"/>
  <c r="F169" i="8"/>
  <c r="D169" i="8"/>
  <c r="C169" i="8"/>
  <c r="B169" i="8"/>
  <c r="P168" i="8"/>
  <c r="O168" i="8"/>
  <c r="N168" i="8"/>
  <c r="L168" i="8"/>
  <c r="K168" i="8"/>
  <c r="J168" i="8"/>
  <c r="H168" i="8"/>
  <c r="G168" i="8"/>
  <c r="F168" i="8"/>
  <c r="D168" i="8"/>
  <c r="C168" i="8"/>
  <c r="B168" i="8"/>
  <c r="P166" i="8"/>
  <c r="O166" i="8"/>
  <c r="N166" i="8"/>
  <c r="L166" i="8"/>
  <c r="K166" i="8"/>
  <c r="J166" i="8"/>
  <c r="H166" i="8"/>
  <c r="G166" i="8"/>
  <c r="F166" i="8"/>
  <c r="D166" i="8"/>
  <c r="C166" i="8"/>
  <c r="B166" i="8"/>
  <c r="P165" i="8"/>
  <c r="O165" i="8"/>
  <c r="N165" i="8"/>
  <c r="L165" i="8"/>
  <c r="K165" i="8"/>
  <c r="J165" i="8"/>
  <c r="H165" i="8"/>
  <c r="G165" i="8"/>
  <c r="F165" i="8"/>
  <c r="D165" i="8"/>
  <c r="C165" i="8"/>
  <c r="B165" i="8"/>
  <c r="P164" i="8"/>
  <c r="O164" i="8"/>
  <c r="N164" i="8"/>
  <c r="L164" i="8"/>
  <c r="K164" i="8"/>
  <c r="J164" i="8"/>
  <c r="H164" i="8"/>
  <c r="G164" i="8"/>
  <c r="F164" i="8"/>
  <c r="D164" i="8"/>
  <c r="C164" i="8"/>
  <c r="B164" i="8"/>
  <c r="P162" i="8"/>
  <c r="O162" i="8"/>
  <c r="N162" i="8"/>
  <c r="L162" i="8"/>
  <c r="K162" i="8"/>
  <c r="J162" i="8"/>
  <c r="H162" i="8"/>
  <c r="G162" i="8"/>
  <c r="F162" i="8"/>
  <c r="D162" i="8"/>
  <c r="C162" i="8"/>
  <c r="B162" i="8"/>
  <c r="P161" i="8"/>
  <c r="O161" i="8"/>
  <c r="N161" i="8"/>
  <c r="L161" i="8"/>
  <c r="K161" i="8"/>
  <c r="J161" i="8"/>
  <c r="H161" i="8"/>
  <c r="G161" i="8"/>
  <c r="F161" i="8"/>
  <c r="D161" i="8"/>
  <c r="C161" i="8"/>
  <c r="B161" i="8"/>
  <c r="P160" i="8"/>
  <c r="O160" i="8"/>
  <c r="N160" i="8"/>
  <c r="L160" i="8"/>
  <c r="K160" i="8"/>
  <c r="J160" i="8"/>
  <c r="H160" i="8"/>
  <c r="G160" i="8"/>
  <c r="F160" i="8"/>
  <c r="D160" i="8"/>
  <c r="C160" i="8"/>
  <c r="B160" i="8"/>
  <c r="P157" i="8"/>
  <c r="O157" i="8"/>
  <c r="N157" i="8"/>
  <c r="L157" i="8"/>
  <c r="K157" i="8"/>
  <c r="J157" i="8"/>
  <c r="H157" i="8"/>
  <c r="G157" i="8"/>
  <c r="F157" i="8"/>
  <c r="D157" i="8"/>
  <c r="C157" i="8"/>
  <c r="B157" i="8"/>
  <c r="P156" i="8"/>
  <c r="O156" i="8"/>
  <c r="N156" i="8"/>
  <c r="L156" i="8"/>
  <c r="K156" i="8"/>
  <c r="J156" i="8"/>
  <c r="H156" i="8"/>
  <c r="G156" i="8"/>
  <c r="F156" i="8"/>
  <c r="D156" i="8"/>
  <c r="C156" i="8"/>
  <c r="B156" i="8"/>
  <c r="P155" i="8"/>
  <c r="O155" i="8"/>
  <c r="N155" i="8"/>
  <c r="L155" i="8"/>
  <c r="K155" i="8"/>
  <c r="J155" i="8"/>
  <c r="H155" i="8"/>
  <c r="G155" i="8"/>
  <c r="F155" i="8"/>
  <c r="D155" i="8"/>
  <c r="C155" i="8"/>
  <c r="B155" i="8"/>
  <c r="P153" i="8"/>
  <c r="O153" i="8"/>
  <c r="N153" i="8"/>
  <c r="L153" i="8"/>
  <c r="K153" i="8"/>
  <c r="J153" i="8"/>
  <c r="H153" i="8"/>
  <c r="G153" i="8"/>
  <c r="F153" i="8"/>
  <c r="D153" i="8"/>
  <c r="C153" i="8"/>
  <c r="B153" i="8"/>
  <c r="P152" i="8"/>
  <c r="O152" i="8"/>
  <c r="N152" i="8"/>
  <c r="L152" i="8"/>
  <c r="K152" i="8"/>
  <c r="J152" i="8"/>
  <c r="H152" i="8"/>
  <c r="G152" i="8"/>
  <c r="F152" i="8"/>
  <c r="D152" i="8"/>
  <c r="C152" i="8"/>
  <c r="B152" i="8"/>
  <c r="P151" i="8"/>
  <c r="O151" i="8"/>
  <c r="N151" i="8"/>
  <c r="L151" i="8"/>
  <c r="K151" i="8"/>
  <c r="J151" i="8"/>
  <c r="H151" i="8"/>
  <c r="G151" i="8"/>
  <c r="F151" i="8"/>
  <c r="D151" i="8"/>
  <c r="C151" i="8"/>
  <c r="B151" i="8"/>
  <c r="P149" i="8"/>
  <c r="O149" i="8"/>
  <c r="N149" i="8"/>
  <c r="L149" i="8"/>
  <c r="K149" i="8"/>
  <c r="J149" i="8"/>
  <c r="H149" i="8"/>
  <c r="G149" i="8"/>
  <c r="F149" i="8"/>
  <c r="D149" i="8"/>
  <c r="C149" i="8"/>
  <c r="B149" i="8"/>
  <c r="P148" i="8"/>
  <c r="O148" i="8"/>
  <c r="N148" i="8"/>
  <c r="L148" i="8"/>
  <c r="K148" i="8"/>
  <c r="J148" i="8"/>
  <c r="H148" i="8"/>
  <c r="G148" i="8"/>
  <c r="F148" i="8"/>
  <c r="D148" i="8"/>
  <c r="C148" i="8"/>
  <c r="B148" i="8"/>
  <c r="P147" i="8"/>
  <c r="O147" i="8"/>
  <c r="N147" i="8"/>
  <c r="L147" i="8"/>
  <c r="K147" i="8"/>
  <c r="J147" i="8"/>
  <c r="H147" i="8"/>
  <c r="G147" i="8"/>
  <c r="F147" i="8"/>
  <c r="D147" i="8"/>
  <c r="C147" i="8"/>
  <c r="B147" i="8"/>
  <c r="Q144" i="8"/>
  <c r="M144" i="8"/>
  <c r="I144" i="8"/>
  <c r="E144" i="8"/>
  <c r="P143" i="8"/>
  <c r="O143" i="8"/>
  <c r="N143" i="8"/>
  <c r="L143" i="8"/>
  <c r="K143" i="8"/>
  <c r="J143" i="8"/>
  <c r="H143" i="8"/>
  <c r="G143" i="8"/>
  <c r="F143" i="8"/>
  <c r="D143" i="8"/>
  <c r="C143" i="8"/>
  <c r="B143" i="8"/>
  <c r="P142" i="8"/>
  <c r="O142" i="8"/>
  <c r="N142" i="8"/>
  <c r="L142" i="8"/>
  <c r="K142" i="8"/>
  <c r="K140" i="8" s="1"/>
  <c r="J142" i="8"/>
  <c r="H142" i="8"/>
  <c r="G142" i="8"/>
  <c r="F142" i="8"/>
  <c r="D142" i="8"/>
  <c r="C142" i="8"/>
  <c r="B142" i="8"/>
  <c r="P141" i="8"/>
  <c r="O141" i="8"/>
  <c r="N141" i="8"/>
  <c r="L141" i="8"/>
  <c r="K141" i="8"/>
  <c r="J141" i="8"/>
  <c r="H141" i="8"/>
  <c r="G141" i="8"/>
  <c r="F141" i="8"/>
  <c r="D141" i="8"/>
  <c r="C141" i="8"/>
  <c r="B141" i="8"/>
  <c r="P139" i="8"/>
  <c r="O139" i="8"/>
  <c r="N139" i="8"/>
  <c r="L139" i="8"/>
  <c r="K139" i="8"/>
  <c r="J139" i="8"/>
  <c r="H139" i="8"/>
  <c r="G139" i="8"/>
  <c r="F139" i="8"/>
  <c r="D139" i="8"/>
  <c r="C139" i="8"/>
  <c r="B139" i="8"/>
  <c r="P138" i="8"/>
  <c r="O138" i="8"/>
  <c r="N138" i="8"/>
  <c r="L138" i="8"/>
  <c r="K138" i="8"/>
  <c r="J138" i="8"/>
  <c r="H138" i="8"/>
  <c r="G138" i="8"/>
  <c r="F138" i="8"/>
  <c r="D138" i="8"/>
  <c r="C138" i="8"/>
  <c r="B138" i="8"/>
  <c r="P137" i="8"/>
  <c r="O137" i="8"/>
  <c r="N137" i="8"/>
  <c r="L137" i="8"/>
  <c r="K137" i="8"/>
  <c r="J137" i="8"/>
  <c r="H137" i="8"/>
  <c r="G137" i="8"/>
  <c r="F137" i="8"/>
  <c r="D137" i="8"/>
  <c r="C137" i="8"/>
  <c r="B137" i="8"/>
  <c r="P135" i="8"/>
  <c r="O135" i="8"/>
  <c r="N135" i="8"/>
  <c r="L135" i="8"/>
  <c r="K135" i="8"/>
  <c r="J135" i="8"/>
  <c r="H135" i="8"/>
  <c r="G135" i="8"/>
  <c r="F135" i="8"/>
  <c r="D135" i="8"/>
  <c r="C135" i="8"/>
  <c r="B135" i="8"/>
  <c r="P134" i="8"/>
  <c r="O134" i="8"/>
  <c r="N134" i="8"/>
  <c r="L134" i="8"/>
  <c r="K134" i="8"/>
  <c r="J134" i="8"/>
  <c r="H134" i="8"/>
  <c r="G134" i="8"/>
  <c r="F134" i="8"/>
  <c r="D134" i="8"/>
  <c r="C134" i="8"/>
  <c r="B134" i="8"/>
  <c r="P133" i="8"/>
  <c r="O133" i="8"/>
  <c r="N133" i="8"/>
  <c r="L133" i="8"/>
  <c r="K133" i="8"/>
  <c r="J133" i="8"/>
  <c r="H133" i="8"/>
  <c r="G133" i="8"/>
  <c r="F133" i="8"/>
  <c r="D133" i="8"/>
  <c r="C133" i="8"/>
  <c r="B133" i="8"/>
  <c r="P131" i="8"/>
  <c r="O131" i="8"/>
  <c r="N131" i="8"/>
  <c r="L131" i="8"/>
  <c r="K131" i="8"/>
  <c r="J131" i="8"/>
  <c r="H131" i="8"/>
  <c r="G131" i="8"/>
  <c r="F131" i="8"/>
  <c r="D131" i="8"/>
  <c r="C131" i="8"/>
  <c r="B131" i="8"/>
  <c r="P130" i="8"/>
  <c r="O130" i="8"/>
  <c r="N130" i="8"/>
  <c r="L130" i="8"/>
  <c r="K130" i="8"/>
  <c r="J130" i="8"/>
  <c r="H130" i="8"/>
  <c r="G130" i="8"/>
  <c r="F130" i="8"/>
  <c r="D130" i="8"/>
  <c r="C130" i="8"/>
  <c r="B130" i="8"/>
  <c r="P129" i="8"/>
  <c r="O129" i="8"/>
  <c r="N129" i="8"/>
  <c r="L129" i="8"/>
  <c r="K129" i="8"/>
  <c r="J129" i="8"/>
  <c r="H129" i="8"/>
  <c r="G129" i="8"/>
  <c r="F129" i="8"/>
  <c r="D129" i="8"/>
  <c r="C129" i="8"/>
  <c r="B129" i="8"/>
  <c r="P127" i="8"/>
  <c r="O127" i="8"/>
  <c r="N127" i="8"/>
  <c r="L127" i="8"/>
  <c r="K127" i="8"/>
  <c r="J127" i="8"/>
  <c r="H127" i="8"/>
  <c r="G127" i="8"/>
  <c r="F127" i="8"/>
  <c r="D127" i="8"/>
  <c r="C127" i="8"/>
  <c r="B127" i="8"/>
  <c r="P126" i="8"/>
  <c r="O126" i="8"/>
  <c r="N126" i="8"/>
  <c r="L126" i="8"/>
  <c r="K126" i="8"/>
  <c r="J126" i="8"/>
  <c r="H126" i="8"/>
  <c r="G126" i="8"/>
  <c r="F126" i="8"/>
  <c r="D126" i="8"/>
  <c r="C126" i="8"/>
  <c r="B126" i="8"/>
  <c r="P125" i="8"/>
  <c r="O125" i="8"/>
  <c r="N125" i="8"/>
  <c r="L125" i="8"/>
  <c r="K125" i="8"/>
  <c r="J125" i="8"/>
  <c r="H125" i="8"/>
  <c r="G125" i="8"/>
  <c r="F125" i="8"/>
  <c r="D125" i="8"/>
  <c r="C125" i="8"/>
  <c r="B125" i="8"/>
  <c r="A122" i="8"/>
  <c r="P118" i="8"/>
  <c r="O118" i="8"/>
  <c r="N118" i="8"/>
  <c r="L118" i="8"/>
  <c r="K118" i="8"/>
  <c r="J118" i="8"/>
  <c r="H118" i="8"/>
  <c r="G118" i="8"/>
  <c r="F118" i="8"/>
  <c r="D118" i="8"/>
  <c r="C118" i="8"/>
  <c r="B118" i="8"/>
  <c r="P117" i="8"/>
  <c r="O117" i="8"/>
  <c r="N117" i="8"/>
  <c r="L117" i="8"/>
  <c r="K117" i="8"/>
  <c r="J117" i="8"/>
  <c r="H117" i="8"/>
  <c r="G117" i="8"/>
  <c r="F117" i="8"/>
  <c r="D117" i="8"/>
  <c r="C117" i="8"/>
  <c r="B117" i="8"/>
  <c r="P116" i="8"/>
  <c r="O116" i="8"/>
  <c r="N116" i="8"/>
  <c r="L116" i="8"/>
  <c r="K116" i="8"/>
  <c r="J116" i="8"/>
  <c r="H116" i="8"/>
  <c r="G116" i="8"/>
  <c r="F116" i="8"/>
  <c r="D116" i="8"/>
  <c r="C116" i="8"/>
  <c r="B116" i="8"/>
  <c r="P115" i="8"/>
  <c r="O115" i="8"/>
  <c r="N115" i="8"/>
  <c r="L115" i="8"/>
  <c r="K115" i="8"/>
  <c r="J115" i="8"/>
  <c r="H115" i="8"/>
  <c r="G115" i="8"/>
  <c r="F115" i="8"/>
  <c r="D115" i="8"/>
  <c r="C115" i="8"/>
  <c r="B115" i="8"/>
  <c r="P114" i="8"/>
  <c r="O114" i="8"/>
  <c r="N114" i="8"/>
  <c r="L114" i="8"/>
  <c r="K114" i="8"/>
  <c r="J114" i="8"/>
  <c r="H114" i="8"/>
  <c r="G114" i="8"/>
  <c r="F114" i="8"/>
  <c r="D114" i="8"/>
  <c r="C114" i="8"/>
  <c r="B114" i="8"/>
  <c r="P113" i="8"/>
  <c r="O113" i="8"/>
  <c r="N113" i="8"/>
  <c r="L113" i="8"/>
  <c r="K113" i="8"/>
  <c r="J113" i="8"/>
  <c r="H113" i="8"/>
  <c r="G113" i="8"/>
  <c r="F113" i="8"/>
  <c r="D113" i="8"/>
  <c r="C113" i="8"/>
  <c r="B113" i="8"/>
  <c r="P112" i="8"/>
  <c r="O112" i="8"/>
  <c r="N112" i="8"/>
  <c r="L112" i="8"/>
  <c r="K112" i="8"/>
  <c r="J112" i="8"/>
  <c r="H112" i="8"/>
  <c r="G112" i="8"/>
  <c r="F112" i="8"/>
  <c r="D112" i="8"/>
  <c r="C112" i="8"/>
  <c r="B112" i="8"/>
  <c r="P111" i="8"/>
  <c r="O111" i="8"/>
  <c r="N111" i="8"/>
  <c r="N110" i="8" s="1"/>
  <c r="L111" i="8"/>
  <c r="K111" i="8"/>
  <c r="J111" i="8"/>
  <c r="H111" i="8"/>
  <c r="G111" i="8"/>
  <c r="F111" i="8"/>
  <c r="D111" i="8"/>
  <c r="C111" i="8"/>
  <c r="B111" i="8"/>
  <c r="P109" i="8"/>
  <c r="O109" i="8"/>
  <c r="N109" i="8"/>
  <c r="L109" i="8"/>
  <c r="K109" i="8"/>
  <c r="J109" i="8"/>
  <c r="H109" i="8"/>
  <c r="G109" i="8"/>
  <c r="F109" i="8"/>
  <c r="D109" i="8"/>
  <c r="C109" i="8"/>
  <c r="B109" i="8"/>
  <c r="P108" i="8"/>
  <c r="O108" i="8"/>
  <c r="N108" i="8"/>
  <c r="L108" i="8"/>
  <c r="K108" i="8"/>
  <c r="J108" i="8"/>
  <c r="H108" i="8"/>
  <c r="G108" i="8"/>
  <c r="F108" i="8"/>
  <c r="D108" i="8"/>
  <c r="C108" i="8"/>
  <c r="B108" i="8"/>
  <c r="P105" i="8"/>
  <c r="O105" i="8"/>
  <c r="N105" i="8"/>
  <c r="L105" i="8"/>
  <c r="K105" i="8"/>
  <c r="J105" i="8"/>
  <c r="H105" i="8"/>
  <c r="G105" i="8"/>
  <c r="F105" i="8"/>
  <c r="D105" i="8"/>
  <c r="C105" i="8"/>
  <c r="B105" i="8"/>
  <c r="P104" i="8"/>
  <c r="O104" i="8"/>
  <c r="N104" i="8"/>
  <c r="L104" i="8"/>
  <c r="K104" i="8"/>
  <c r="J104" i="8"/>
  <c r="H104" i="8"/>
  <c r="G104" i="8"/>
  <c r="F104" i="8"/>
  <c r="D104" i="8"/>
  <c r="C104" i="8"/>
  <c r="B104" i="8"/>
  <c r="P103" i="8"/>
  <c r="O103" i="8"/>
  <c r="N103" i="8"/>
  <c r="L103" i="8"/>
  <c r="K103" i="8"/>
  <c r="J103" i="8"/>
  <c r="H103" i="8"/>
  <c r="G103" i="8"/>
  <c r="F103" i="8"/>
  <c r="D103" i="8"/>
  <c r="C103" i="8"/>
  <c r="B103" i="8"/>
  <c r="P102" i="8"/>
  <c r="O102" i="8"/>
  <c r="N102" i="8"/>
  <c r="L102" i="8"/>
  <c r="K102" i="8"/>
  <c r="J102" i="8"/>
  <c r="H102" i="8"/>
  <c r="G102" i="8"/>
  <c r="F102" i="8"/>
  <c r="D102" i="8"/>
  <c r="C102" i="8"/>
  <c r="B102" i="8"/>
  <c r="P101" i="8"/>
  <c r="O101" i="8"/>
  <c r="N101" i="8"/>
  <c r="L101" i="8"/>
  <c r="K101" i="8"/>
  <c r="J101" i="8"/>
  <c r="H101" i="8"/>
  <c r="G101" i="8"/>
  <c r="F101" i="8"/>
  <c r="D101" i="8"/>
  <c r="C101" i="8"/>
  <c r="B101" i="8"/>
  <c r="P100" i="8"/>
  <c r="O100" i="8"/>
  <c r="N100" i="8"/>
  <c r="L100" i="8"/>
  <c r="K100" i="8"/>
  <c r="J100" i="8"/>
  <c r="H100" i="8"/>
  <c r="G100" i="8"/>
  <c r="F100" i="8"/>
  <c r="D100" i="8"/>
  <c r="C100" i="8"/>
  <c r="B100" i="8"/>
  <c r="P99" i="8"/>
  <c r="O99" i="8"/>
  <c r="N99" i="8"/>
  <c r="L99" i="8"/>
  <c r="K99" i="8"/>
  <c r="J99" i="8"/>
  <c r="H99" i="8"/>
  <c r="G99" i="8"/>
  <c r="F99" i="8"/>
  <c r="D99" i="8"/>
  <c r="C99" i="8"/>
  <c r="B99" i="8"/>
  <c r="P98" i="8"/>
  <c r="O98" i="8"/>
  <c r="N98" i="8"/>
  <c r="L98" i="8"/>
  <c r="K98" i="8"/>
  <c r="J98" i="8"/>
  <c r="H98" i="8"/>
  <c r="G98" i="8"/>
  <c r="F98" i="8"/>
  <c r="D98" i="8"/>
  <c r="C98" i="8"/>
  <c r="B98" i="8"/>
  <c r="P96" i="8"/>
  <c r="O96" i="8"/>
  <c r="N96" i="8"/>
  <c r="L96" i="8"/>
  <c r="K96" i="8"/>
  <c r="J96" i="8"/>
  <c r="H96" i="8"/>
  <c r="G96" i="8"/>
  <c r="F96" i="8"/>
  <c r="D96" i="8"/>
  <c r="C96" i="8"/>
  <c r="B96" i="8"/>
  <c r="P95" i="8"/>
  <c r="O95" i="8"/>
  <c r="N95" i="8"/>
  <c r="L95" i="8"/>
  <c r="K95" i="8"/>
  <c r="J95" i="8"/>
  <c r="H95" i="8"/>
  <c r="G95" i="8"/>
  <c r="F95" i="8"/>
  <c r="D95" i="8"/>
  <c r="C95" i="8"/>
  <c r="B95" i="8"/>
  <c r="P92" i="8"/>
  <c r="O92" i="8"/>
  <c r="N92" i="8"/>
  <c r="L92" i="8"/>
  <c r="K92" i="8"/>
  <c r="J92" i="8"/>
  <c r="H92" i="8"/>
  <c r="G92" i="8"/>
  <c r="F92" i="8"/>
  <c r="D92" i="8"/>
  <c r="C92" i="8"/>
  <c r="B92" i="8"/>
  <c r="P91" i="8"/>
  <c r="O91" i="8"/>
  <c r="N91" i="8"/>
  <c r="L91" i="8"/>
  <c r="K91" i="8"/>
  <c r="J91" i="8"/>
  <c r="H91" i="8"/>
  <c r="G91" i="8"/>
  <c r="F91" i="8"/>
  <c r="D91" i="8"/>
  <c r="C91" i="8"/>
  <c r="B91" i="8"/>
  <c r="P90" i="8"/>
  <c r="O90" i="8"/>
  <c r="N90" i="8"/>
  <c r="L90" i="8"/>
  <c r="K90" i="8"/>
  <c r="J90" i="8"/>
  <c r="H90" i="8"/>
  <c r="G90" i="8"/>
  <c r="F90" i="8"/>
  <c r="D90" i="8"/>
  <c r="C90" i="8"/>
  <c r="B90" i="8"/>
  <c r="P89" i="8"/>
  <c r="O89" i="8"/>
  <c r="N89" i="8"/>
  <c r="L89" i="8"/>
  <c r="K89" i="8"/>
  <c r="J89" i="8"/>
  <c r="H89" i="8"/>
  <c r="G89" i="8"/>
  <c r="F89" i="8"/>
  <c r="D89" i="8"/>
  <c r="C89" i="8"/>
  <c r="B89" i="8"/>
  <c r="P88" i="8"/>
  <c r="O88" i="8"/>
  <c r="N88" i="8"/>
  <c r="L88" i="8"/>
  <c r="K88" i="8"/>
  <c r="J88" i="8"/>
  <c r="H88" i="8"/>
  <c r="G88" i="8"/>
  <c r="F88" i="8"/>
  <c r="D88" i="8"/>
  <c r="C88" i="8"/>
  <c r="B88" i="8"/>
  <c r="P87" i="8"/>
  <c r="O87" i="8"/>
  <c r="N87" i="8"/>
  <c r="L87" i="8"/>
  <c r="K87" i="8"/>
  <c r="J87" i="8"/>
  <c r="H87" i="8"/>
  <c r="G87" i="8"/>
  <c r="F87" i="8"/>
  <c r="D87" i="8"/>
  <c r="C87" i="8"/>
  <c r="B87" i="8"/>
  <c r="P86" i="8"/>
  <c r="O86" i="8"/>
  <c r="N86" i="8"/>
  <c r="L86" i="8"/>
  <c r="K86" i="8"/>
  <c r="J86" i="8"/>
  <c r="H86" i="8"/>
  <c r="G86" i="8"/>
  <c r="F86" i="8"/>
  <c r="D86" i="8"/>
  <c r="C86" i="8"/>
  <c r="B86" i="8"/>
  <c r="P85" i="8"/>
  <c r="O85" i="8"/>
  <c r="N85" i="8"/>
  <c r="L85" i="8"/>
  <c r="K85" i="8"/>
  <c r="J85" i="8"/>
  <c r="H85" i="8"/>
  <c r="G85" i="8"/>
  <c r="F85" i="8"/>
  <c r="D85" i="8"/>
  <c r="C85" i="8"/>
  <c r="B85" i="8"/>
  <c r="P83" i="8"/>
  <c r="O83" i="8"/>
  <c r="N83" i="8"/>
  <c r="L83" i="8"/>
  <c r="K83" i="8"/>
  <c r="J83" i="8"/>
  <c r="H83" i="8"/>
  <c r="G83" i="8"/>
  <c r="F83" i="8"/>
  <c r="D83" i="8"/>
  <c r="C83" i="8"/>
  <c r="B83" i="8"/>
  <c r="P82" i="8"/>
  <c r="O82" i="8"/>
  <c r="N82" i="8"/>
  <c r="L82" i="8"/>
  <c r="K82" i="8"/>
  <c r="K81" i="8" s="1"/>
  <c r="J82" i="8"/>
  <c r="H82" i="8"/>
  <c r="G82" i="8"/>
  <c r="F82" i="8"/>
  <c r="D82" i="8"/>
  <c r="C82" i="8"/>
  <c r="B82" i="8"/>
  <c r="P79" i="8"/>
  <c r="O79" i="8"/>
  <c r="N79" i="8"/>
  <c r="L79" i="8"/>
  <c r="K79" i="8"/>
  <c r="J79" i="8"/>
  <c r="H79" i="8"/>
  <c r="G79" i="8"/>
  <c r="F79" i="8"/>
  <c r="D79" i="8"/>
  <c r="C79" i="8"/>
  <c r="B79" i="8"/>
  <c r="P78" i="8"/>
  <c r="O78" i="8"/>
  <c r="N78" i="8"/>
  <c r="L78" i="8"/>
  <c r="K78" i="8"/>
  <c r="J78" i="8"/>
  <c r="H78" i="8"/>
  <c r="G78" i="8"/>
  <c r="F78" i="8"/>
  <c r="D78" i="8"/>
  <c r="C78" i="8"/>
  <c r="B78" i="8"/>
  <c r="P77" i="8"/>
  <c r="O77" i="8"/>
  <c r="N77" i="8"/>
  <c r="L77" i="8"/>
  <c r="K77" i="8"/>
  <c r="J77" i="8"/>
  <c r="H77" i="8"/>
  <c r="G77" i="8"/>
  <c r="F77" i="8"/>
  <c r="D77" i="8"/>
  <c r="C77" i="8"/>
  <c r="B77" i="8"/>
  <c r="P76" i="8"/>
  <c r="O76" i="8"/>
  <c r="N76" i="8"/>
  <c r="L76" i="8"/>
  <c r="K76" i="8"/>
  <c r="J76" i="8"/>
  <c r="H76" i="8"/>
  <c r="G76" i="8"/>
  <c r="F76" i="8"/>
  <c r="D76" i="8"/>
  <c r="C76" i="8"/>
  <c r="B76" i="8"/>
  <c r="P75" i="8"/>
  <c r="O75" i="8"/>
  <c r="N75" i="8"/>
  <c r="L75" i="8"/>
  <c r="K75" i="8"/>
  <c r="J75" i="8"/>
  <c r="H75" i="8"/>
  <c r="G75" i="8"/>
  <c r="F75" i="8"/>
  <c r="D75" i="8"/>
  <c r="C75" i="8"/>
  <c r="B75" i="8"/>
  <c r="P74" i="8"/>
  <c r="O74" i="8"/>
  <c r="N74" i="8"/>
  <c r="L74" i="8"/>
  <c r="K74" i="8"/>
  <c r="J74" i="8"/>
  <c r="H74" i="8"/>
  <c r="G74" i="8"/>
  <c r="F74" i="8"/>
  <c r="D74" i="8"/>
  <c r="C74" i="8"/>
  <c r="B74" i="8"/>
  <c r="P73" i="8"/>
  <c r="O73" i="8"/>
  <c r="N73" i="8"/>
  <c r="L73" i="8"/>
  <c r="K73" i="8"/>
  <c r="J73" i="8"/>
  <c r="H73" i="8"/>
  <c r="G73" i="8"/>
  <c r="F73" i="8"/>
  <c r="D73" i="8"/>
  <c r="C73" i="8"/>
  <c r="B73" i="8"/>
  <c r="P72" i="8"/>
  <c r="O72" i="8"/>
  <c r="N72" i="8"/>
  <c r="L72" i="8"/>
  <c r="K72" i="8"/>
  <c r="J72" i="8"/>
  <c r="H72" i="8"/>
  <c r="G72" i="8"/>
  <c r="F72" i="8"/>
  <c r="D72" i="8"/>
  <c r="C72" i="8"/>
  <c r="B72" i="8"/>
  <c r="P70" i="8"/>
  <c r="O70" i="8"/>
  <c r="N70" i="8"/>
  <c r="L70" i="8"/>
  <c r="K70" i="8"/>
  <c r="J70" i="8"/>
  <c r="H70" i="8"/>
  <c r="G70" i="8"/>
  <c r="F70" i="8"/>
  <c r="D70" i="8"/>
  <c r="C70" i="8"/>
  <c r="B70" i="8"/>
  <c r="P69" i="8"/>
  <c r="O69" i="8"/>
  <c r="N69" i="8"/>
  <c r="L69" i="8"/>
  <c r="K69" i="8"/>
  <c r="J69" i="8"/>
  <c r="H69" i="8"/>
  <c r="G69" i="8"/>
  <c r="F69" i="8"/>
  <c r="D69" i="8"/>
  <c r="C69" i="8"/>
  <c r="B69" i="8"/>
  <c r="P66" i="8"/>
  <c r="O66" i="8"/>
  <c r="N66" i="8"/>
  <c r="L66" i="8"/>
  <c r="K66" i="8"/>
  <c r="J66" i="8"/>
  <c r="H66" i="8"/>
  <c r="G66" i="8"/>
  <c r="F66" i="8"/>
  <c r="D66" i="8"/>
  <c r="C66" i="8"/>
  <c r="B66" i="8"/>
  <c r="P65" i="8"/>
  <c r="O65" i="8"/>
  <c r="N65" i="8"/>
  <c r="L65" i="8"/>
  <c r="K65" i="8"/>
  <c r="J65" i="8"/>
  <c r="H65" i="8"/>
  <c r="G65" i="8"/>
  <c r="F65" i="8"/>
  <c r="D65" i="8"/>
  <c r="C65" i="8"/>
  <c r="B65" i="8"/>
  <c r="P64" i="8"/>
  <c r="O64" i="8"/>
  <c r="N64" i="8"/>
  <c r="L64" i="8"/>
  <c r="K64" i="8"/>
  <c r="J64" i="8"/>
  <c r="H64" i="8"/>
  <c r="G64" i="8"/>
  <c r="F64" i="8"/>
  <c r="D64" i="8"/>
  <c r="C64" i="8"/>
  <c r="B64" i="8"/>
  <c r="P63" i="8"/>
  <c r="O63" i="8"/>
  <c r="N63" i="8"/>
  <c r="L63" i="8"/>
  <c r="K63" i="8"/>
  <c r="J63" i="8"/>
  <c r="H63" i="8"/>
  <c r="G63" i="8"/>
  <c r="F63" i="8"/>
  <c r="D63" i="8"/>
  <c r="C63" i="8"/>
  <c r="B63" i="8"/>
  <c r="P62" i="8"/>
  <c r="O62" i="8"/>
  <c r="N62" i="8"/>
  <c r="L62" i="8"/>
  <c r="K62" i="8"/>
  <c r="J62" i="8"/>
  <c r="H62" i="8"/>
  <c r="G62" i="8"/>
  <c r="F62" i="8"/>
  <c r="D62" i="8"/>
  <c r="C62" i="8"/>
  <c r="B62" i="8"/>
  <c r="P61" i="8"/>
  <c r="O61" i="8"/>
  <c r="N61" i="8"/>
  <c r="L61" i="8"/>
  <c r="K61" i="8"/>
  <c r="J61" i="8"/>
  <c r="H61" i="8"/>
  <c r="G61" i="8"/>
  <c r="F61" i="8"/>
  <c r="D61" i="8"/>
  <c r="C61" i="8"/>
  <c r="B61" i="8"/>
  <c r="P60" i="8"/>
  <c r="O60" i="8"/>
  <c r="N60" i="8"/>
  <c r="L60" i="8"/>
  <c r="K60" i="8"/>
  <c r="J60" i="8"/>
  <c r="H60" i="8"/>
  <c r="G60" i="8"/>
  <c r="F60" i="8"/>
  <c r="D60" i="8"/>
  <c r="C60" i="8"/>
  <c r="B60" i="8"/>
  <c r="P59" i="8"/>
  <c r="O59" i="8"/>
  <c r="N59" i="8"/>
  <c r="L59" i="8"/>
  <c r="K59" i="8"/>
  <c r="J59" i="8"/>
  <c r="H59" i="8"/>
  <c r="G59" i="8"/>
  <c r="F59" i="8"/>
  <c r="D59" i="8"/>
  <c r="C59" i="8"/>
  <c r="B59" i="8"/>
  <c r="P57" i="8"/>
  <c r="O57" i="8"/>
  <c r="N57" i="8"/>
  <c r="L57" i="8"/>
  <c r="K57" i="8"/>
  <c r="J57" i="8"/>
  <c r="H57" i="8"/>
  <c r="G57" i="8"/>
  <c r="F57" i="8"/>
  <c r="D57" i="8"/>
  <c r="C57" i="8"/>
  <c r="B57" i="8"/>
  <c r="P56" i="8"/>
  <c r="O56" i="8"/>
  <c r="N56" i="8"/>
  <c r="N55" i="8" s="1"/>
  <c r="L56" i="8"/>
  <c r="K56" i="8"/>
  <c r="J56" i="8"/>
  <c r="H56" i="8"/>
  <c r="G56" i="8"/>
  <c r="F56" i="8"/>
  <c r="D56" i="8"/>
  <c r="C56" i="8"/>
  <c r="B56" i="8"/>
  <c r="K55" i="8"/>
  <c r="P52" i="8"/>
  <c r="O52" i="8"/>
  <c r="N52" i="8"/>
  <c r="L52" i="8"/>
  <c r="K52" i="8"/>
  <c r="J52" i="8"/>
  <c r="H52" i="8"/>
  <c r="G52" i="8"/>
  <c r="F52" i="8"/>
  <c r="D52" i="8"/>
  <c r="C52" i="8"/>
  <c r="B52" i="8"/>
  <c r="P51" i="8"/>
  <c r="O51" i="8"/>
  <c r="N51" i="8"/>
  <c r="L51" i="8"/>
  <c r="K51" i="8"/>
  <c r="J51" i="8"/>
  <c r="H51" i="8"/>
  <c r="G51" i="8"/>
  <c r="F51" i="8"/>
  <c r="D51" i="8"/>
  <c r="C51" i="8"/>
  <c r="B51" i="8"/>
  <c r="P50" i="8"/>
  <c r="O50" i="8"/>
  <c r="N50" i="8"/>
  <c r="L50" i="8"/>
  <c r="K50" i="8"/>
  <c r="J50" i="8"/>
  <c r="H50" i="8"/>
  <c r="G50" i="8"/>
  <c r="F50" i="8"/>
  <c r="D50" i="8"/>
  <c r="C50" i="8"/>
  <c r="B50" i="8"/>
  <c r="P49" i="8"/>
  <c r="O49" i="8"/>
  <c r="N49" i="8"/>
  <c r="L49" i="8"/>
  <c r="K49" i="8"/>
  <c r="J49" i="8"/>
  <c r="H49" i="8"/>
  <c r="G49" i="8"/>
  <c r="F49" i="8"/>
  <c r="D49" i="8"/>
  <c r="C49" i="8"/>
  <c r="B49" i="8"/>
  <c r="P48" i="8"/>
  <c r="O48" i="8"/>
  <c r="N48" i="8"/>
  <c r="L48" i="8"/>
  <c r="K48" i="8"/>
  <c r="J48" i="8"/>
  <c r="H48" i="8"/>
  <c r="G48" i="8"/>
  <c r="F48" i="8"/>
  <c r="D48" i="8"/>
  <c r="C48" i="8"/>
  <c r="B48" i="8"/>
  <c r="P47" i="8"/>
  <c r="O47" i="8"/>
  <c r="N47" i="8"/>
  <c r="L47" i="8"/>
  <c r="K47" i="8"/>
  <c r="J47" i="8"/>
  <c r="H47" i="8"/>
  <c r="G47" i="8"/>
  <c r="F47" i="8"/>
  <c r="D47" i="8"/>
  <c r="C47" i="8"/>
  <c r="B47" i="8"/>
  <c r="P46" i="8"/>
  <c r="O46" i="8"/>
  <c r="N46" i="8"/>
  <c r="L46" i="8"/>
  <c r="K46" i="8"/>
  <c r="J46" i="8"/>
  <c r="H46" i="8"/>
  <c r="G46" i="8"/>
  <c r="F46" i="8"/>
  <c r="D46" i="8"/>
  <c r="C46" i="8"/>
  <c r="B46" i="8"/>
  <c r="P45" i="8"/>
  <c r="O45" i="8"/>
  <c r="N45" i="8"/>
  <c r="L45" i="8"/>
  <c r="K45" i="8"/>
  <c r="J45" i="8"/>
  <c r="H45" i="8"/>
  <c r="G45" i="8"/>
  <c r="F45" i="8"/>
  <c r="D45" i="8"/>
  <c r="C45" i="8"/>
  <c r="B45" i="8"/>
  <c r="P43" i="8"/>
  <c r="O43" i="8"/>
  <c r="N43" i="8"/>
  <c r="L43" i="8"/>
  <c r="K43" i="8"/>
  <c r="J43" i="8"/>
  <c r="H43" i="8"/>
  <c r="G43" i="8"/>
  <c r="F43" i="8"/>
  <c r="D43" i="8"/>
  <c r="C43" i="8"/>
  <c r="B43" i="8"/>
  <c r="P42" i="8"/>
  <c r="O42" i="8"/>
  <c r="N42" i="8"/>
  <c r="L42" i="8"/>
  <c r="K42" i="8"/>
  <c r="J42" i="8"/>
  <c r="H42" i="8"/>
  <c r="G42" i="8"/>
  <c r="F42" i="8"/>
  <c r="D42" i="8"/>
  <c r="C42" i="8"/>
  <c r="B42" i="8"/>
  <c r="P39" i="8"/>
  <c r="O39" i="8"/>
  <c r="N39" i="8"/>
  <c r="L39" i="8"/>
  <c r="K39" i="8"/>
  <c r="J39" i="8"/>
  <c r="H39" i="8"/>
  <c r="G39" i="8"/>
  <c r="F39" i="8"/>
  <c r="D39" i="8"/>
  <c r="C39" i="8"/>
  <c r="B39" i="8"/>
  <c r="P38" i="8"/>
  <c r="O38" i="8"/>
  <c r="N38" i="8"/>
  <c r="L38" i="8"/>
  <c r="K38" i="8"/>
  <c r="J38" i="8"/>
  <c r="H38" i="8"/>
  <c r="G38" i="8"/>
  <c r="F38" i="8"/>
  <c r="D38" i="8"/>
  <c r="C38" i="8"/>
  <c r="B38" i="8"/>
  <c r="P37" i="8"/>
  <c r="O37" i="8"/>
  <c r="N37" i="8"/>
  <c r="L37" i="8"/>
  <c r="K37" i="8"/>
  <c r="J37" i="8"/>
  <c r="H37" i="8"/>
  <c r="G37" i="8"/>
  <c r="F37" i="8"/>
  <c r="D37" i="8"/>
  <c r="C37" i="8"/>
  <c r="B37" i="8"/>
  <c r="P36" i="8"/>
  <c r="O36" i="8"/>
  <c r="N36" i="8"/>
  <c r="L36" i="8"/>
  <c r="K36" i="8"/>
  <c r="J36" i="8"/>
  <c r="H36" i="8"/>
  <c r="G36" i="8"/>
  <c r="F36" i="8"/>
  <c r="D36" i="8"/>
  <c r="C36" i="8"/>
  <c r="B36" i="8"/>
  <c r="P35" i="8"/>
  <c r="O35" i="8"/>
  <c r="N35" i="8"/>
  <c r="L35" i="8"/>
  <c r="K35" i="8"/>
  <c r="J35" i="8"/>
  <c r="H35" i="8"/>
  <c r="G35" i="8"/>
  <c r="F35" i="8"/>
  <c r="D35" i="8"/>
  <c r="C35" i="8"/>
  <c r="B35" i="8"/>
  <c r="P34" i="8"/>
  <c r="O34" i="8"/>
  <c r="N34" i="8"/>
  <c r="L34" i="8"/>
  <c r="K34" i="8"/>
  <c r="J34" i="8"/>
  <c r="H34" i="8"/>
  <c r="G34" i="8"/>
  <c r="F34" i="8"/>
  <c r="D34" i="8"/>
  <c r="C34" i="8"/>
  <c r="B34" i="8"/>
  <c r="P33" i="8"/>
  <c r="O33" i="8"/>
  <c r="N33" i="8"/>
  <c r="L33" i="8"/>
  <c r="K33" i="8"/>
  <c r="J33" i="8"/>
  <c r="H33" i="8"/>
  <c r="G33" i="8"/>
  <c r="F33" i="8"/>
  <c r="D33" i="8"/>
  <c r="C33" i="8"/>
  <c r="B33" i="8"/>
  <c r="P32" i="8"/>
  <c r="O32" i="8"/>
  <c r="N32" i="8"/>
  <c r="L32" i="8"/>
  <c r="K32" i="8"/>
  <c r="J32" i="8"/>
  <c r="H32" i="8"/>
  <c r="G32" i="8"/>
  <c r="F32" i="8"/>
  <c r="D32" i="8"/>
  <c r="C32" i="8"/>
  <c r="B32" i="8"/>
  <c r="P30" i="8"/>
  <c r="O30" i="8"/>
  <c r="N30" i="8"/>
  <c r="L30" i="8"/>
  <c r="K30" i="8"/>
  <c r="J30" i="8"/>
  <c r="H30" i="8"/>
  <c r="G30" i="8"/>
  <c r="F30" i="8"/>
  <c r="D30" i="8"/>
  <c r="C30" i="8"/>
  <c r="B30" i="8"/>
  <c r="P29" i="8"/>
  <c r="O29" i="8"/>
  <c r="N29" i="8"/>
  <c r="L29" i="8"/>
  <c r="K29" i="8"/>
  <c r="J29" i="8"/>
  <c r="H29" i="8"/>
  <c r="G29" i="8"/>
  <c r="F29" i="8"/>
  <c r="D29" i="8"/>
  <c r="C29" i="8"/>
  <c r="B29" i="8"/>
  <c r="P25" i="8"/>
  <c r="O25" i="8"/>
  <c r="N25" i="8"/>
  <c r="L25" i="8"/>
  <c r="K25" i="8"/>
  <c r="J25" i="8"/>
  <c r="H25" i="8"/>
  <c r="G25" i="8"/>
  <c r="F25" i="8"/>
  <c r="D25" i="8"/>
  <c r="C25" i="8"/>
  <c r="B25" i="8"/>
  <c r="P24" i="8"/>
  <c r="O24" i="8"/>
  <c r="N24" i="8"/>
  <c r="L24" i="8"/>
  <c r="K24" i="8"/>
  <c r="J24" i="8"/>
  <c r="H24" i="8"/>
  <c r="G24" i="8"/>
  <c r="F24" i="8"/>
  <c r="D24" i="8"/>
  <c r="C24" i="8"/>
  <c r="B24" i="8"/>
  <c r="P23" i="8"/>
  <c r="O23" i="8"/>
  <c r="N23" i="8"/>
  <c r="L23" i="8"/>
  <c r="K23" i="8"/>
  <c r="J23" i="8"/>
  <c r="H23" i="8"/>
  <c r="G23" i="8"/>
  <c r="F23" i="8"/>
  <c r="D23" i="8"/>
  <c r="C23" i="8"/>
  <c r="B23" i="8"/>
  <c r="P22" i="8"/>
  <c r="O22" i="8"/>
  <c r="N22" i="8"/>
  <c r="L22" i="8"/>
  <c r="K22" i="8"/>
  <c r="J22" i="8"/>
  <c r="H22" i="8"/>
  <c r="G22" i="8"/>
  <c r="F22" i="8"/>
  <c r="D22" i="8"/>
  <c r="C22" i="8"/>
  <c r="B22" i="8"/>
  <c r="P21" i="8"/>
  <c r="O21" i="8"/>
  <c r="N21" i="8"/>
  <c r="L21" i="8"/>
  <c r="K21" i="8"/>
  <c r="J21" i="8"/>
  <c r="H21" i="8"/>
  <c r="G21" i="8"/>
  <c r="F21" i="8"/>
  <c r="D21" i="8"/>
  <c r="C21" i="8"/>
  <c r="B21" i="8"/>
  <c r="P20" i="8"/>
  <c r="O20" i="8"/>
  <c r="N20" i="8"/>
  <c r="L20" i="8"/>
  <c r="K20" i="8"/>
  <c r="J20" i="8"/>
  <c r="H20" i="8"/>
  <c r="G20" i="8"/>
  <c r="F20" i="8"/>
  <c r="D20" i="8"/>
  <c r="C20" i="8"/>
  <c r="B20" i="8"/>
  <c r="P19" i="8"/>
  <c r="O19" i="8"/>
  <c r="N19" i="8"/>
  <c r="L19" i="8"/>
  <c r="K19" i="8"/>
  <c r="J19" i="8"/>
  <c r="H19" i="8"/>
  <c r="G19" i="8"/>
  <c r="F19" i="8"/>
  <c r="D19" i="8"/>
  <c r="C19" i="8"/>
  <c r="B19" i="8"/>
  <c r="P18" i="8"/>
  <c r="O18" i="8"/>
  <c r="N18" i="8"/>
  <c r="L18" i="8"/>
  <c r="K18" i="8"/>
  <c r="J18" i="8"/>
  <c r="H18" i="8"/>
  <c r="G18" i="8"/>
  <c r="F18" i="8"/>
  <c r="D18" i="8"/>
  <c r="C18" i="8"/>
  <c r="B18" i="8"/>
  <c r="P16" i="8"/>
  <c r="O16" i="8"/>
  <c r="N16" i="8"/>
  <c r="L16" i="8"/>
  <c r="K16" i="8"/>
  <c r="J16" i="8"/>
  <c r="H16" i="8"/>
  <c r="G16" i="8"/>
  <c r="F16" i="8"/>
  <c r="D16" i="8"/>
  <c r="C16" i="8"/>
  <c r="B16" i="8"/>
  <c r="P15" i="8"/>
  <c r="O15" i="8"/>
  <c r="N15" i="8"/>
  <c r="L15" i="8"/>
  <c r="K15" i="8"/>
  <c r="J15" i="8"/>
  <c r="H15" i="8"/>
  <c r="G15" i="8"/>
  <c r="F15" i="8"/>
  <c r="D15" i="8"/>
  <c r="C15" i="8"/>
  <c r="B15" i="8"/>
  <c r="P10" i="8"/>
  <c r="O10" i="8"/>
  <c r="N10" i="8"/>
  <c r="L10" i="8"/>
  <c r="K10" i="8"/>
  <c r="J10" i="8"/>
  <c r="H10" i="8"/>
  <c r="G10" i="8"/>
  <c r="F10" i="8"/>
  <c r="D10" i="8"/>
  <c r="C10" i="8"/>
  <c r="B10" i="8"/>
  <c r="P9" i="8"/>
  <c r="O9" i="8"/>
  <c r="N9" i="8"/>
  <c r="L9" i="8"/>
  <c r="K9" i="8"/>
  <c r="J9" i="8"/>
  <c r="H9" i="8"/>
  <c r="G9" i="8"/>
  <c r="F9" i="8"/>
  <c r="D9" i="8"/>
  <c r="C9" i="8"/>
  <c r="B9" i="8"/>
  <c r="P8" i="8"/>
  <c r="O8" i="8"/>
  <c r="N8" i="8"/>
  <c r="L8" i="8"/>
  <c r="K8" i="8"/>
  <c r="J8" i="8"/>
  <c r="H8" i="8"/>
  <c r="G8" i="8"/>
  <c r="F8" i="8"/>
  <c r="D8" i="8"/>
  <c r="D12" i="8" s="1"/>
  <c r="C8" i="8"/>
  <c r="C12" i="8" s="1"/>
  <c r="B8" i="8"/>
  <c r="B12" i="8" s="1"/>
  <c r="P7" i="8"/>
  <c r="O7" i="8"/>
  <c r="N7" i="8"/>
  <c r="L7" i="8"/>
  <c r="K7" i="8"/>
  <c r="J7" i="8"/>
  <c r="H7" i="8"/>
  <c r="G7" i="8"/>
  <c r="F7" i="8"/>
  <c r="D7" i="8"/>
  <c r="C7" i="8"/>
  <c r="B7" i="8"/>
  <c r="B11" i="8" s="1"/>
  <c r="P5" i="8"/>
  <c r="O5" i="8"/>
  <c r="N5" i="8"/>
  <c r="L5" i="8"/>
  <c r="K5" i="8"/>
  <c r="J5" i="8"/>
  <c r="H5" i="8"/>
  <c r="G5" i="8"/>
  <c r="F5" i="8"/>
  <c r="D5" i="8"/>
  <c r="C5" i="8"/>
  <c r="B5" i="8"/>
  <c r="P4" i="8"/>
  <c r="O4" i="8"/>
  <c r="N4" i="8"/>
  <c r="L4" i="8"/>
  <c r="K4" i="8"/>
  <c r="J4" i="8"/>
  <c r="H4" i="8"/>
  <c r="G4" i="8"/>
  <c r="F4" i="8"/>
  <c r="D4" i="8"/>
  <c r="C4" i="8"/>
  <c r="B4" i="8"/>
  <c r="BL138" i="7"/>
  <c r="BK138" i="7"/>
  <c r="BJ138" i="7"/>
  <c r="BI138" i="7"/>
  <c r="BH138" i="7"/>
  <c r="BG138" i="7"/>
  <c r="BF138" i="7"/>
  <c r="BE138" i="7"/>
  <c r="BD138" i="7"/>
  <c r="BC138" i="7"/>
  <c r="BB138" i="7"/>
  <c r="BA138" i="7"/>
  <c r="AZ138" i="7"/>
  <c r="AX138" i="7"/>
  <c r="AY138" i="7" s="1"/>
  <c r="AW138" i="7"/>
  <c r="AV138" i="7"/>
  <c r="AU138" i="7"/>
  <c r="AS138" i="7"/>
  <c r="AT138" i="7" s="1"/>
  <c r="AR138" i="7"/>
  <c r="AQ138" i="7"/>
  <c r="AP138" i="7"/>
  <c r="AO138" i="7"/>
  <c r="AN138" i="7"/>
  <c r="AM138" i="7"/>
  <c r="AJ138" i="7"/>
  <c r="AI138" i="7"/>
  <c r="AH138" i="7"/>
  <c r="AG138" i="7"/>
  <c r="AF138" i="7"/>
  <c r="AE138" i="7"/>
  <c r="AE139" i="7" s="1"/>
  <c r="AE140" i="7" s="1"/>
  <c r="AD138" i="7"/>
  <c r="AC138" i="7"/>
  <c r="AB138" i="7"/>
  <c r="AA138" i="7"/>
  <c r="Z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BL88" i="7"/>
  <c r="BK88" i="7"/>
  <c r="BJ88" i="7"/>
  <c r="BI88" i="7"/>
  <c r="BH88" i="7"/>
  <c r="BG88" i="7"/>
  <c r="BF88" i="7"/>
  <c r="BE88" i="7"/>
  <c r="BD88" i="7"/>
  <c r="BC88" i="7"/>
  <c r="BB88" i="7"/>
  <c r="BA88" i="7"/>
  <c r="AZ88" i="7"/>
  <c r="AX88" i="7"/>
  <c r="AY88" i="7" s="1"/>
  <c r="AW88" i="7"/>
  <c r="AV88" i="7"/>
  <c r="AU88" i="7"/>
  <c r="AS88" i="7"/>
  <c r="AT88" i="7" s="1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A88" i="7"/>
  <c r="BL87" i="7"/>
  <c r="BK87" i="7"/>
  <c r="BJ87" i="7"/>
  <c r="BI87" i="7"/>
  <c r="BH87" i="7"/>
  <c r="BG87" i="7"/>
  <c r="BF87" i="7"/>
  <c r="BE87" i="7"/>
  <c r="BD87" i="7"/>
  <c r="BC87" i="7"/>
  <c r="BB87" i="7"/>
  <c r="BA87" i="7"/>
  <c r="AZ87" i="7"/>
  <c r="AX87" i="7"/>
  <c r="AY87" i="7" s="1"/>
  <c r="AW87" i="7"/>
  <c r="AV87" i="7"/>
  <c r="AU87" i="7"/>
  <c r="AS87" i="7"/>
  <c r="AT87" i="7" s="1"/>
  <c r="AR87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A87" i="7"/>
  <c r="BL86" i="7"/>
  <c r="BK86" i="7"/>
  <c r="BJ86" i="7"/>
  <c r="BI86" i="7"/>
  <c r="BH86" i="7"/>
  <c r="BG86" i="7"/>
  <c r="BF86" i="7"/>
  <c r="BE86" i="7"/>
  <c r="BD86" i="7"/>
  <c r="BC86" i="7"/>
  <c r="BB86" i="7"/>
  <c r="BA86" i="7"/>
  <c r="AZ86" i="7"/>
  <c r="AX86" i="7"/>
  <c r="AY86" i="7" s="1"/>
  <c r="AW86" i="7"/>
  <c r="AV86" i="7"/>
  <c r="AU86" i="7"/>
  <c r="AS86" i="7"/>
  <c r="AT86" i="7" s="1"/>
  <c r="AR86" i="7"/>
  <c r="AQ86" i="7"/>
  <c r="AP86" i="7"/>
  <c r="AO86" i="7"/>
  <c r="AN86" i="7"/>
  <c r="AM86" i="7"/>
  <c r="AM111" i="7" s="1"/>
  <c r="AL86" i="7"/>
  <c r="AL111" i="7" s="1"/>
  <c r="AK86" i="7"/>
  <c r="AK111" i="7" s="1"/>
  <c r="A86" i="7"/>
  <c r="BL85" i="7"/>
  <c r="BK85" i="7"/>
  <c r="BJ85" i="7"/>
  <c r="BI85" i="7"/>
  <c r="BH85" i="7"/>
  <c r="BG85" i="7"/>
  <c r="BF85" i="7"/>
  <c r="BE85" i="7"/>
  <c r="BD85" i="7"/>
  <c r="BC85" i="7"/>
  <c r="BB85" i="7"/>
  <c r="BA85" i="7"/>
  <c r="AZ85" i="7"/>
  <c r="AX85" i="7"/>
  <c r="AY85" i="7" s="1"/>
  <c r="AW85" i="7"/>
  <c r="AV85" i="7"/>
  <c r="AU85" i="7"/>
  <c r="AS85" i="7"/>
  <c r="AT85" i="7" s="1"/>
  <c r="AR85" i="7"/>
  <c r="AQ85" i="7"/>
  <c r="AP85" i="7"/>
  <c r="AO85" i="7"/>
  <c r="AN85" i="7"/>
  <c r="AM85" i="7"/>
  <c r="AL85" i="7"/>
  <c r="AK85" i="7"/>
  <c r="AJ85" i="7"/>
  <c r="AI85" i="7"/>
  <c r="AH85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A85" i="7"/>
  <c r="BL84" i="7"/>
  <c r="BK84" i="7"/>
  <c r="BJ84" i="7"/>
  <c r="BI84" i="7"/>
  <c r="BH84" i="7"/>
  <c r="BG84" i="7"/>
  <c r="BF84" i="7"/>
  <c r="BE84" i="7"/>
  <c r="BD84" i="7"/>
  <c r="BC84" i="7"/>
  <c r="BB84" i="7"/>
  <c r="BA84" i="7"/>
  <c r="AZ84" i="7"/>
  <c r="AX84" i="7"/>
  <c r="AY84" i="7" s="1"/>
  <c r="AW84" i="7"/>
  <c r="AV84" i="7"/>
  <c r="AU84" i="7"/>
  <c r="AS84" i="7"/>
  <c r="AT84" i="7" s="1"/>
  <c r="AR84" i="7"/>
  <c r="AQ84" i="7"/>
  <c r="AP84" i="7"/>
  <c r="AO84" i="7"/>
  <c r="AX110" i="7" s="1"/>
  <c r="AN84" i="7"/>
  <c r="AM84" i="7"/>
  <c r="AL84" i="7"/>
  <c r="AK84" i="7"/>
  <c r="AJ84" i="7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A84" i="7"/>
  <c r="BL83" i="7"/>
  <c r="BK83" i="7"/>
  <c r="BJ83" i="7"/>
  <c r="BI83" i="7"/>
  <c r="BH83" i="7"/>
  <c r="BG83" i="7"/>
  <c r="BF83" i="7"/>
  <c r="BE83" i="7"/>
  <c r="BD83" i="7"/>
  <c r="BC83" i="7"/>
  <c r="BB83" i="7"/>
  <c r="BA83" i="7"/>
  <c r="AZ83" i="7"/>
  <c r="AX83" i="7"/>
  <c r="AW83" i="7"/>
  <c r="AV83" i="7"/>
  <c r="AU83" i="7"/>
  <c r="AS83" i="7"/>
  <c r="AT83" i="7" s="1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A83" i="7"/>
  <c r="BL81" i="7"/>
  <c r="BK81" i="7"/>
  <c r="BJ81" i="7"/>
  <c r="BI81" i="7"/>
  <c r="BH81" i="7"/>
  <c r="BG81" i="7"/>
  <c r="BF81" i="7"/>
  <c r="BE81" i="7"/>
  <c r="BD81" i="7"/>
  <c r="BC81" i="7"/>
  <c r="BB81" i="7"/>
  <c r="BA81" i="7"/>
  <c r="AZ81" i="7"/>
  <c r="AX81" i="7"/>
  <c r="AY81" i="7" s="1"/>
  <c r="AW81" i="7"/>
  <c r="AV81" i="7"/>
  <c r="AU81" i="7"/>
  <c r="AS81" i="7"/>
  <c r="AT81" i="7" s="1"/>
  <c r="AR81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A81" i="7"/>
  <c r="BL80" i="7"/>
  <c r="BK80" i="7"/>
  <c r="BJ80" i="7"/>
  <c r="BI80" i="7"/>
  <c r="BH80" i="7"/>
  <c r="BG80" i="7"/>
  <c r="BF80" i="7"/>
  <c r="BE80" i="7"/>
  <c r="BD80" i="7"/>
  <c r="BC80" i="7"/>
  <c r="BB80" i="7"/>
  <c r="BA80" i="7"/>
  <c r="AZ80" i="7"/>
  <c r="AX80" i="7"/>
  <c r="AY80" i="7" s="1"/>
  <c r="AW80" i="7"/>
  <c r="AV80" i="7"/>
  <c r="AU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A80" i="7"/>
  <c r="BL78" i="7"/>
  <c r="BK78" i="7"/>
  <c r="BJ78" i="7"/>
  <c r="BI78" i="7"/>
  <c r="BH78" i="7"/>
  <c r="BG78" i="7"/>
  <c r="BF78" i="7"/>
  <c r="BE78" i="7"/>
  <c r="BD78" i="7"/>
  <c r="BC78" i="7"/>
  <c r="BB78" i="7"/>
  <c r="BA78" i="7"/>
  <c r="AZ78" i="7"/>
  <c r="AX78" i="7"/>
  <c r="AY78" i="7" s="1"/>
  <c r="AW78" i="7"/>
  <c r="AV78" i="7"/>
  <c r="AU78" i="7"/>
  <c r="AS78" i="7"/>
  <c r="AT78" i="7" s="1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A78" i="7"/>
  <c r="BL77" i="7"/>
  <c r="BK77" i="7"/>
  <c r="BJ77" i="7"/>
  <c r="BI77" i="7"/>
  <c r="BH77" i="7"/>
  <c r="BG77" i="7"/>
  <c r="BF77" i="7"/>
  <c r="BE77" i="7"/>
  <c r="BD77" i="7"/>
  <c r="BC77" i="7"/>
  <c r="BB77" i="7"/>
  <c r="BA77" i="7"/>
  <c r="AZ77" i="7"/>
  <c r="AX77" i="7"/>
  <c r="AY77" i="7" s="1"/>
  <c r="AW77" i="7"/>
  <c r="AV77" i="7"/>
  <c r="AU77" i="7"/>
  <c r="AS77" i="7"/>
  <c r="AT77" i="7" s="1"/>
  <c r="AR77" i="7"/>
  <c r="AQ77" i="7"/>
  <c r="AP77" i="7"/>
  <c r="AO77" i="7"/>
  <c r="AN77" i="7"/>
  <c r="AM77" i="7"/>
  <c r="AL77" i="7"/>
  <c r="AK77" i="7"/>
  <c r="AJ77" i="7"/>
  <c r="AI77" i="7"/>
  <c r="AH77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A77" i="7"/>
  <c r="AS75" i="7"/>
  <c r="AT75" i="7" s="1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A75" i="7"/>
  <c r="BB74" i="7"/>
  <c r="BA74" i="7"/>
  <c r="AZ74" i="7"/>
  <c r="AX74" i="7"/>
  <c r="AY74" i="7" s="1"/>
  <c r="AW74" i="7"/>
  <c r="AV74" i="7"/>
  <c r="AU74" i="7"/>
  <c r="AS74" i="7"/>
  <c r="AT74" i="7" s="1"/>
  <c r="AR74" i="7"/>
  <c r="AQ74" i="7"/>
  <c r="AP74" i="7"/>
  <c r="AN74" i="7"/>
  <c r="AO74" i="7" s="1"/>
  <c r="AM74" i="7"/>
  <c r="AL74" i="7"/>
  <c r="AK74" i="7"/>
  <c r="AI74" i="7"/>
  <c r="AJ74" i="7" s="1"/>
  <c r="AH74" i="7"/>
  <c r="AG74" i="7"/>
  <c r="AF74" i="7"/>
  <c r="AD74" i="7"/>
  <c r="AE74" i="7" s="1"/>
  <c r="AC74" i="7"/>
  <c r="AB74" i="7"/>
  <c r="AA74" i="7"/>
  <c r="Y74" i="7"/>
  <c r="Z74" i="7" s="1"/>
  <c r="X74" i="7"/>
  <c r="W74" i="7"/>
  <c r="V74" i="7"/>
  <c r="R74" i="7"/>
  <c r="Q74" i="7"/>
  <c r="O74" i="7"/>
  <c r="P74" i="7" s="1"/>
  <c r="N74" i="7"/>
  <c r="M74" i="7"/>
  <c r="L74" i="7"/>
  <c r="K74" i="7"/>
  <c r="J74" i="7"/>
  <c r="I74" i="7"/>
  <c r="H74" i="7"/>
  <c r="G74" i="7"/>
  <c r="F74" i="7"/>
  <c r="E74" i="7"/>
  <c r="D74" i="7"/>
  <c r="C74" i="7"/>
  <c r="A74" i="7"/>
  <c r="BL73" i="7"/>
  <c r="BK73" i="7"/>
  <c r="BJ73" i="7"/>
  <c r="BI73" i="7"/>
  <c r="BH73" i="7"/>
  <c r="BG73" i="7"/>
  <c r="BF73" i="7"/>
  <c r="BE73" i="7"/>
  <c r="BD73" i="7"/>
  <c r="BC73" i="7"/>
  <c r="BB73" i="7"/>
  <c r="BA73" i="7"/>
  <c r="AZ73" i="7"/>
  <c r="AX73" i="7"/>
  <c r="AY73" i="7" s="1"/>
  <c r="AW73" i="7"/>
  <c r="AV73" i="7"/>
  <c r="AU73" i="7"/>
  <c r="AS73" i="7"/>
  <c r="AT73" i="7" s="1"/>
  <c r="AR73" i="7"/>
  <c r="AQ73" i="7"/>
  <c r="AP73" i="7"/>
  <c r="AN73" i="7"/>
  <c r="AO73" i="7" s="1"/>
  <c r="AM73" i="7"/>
  <c r="AL73" i="7"/>
  <c r="AK73" i="7"/>
  <c r="AI73" i="7"/>
  <c r="AJ73" i="7" s="1"/>
  <c r="AH73" i="7"/>
  <c r="AG73" i="7"/>
  <c r="AF73" i="7"/>
  <c r="AD73" i="7"/>
  <c r="AC73" i="7"/>
  <c r="AB73" i="7"/>
  <c r="AA73" i="7"/>
  <c r="Y73" i="7"/>
  <c r="Z73" i="7" s="1"/>
  <c r="X73" i="7"/>
  <c r="W73" i="7"/>
  <c r="V73" i="7"/>
  <c r="T73" i="7"/>
  <c r="U73" i="7" s="1"/>
  <c r="S73" i="7"/>
  <c r="R73" i="7"/>
  <c r="Q73" i="7"/>
  <c r="O73" i="7"/>
  <c r="P73" i="7" s="1"/>
  <c r="N73" i="7"/>
  <c r="M73" i="7"/>
  <c r="L73" i="7"/>
  <c r="K73" i="7"/>
  <c r="J73" i="7"/>
  <c r="I73" i="7"/>
  <c r="H73" i="7"/>
  <c r="G73" i="7"/>
  <c r="F73" i="7"/>
  <c r="E73" i="7"/>
  <c r="D73" i="7"/>
  <c r="C73" i="7"/>
  <c r="A73" i="7"/>
  <c r="BL72" i="7"/>
  <c r="BK72" i="7"/>
  <c r="BJ72" i="7"/>
  <c r="BI72" i="7"/>
  <c r="BH72" i="7"/>
  <c r="BG72" i="7"/>
  <c r="BF72" i="7"/>
  <c r="BE72" i="7"/>
  <c r="BD72" i="7"/>
  <c r="BC72" i="7"/>
  <c r="BB72" i="7"/>
  <c r="BA72" i="7"/>
  <c r="AZ72" i="7"/>
  <c r="AX72" i="7"/>
  <c r="AY72" i="7" s="1"/>
  <c r="AW72" i="7"/>
  <c r="AV72" i="7"/>
  <c r="AU72" i="7"/>
  <c r="AS72" i="7"/>
  <c r="AT72" i="7" s="1"/>
  <c r="AR72" i="7"/>
  <c r="AQ72" i="7"/>
  <c r="AP72" i="7"/>
  <c r="AN72" i="7"/>
  <c r="AO72" i="7" s="1"/>
  <c r="AM72" i="7"/>
  <c r="AL72" i="7"/>
  <c r="AK72" i="7"/>
  <c r="AI72" i="7"/>
  <c r="AJ72" i="7" s="1"/>
  <c r="AH72" i="7"/>
  <c r="AG72" i="7"/>
  <c r="AF72" i="7"/>
  <c r="AD72" i="7"/>
  <c r="AE72" i="7" s="1"/>
  <c r="AC72" i="7"/>
  <c r="AB72" i="7"/>
  <c r="AA72" i="7"/>
  <c r="Y72" i="7"/>
  <c r="Z72" i="7" s="1"/>
  <c r="X72" i="7"/>
  <c r="W72" i="7"/>
  <c r="V72" i="7"/>
  <c r="T72" i="7"/>
  <c r="U72" i="7" s="1"/>
  <c r="S72" i="7"/>
  <c r="R72" i="7"/>
  <c r="Q72" i="7"/>
  <c r="O72" i="7"/>
  <c r="P72" i="7" s="1"/>
  <c r="N72" i="7"/>
  <c r="M72" i="7"/>
  <c r="L72" i="7"/>
  <c r="K72" i="7"/>
  <c r="J72" i="7"/>
  <c r="I72" i="7"/>
  <c r="H72" i="7"/>
  <c r="G72" i="7"/>
  <c r="F72" i="7"/>
  <c r="E72" i="7"/>
  <c r="D72" i="7"/>
  <c r="C72" i="7"/>
  <c r="A72" i="7"/>
  <c r="BL71" i="7"/>
  <c r="BK71" i="7"/>
  <c r="BJ71" i="7"/>
  <c r="BI71" i="7"/>
  <c r="BH71" i="7"/>
  <c r="BG71" i="7"/>
  <c r="BF71" i="7"/>
  <c r="BE71" i="7"/>
  <c r="BD71" i="7"/>
  <c r="BC71" i="7"/>
  <c r="BB71" i="7"/>
  <c r="BA71" i="7"/>
  <c r="AZ71" i="7"/>
  <c r="AX71" i="7"/>
  <c r="AY71" i="7" s="1"/>
  <c r="AW71" i="7"/>
  <c r="AV71" i="7"/>
  <c r="AU71" i="7"/>
  <c r="AS71" i="7"/>
  <c r="AT71" i="7" s="1"/>
  <c r="AR71" i="7"/>
  <c r="AQ71" i="7"/>
  <c r="AP71" i="7"/>
  <c r="AN71" i="7"/>
  <c r="AM71" i="7"/>
  <c r="AL71" i="7"/>
  <c r="AK71" i="7"/>
  <c r="AI71" i="7"/>
  <c r="AH71" i="7"/>
  <c r="AG71" i="7"/>
  <c r="AF71" i="7"/>
  <c r="AD71" i="7"/>
  <c r="AE71" i="7" s="1"/>
  <c r="AC71" i="7"/>
  <c r="AB71" i="7"/>
  <c r="AA71" i="7"/>
  <c r="Y71" i="7"/>
  <c r="Z71" i="7" s="1"/>
  <c r="X71" i="7"/>
  <c r="W71" i="7"/>
  <c r="V71" i="7"/>
  <c r="T71" i="7"/>
  <c r="S71" i="7"/>
  <c r="R71" i="7"/>
  <c r="Q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A71" i="7"/>
  <c r="BL67" i="7"/>
  <c r="BK67" i="7"/>
  <c r="BJ67" i="7"/>
  <c r="BI67" i="7"/>
  <c r="BH67" i="7"/>
  <c r="BG67" i="7"/>
  <c r="BF67" i="7"/>
  <c r="BE67" i="7"/>
  <c r="BD67" i="7"/>
  <c r="BC67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N67" i="7"/>
  <c r="AO67" i="7" s="1"/>
  <c r="AM67" i="7"/>
  <c r="AL67" i="7"/>
  <c r="AK67" i="7"/>
  <c r="AI67" i="7"/>
  <c r="AJ67" i="7" s="1"/>
  <c r="AH67" i="7"/>
  <c r="AG67" i="7"/>
  <c r="AF67" i="7"/>
  <c r="AD67" i="7"/>
  <c r="AE67" i="7" s="1"/>
  <c r="AC67" i="7"/>
  <c r="AB67" i="7"/>
  <c r="AA67" i="7"/>
  <c r="Y67" i="7"/>
  <c r="Z67" i="7" s="1"/>
  <c r="X67" i="7"/>
  <c r="W67" i="7"/>
  <c r="V67" i="7"/>
  <c r="T67" i="7"/>
  <c r="U67" i="7" s="1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A67" i="7"/>
  <c r="BL66" i="7"/>
  <c r="BK66" i="7"/>
  <c r="BJ66" i="7"/>
  <c r="BI66" i="7"/>
  <c r="BH66" i="7"/>
  <c r="BG66" i="7"/>
  <c r="BF66" i="7"/>
  <c r="BE66" i="7"/>
  <c r="BD66" i="7"/>
  <c r="BC66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A66" i="7"/>
  <c r="BL65" i="7"/>
  <c r="BK65" i="7"/>
  <c r="BJ65" i="7"/>
  <c r="BI65" i="7"/>
  <c r="BH65" i="7"/>
  <c r="BG65" i="7"/>
  <c r="BF65" i="7"/>
  <c r="BE65" i="7"/>
  <c r="BD65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A65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T64" i="7"/>
  <c r="U64" i="7" s="1"/>
  <c r="S64" i="7"/>
  <c r="R64" i="7"/>
  <c r="Q64" i="7"/>
  <c r="O64" i="7"/>
  <c r="P64" i="7" s="1"/>
  <c r="N64" i="7"/>
  <c r="M64" i="7"/>
  <c r="L64" i="7"/>
  <c r="K64" i="7"/>
  <c r="H64" i="7"/>
  <c r="G64" i="7"/>
  <c r="F64" i="7"/>
  <c r="E64" i="7"/>
  <c r="D64" i="7"/>
  <c r="C64" i="7"/>
  <c r="A64" i="7"/>
  <c r="BL63" i="7"/>
  <c r="BK63" i="7"/>
  <c r="BJ63" i="7"/>
  <c r="BI63" i="7"/>
  <c r="BH63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A63" i="7"/>
  <c r="BL62" i="7"/>
  <c r="BK62" i="7"/>
  <c r="BJ62" i="7"/>
  <c r="BI62" i="7"/>
  <c r="BH62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AB62" i="7"/>
  <c r="AA62" i="7"/>
  <c r="Y62" i="7"/>
  <c r="X62" i="7"/>
  <c r="W62" i="7"/>
  <c r="V62" i="7"/>
  <c r="T62" i="7"/>
  <c r="S62" i="7"/>
  <c r="R62" i="7"/>
  <c r="Q62" i="7"/>
  <c r="O62" i="7"/>
  <c r="P62" i="7" s="1"/>
  <c r="N62" i="7"/>
  <c r="M62" i="7"/>
  <c r="L62" i="7"/>
  <c r="K62" i="7"/>
  <c r="J62" i="7"/>
  <c r="I62" i="7"/>
  <c r="H62" i="7"/>
  <c r="G62" i="7"/>
  <c r="F62" i="7"/>
  <c r="E62" i="7"/>
  <c r="D62" i="7"/>
  <c r="C62" i="7"/>
  <c r="A62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A61" i="7"/>
  <c r="BL60" i="7"/>
  <c r="BK60" i="7"/>
  <c r="BJ60" i="7"/>
  <c r="BI60" i="7"/>
  <c r="BH60" i="7"/>
  <c r="BG60" i="7"/>
  <c r="BF60" i="7"/>
  <c r="BE60" i="7"/>
  <c r="BD60" i="7"/>
  <c r="BC60" i="7"/>
  <c r="BB60" i="7"/>
  <c r="BA60" i="7"/>
  <c r="AZ60" i="7"/>
  <c r="AX60" i="7"/>
  <c r="AW60" i="7"/>
  <c r="AV60" i="7"/>
  <c r="AU60" i="7"/>
  <c r="AT60" i="7"/>
  <c r="AS60" i="7"/>
  <c r="AR60" i="7"/>
  <c r="AQ60" i="7"/>
  <c r="AP60" i="7"/>
  <c r="AN60" i="7"/>
  <c r="AO60" i="7" s="1"/>
  <c r="AM60" i="7"/>
  <c r="AL60" i="7"/>
  <c r="AK60" i="7"/>
  <c r="AI60" i="7"/>
  <c r="AJ60" i="7" s="1"/>
  <c r="AH60" i="7"/>
  <c r="AG60" i="7"/>
  <c r="AF60" i="7"/>
  <c r="AD60" i="7"/>
  <c r="AE60" i="7" s="1"/>
  <c r="AC60" i="7"/>
  <c r="AB60" i="7"/>
  <c r="AA60" i="7"/>
  <c r="Y60" i="7"/>
  <c r="Z60" i="7" s="1"/>
  <c r="X60" i="7"/>
  <c r="W60" i="7"/>
  <c r="V60" i="7"/>
  <c r="T60" i="7"/>
  <c r="U60" i="7" s="1"/>
  <c r="S60" i="7"/>
  <c r="R60" i="7"/>
  <c r="Q60" i="7"/>
  <c r="P60" i="7"/>
  <c r="N60" i="7"/>
  <c r="M60" i="7"/>
  <c r="L60" i="7"/>
  <c r="K60" i="7"/>
  <c r="J60" i="7"/>
  <c r="I60" i="7"/>
  <c r="H60" i="7"/>
  <c r="G60" i="7"/>
  <c r="F60" i="7"/>
  <c r="E60" i="7"/>
  <c r="D60" i="7"/>
  <c r="C60" i="7"/>
  <c r="A60" i="7"/>
  <c r="BL59" i="7"/>
  <c r="BK59" i="7"/>
  <c r="BJ59" i="7"/>
  <c r="BI59" i="7"/>
  <c r="BH59" i="7"/>
  <c r="BG59" i="7"/>
  <c r="BF59" i="7"/>
  <c r="BE59" i="7"/>
  <c r="BD59" i="7"/>
  <c r="BC59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A59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A58" i="7"/>
  <c r="AS56" i="7"/>
  <c r="AT56" i="7" s="1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C132" i="7" s="1"/>
  <c r="D131" i="7" s="1"/>
  <c r="A56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S55" i="7"/>
  <c r="AT55" i="7" s="1"/>
  <c r="AR55" i="7"/>
  <c r="AQ55" i="7"/>
  <c r="AP55" i="7"/>
  <c r="AN55" i="7"/>
  <c r="AO55" i="7" s="1"/>
  <c r="AM55" i="7"/>
  <c r="AL55" i="7"/>
  <c r="AK55" i="7"/>
  <c r="AI55" i="7"/>
  <c r="AJ55" i="7" s="1"/>
  <c r="AH55" i="7"/>
  <c r="AG55" i="7"/>
  <c r="AF55" i="7"/>
  <c r="AD55" i="7"/>
  <c r="AE55" i="7" s="1"/>
  <c r="AC55" i="7"/>
  <c r="AB55" i="7"/>
  <c r="AA55" i="7"/>
  <c r="Y55" i="7"/>
  <c r="Z55" i="7" s="1"/>
  <c r="X55" i="7"/>
  <c r="W55" i="7"/>
  <c r="V55" i="7"/>
  <c r="T55" i="7"/>
  <c r="U55" i="7" s="1"/>
  <c r="S55" i="7"/>
  <c r="R55" i="7"/>
  <c r="Q55" i="7"/>
  <c r="O55" i="7"/>
  <c r="P55" i="7" s="1"/>
  <c r="N55" i="7"/>
  <c r="M55" i="7"/>
  <c r="L55" i="7"/>
  <c r="K55" i="7"/>
  <c r="J55" i="7"/>
  <c r="I55" i="7"/>
  <c r="H55" i="7"/>
  <c r="G55" i="7"/>
  <c r="F55" i="7"/>
  <c r="E55" i="7"/>
  <c r="D55" i="7"/>
  <c r="C55" i="7"/>
  <c r="A55" i="7"/>
  <c r="BL54" i="7"/>
  <c r="BK54" i="7"/>
  <c r="BJ54" i="7"/>
  <c r="BI54" i="7"/>
  <c r="BH54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S54" i="7"/>
  <c r="AT54" i="7" s="1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D54" i="7"/>
  <c r="AE54" i="7" s="1"/>
  <c r="AC54" i="7"/>
  <c r="AB54" i="7"/>
  <c r="AA54" i="7"/>
  <c r="Y54" i="7"/>
  <c r="Z54" i="7" s="1"/>
  <c r="X54" i="7"/>
  <c r="W54" i="7"/>
  <c r="V54" i="7"/>
  <c r="T54" i="7"/>
  <c r="U54" i="7" s="1"/>
  <c r="S54" i="7"/>
  <c r="R54" i="7"/>
  <c r="Q54" i="7"/>
  <c r="O54" i="7"/>
  <c r="P54" i="7" s="1"/>
  <c r="N54" i="7"/>
  <c r="M54" i="7"/>
  <c r="L54" i="7"/>
  <c r="K54" i="7"/>
  <c r="J54" i="7"/>
  <c r="I54" i="7"/>
  <c r="H54" i="7"/>
  <c r="G54" i="7"/>
  <c r="F54" i="7"/>
  <c r="E54" i="7"/>
  <c r="D54" i="7"/>
  <c r="C54" i="7"/>
  <c r="A54" i="7"/>
  <c r="BL53" i="7"/>
  <c r="BK53" i="7"/>
  <c r="BJ53" i="7"/>
  <c r="BI53" i="7"/>
  <c r="BH53" i="7"/>
  <c r="BG53" i="7"/>
  <c r="BF53" i="7"/>
  <c r="BE53" i="7"/>
  <c r="BD53" i="7"/>
  <c r="BC53" i="7"/>
  <c r="BB53" i="7"/>
  <c r="BA53" i="7"/>
  <c r="AZ53" i="7"/>
  <c r="AY53" i="7"/>
  <c r="AX53" i="7"/>
  <c r="AW53" i="7"/>
  <c r="AV53" i="7"/>
  <c r="AU53" i="7"/>
  <c r="AS53" i="7"/>
  <c r="AT53" i="7" s="1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A53" i="7"/>
  <c r="BL52" i="7"/>
  <c r="BK52" i="7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S52" i="7"/>
  <c r="AT52" i="7" s="1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A52" i="7"/>
  <c r="BL51" i="7"/>
  <c r="BK51" i="7"/>
  <c r="BJ51" i="7"/>
  <c r="BI51" i="7"/>
  <c r="BH51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S51" i="7"/>
  <c r="AT51" i="7" s="1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A51" i="7"/>
  <c r="BL50" i="7"/>
  <c r="BK50" i="7"/>
  <c r="BJ50" i="7"/>
  <c r="BI50" i="7"/>
  <c r="BH50" i="7"/>
  <c r="BG50" i="7"/>
  <c r="BF50" i="7"/>
  <c r="BE50" i="7"/>
  <c r="BD50" i="7"/>
  <c r="BC50" i="7"/>
  <c r="BB50" i="7"/>
  <c r="BA50" i="7"/>
  <c r="AZ50" i="7"/>
  <c r="AY50" i="7"/>
  <c r="AX50" i="7"/>
  <c r="AW50" i="7"/>
  <c r="AV50" i="7"/>
  <c r="AU50" i="7"/>
  <c r="AS50" i="7"/>
  <c r="AT50" i="7" s="1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A50" i="7"/>
  <c r="BL49" i="7"/>
  <c r="BK49" i="7"/>
  <c r="BJ49" i="7"/>
  <c r="BI49" i="7"/>
  <c r="BH49" i="7"/>
  <c r="BG49" i="7"/>
  <c r="BF49" i="7"/>
  <c r="BE49" i="7"/>
  <c r="BD49" i="7"/>
  <c r="BC49" i="7"/>
  <c r="BB49" i="7"/>
  <c r="BA49" i="7"/>
  <c r="AZ49" i="7"/>
  <c r="AX49" i="7"/>
  <c r="AY49" i="7" s="1"/>
  <c r="AW49" i="7"/>
  <c r="AV49" i="7"/>
  <c r="AU49" i="7"/>
  <c r="AS49" i="7"/>
  <c r="AT49" i="7" s="1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A49" i="7"/>
  <c r="BL47" i="7"/>
  <c r="BK47" i="7"/>
  <c r="BJ47" i="7"/>
  <c r="BI47" i="7"/>
  <c r="BH47" i="7"/>
  <c r="BG47" i="7"/>
  <c r="BF47" i="7"/>
  <c r="BE47" i="7"/>
  <c r="BD47" i="7"/>
  <c r="BC47" i="7"/>
  <c r="BB47" i="7"/>
  <c r="BA47" i="7"/>
  <c r="AZ47" i="7"/>
  <c r="AY47" i="7"/>
  <c r="AX47" i="7"/>
  <c r="AW47" i="7"/>
  <c r="AV47" i="7"/>
  <c r="AU47" i="7"/>
  <c r="AS47" i="7"/>
  <c r="AT47" i="7" s="1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A47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S46" i="7"/>
  <c r="AT46" i="7" s="1"/>
  <c r="AR46" i="7"/>
  <c r="AQ46" i="7"/>
  <c r="AP46" i="7"/>
  <c r="AN46" i="7"/>
  <c r="AO46" i="7" s="1"/>
  <c r="AM46" i="7"/>
  <c r="AL46" i="7"/>
  <c r="AK46" i="7"/>
  <c r="AI46" i="7"/>
  <c r="AJ46" i="7" s="1"/>
  <c r="AH46" i="7"/>
  <c r="AG46" i="7"/>
  <c r="AF46" i="7"/>
  <c r="AD46" i="7"/>
  <c r="AE46" i="7" s="1"/>
  <c r="AC46" i="7"/>
  <c r="AB46" i="7"/>
  <c r="AA46" i="7"/>
  <c r="Y46" i="7"/>
  <c r="Z46" i="7" s="1"/>
  <c r="X46" i="7"/>
  <c r="W46" i="7"/>
  <c r="V46" i="7"/>
  <c r="T46" i="7"/>
  <c r="U46" i="7" s="1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A46" i="7"/>
  <c r="BL45" i="7"/>
  <c r="BK45" i="7"/>
  <c r="BJ45" i="7"/>
  <c r="BI45" i="7"/>
  <c r="BH45" i="7"/>
  <c r="BG45" i="7"/>
  <c r="BF45" i="7"/>
  <c r="BE45" i="7"/>
  <c r="BD45" i="7"/>
  <c r="BC45" i="7"/>
  <c r="BB45" i="7"/>
  <c r="BA45" i="7"/>
  <c r="AZ45" i="7"/>
  <c r="AY45" i="7"/>
  <c r="AX45" i="7"/>
  <c r="AW45" i="7"/>
  <c r="AV45" i="7"/>
  <c r="AU45" i="7"/>
  <c r="AS45" i="7"/>
  <c r="AT45" i="7" s="1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A45" i="7"/>
  <c r="BL44" i="7"/>
  <c r="BK44" i="7"/>
  <c r="BJ44" i="7"/>
  <c r="BI44" i="7"/>
  <c r="BH44" i="7"/>
  <c r="BG44" i="7"/>
  <c r="BF44" i="7"/>
  <c r="BE44" i="7"/>
  <c r="BD44" i="7"/>
  <c r="BC44" i="7"/>
  <c r="BB44" i="7"/>
  <c r="BA44" i="7"/>
  <c r="AZ44" i="7"/>
  <c r="AY44" i="7"/>
  <c r="AX44" i="7"/>
  <c r="AW44" i="7"/>
  <c r="AV44" i="7"/>
  <c r="AU44" i="7"/>
  <c r="AS44" i="7"/>
  <c r="AT44" i="7" s="1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A44" i="7"/>
  <c r="BL43" i="7"/>
  <c r="BK43" i="7"/>
  <c r="BJ43" i="7"/>
  <c r="BI43" i="7"/>
  <c r="BH43" i="7"/>
  <c r="BG43" i="7"/>
  <c r="BF43" i="7"/>
  <c r="BE43" i="7"/>
  <c r="BD43" i="7"/>
  <c r="BC43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O43" i="7"/>
  <c r="P43" i="7" s="1"/>
  <c r="N43" i="7"/>
  <c r="M43" i="7"/>
  <c r="L43" i="7"/>
  <c r="K43" i="7"/>
  <c r="J43" i="7"/>
  <c r="I43" i="7"/>
  <c r="H43" i="7"/>
  <c r="G43" i="7"/>
  <c r="F43" i="7"/>
  <c r="E43" i="7"/>
  <c r="D43" i="7"/>
  <c r="C43" i="7"/>
  <c r="A43" i="7"/>
  <c r="BL42" i="7"/>
  <c r="BK42" i="7"/>
  <c r="BJ42" i="7"/>
  <c r="BI42" i="7"/>
  <c r="BH42" i="7"/>
  <c r="BG42" i="7"/>
  <c r="BF42" i="7"/>
  <c r="BE42" i="7"/>
  <c r="BD42" i="7"/>
  <c r="BC42" i="7"/>
  <c r="BB42" i="7"/>
  <c r="BA42" i="7"/>
  <c r="AZ42" i="7"/>
  <c r="AX42" i="7"/>
  <c r="AY42" i="7" s="1"/>
  <c r="AW42" i="7"/>
  <c r="AV42" i="7"/>
  <c r="AU42" i="7"/>
  <c r="AS42" i="7"/>
  <c r="AT42" i="7" s="1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A42" i="7"/>
  <c r="BL41" i="7"/>
  <c r="BK41" i="7"/>
  <c r="BJ41" i="7"/>
  <c r="BI41" i="7"/>
  <c r="BH41" i="7"/>
  <c r="BG41" i="7"/>
  <c r="BF41" i="7"/>
  <c r="BE41" i="7"/>
  <c r="BD41" i="7"/>
  <c r="BC41" i="7"/>
  <c r="BB41" i="7"/>
  <c r="BA41" i="7"/>
  <c r="AZ41" i="7"/>
  <c r="AX41" i="7"/>
  <c r="AW41" i="7"/>
  <c r="AV41" i="7"/>
  <c r="AU41" i="7"/>
  <c r="AS41" i="7"/>
  <c r="AT41" i="7" s="1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A41" i="7"/>
  <c r="BL35" i="7"/>
  <c r="BK35" i="7"/>
  <c r="BJ35" i="7"/>
  <c r="BI35" i="7"/>
  <c r="BH35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A35" i="7"/>
  <c r="BL34" i="7"/>
  <c r="BK34" i="7"/>
  <c r="BJ34" i="7"/>
  <c r="BI34" i="7"/>
  <c r="BH34" i="7"/>
  <c r="BG34" i="7"/>
  <c r="BF34" i="7"/>
  <c r="BE34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BL33" i="7"/>
  <c r="BK33" i="7"/>
  <c r="BJ33" i="7"/>
  <c r="BI33" i="7"/>
  <c r="BH33" i="7"/>
  <c r="BG33" i="7"/>
  <c r="BF33" i="7"/>
  <c r="BE33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A33" i="7"/>
  <c r="AY32" i="7"/>
  <c r="AX32" i="7"/>
  <c r="AW32" i="7"/>
  <c r="AV32" i="7"/>
  <c r="AU32" i="7"/>
  <c r="AT32" i="7"/>
  <c r="AS32" i="7"/>
  <c r="AR32" i="7"/>
  <c r="AQ32" i="7"/>
  <c r="AP32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A32" i="7"/>
  <c r="BL30" i="7"/>
  <c r="BK30" i="7"/>
  <c r="BJ30" i="7"/>
  <c r="BI30" i="7"/>
  <c r="BH30" i="7"/>
  <c r="BG30" i="7"/>
  <c r="BF30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A30" i="7"/>
  <c r="BL29" i="7"/>
  <c r="BK29" i="7"/>
  <c r="BJ29" i="7"/>
  <c r="BI29" i="7"/>
  <c r="BH29" i="7"/>
  <c r="BG29" i="7"/>
  <c r="BF29" i="7"/>
  <c r="BE29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A29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A28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A27" i="7"/>
  <c r="BL26" i="7"/>
  <c r="BK26" i="7"/>
  <c r="BJ26" i="7"/>
  <c r="BI26" i="7"/>
  <c r="BH26" i="7"/>
  <c r="BG26" i="7"/>
  <c r="BF26" i="7"/>
  <c r="BE26" i="7"/>
  <c r="BD26" i="7"/>
  <c r="BC26" i="7"/>
  <c r="BB26" i="7"/>
  <c r="BA26" i="7"/>
  <c r="AZ26" i="7"/>
  <c r="AY26" i="7"/>
  <c r="AX26" i="7"/>
  <c r="AW26" i="7"/>
  <c r="AV26" i="7"/>
  <c r="AU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A26" i="7"/>
  <c r="BL25" i="7"/>
  <c r="BK25" i="7"/>
  <c r="BJ25" i="7"/>
  <c r="BI25" i="7"/>
  <c r="BH25" i="7"/>
  <c r="BG25" i="7"/>
  <c r="BF25" i="7"/>
  <c r="BE25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A25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Q24" i="7"/>
  <c r="P24" i="7"/>
  <c r="O24" i="7"/>
  <c r="N24" i="7"/>
  <c r="N97" i="7" s="1"/>
  <c r="M24" i="7"/>
  <c r="L24" i="7"/>
  <c r="K24" i="7"/>
  <c r="J24" i="7"/>
  <c r="I24" i="7"/>
  <c r="H24" i="7"/>
  <c r="G24" i="7"/>
  <c r="F24" i="7"/>
  <c r="E24" i="7"/>
  <c r="D24" i="7"/>
  <c r="C24" i="7"/>
  <c r="C148" i="7" s="1"/>
  <c r="A24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A22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H19" i="7"/>
  <c r="G19" i="7"/>
  <c r="F19" i="7"/>
  <c r="E19" i="7"/>
  <c r="D19" i="7"/>
  <c r="C19" i="7"/>
  <c r="A19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A17" i="7"/>
  <c r="BL16" i="7"/>
  <c r="BK16" i="7"/>
  <c r="BJ16" i="7"/>
  <c r="BI16" i="7"/>
  <c r="BH16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A16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A12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L4" i="7"/>
  <c r="BK4" i="7"/>
  <c r="BK93" i="7" s="1"/>
  <c r="BJ4" i="7"/>
  <c r="BJ93" i="7" s="1"/>
  <c r="BI4" i="7"/>
  <c r="BI93" i="7" s="1"/>
  <c r="BH4" i="7"/>
  <c r="BH8" i="7" s="1"/>
  <c r="BG4" i="7"/>
  <c r="BG93" i="7" s="1"/>
  <c r="BF4" i="7"/>
  <c r="BF93" i="7" s="1"/>
  <c r="BE4" i="7"/>
  <c r="BE93" i="7" s="1"/>
  <c r="BD4" i="7"/>
  <c r="BC4" i="7"/>
  <c r="BC93" i="7" s="1"/>
  <c r="BB4" i="7"/>
  <c r="BB93" i="7" s="1"/>
  <c r="BA4" i="7"/>
  <c r="BA93" i="7" s="1"/>
  <c r="AZ4" i="7"/>
  <c r="AY4" i="7"/>
  <c r="AY93" i="7" s="1"/>
  <c r="AJ4" i="7"/>
  <c r="AJ93" i="7" s="1"/>
  <c r="AI4" i="7"/>
  <c r="AI93" i="7" s="1"/>
  <c r="AH4" i="7"/>
  <c r="AH8" i="7" s="1"/>
  <c r="AG4" i="7"/>
  <c r="AG93" i="7" s="1"/>
  <c r="AF4" i="7"/>
  <c r="AF93" i="7" s="1"/>
  <c r="AE4" i="7"/>
  <c r="AE93" i="7" s="1"/>
  <c r="Z4" i="7"/>
  <c r="U4" i="7"/>
  <c r="U93" i="7" s="1"/>
  <c r="P4" i="7"/>
  <c r="P93" i="7" s="1"/>
  <c r="K4" i="7"/>
  <c r="K93" i="7" s="1"/>
  <c r="J4" i="7"/>
  <c r="J8" i="7" s="1"/>
  <c r="I4" i="7"/>
  <c r="I93" i="7" s="1"/>
  <c r="H4" i="7"/>
  <c r="H93" i="7" s="1"/>
  <c r="G4" i="7"/>
  <c r="G93" i="7" s="1"/>
  <c r="F4" i="7"/>
  <c r="E4" i="7"/>
  <c r="E93" i="7" s="1"/>
  <c r="D4" i="7"/>
  <c r="D93" i="7" s="1"/>
  <c r="C4" i="7"/>
  <c r="C93" i="7" s="1"/>
  <c r="A2" i="7"/>
  <c r="ID101" i="6"/>
  <c r="IO74" i="6"/>
  <c r="IN74" i="6"/>
  <c r="IM74" i="6"/>
  <c r="IL74" i="6"/>
  <c r="IK74" i="6"/>
  <c r="IJ74" i="6"/>
  <c r="II74" i="6"/>
  <c r="IH74" i="6"/>
  <c r="IG74" i="6"/>
  <c r="IF74" i="6"/>
  <c r="IE74" i="6"/>
  <c r="ID74" i="6"/>
  <c r="IC74" i="6"/>
  <c r="IB74" i="6"/>
  <c r="IA74" i="6"/>
  <c r="C61" i="6"/>
  <c r="IO59" i="6"/>
  <c r="IN59" i="6"/>
  <c r="IM59" i="6"/>
  <c r="IL59" i="6"/>
  <c r="IK59" i="6"/>
  <c r="IJ59" i="6"/>
  <c r="II59" i="6"/>
  <c r="IH59" i="6"/>
  <c r="IG59" i="6"/>
  <c r="IF59" i="6"/>
  <c r="IE59" i="6"/>
  <c r="ID59" i="6"/>
  <c r="IC59" i="6"/>
  <c r="IB59" i="6"/>
  <c r="IA59" i="6"/>
  <c r="HX59" i="6"/>
  <c r="HS59" i="6"/>
  <c r="HR59" i="6"/>
  <c r="HQ59" i="6"/>
  <c r="HP59" i="6"/>
  <c r="HO59" i="6"/>
  <c r="HN59" i="6"/>
  <c r="HM59" i="6"/>
  <c r="HL59" i="6"/>
  <c r="HK59" i="6"/>
  <c r="HJ59" i="6"/>
  <c r="HI59" i="6"/>
  <c r="HH59" i="6"/>
  <c r="HD59" i="6"/>
  <c r="HC59" i="6"/>
  <c r="HB59" i="6"/>
  <c r="HA59" i="6"/>
  <c r="GZ59" i="6"/>
  <c r="GY59" i="6"/>
  <c r="GX59" i="6"/>
  <c r="GW59" i="6"/>
  <c r="GV59" i="6"/>
  <c r="GU59" i="6"/>
  <c r="GT59" i="6"/>
  <c r="GS59" i="6"/>
  <c r="GO59" i="6"/>
  <c r="GN59" i="6"/>
  <c r="GM59" i="6"/>
  <c r="GL59" i="6"/>
  <c r="GK59" i="6"/>
  <c r="GJ59" i="6"/>
  <c r="GI59" i="6"/>
  <c r="GH59" i="6"/>
  <c r="GG59" i="6"/>
  <c r="GF59" i="6"/>
  <c r="GE59" i="6"/>
  <c r="GD59" i="6"/>
  <c r="FZ59" i="6"/>
  <c r="FY59" i="6"/>
  <c r="FX59" i="6"/>
  <c r="FW59" i="6"/>
  <c r="FV59" i="6"/>
  <c r="FU59" i="6"/>
  <c r="FT59" i="6"/>
  <c r="FS59" i="6"/>
  <c r="FR59" i="6"/>
  <c r="FQ59" i="6"/>
  <c r="FP59" i="6"/>
  <c r="FO59" i="6"/>
  <c r="FK59" i="6"/>
  <c r="FJ59" i="6"/>
  <c r="FI59" i="6"/>
  <c r="FH59" i="6"/>
  <c r="FG59" i="6"/>
  <c r="FF59" i="6"/>
  <c r="FE59" i="6"/>
  <c r="FD59" i="6"/>
  <c r="FC59" i="6"/>
  <c r="FB59" i="6"/>
  <c r="FA59" i="6"/>
  <c r="EZ59" i="6"/>
  <c r="EV59" i="6"/>
  <c r="EU59" i="6"/>
  <c r="ET59" i="6"/>
  <c r="ES59" i="6"/>
  <c r="ER59" i="6"/>
  <c r="EQ59" i="6"/>
  <c r="EP59" i="6"/>
  <c r="EO59" i="6"/>
  <c r="EN59" i="6"/>
  <c r="EM59" i="6"/>
  <c r="EL59" i="6"/>
  <c r="EK59" i="6"/>
  <c r="EG59" i="6"/>
  <c r="EF59" i="6"/>
  <c r="EE59" i="6"/>
  <c r="ED59" i="6"/>
  <c r="EC59" i="6"/>
  <c r="EB59" i="6"/>
  <c r="EA59" i="6"/>
  <c r="DZ59" i="6"/>
  <c r="DY59" i="6"/>
  <c r="DX59" i="6"/>
  <c r="DW59" i="6"/>
  <c r="DV59" i="6"/>
  <c r="DR59" i="6"/>
  <c r="DQ59" i="6"/>
  <c r="DP59" i="6"/>
  <c r="DO59" i="6"/>
  <c r="DN59" i="6"/>
  <c r="DM59" i="6"/>
  <c r="DL59" i="6"/>
  <c r="DK59" i="6"/>
  <c r="DJ59" i="6"/>
  <c r="DI59" i="6"/>
  <c r="DH59" i="6"/>
  <c r="DG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F59" i="6"/>
  <c r="AD59" i="6"/>
  <c r="AB59" i="6"/>
  <c r="AA59" i="6"/>
  <c r="Z59" i="6"/>
  <c r="X59" i="6"/>
  <c r="V59" i="6"/>
  <c r="Q59" i="6"/>
  <c r="P59" i="6"/>
  <c r="O59" i="6"/>
  <c r="N59" i="6"/>
  <c r="M59" i="6"/>
  <c r="L59" i="6"/>
  <c r="K59" i="6"/>
  <c r="I59" i="6"/>
  <c r="H59" i="6"/>
  <c r="G59" i="6"/>
  <c r="F59" i="6"/>
  <c r="B59" i="6"/>
  <c r="HX58" i="6"/>
  <c r="HS58" i="6"/>
  <c r="HQ58" i="6"/>
  <c r="HO58" i="6"/>
  <c r="HM58" i="6"/>
  <c r="HK58" i="6"/>
  <c r="HI58" i="6"/>
  <c r="HD58" i="6"/>
  <c r="HB58" i="6"/>
  <c r="GZ58" i="6"/>
  <c r="GX58" i="6"/>
  <c r="GV58" i="6"/>
  <c r="GT58" i="6"/>
  <c r="GO58" i="6"/>
  <c r="GM58" i="6"/>
  <c r="GK58" i="6"/>
  <c r="GI58" i="6"/>
  <c r="GG58" i="6"/>
  <c r="GE58" i="6"/>
  <c r="FZ58" i="6"/>
  <c r="FX58" i="6"/>
  <c r="FV58" i="6"/>
  <c r="FT58" i="6"/>
  <c r="FR58" i="6"/>
  <c r="FP58" i="6"/>
  <c r="FK58" i="6"/>
  <c r="FI58" i="6"/>
  <c r="FG58" i="6"/>
  <c r="FE58" i="6"/>
  <c r="FC58" i="6"/>
  <c r="FA58" i="6"/>
  <c r="EV58" i="6"/>
  <c r="ET58" i="6"/>
  <c r="ER58" i="6"/>
  <c r="EP58" i="6"/>
  <c r="EN58" i="6"/>
  <c r="EL58" i="6"/>
  <c r="EG58" i="6"/>
  <c r="EE58" i="6"/>
  <c r="EC58" i="6"/>
  <c r="EA58" i="6"/>
  <c r="DY58" i="6"/>
  <c r="DW58" i="6"/>
  <c r="DR58" i="6"/>
  <c r="DP58" i="6"/>
  <c r="DN58" i="6"/>
  <c r="DL58" i="6"/>
  <c r="DJ58" i="6"/>
  <c r="DH58" i="6"/>
  <c r="DC58" i="6"/>
  <c r="DA58" i="6"/>
  <c r="CY58" i="6"/>
  <c r="CW58" i="6"/>
  <c r="CU58" i="6"/>
  <c r="CS58" i="6"/>
  <c r="CN58" i="6"/>
  <c r="CL58" i="6"/>
  <c r="CJ58" i="6"/>
  <c r="CH58" i="6"/>
  <c r="CF58" i="6"/>
  <c r="CD58" i="6"/>
  <c r="BY58" i="6"/>
  <c r="BW58" i="6"/>
  <c r="BU58" i="6"/>
  <c r="BS58" i="6"/>
  <c r="BQ58" i="6"/>
  <c r="BO58" i="6"/>
  <c r="BJ58" i="6"/>
  <c r="BH58" i="6"/>
  <c r="BF58" i="6"/>
  <c r="BD58" i="6"/>
  <c r="BB58" i="6"/>
  <c r="AZ58" i="6"/>
  <c r="AU58" i="6"/>
  <c r="AS58" i="6"/>
  <c r="AQ58" i="6"/>
  <c r="AO58" i="6"/>
  <c r="AM58" i="6"/>
  <c r="AK58" i="6"/>
  <c r="Q58" i="6"/>
  <c r="O58" i="6"/>
  <c r="M58" i="6"/>
  <c r="K58" i="6"/>
  <c r="I58" i="6"/>
  <c r="G58" i="6"/>
  <c r="B58" i="6"/>
  <c r="HX57" i="6"/>
  <c r="HS57" i="6"/>
  <c r="HQ57" i="6"/>
  <c r="HO57" i="6"/>
  <c r="HM57" i="6"/>
  <c r="HK57" i="6"/>
  <c r="HI57" i="6"/>
  <c r="HD57" i="6"/>
  <c r="HB57" i="6"/>
  <c r="GZ57" i="6"/>
  <c r="GX57" i="6"/>
  <c r="GV57" i="6"/>
  <c r="GT57" i="6"/>
  <c r="GO57" i="6"/>
  <c r="GM57" i="6"/>
  <c r="GK57" i="6"/>
  <c r="GI57" i="6"/>
  <c r="GG57" i="6"/>
  <c r="GE57" i="6"/>
  <c r="FZ57" i="6"/>
  <c r="FX57" i="6"/>
  <c r="FV57" i="6"/>
  <c r="FT57" i="6"/>
  <c r="FR57" i="6"/>
  <c r="FP57" i="6"/>
  <c r="FK57" i="6"/>
  <c r="FI57" i="6"/>
  <c r="FG57" i="6"/>
  <c r="FE57" i="6"/>
  <c r="FC57" i="6"/>
  <c r="FA57" i="6"/>
  <c r="EV57" i="6"/>
  <c r="ET57" i="6"/>
  <c r="ER57" i="6"/>
  <c r="EP57" i="6"/>
  <c r="EN57" i="6"/>
  <c r="EL57" i="6"/>
  <c r="EG57" i="6"/>
  <c r="EE57" i="6"/>
  <c r="EC57" i="6"/>
  <c r="EA57" i="6"/>
  <c r="DY57" i="6"/>
  <c r="DW57" i="6"/>
  <c r="DR57" i="6"/>
  <c r="DP57" i="6"/>
  <c r="DN57" i="6"/>
  <c r="DL57" i="6"/>
  <c r="DJ57" i="6"/>
  <c r="DH57" i="6"/>
  <c r="DC57" i="6"/>
  <c r="DA57" i="6"/>
  <c r="CY57" i="6"/>
  <c r="CW57" i="6"/>
  <c r="CU57" i="6"/>
  <c r="CS57" i="6"/>
  <c r="CN57" i="6"/>
  <c r="CL57" i="6"/>
  <c r="CJ57" i="6"/>
  <c r="CH57" i="6"/>
  <c r="CF57" i="6"/>
  <c r="CD57" i="6"/>
  <c r="BY57" i="6"/>
  <c r="BW57" i="6"/>
  <c r="BU57" i="6"/>
  <c r="BS57" i="6"/>
  <c r="BQ57" i="6"/>
  <c r="BO57" i="6"/>
  <c r="BJ57" i="6"/>
  <c r="BH57" i="6"/>
  <c r="BF57" i="6"/>
  <c r="BD57" i="6"/>
  <c r="BB57" i="6"/>
  <c r="AZ57" i="6"/>
  <c r="AU57" i="6"/>
  <c r="AS57" i="6"/>
  <c r="AQ57" i="6"/>
  <c r="AO57" i="6"/>
  <c r="AM57" i="6"/>
  <c r="AK57" i="6"/>
  <c r="Q57" i="6"/>
  <c r="O57" i="6"/>
  <c r="M57" i="6"/>
  <c r="K57" i="6"/>
  <c r="I57" i="6"/>
  <c r="G57" i="6"/>
  <c r="B57" i="6"/>
  <c r="HX56" i="6"/>
  <c r="HS56" i="6"/>
  <c r="HQ56" i="6"/>
  <c r="HO56" i="6"/>
  <c r="HM56" i="6"/>
  <c r="HK56" i="6"/>
  <c r="HI56" i="6"/>
  <c r="HD56" i="6"/>
  <c r="HB56" i="6"/>
  <c r="GZ56" i="6"/>
  <c r="GX56" i="6"/>
  <c r="GV56" i="6"/>
  <c r="GT56" i="6"/>
  <c r="GO56" i="6"/>
  <c r="GM56" i="6"/>
  <c r="GK56" i="6"/>
  <c r="GI56" i="6"/>
  <c r="GG56" i="6"/>
  <c r="GE56" i="6"/>
  <c r="FZ56" i="6"/>
  <c r="FX56" i="6"/>
  <c r="FV56" i="6"/>
  <c r="FT56" i="6"/>
  <c r="FR56" i="6"/>
  <c r="FP56" i="6"/>
  <c r="FK56" i="6"/>
  <c r="FI56" i="6"/>
  <c r="FG56" i="6"/>
  <c r="FE56" i="6"/>
  <c r="FC56" i="6"/>
  <c r="FA56" i="6"/>
  <c r="EV56" i="6"/>
  <c r="ET56" i="6"/>
  <c r="ER56" i="6"/>
  <c r="EP56" i="6"/>
  <c r="EN56" i="6"/>
  <c r="EL56" i="6"/>
  <c r="EG56" i="6"/>
  <c r="EE56" i="6"/>
  <c r="EC56" i="6"/>
  <c r="EA56" i="6"/>
  <c r="DY56" i="6"/>
  <c r="DW56" i="6"/>
  <c r="DR56" i="6"/>
  <c r="DP56" i="6"/>
  <c r="DN56" i="6"/>
  <c r="DL56" i="6"/>
  <c r="DJ56" i="6"/>
  <c r="DH56" i="6"/>
  <c r="DC56" i="6"/>
  <c r="DA56" i="6"/>
  <c r="CY56" i="6"/>
  <c r="CW56" i="6"/>
  <c r="CU56" i="6"/>
  <c r="CS56" i="6"/>
  <c r="CN56" i="6"/>
  <c r="CL56" i="6"/>
  <c r="CJ56" i="6"/>
  <c r="CH56" i="6"/>
  <c r="CF56" i="6"/>
  <c r="CD56" i="6"/>
  <c r="BY56" i="6"/>
  <c r="BW56" i="6"/>
  <c r="BU56" i="6"/>
  <c r="BS56" i="6"/>
  <c r="BQ56" i="6"/>
  <c r="BO56" i="6"/>
  <c r="BJ56" i="6"/>
  <c r="BH56" i="6"/>
  <c r="BF56" i="6"/>
  <c r="BD56" i="6"/>
  <c r="BB56" i="6"/>
  <c r="AZ56" i="6"/>
  <c r="AU56" i="6"/>
  <c r="AS56" i="6"/>
  <c r="AQ56" i="6"/>
  <c r="AO56" i="6"/>
  <c r="AM56" i="6"/>
  <c r="AK56" i="6"/>
  <c r="Q56" i="6"/>
  <c r="O56" i="6"/>
  <c r="M56" i="6"/>
  <c r="K56" i="6"/>
  <c r="I56" i="6"/>
  <c r="G56" i="6"/>
  <c r="B56" i="6"/>
  <c r="HX55" i="6"/>
  <c r="HS55" i="6"/>
  <c r="HQ55" i="6"/>
  <c r="HO55" i="6"/>
  <c r="HM55" i="6"/>
  <c r="HK55" i="6"/>
  <c r="HI55" i="6"/>
  <c r="HD55" i="6"/>
  <c r="HB55" i="6"/>
  <c r="GZ55" i="6"/>
  <c r="GX55" i="6"/>
  <c r="GV55" i="6"/>
  <c r="GT55" i="6"/>
  <c r="GO55" i="6"/>
  <c r="GM55" i="6"/>
  <c r="GK55" i="6"/>
  <c r="GI55" i="6"/>
  <c r="GG55" i="6"/>
  <c r="GE55" i="6"/>
  <c r="FZ55" i="6"/>
  <c r="FX55" i="6"/>
  <c r="FV55" i="6"/>
  <c r="FT55" i="6"/>
  <c r="FR55" i="6"/>
  <c r="FP55" i="6"/>
  <c r="FK55" i="6"/>
  <c r="FI55" i="6"/>
  <c r="FG55" i="6"/>
  <c r="FE55" i="6"/>
  <c r="FC55" i="6"/>
  <c r="FA55" i="6"/>
  <c r="EV55" i="6"/>
  <c r="ET55" i="6"/>
  <c r="ER55" i="6"/>
  <c r="EP55" i="6"/>
  <c r="EN55" i="6"/>
  <c r="EL55" i="6"/>
  <c r="EG55" i="6"/>
  <c r="EE55" i="6"/>
  <c r="EC55" i="6"/>
  <c r="EA55" i="6"/>
  <c r="DY55" i="6"/>
  <c r="DW55" i="6"/>
  <c r="DR55" i="6"/>
  <c r="DP55" i="6"/>
  <c r="DN55" i="6"/>
  <c r="DL55" i="6"/>
  <c r="DJ55" i="6"/>
  <c r="DH55" i="6"/>
  <c r="DC55" i="6"/>
  <c r="DA55" i="6"/>
  <c r="CY55" i="6"/>
  <c r="CW55" i="6"/>
  <c r="CU55" i="6"/>
  <c r="CS55" i="6"/>
  <c r="CN55" i="6"/>
  <c r="CL55" i="6"/>
  <c r="CJ55" i="6"/>
  <c r="CH55" i="6"/>
  <c r="CF55" i="6"/>
  <c r="CD55" i="6"/>
  <c r="BY55" i="6"/>
  <c r="BW55" i="6"/>
  <c r="BU55" i="6"/>
  <c r="BS55" i="6"/>
  <c r="BQ55" i="6"/>
  <c r="BO55" i="6"/>
  <c r="BJ55" i="6"/>
  <c r="BH55" i="6"/>
  <c r="BF55" i="6"/>
  <c r="BD55" i="6"/>
  <c r="BB55" i="6"/>
  <c r="AZ55" i="6"/>
  <c r="AU55" i="6"/>
  <c r="AS55" i="6"/>
  <c r="AQ55" i="6"/>
  <c r="AO55" i="6"/>
  <c r="AM55" i="6"/>
  <c r="AK55" i="6"/>
  <c r="Q55" i="6"/>
  <c r="O55" i="6"/>
  <c r="M55" i="6"/>
  <c r="K55" i="6"/>
  <c r="I55" i="6"/>
  <c r="G55" i="6"/>
  <c r="C55" i="6"/>
  <c r="B55" i="6"/>
  <c r="HX54" i="6"/>
  <c r="HS54" i="6"/>
  <c r="HQ54" i="6"/>
  <c r="HO54" i="6"/>
  <c r="HM54" i="6"/>
  <c r="HK54" i="6"/>
  <c r="HI54" i="6"/>
  <c r="HD54" i="6"/>
  <c r="HB54" i="6"/>
  <c r="GZ54" i="6"/>
  <c r="GX54" i="6"/>
  <c r="GV54" i="6"/>
  <c r="GT54" i="6"/>
  <c r="GO54" i="6"/>
  <c r="GM54" i="6"/>
  <c r="GK54" i="6"/>
  <c r="GI54" i="6"/>
  <c r="GG54" i="6"/>
  <c r="GE54" i="6"/>
  <c r="FZ54" i="6"/>
  <c r="FX54" i="6"/>
  <c r="FV54" i="6"/>
  <c r="FT54" i="6"/>
  <c r="FR54" i="6"/>
  <c r="FP54" i="6"/>
  <c r="FK54" i="6"/>
  <c r="FI54" i="6"/>
  <c r="FG54" i="6"/>
  <c r="FE54" i="6"/>
  <c r="FC54" i="6"/>
  <c r="FA54" i="6"/>
  <c r="EV54" i="6"/>
  <c r="ET54" i="6"/>
  <c r="ER54" i="6"/>
  <c r="EP54" i="6"/>
  <c r="EN54" i="6"/>
  <c r="EL54" i="6"/>
  <c r="EG54" i="6"/>
  <c r="EE54" i="6"/>
  <c r="EC54" i="6"/>
  <c r="EA54" i="6"/>
  <c r="DY54" i="6"/>
  <c r="DW54" i="6"/>
  <c r="DR54" i="6"/>
  <c r="DP54" i="6"/>
  <c r="DN54" i="6"/>
  <c r="DL54" i="6"/>
  <c r="DJ54" i="6"/>
  <c r="DH54" i="6"/>
  <c r="DC54" i="6"/>
  <c r="DA54" i="6"/>
  <c r="CY54" i="6"/>
  <c r="CW54" i="6"/>
  <c r="CU54" i="6"/>
  <c r="CS54" i="6"/>
  <c r="CN54" i="6"/>
  <c r="CL54" i="6"/>
  <c r="CJ54" i="6"/>
  <c r="CH54" i="6"/>
  <c r="CF54" i="6"/>
  <c r="CD54" i="6"/>
  <c r="BY54" i="6"/>
  <c r="BW54" i="6"/>
  <c r="BU54" i="6"/>
  <c r="BS54" i="6"/>
  <c r="BQ54" i="6"/>
  <c r="BO54" i="6"/>
  <c r="BJ54" i="6"/>
  <c r="BH54" i="6"/>
  <c r="BF54" i="6"/>
  <c r="BD54" i="6"/>
  <c r="BB54" i="6"/>
  <c r="AZ54" i="6"/>
  <c r="AU54" i="6"/>
  <c r="AS54" i="6"/>
  <c r="AQ54" i="6"/>
  <c r="AO54" i="6"/>
  <c r="AM54" i="6"/>
  <c r="AK54" i="6"/>
  <c r="Q54" i="6"/>
  <c r="O54" i="6"/>
  <c r="M54" i="6"/>
  <c r="K54" i="6"/>
  <c r="I54" i="6"/>
  <c r="G54" i="6"/>
  <c r="B54" i="6"/>
  <c r="HS53" i="6"/>
  <c r="HQ53" i="6"/>
  <c r="HO53" i="6"/>
  <c r="HM53" i="6"/>
  <c r="HK53" i="6"/>
  <c r="HD53" i="6"/>
  <c r="HB53" i="6"/>
  <c r="GZ53" i="6"/>
  <c r="GX53" i="6"/>
  <c r="GV53" i="6"/>
  <c r="GO53" i="6"/>
  <c r="GM53" i="6"/>
  <c r="GK53" i="6"/>
  <c r="GI53" i="6"/>
  <c r="GG53" i="6"/>
  <c r="FZ53" i="6"/>
  <c r="FX53" i="6"/>
  <c r="FV53" i="6"/>
  <c r="FT53" i="6"/>
  <c r="FR53" i="6"/>
  <c r="FK53" i="6"/>
  <c r="FI53" i="6"/>
  <c r="FG53" i="6"/>
  <c r="FE53" i="6"/>
  <c r="FC53" i="6"/>
  <c r="EV53" i="6"/>
  <c r="ET53" i="6"/>
  <c r="ER53" i="6"/>
  <c r="EP53" i="6"/>
  <c r="EN53" i="6"/>
  <c r="EG53" i="6"/>
  <c r="EE53" i="6"/>
  <c r="EC53" i="6"/>
  <c r="EA53" i="6"/>
  <c r="DY53" i="6"/>
  <c r="DR53" i="6"/>
  <c r="DP53" i="6"/>
  <c r="DN53" i="6"/>
  <c r="DL53" i="6"/>
  <c r="DJ53" i="6"/>
  <c r="DC53" i="6"/>
  <c r="DA53" i="6"/>
  <c r="CY53" i="6"/>
  <c r="CW53" i="6"/>
  <c r="CU53" i="6"/>
  <c r="CN53" i="6"/>
  <c r="CL53" i="6"/>
  <c r="CJ53" i="6"/>
  <c r="CH53" i="6"/>
  <c r="CF53" i="6"/>
  <c r="BY53" i="6"/>
  <c r="BW53" i="6"/>
  <c r="BU53" i="6"/>
  <c r="BS53" i="6"/>
  <c r="BQ53" i="6"/>
  <c r="BJ53" i="6"/>
  <c r="BH53" i="6"/>
  <c r="BF53" i="6"/>
  <c r="BD53" i="6"/>
  <c r="BB53" i="6"/>
  <c r="AU53" i="6"/>
  <c r="AS53" i="6"/>
  <c r="AQ53" i="6"/>
  <c r="AO53" i="6"/>
  <c r="AM53" i="6"/>
  <c r="Q53" i="6"/>
  <c r="O53" i="6"/>
  <c r="M53" i="6"/>
  <c r="K53" i="6"/>
  <c r="I53" i="6"/>
  <c r="G53" i="6"/>
  <c r="C53" i="6"/>
  <c r="HS52" i="6"/>
  <c r="HQ52" i="6"/>
  <c r="HO52" i="6"/>
  <c r="HM52" i="6"/>
  <c r="HK52" i="6"/>
  <c r="HI52" i="6"/>
  <c r="HD52" i="6"/>
  <c r="HB52" i="6"/>
  <c r="GZ52" i="6"/>
  <c r="GX52" i="6"/>
  <c r="GV52" i="6"/>
  <c r="GT52" i="6"/>
  <c r="GO52" i="6"/>
  <c r="GM52" i="6"/>
  <c r="GK52" i="6"/>
  <c r="GI52" i="6"/>
  <c r="GG52" i="6"/>
  <c r="GE52" i="6"/>
  <c r="FZ52" i="6"/>
  <c r="FX52" i="6"/>
  <c r="FV52" i="6"/>
  <c r="FT52" i="6"/>
  <c r="FR52" i="6"/>
  <c r="FP52" i="6"/>
  <c r="FK52" i="6"/>
  <c r="FI52" i="6"/>
  <c r="FG52" i="6"/>
  <c r="FE52" i="6"/>
  <c r="FC52" i="6"/>
  <c r="FA52" i="6"/>
  <c r="EV52" i="6"/>
  <c r="ET52" i="6"/>
  <c r="ER52" i="6"/>
  <c r="EP52" i="6"/>
  <c r="EN52" i="6"/>
  <c r="EL52" i="6"/>
  <c r="EG52" i="6"/>
  <c r="EE52" i="6"/>
  <c r="EC52" i="6"/>
  <c r="EA52" i="6"/>
  <c r="DY52" i="6"/>
  <c r="DW52" i="6"/>
  <c r="DR52" i="6"/>
  <c r="DP52" i="6"/>
  <c r="DN52" i="6"/>
  <c r="DL52" i="6"/>
  <c r="DJ52" i="6"/>
  <c r="DH52" i="6"/>
  <c r="DC52" i="6"/>
  <c r="DA52" i="6"/>
  <c r="CY52" i="6"/>
  <c r="CW52" i="6"/>
  <c r="CU52" i="6"/>
  <c r="CS52" i="6"/>
  <c r="CN52" i="6"/>
  <c r="CL52" i="6"/>
  <c r="CJ52" i="6"/>
  <c r="CH52" i="6"/>
  <c r="CF52" i="6"/>
  <c r="CD52" i="6"/>
  <c r="BY52" i="6"/>
  <c r="BW52" i="6"/>
  <c r="BU52" i="6"/>
  <c r="BS52" i="6"/>
  <c r="BQ52" i="6"/>
  <c r="BO52" i="6"/>
  <c r="BJ52" i="6"/>
  <c r="BH52" i="6"/>
  <c r="BF52" i="6"/>
  <c r="BD52" i="6"/>
  <c r="BB52" i="6"/>
  <c r="AZ52" i="6"/>
  <c r="AU52" i="6"/>
  <c r="AS52" i="6"/>
  <c r="AQ52" i="6"/>
  <c r="AO52" i="6"/>
  <c r="AM52" i="6"/>
  <c r="AK52" i="6"/>
  <c r="Q52" i="6"/>
  <c r="O52" i="6"/>
  <c r="M52" i="6"/>
  <c r="K52" i="6"/>
  <c r="I52" i="6"/>
  <c r="G52" i="6"/>
  <c r="C52" i="6"/>
  <c r="HS48" i="6"/>
  <c r="HQ48" i="6"/>
  <c r="HO48" i="6"/>
  <c r="HM48" i="6"/>
  <c r="HK48" i="6"/>
  <c r="HI48" i="6"/>
  <c r="HD48" i="6"/>
  <c r="HB48" i="6"/>
  <c r="GZ48" i="6"/>
  <c r="GX48" i="6"/>
  <c r="GV48" i="6"/>
  <c r="GT48" i="6"/>
  <c r="GO48" i="6"/>
  <c r="GM48" i="6"/>
  <c r="GK48" i="6"/>
  <c r="GI48" i="6"/>
  <c r="GG48" i="6"/>
  <c r="GE48" i="6"/>
  <c r="FZ48" i="6"/>
  <c r="FX48" i="6"/>
  <c r="FV48" i="6"/>
  <c r="FT48" i="6"/>
  <c r="FR48" i="6"/>
  <c r="FP48" i="6"/>
  <c r="FK48" i="6"/>
  <c r="FI48" i="6"/>
  <c r="FG48" i="6"/>
  <c r="FE48" i="6"/>
  <c r="FC48" i="6"/>
  <c r="FA48" i="6"/>
  <c r="EV48" i="6"/>
  <c r="ET48" i="6"/>
  <c r="ER48" i="6"/>
  <c r="EP48" i="6"/>
  <c r="EN48" i="6"/>
  <c r="EL48" i="6"/>
  <c r="EG48" i="6"/>
  <c r="EE48" i="6"/>
  <c r="EC48" i="6"/>
  <c r="EA48" i="6"/>
  <c r="DY48" i="6"/>
  <c r="DW48" i="6"/>
  <c r="DR48" i="6"/>
  <c r="DP48" i="6"/>
  <c r="DN48" i="6"/>
  <c r="DL48" i="6"/>
  <c r="DJ48" i="6"/>
  <c r="DH48" i="6"/>
  <c r="DC48" i="6"/>
  <c r="DA48" i="6"/>
  <c r="CY48" i="6"/>
  <c r="CW48" i="6"/>
  <c r="CU48" i="6"/>
  <c r="CS48" i="6"/>
  <c r="CN48" i="6"/>
  <c r="CL48" i="6"/>
  <c r="CJ48" i="6"/>
  <c r="CH48" i="6"/>
  <c r="CF48" i="6"/>
  <c r="CD48" i="6"/>
  <c r="BY48" i="6"/>
  <c r="BW48" i="6"/>
  <c r="BU48" i="6"/>
  <c r="BS48" i="6"/>
  <c r="BQ48" i="6"/>
  <c r="BO48" i="6"/>
  <c r="BJ48" i="6"/>
  <c r="BH48" i="6"/>
  <c r="BF48" i="6"/>
  <c r="BD48" i="6"/>
  <c r="BB48" i="6"/>
  <c r="AZ48" i="6"/>
  <c r="AU48" i="6"/>
  <c r="AS48" i="6"/>
  <c r="AQ48" i="6"/>
  <c r="AO48" i="6"/>
  <c r="AM48" i="6"/>
  <c r="AK48" i="6"/>
  <c r="AF48" i="6"/>
  <c r="AD48" i="6"/>
  <c r="AB48" i="6"/>
  <c r="Z48" i="6"/>
  <c r="X48" i="6"/>
  <c r="V48" i="6"/>
  <c r="Q48" i="6"/>
  <c r="O48" i="6"/>
  <c r="M48" i="6"/>
  <c r="K48" i="6"/>
  <c r="I48" i="6"/>
  <c r="G48" i="6"/>
  <c r="C48" i="6"/>
  <c r="HX45" i="6"/>
  <c r="HX44" i="6"/>
  <c r="HX43" i="6"/>
  <c r="IO32" i="6"/>
  <c r="IN32" i="6"/>
  <c r="IM32" i="6"/>
  <c r="IL32" i="6"/>
  <c r="IK32" i="6"/>
  <c r="IJ32" i="6"/>
  <c r="II32" i="6"/>
  <c r="IH32" i="6"/>
  <c r="IG32" i="6"/>
  <c r="IF32" i="6"/>
  <c r="IE32" i="6"/>
  <c r="ID32" i="6"/>
  <c r="IC32" i="6"/>
  <c r="IB32" i="6"/>
  <c r="IA32" i="6"/>
  <c r="HZ32" i="6"/>
  <c r="HS28" i="6"/>
  <c r="HQ28" i="6"/>
  <c r="HO28" i="6"/>
  <c r="HM28" i="6"/>
  <c r="HK28" i="6"/>
  <c r="HI28" i="6"/>
  <c r="HD28" i="6"/>
  <c r="HB28" i="6"/>
  <c r="GZ28" i="6"/>
  <c r="GX28" i="6"/>
  <c r="GV28" i="6"/>
  <c r="GT28" i="6"/>
  <c r="GO28" i="6"/>
  <c r="GM28" i="6"/>
  <c r="GK28" i="6"/>
  <c r="GI28" i="6"/>
  <c r="GG28" i="6"/>
  <c r="GE28" i="6"/>
  <c r="FZ28" i="6"/>
  <c r="FX28" i="6"/>
  <c r="FV28" i="6"/>
  <c r="FT28" i="6"/>
  <c r="FR28" i="6"/>
  <c r="FP28" i="6"/>
  <c r="FK28" i="6"/>
  <c r="FI28" i="6"/>
  <c r="FG28" i="6"/>
  <c r="FE28" i="6"/>
  <c r="FC28" i="6"/>
  <c r="FA28" i="6"/>
  <c r="EV28" i="6"/>
  <c r="ET28" i="6"/>
  <c r="ER28" i="6"/>
  <c r="EP28" i="6"/>
  <c r="EN28" i="6"/>
  <c r="EL28" i="6"/>
  <c r="EG28" i="6"/>
  <c r="EE28" i="6"/>
  <c r="EC28" i="6"/>
  <c r="EA28" i="6"/>
  <c r="DY28" i="6"/>
  <c r="DW28" i="6"/>
  <c r="DR28" i="6"/>
  <c r="DP28" i="6"/>
  <c r="DN28" i="6"/>
  <c r="DL28" i="6"/>
  <c r="DJ28" i="6"/>
  <c r="DH28" i="6"/>
  <c r="DC28" i="6"/>
  <c r="DA28" i="6"/>
  <c r="CY28" i="6"/>
  <c r="CW28" i="6"/>
  <c r="CU28" i="6"/>
  <c r="CS28" i="6"/>
  <c r="CN28" i="6"/>
  <c r="CL28" i="6"/>
  <c r="CJ28" i="6"/>
  <c r="CH28" i="6"/>
  <c r="CF28" i="6"/>
  <c r="CD28" i="6"/>
  <c r="BY28" i="6"/>
  <c r="BW28" i="6"/>
  <c r="BU28" i="6"/>
  <c r="BS28" i="6"/>
  <c r="BQ28" i="6"/>
  <c r="BO28" i="6"/>
  <c r="BJ28" i="6"/>
  <c r="BH28" i="6"/>
  <c r="BF28" i="6"/>
  <c r="BD28" i="6"/>
  <c r="BB28" i="6"/>
  <c r="AZ28" i="6"/>
  <c r="AU28" i="6"/>
  <c r="AS28" i="6"/>
  <c r="AQ28" i="6"/>
  <c r="AO28" i="6"/>
  <c r="AM28" i="6"/>
  <c r="AK28" i="6"/>
  <c r="R28" i="6"/>
  <c r="Q28" i="6"/>
  <c r="O28" i="6"/>
  <c r="M28" i="6"/>
  <c r="K28" i="6"/>
  <c r="I28" i="6"/>
  <c r="G28" i="6"/>
  <c r="HZ27" i="6"/>
  <c r="HZ59" i="6" s="1"/>
  <c r="IA26" i="6"/>
  <c r="HZ26" i="6"/>
  <c r="HZ58" i="6" s="1"/>
  <c r="AG26" i="6"/>
  <c r="AV26" i="6" s="1"/>
  <c r="IA25" i="6"/>
  <c r="HZ25" i="6"/>
  <c r="HZ57" i="6" s="1"/>
  <c r="AG25" i="6"/>
  <c r="IA24" i="6"/>
  <c r="AG24" i="6"/>
  <c r="AV24" i="6" s="1"/>
  <c r="C24" i="6"/>
  <c r="HZ24" i="6" s="1"/>
  <c r="HZ56" i="6" s="1"/>
  <c r="IA23" i="6"/>
  <c r="AG23" i="6"/>
  <c r="IB23" i="6" s="1"/>
  <c r="C23" i="6"/>
  <c r="HZ23" i="6" s="1"/>
  <c r="HZ55" i="6" s="1"/>
  <c r="IA22" i="6"/>
  <c r="HZ22" i="6"/>
  <c r="HZ54" i="6" s="1"/>
  <c r="AG22" i="6"/>
  <c r="IB22" i="6" s="1"/>
  <c r="HZ21" i="6"/>
  <c r="HZ17" i="6"/>
  <c r="HO17" i="6"/>
  <c r="HK17" i="6"/>
  <c r="HI17" i="6"/>
  <c r="GZ17" i="6"/>
  <c r="GV17" i="6"/>
  <c r="GT17" i="6"/>
  <c r="BF17" i="6"/>
  <c r="BU17" i="6" s="1"/>
  <c r="CJ17" i="6" s="1"/>
  <c r="CY17" i="6" s="1"/>
  <c r="DN17" i="6" s="1"/>
  <c r="EC17" i="6" s="1"/>
  <c r="ER17" i="6" s="1"/>
  <c r="FG17" i="6" s="1"/>
  <c r="FV17" i="6" s="1"/>
  <c r="GK17" i="6" s="1"/>
  <c r="BB17" i="6"/>
  <c r="BQ17" i="6" s="1"/>
  <c r="CF17" i="6" s="1"/>
  <c r="CU17" i="6" s="1"/>
  <c r="DJ17" i="6" s="1"/>
  <c r="DY17" i="6" s="1"/>
  <c r="EN17" i="6" s="1"/>
  <c r="FC17" i="6" s="1"/>
  <c r="FR17" i="6" s="1"/>
  <c r="GG17" i="6" s="1"/>
  <c r="AZ17" i="6"/>
  <c r="AV17" i="6"/>
  <c r="X17" i="6"/>
  <c r="R17" i="6"/>
  <c r="HZ16" i="6"/>
  <c r="HZ53" i="6" s="1"/>
  <c r="AK16" i="6"/>
  <c r="AK53" i="6" s="1"/>
  <c r="HZ15" i="6"/>
  <c r="HZ44" i="6" s="1"/>
  <c r="AU15" i="6"/>
  <c r="AS15" i="6"/>
  <c r="BH15" i="6" s="1"/>
  <c r="BW15" i="6" s="1"/>
  <c r="AQ15" i="6"/>
  <c r="BF15" i="6" s="1"/>
  <c r="BU15" i="6" s="1"/>
  <c r="CJ15" i="6" s="1"/>
  <c r="AO15" i="6"/>
  <c r="BD15" i="6" s="1"/>
  <c r="BS15" i="6" s="1"/>
  <c r="CH15" i="6" s="1"/>
  <c r="CW15" i="6" s="1"/>
  <c r="AM15" i="6"/>
  <c r="AK15" i="6"/>
  <c r="FP14" i="6"/>
  <c r="EG14" i="6"/>
  <c r="EV14" i="6" s="1"/>
  <c r="DW14" i="6"/>
  <c r="EL14" i="6" s="1"/>
  <c r="AU14" i="6"/>
  <c r="AS14" i="6"/>
  <c r="BH14" i="6" s="1"/>
  <c r="AQ14" i="6"/>
  <c r="AO14" i="6"/>
  <c r="BD14" i="6" s="1"/>
  <c r="AM14" i="6"/>
  <c r="AK14" i="6"/>
  <c r="AZ14" i="6" s="1"/>
  <c r="BO14" i="6" s="1"/>
  <c r="C14" i="6"/>
  <c r="HZ13" i="6"/>
  <c r="HZ12" i="6"/>
  <c r="AU12" i="6"/>
  <c r="AS12" i="6"/>
  <c r="AQ12" i="6"/>
  <c r="BF12" i="6" s="1"/>
  <c r="AO12" i="6"/>
  <c r="BD12" i="6" s="1"/>
  <c r="BS12" i="6" s="1"/>
  <c r="CH12" i="6" s="1"/>
  <c r="AM12" i="6"/>
  <c r="BB12" i="6" s="1"/>
  <c r="BQ12" i="6" s="1"/>
  <c r="CF12" i="6" s="1"/>
  <c r="CU12" i="6" s="1"/>
  <c r="AK12" i="6"/>
  <c r="HZ11" i="6"/>
  <c r="P10" i="6"/>
  <c r="N10" i="6"/>
  <c r="N14" i="6" s="1"/>
  <c r="N45" i="6" s="1"/>
  <c r="L10" i="6"/>
  <c r="L15" i="6" s="1"/>
  <c r="L44" i="6" s="1"/>
  <c r="J10" i="6"/>
  <c r="H10" i="6"/>
  <c r="H12" i="6" s="1"/>
  <c r="HZ8" i="6"/>
  <c r="AN6" i="6"/>
  <c r="AM6" i="6"/>
  <c r="BB6" i="6" s="1"/>
  <c r="BQ6" i="6" s="1"/>
  <c r="CF6" i="6" s="1"/>
  <c r="CU6" i="6" s="1"/>
  <c r="DJ6" i="6" s="1"/>
  <c r="DY6" i="6" s="1"/>
  <c r="EN6" i="6" s="1"/>
  <c r="FC6" i="6" s="1"/>
  <c r="FR6" i="6" s="1"/>
  <c r="GG6" i="6" s="1"/>
  <c r="AL6" i="6"/>
  <c r="R6" i="6"/>
  <c r="IA6" i="6" s="1"/>
  <c r="C6" i="6"/>
  <c r="HZ6" i="6" s="1"/>
  <c r="AS5" i="6"/>
  <c r="BH5" i="6" s="1"/>
  <c r="BW5" i="6" s="1"/>
  <c r="CL5" i="6" s="1"/>
  <c r="DA5" i="6" s="1"/>
  <c r="DP5" i="6" s="1"/>
  <c r="EE5" i="6" s="1"/>
  <c r="ET5" i="6" s="1"/>
  <c r="FI5" i="6" s="1"/>
  <c r="FX5" i="6" s="1"/>
  <c r="GM5" i="6" s="1"/>
  <c r="HB5" i="6" s="1"/>
  <c r="HQ5" i="6" s="1"/>
  <c r="AQ5" i="6"/>
  <c r="BF5" i="6" s="1"/>
  <c r="BU5" i="6" s="1"/>
  <c r="CJ5" i="6" s="1"/>
  <c r="CY5" i="6" s="1"/>
  <c r="DN5" i="6" s="1"/>
  <c r="EC5" i="6" s="1"/>
  <c r="ER5" i="6" s="1"/>
  <c r="FG5" i="6" s="1"/>
  <c r="FV5" i="6" s="1"/>
  <c r="GK5" i="6" s="1"/>
  <c r="AO5" i="6"/>
  <c r="BD5" i="6" s="1"/>
  <c r="BS5" i="6" s="1"/>
  <c r="CH5" i="6" s="1"/>
  <c r="CW5" i="6" s="1"/>
  <c r="DL5" i="6" s="1"/>
  <c r="EA5" i="6" s="1"/>
  <c r="EP5" i="6" s="1"/>
  <c r="FE5" i="6" s="1"/>
  <c r="FT5" i="6" s="1"/>
  <c r="GI5" i="6" s="1"/>
  <c r="AM5" i="6"/>
  <c r="BB5" i="6" s="1"/>
  <c r="BQ5" i="6" s="1"/>
  <c r="CF5" i="6" s="1"/>
  <c r="CU5" i="6" s="1"/>
  <c r="DJ5" i="6" s="1"/>
  <c r="DY5" i="6" s="1"/>
  <c r="EN5" i="6" s="1"/>
  <c r="FC5" i="6" s="1"/>
  <c r="FR5" i="6" s="1"/>
  <c r="GG5" i="6" s="1"/>
  <c r="AE5" i="6"/>
  <c r="AC5" i="6"/>
  <c r="AC10" i="6" s="1"/>
  <c r="AA5" i="6"/>
  <c r="AP5" i="6" s="1"/>
  <c r="Y5" i="6"/>
  <c r="AN5" i="6" s="1"/>
  <c r="U5" i="6"/>
  <c r="U10" i="6" s="1"/>
  <c r="F5" i="6"/>
  <c r="F10" i="6" s="1"/>
  <c r="F16" i="6" s="1"/>
  <c r="F53" i="6" s="1"/>
  <c r="C5" i="6"/>
  <c r="HZ5" i="6" s="1"/>
  <c r="AT4" i="6"/>
  <c r="BI4" i="6" s="1"/>
  <c r="BX4" i="6" s="1"/>
  <c r="CM4" i="6" s="1"/>
  <c r="DB4" i="6" s="1"/>
  <c r="DQ4" i="6" s="1"/>
  <c r="EF4" i="6" s="1"/>
  <c r="EU4" i="6" s="1"/>
  <c r="FJ4" i="6" s="1"/>
  <c r="FY4" i="6" s="1"/>
  <c r="GN4" i="6" s="1"/>
  <c r="HC4" i="6" s="1"/>
  <c r="HR4" i="6" s="1"/>
  <c r="AR4" i="6"/>
  <c r="BG4" i="6" s="1"/>
  <c r="BV4" i="6" s="1"/>
  <c r="CK4" i="6" s="1"/>
  <c r="CZ4" i="6" s="1"/>
  <c r="DO4" i="6" s="1"/>
  <c r="ED4" i="6" s="1"/>
  <c r="ES4" i="6" s="1"/>
  <c r="FH4" i="6" s="1"/>
  <c r="FW4" i="6" s="1"/>
  <c r="GL4" i="6" s="1"/>
  <c r="HA4" i="6" s="1"/>
  <c r="HP4" i="6" s="1"/>
  <c r="AP4" i="6"/>
  <c r="BE4" i="6" s="1"/>
  <c r="BT4" i="6" s="1"/>
  <c r="CI4" i="6" s="1"/>
  <c r="CX4" i="6" s="1"/>
  <c r="DM4" i="6" s="1"/>
  <c r="EB4" i="6" s="1"/>
  <c r="EQ4" i="6" s="1"/>
  <c r="FF4" i="6" s="1"/>
  <c r="FU4" i="6" s="1"/>
  <c r="GJ4" i="6" s="1"/>
  <c r="GY4" i="6" s="1"/>
  <c r="HN4" i="6" s="1"/>
  <c r="AN4" i="6"/>
  <c r="BC4" i="6" s="1"/>
  <c r="BR4" i="6" s="1"/>
  <c r="CG4" i="6" s="1"/>
  <c r="CV4" i="6" s="1"/>
  <c r="DK4" i="6" s="1"/>
  <c r="DZ4" i="6" s="1"/>
  <c r="EO4" i="6" s="1"/>
  <c r="FD4" i="6" s="1"/>
  <c r="FS4" i="6" s="1"/>
  <c r="GH4" i="6" s="1"/>
  <c r="GW4" i="6" s="1"/>
  <c r="HL4" i="6" s="1"/>
  <c r="AL4" i="6"/>
  <c r="BA4" i="6" s="1"/>
  <c r="BP4" i="6" s="1"/>
  <c r="CE4" i="6" s="1"/>
  <c r="CT4" i="6" s="1"/>
  <c r="DI4" i="6" s="1"/>
  <c r="DX4" i="6" s="1"/>
  <c r="EM4" i="6" s="1"/>
  <c r="FB4" i="6" s="1"/>
  <c r="FQ4" i="6" s="1"/>
  <c r="GF4" i="6" s="1"/>
  <c r="GU4" i="6" s="1"/>
  <c r="HJ4" i="6" s="1"/>
  <c r="AJ4" i="6"/>
  <c r="AY4" i="6" s="1"/>
  <c r="BN4" i="6" s="1"/>
  <c r="CC4" i="6" s="1"/>
  <c r="CR4" i="6" s="1"/>
  <c r="DG4" i="6" s="1"/>
  <c r="DV4" i="6" s="1"/>
  <c r="EK4" i="6" s="1"/>
  <c r="EZ4" i="6" s="1"/>
  <c r="FO4" i="6" s="1"/>
  <c r="GD4" i="6" s="1"/>
  <c r="GS4" i="6" s="1"/>
  <c r="HH4" i="6" s="1"/>
  <c r="BI3" i="6"/>
  <c r="BX3" i="6" s="1"/>
  <c r="CM3" i="6" s="1"/>
  <c r="DB3" i="6" s="1"/>
  <c r="DQ3" i="6" s="1"/>
  <c r="EF3" i="6" s="1"/>
  <c r="EU3" i="6" s="1"/>
  <c r="FJ3" i="6" s="1"/>
  <c r="FY3" i="6" s="1"/>
  <c r="GN3" i="6" s="1"/>
  <c r="HC3" i="6" s="1"/>
  <c r="HR3" i="6" s="1"/>
  <c r="BG3" i="6"/>
  <c r="BV3" i="6" s="1"/>
  <c r="CK3" i="6" s="1"/>
  <c r="CZ3" i="6" s="1"/>
  <c r="DO3" i="6" s="1"/>
  <c r="ED3" i="6" s="1"/>
  <c r="ES3" i="6" s="1"/>
  <c r="FH3" i="6" s="1"/>
  <c r="FW3" i="6" s="1"/>
  <c r="GL3" i="6" s="1"/>
  <c r="HA3" i="6" s="1"/>
  <c r="HP3" i="6" s="1"/>
  <c r="BE3" i="6"/>
  <c r="BT3" i="6" s="1"/>
  <c r="CI3" i="6" s="1"/>
  <c r="CX3" i="6" s="1"/>
  <c r="DM3" i="6" s="1"/>
  <c r="EB3" i="6" s="1"/>
  <c r="EQ3" i="6" s="1"/>
  <c r="FF3" i="6" s="1"/>
  <c r="FU3" i="6" s="1"/>
  <c r="GJ3" i="6" s="1"/>
  <c r="GY3" i="6" s="1"/>
  <c r="HN3" i="6" s="1"/>
  <c r="BC3" i="6"/>
  <c r="BR3" i="6" s="1"/>
  <c r="CG3" i="6" s="1"/>
  <c r="CV3" i="6" s="1"/>
  <c r="DK3" i="6" s="1"/>
  <c r="DZ3" i="6" s="1"/>
  <c r="EO3" i="6" s="1"/>
  <c r="FD3" i="6" s="1"/>
  <c r="FS3" i="6" s="1"/>
  <c r="GH3" i="6" s="1"/>
  <c r="GW3" i="6" s="1"/>
  <c r="HL3" i="6" s="1"/>
  <c r="HL6" i="6" s="1"/>
  <c r="BA3" i="6"/>
  <c r="BP3" i="6" s="1"/>
  <c r="CE3" i="6" s="1"/>
  <c r="CT3" i="6" s="1"/>
  <c r="DI3" i="6" s="1"/>
  <c r="DX3" i="6" s="1"/>
  <c r="EM3" i="6" s="1"/>
  <c r="FB3" i="6" s="1"/>
  <c r="FQ3" i="6" s="1"/>
  <c r="GF3" i="6" s="1"/>
  <c r="GU3" i="6" s="1"/>
  <c r="HJ3" i="6" s="1"/>
  <c r="AY3" i="6"/>
  <c r="J163" i="8" l="1"/>
  <c r="G12" i="8"/>
  <c r="D28" i="8"/>
  <c r="L41" i="8"/>
  <c r="D159" i="8"/>
  <c r="H171" i="8"/>
  <c r="H12" i="8"/>
  <c r="J12" i="8"/>
  <c r="D167" i="8"/>
  <c r="L12" i="8"/>
  <c r="K58" i="8"/>
  <c r="N12" i="8"/>
  <c r="Q12" i="8" s="1"/>
  <c r="L94" i="8"/>
  <c r="L93" i="8" s="1"/>
  <c r="D136" i="8"/>
  <c r="L107" i="8"/>
  <c r="D11" i="8"/>
  <c r="F11" i="8"/>
  <c r="L97" i="8"/>
  <c r="C55" i="8"/>
  <c r="K12" i="8"/>
  <c r="J11" i="8"/>
  <c r="N68" i="8"/>
  <c r="O12" i="8"/>
  <c r="L28" i="8"/>
  <c r="B163" i="8"/>
  <c r="C11" i="8"/>
  <c r="E11" i="8" s="1"/>
  <c r="C6" i="7"/>
  <c r="N11" i="8"/>
  <c r="P12" i="8"/>
  <c r="B97" i="8"/>
  <c r="H146" i="8"/>
  <c r="F12" i="8"/>
  <c r="I12" i="8" s="1"/>
  <c r="O11" i="8"/>
  <c r="O28" i="8"/>
  <c r="K186" i="8"/>
  <c r="P107" i="8"/>
  <c r="J128" i="8"/>
  <c r="H28" i="8"/>
  <c r="H41" i="8"/>
  <c r="G55" i="8"/>
  <c r="G54" i="8" s="1"/>
  <c r="G58" i="8"/>
  <c r="F124" i="8"/>
  <c r="P124" i="8"/>
  <c r="P132" i="8"/>
  <c r="N71" i="8"/>
  <c r="K136" i="8"/>
  <c r="AD110" i="7"/>
  <c r="C150" i="8"/>
  <c r="D132" i="8"/>
  <c r="C154" i="8"/>
  <c r="D146" i="8"/>
  <c r="O146" i="8"/>
  <c r="C6" i="8"/>
  <c r="Y100" i="7"/>
  <c r="AS123" i="7"/>
  <c r="C14" i="8"/>
  <c r="C13" i="8" s="1"/>
  <c r="L171" i="8"/>
  <c r="AX112" i="7"/>
  <c r="K154" i="8"/>
  <c r="O150" i="8"/>
  <c r="O145" i="8" s="1"/>
  <c r="N159" i="8"/>
  <c r="P28" i="8"/>
  <c r="F41" i="8"/>
  <c r="I41" i="8" s="1"/>
  <c r="O58" i="8"/>
  <c r="D68" i="8"/>
  <c r="D71" i="8"/>
  <c r="D81" i="8"/>
  <c r="O81" i="8"/>
  <c r="D84" i="8"/>
  <c r="O84" i="8"/>
  <c r="D94" i="8"/>
  <c r="O94" i="8"/>
  <c r="D107" i="8"/>
  <c r="O107" i="8"/>
  <c r="D110" i="8"/>
  <c r="C132" i="8"/>
  <c r="B140" i="8"/>
  <c r="L146" i="8"/>
  <c r="G150" i="8"/>
  <c r="F159" i="8"/>
  <c r="F167" i="8"/>
  <c r="G81" i="8"/>
  <c r="G84" i="8"/>
  <c r="O119" i="7"/>
  <c r="H68" i="8"/>
  <c r="H81" i="8"/>
  <c r="H94" i="8"/>
  <c r="H107" i="8"/>
  <c r="G132" i="8"/>
  <c r="B136" i="8"/>
  <c r="F140" i="8"/>
  <c r="P146" i="8"/>
  <c r="O154" i="8"/>
  <c r="J159" i="8"/>
  <c r="K132" i="8"/>
  <c r="P6" i="8"/>
  <c r="O132" i="8"/>
  <c r="L186" i="8"/>
  <c r="AI102" i="7"/>
  <c r="AS102" i="7"/>
  <c r="F136" i="8"/>
  <c r="L124" i="8"/>
  <c r="L132" i="8"/>
  <c r="Y107" i="7"/>
  <c r="G14" i="8"/>
  <c r="H124" i="8"/>
  <c r="H132" i="8"/>
  <c r="C136" i="8"/>
  <c r="N136" i="8"/>
  <c r="C17" i="8"/>
  <c r="G154" i="8"/>
  <c r="AS100" i="7"/>
  <c r="Y98" i="7"/>
  <c r="AY98" i="7"/>
  <c r="H6" i="8"/>
  <c r="H14" i="8"/>
  <c r="G28" i="8"/>
  <c r="G41" i="8"/>
  <c r="F55" i="8"/>
  <c r="P68" i="8"/>
  <c r="P84" i="8"/>
  <c r="N124" i="8"/>
  <c r="K146" i="8"/>
  <c r="N167" i="8"/>
  <c r="C146" i="8"/>
  <c r="AI96" i="7"/>
  <c r="L17" i="8"/>
  <c r="K28" i="8"/>
  <c r="K41" i="8"/>
  <c r="AN99" i="7"/>
  <c r="AN109" i="7"/>
  <c r="D6" i="8"/>
  <c r="O6" i="8"/>
  <c r="D14" i="8"/>
  <c r="D13" i="8" s="1"/>
  <c r="O14" i="8"/>
  <c r="D17" i="8"/>
  <c r="O17" i="8"/>
  <c r="C28" i="8"/>
  <c r="C41" i="8"/>
  <c r="N41" i="8"/>
  <c r="B55" i="8"/>
  <c r="B68" i="8"/>
  <c r="L68" i="8"/>
  <c r="D128" i="8"/>
  <c r="J167" i="8"/>
  <c r="T118" i="7"/>
  <c r="C81" i="8"/>
  <c r="G107" i="8"/>
  <c r="H150" i="8"/>
  <c r="O102" i="7"/>
  <c r="ED178" i="1"/>
  <c r="EE177" i="1"/>
  <c r="BE5" i="6"/>
  <c r="BT5" i="6" s="1"/>
  <c r="CI5" i="6" s="1"/>
  <c r="CX5" i="6" s="1"/>
  <c r="DM5" i="6" s="1"/>
  <c r="EB5" i="6" s="1"/>
  <c r="EQ5" i="6" s="1"/>
  <c r="FF5" i="6" s="1"/>
  <c r="FU5" i="6" s="1"/>
  <c r="GJ5" i="6" s="1"/>
  <c r="GY5" i="6" s="1"/>
  <c r="HN5" i="6" s="1"/>
  <c r="L13" i="6"/>
  <c r="L42" i="6" s="1"/>
  <c r="H15" i="6"/>
  <c r="H44" i="6" s="1"/>
  <c r="K62" i="6"/>
  <c r="CH62" i="6"/>
  <c r="HQ62" i="6"/>
  <c r="DJ62" i="6"/>
  <c r="DR62" i="6"/>
  <c r="BH62" i="6"/>
  <c r="N12" i="6"/>
  <c r="N43" i="6" s="1"/>
  <c r="CJ62" i="6"/>
  <c r="ER62" i="6"/>
  <c r="GZ62" i="6"/>
  <c r="G62" i="6"/>
  <c r="O62" i="6"/>
  <c r="GM62" i="6"/>
  <c r="HM62" i="6"/>
  <c r="BF62" i="6"/>
  <c r="HK62" i="6"/>
  <c r="AV59" i="6"/>
  <c r="BZ59" i="6"/>
  <c r="CO59" i="6"/>
  <c r="DD59" i="6"/>
  <c r="DS59" i="6"/>
  <c r="FL59" i="6"/>
  <c r="GA59" i="6"/>
  <c r="BQ62" i="6"/>
  <c r="DN62" i="6"/>
  <c r="EG62" i="6"/>
  <c r="EP62" i="6"/>
  <c r="BB62" i="6"/>
  <c r="BU62" i="6"/>
  <c r="EC62" i="6"/>
  <c r="EV62" i="6"/>
  <c r="FR62" i="6"/>
  <c r="CL62" i="6"/>
  <c r="AN103" i="7"/>
  <c r="P94" i="8"/>
  <c r="P186" i="8"/>
  <c r="F95" i="7"/>
  <c r="J95" i="7"/>
  <c r="G116" i="7"/>
  <c r="K116" i="7"/>
  <c r="I104" i="7"/>
  <c r="BC126" i="7"/>
  <c r="BG126" i="7"/>
  <c r="BK126" i="7"/>
  <c r="D127" i="7"/>
  <c r="H127" i="7"/>
  <c r="AZ118" i="7"/>
  <c r="BC98" i="7"/>
  <c r="BG98" i="7"/>
  <c r="BK98" i="7"/>
  <c r="BC110" i="7"/>
  <c r="BG110" i="7"/>
  <c r="BK110" i="7"/>
  <c r="BB112" i="7"/>
  <c r="BB125" i="7"/>
  <c r="BF125" i="7"/>
  <c r="BJ125" i="7"/>
  <c r="AE109" i="7"/>
  <c r="AC107" i="7"/>
  <c r="D123" i="7"/>
  <c r="H123" i="7"/>
  <c r="AZ123" i="7"/>
  <c r="BD123" i="7"/>
  <c r="BH123" i="7"/>
  <c r="BL123" i="7"/>
  <c r="E107" i="7"/>
  <c r="BA107" i="7"/>
  <c r="BE107" i="7"/>
  <c r="F108" i="7"/>
  <c r="J108" i="7"/>
  <c r="F109" i="7"/>
  <c r="J109" i="7"/>
  <c r="AZ109" i="7"/>
  <c r="BD109" i="7"/>
  <c r="BH109" i="7"/>
  <c r="BL109" i="7"/>
  <c r="Q98" i="8"/>
  <c r="IB24" i="6"/>
  <c r="O11" i="7"/>
  <c r="O14" i="7" s="1"/>
  <c r="O15" i="7" s="1"/>
  <c r="W11" i="7"/>
  <c r="W14" i="7" s="1"/>
  <c r="W15" i="7" s="1"/>
  <c r="AE11" i="7"/>
  <c r="AE14" i="7" s="1"/>
  <c r="AE20" i="7" s="1"/>
  <c r="AM11" i="7"/>
  <c r="AM14" i="7" s="1"/>
  <c r="AM15" i="7" s="1"/>
  <c r="AU11" i="7"/>
  <c r="AU14" i="7" s="1"/>
  <c r="AU15" i="7" s="1"/>
  <c r="BC11" i="7"/>
  <c r="BC14" i="7" s="1"/>
  <c r="BC15" i="7" s="1"/>
  <c r="BK11" i="7"/>
  <c r="BK14" i="7" s="1"/>
  <c r="BK20" i="7" s="1"/>
  <c r="Q100" i="8"/>
  <c r="J113" i="7"/>
  <c r="AZ119" i="7"/>
  <c r="BD119" i="7"/>
  <c r="BH119" i="7"/>
  <c r="BL119" i="7"/>
  <c r="D99" i="7"/>
  <c r="H99" i="7"/>
  <c r="M39" i="8"/>
  <c r="E156" i="8"/>
  <c r="AA110" i="7"/>
  <c r="X109" i="7"/>
  <c r="BF107" i="7"/>
  <c r="BJ82" i="7"/>
  <c r="F110" i="7"/>
  <c r="J110" i="7"/>
  <c r="Z110" i="7"/>
  <c r="BC112" i="7"/>
  <c r="BG112" i="7"/>
  <c r="BK112" i="7"/>
  <c r="AZ111" i="7"/>
  <c r="BH111" i="7"/>
  <c r="BL111" i="7"/>
  <c r="I125" i="7"/>
  <c r="BC125" i="7"/>
  <c r="BG125" i="7"/>
  <c r="BK125" i="7"/>
  <c r="Q115" i="8"/>
  <c r="E129" i="8"/>
  <c r="E131" i="8"/>
  <c r="Q169" i="8"/>
  <c r="I172" i="8"/>
  <c r="I181" i="8"/>
  <c r="K110" i="7"/>
  <c r="M102" i="7"/>
  <c r="AG102" i="7"/>
  <c r="M112" i="7"/>
  <c r="E37" i="8"/>
  <c r="E39" i="8"/>
  <c r="I152" i="8"/>
  <c r="Y11" i="7"/>
  <c r="Y14" i="7" s="1"/>
  <c r="Y15" i="7" s="1"/>
  <c r="AO11" i="7"/>
  <c r="AO14" i="7" s="1"/>
  <c r="AO20" i="7" s="1"/>
  <c r="AO144" i="7" s="1"/>
  <c r="AO146" i="7" s="1"/>
  <c r="BF110" i="7"/>
  <c r="BB111" i="7"/>
  <c r="BF111" i="7"/>
  <c r="BJ111" i="7"/>
  <c r="G125" i="7"/>
  <c r="K125" i="7"/>
  <c r="AI125" i="7"/>
  <c r="R5" i="6"/>
  <c r="IA5" i="6" s="1"/>
  <c r="IA7" i="6" s="1"/>
  <c r="I74" i="8"/>
  <c r="I76" i="8"/>
  <c r="Q113" i="8"/>
  <c r="AR118" i="7"/>
  <c r="BF112" i="7"/>
  <c r="BJ112" i="7"/>
  <c r="I39" i="8"/>
  <c r="E89" i="8"/>
  <c r="E90" i="8"/>
  <c r="E91" i="8"/>
  <c r="E92" i="8"/>
  <c r="M113" i="8"/>
  <c r="M115" i="8"/>
  <c r="AR5" i="6"/>
  <c r="BG5" i="6" s="1"/>
  <c r="BV5" i="6" s="1"/>
  <c r="CK5" i="6" s="1"/>
  <c r="CZ5" i="6" s="1"/>
  <c r="DO5" i="6" s="1"/>
  <c r="ED5" i="6" s="1"/>
  <c r="ES5" i="6" s="1"/>
  <c r="FH5" i="6" s="1"/>
  <c r="FW5" i="6" s="1"/>
  <c r="GL5" i="6" s="1"/>
  <c r="HA5" i="6" s="1"/>
  <c r="HP5" i="6" s="1"/>
  <c r="R100" i="7"/>
  <c r="AL100" i="7"/>
  <c r="BF101" i="7"/>
  <c r="H109" i="7"/>
  <c r="P109" i="7"/>
  <c r="M45" i="8"/>
  <c r="Q74" i="8"/>
  <c r="Q76" i="8"/>
  <c r="Q90" i="8"/>
  <c r="Q92" i="8"/>
  <c r="BC116" i="7"/>
  <c r="BG116" i="7"/>
  <c r="BK116" i="7"/>
  <c r="D118" i="7"/>
  <c r="H118" i="7"/>
  <c r="S118" i="7"/>
  <c r="BA98" i="7"/>
  <c r="BE98" i="7"/>
  <c r="BI98" i="7"/>
  <c r="E82" i="7"/>
  <c r="I82" i="7"/>
  <c r="M82" i="7"/>
  <c r="Q82" i="7"/>
  <c r="U82" i="7"/>
  <c r="Y82" i="7"/>
  <c r="AC82" i="7"/>
  <c r="AG82" i="7"/>
  <c r="AK82" i="7"/>
  <c r="AO82" i="7"/>
  <c r="BC82" i="7"/>
  <c r="BG82" i="7"/>
  <c r="BK82" i="7"/>
  <c r="Q39" i="8"/>
  <c r="I43" i="8"/>
  <c r="AZ16" i="6"/>
  <c r="AZ53" i="6" s="1"/>
  <c r="AZ62" i="6" s="1"/>
  <c r="I21" i="8"/>
  <c r="I25" i="8"/>
  <c r="E36" i="8"/>
  <c r="E170" i="8"/>
  <c r="E57" i="7"/>
  <c r="AR99" i="7"/>
  <c r="W106" i="7"/>
  <c r="AW98" i="7"/>
  <c r="E89" i="7"/>
  <c r="I89" i="7"/>
  <c r="M89" i="7"/>
  <c r="Q89" i="7"/>
  <c r="U89" i="7"/>
  <c r="Y89" i="7"/>
  <c r="AC89" i="7"/>
  <c r="AG89" i="7"/>
  <c r="AK89" i="7"/>
  <c r="M19" i="8"/>
  <c r="E21" i="8"/>
  <c r="Q22" i="8"/>
  <c r="M23" i="8"/>
  <c r="E25" i="8"/>
  <c r="Q36" i="8"/>
  <c r="M37" i="8"/>
  <c r="I38" i="8"/>
  <c r="E57" i="8"/>
  <c r="M60" i="8"/>
  <c r="M64" i="8"/>
  <c r="M98" i="8"/>
  <c r="P97" i="8"/>
  <c r="M100" i="8"/>
  <c r="M102" i="8"/>
  <c r="M104" i="8"/>
  <c r="BE11" i="7"/>
  <c r="BE14" i="7" s="1"/>
  <c r="BE20" i="7" s="1"/>
  <c r="BE144" i="7" s="1"/>
  <c r="BE146" i="7" s="1"/>
  <c r="H108" i="7"/>
  <c r="P108" i="7"/>
  <c r="BD108" i="7"/>
  <c r="BL108" i="7"/>
  <c r="I10" i="8"/>
  <c r="M90" i="8"/>
  <c r="M92" i="8"/>
  <c r="I98" i="8"/>
  <c r="I100" i="8"/>
  <c r="Q149" i="8"/>
  <c r="E180" i="8"/>
  <c r="D95" i="7"/>
  <c r="H95" i="7"/>
  <c r="AU48" i="7"/>
  <c r="BC48" i="7"/>
  <c r="BK48" i="7"/>
  <c r="AK116" i="7"/>
  <c r="BA116" i="7"/>
  <c r="BE116" i="7"/>
  <c r="BI116" i="7"/>
  <c r="D102" i="7"/>
  <c r="L102" i="7"/>
  <c r="BC103" i="7"/>
  <c r="BG103" i="7"/>
  <c r="BK103" i="7"/>
  <c r="F82" i="7"/>
  <c r="J82" i="7"/>
  <c r="N82" i="7"/>
  <c r="R82" i="7"/>
  <c r="V82" i="7"/>
  <c r="Z82" i="7"/>
  <c r="AD82" i="7"/>
  <c r="AH82" i="7"/>
  <c r="AL82" i="7"/>
  <c r="AP82" i="7"/>
  <c r="AU82" i="7"/>
  <c r="S109" i="7"/>
  <c r="M9" i="8"/>
  <c r="E16" i="8"/>
  <c r="Q73" i="8"/>
  <c r="I90" i="8"/>
  <c r="I92" i="8"/>
  <c r="E98" i="8"/>
  <c r="E100" i="8"/>
  <c r="E102" i="8"/>
  <c r="E104" i="8"/>
  <c r="M129" i="8"/>
  <c r="M131" i="8"/>
  <c r="M162" i="8"/>
  <c r="R144" i="8"/>
  <c r="P14" i="8"/>
  <c r="N128" i="8"/>
  <c r="E11" i="7"/>
  <c r="E14" i="7" s="1"/>
  <c r="E15" i="7" s="1"/>
  <c r="I11" i="7"/>
  <c r="I14" i="7" s="1"/>
  <c r="Q11" i="7"/>
  <c r="Q14" i="7" s="1"/>
  <c r="Q20" i="7" s="1"/>
  <c r="Q144" i="7" s="1"/>
  <c r="Q146" i="7" s="1"/>
  <c r="U11" i="7"/>
  <c r="U14" i="7" s="1"/>
  <c r="U20" i="7" s="1"/>
  <c r="AC11" i="7"/>
  <c r="AC14" i="7" s="1"/>
  <c r="AC20" i="7" s="1"/>
  <c r="AG11" i="7"/>
  <c r="AG14" i="7" s="1"/>
  <c r="AG20" i="7" s="1"/>
  <c r="AK11" i="7"/>
  <c r="AK14" i="7" s="1"/>
  <c r="AK15" i="7" s="1"/>
  <c r="AW11" i="7"/>
  <c r="AW14" i="7" s="1"/>
  <c r="AW20" i="7" s="1"/>
  <c r="AW144" i="7" s="1"/>
  <c r="AW146" i="7" s="1"/>
  <c r="BA11" i="7"/>
  <c r="BA14" i="7" s="1"/>
  <c r="BA20" i="7" s="1"/>
  <c r="BI11" i="7"/>
  <c r="BI14" i="7" s="1"/>
  <c r="BI20" i="7" s="1"/>
  <c r="S11" i="7"/>
  <c r="S14" i="7" s="1"/>
  <c r="S15" i="7" s="1"/>
  <c r="AI11" i="7"/>
  <c r="AI14" i="7" s="1"/>
  <c r="AI20" i="7" s="1"/>
  <c r="AY11" i="7"/>
  <c r="AY14" i="7" s="1"/>
  <c r="AY15" i="7" s="1"/>
  <c r="AY40" i="7"/>
  <c r="P48" i="7"/>
  <c r="G119" i="7"/>
  <c r="K119" i="7"/>
  <c r="AL119" i="7"/>
  <c r="AZ99" i="7"/>
  <c r="BD99" i="7"/>
  <c r="BH99" i="7"/>
  <c r="BL99" i="7"/>
  <c r="E100" i="7"/>
  <c r="I100" i="7"/>
  <c r="U100" i="7"/>
  <c r="AO100" i="7"/>
  <c r="BA100" i="7"/>
  <c r="BE100" i="7"/>
  <c r="F101" i="7"/>
  <c r="J101" i="7"/>
  <c r="AZ102" i="7"/>
  <c r="BL102" i="7"/>
  <c r="AM121" i="7"/>
  <c r="E96" i="7"/>
  <c r="I96" i="7"/>
  <c r="S96" i="7"/>
  <c r="I113" i="8"/>
  <c r="I115" i="8"/>
  <c r="L163" i="8"/>
  <c r="E40" i="7"/>
  <c r="H128" i="8"/>
  <c r="Y10" i="6"/>
  <c r="AN10" i="6" s="1"/>
  <c r="AN15" i="6" s="1"/>
  <c r="AN44" i="6" s="1"/>
  <c r="F11" i="7"/>
  <c r="F14" i="7" s="1"/>
  <c r="F15" i="7" s="1"/>
  <c r="J11" i="7"/>
  <c r="J14" i="7" s="1"/>
  <c r="J20" i="7" s="1"/>
  <c r="V11" i="7"/>
  <c r="V14" i="7" s="1"/>
  <c r="V20" i="7" s="1"/>
  <c r="Z11" i="7"/>
  <c r="Z14" i="7" s="1"/>
  <c r="Z20" i="7" s="1"/>
  <c r="AD11" i="7"/>
  <c r="AD14" i="7" s="1"/>
  <c r="AD20" i="7" s="1"/>
  <c r="BB11" i="7"/>
  <c r="BB14" i="7" s="1"/>
  <c r="BB20" i="7" s="1"/>
  <c r="BF11" i="7"/>
  <c r="BF14" i="7" s="1"/>
  <c r="BF15" i="7" s="1"/>
  <c r="BJ11" i="7"/>
  <c r="BJ14" i="7" s="1"/>
  <c r="T11" i="7"/>
  <c r="T14" i="7" s="1"/>
  <c r="T20" i="7" s="1"/>
  <c r="AJ11" i="7"/>
  <c r="AJ14" i="7" s="1"/>
  <c r="AJ15" i="7" s="1"/>
  <c r="AZ11" i="7"/>
  <c r="AZ14" i="7" s="1"/>
  <c r="AZ15" i="7" s="1"/>
  <c r="AW48" i="7"/>
  <c r="BA48" i="7"/>
  <c r="BE48" i="7"/>
  <c r="BI48" i="7"/>
  <c r="AJ48" i="7"/>
  <c r="AC101" i="7"/>
  <c r="AD101" i="7"/>
  <c r="AB102" i="7"/>
  <c r="AT80" i="7"/>
  <c r="AT82" i="7" s="1"/>
  <c r="AS82" i="7"/>
  <c r="E113" i="8"/>
  <c r="E115" i="8"/>
  <c r="K14" i="8"/>
  <c r="BA95" i="7"/>
  <c r="BE95" i="7"/>
  <c r="BI95" i="7"/>
  <c r="AM119" i="7"/>
  <c r="M57" i="7"/>
  <c r="AC57" i="7"/>
  <c r="AK57" i="7"/>
  <c r="S99" i="7"/>
  <c r="T99" i="7"/>
  <c r="F100" i="7"/>
  <c r="V100" i="7"/>
  <c r="AP100" i="7"/>
  <c r="BB100" i="7"/>
  <c r="BJ100" i="7"/>
  <c r="AH101" i="7"/>
  <c r="BA101" i="7"/>
  <c r="BE101" i="7"/>
  <c r="BI101" i="7"/>
  <c r="F102" i="7"/>
  <c r="J102" i="7"/>
  <c r="BC102" i="7"/>
  <c r="BG102" i="7"/>
  <c r="BK102" i="7"/>
  <c r="D103" i="7"/>
  <c r="H103" i="7"/>
  <c r="P103" i="7"/>
  <c r="AW96" i="7"/>
  <c r="G68" i="7"/>
  <c r="O41" i="8"/>
  <c r="BA96" i="7"/>
  <c r="BE96" i="7"/>
  <c r="BI96" i="7"/>
  <c r="D104" i="7"/>
  <c r="H104" i="7"/>
  <c r="AZ104" i="7"/>
  <c r="BD104" i="7"/>
  <c r="BH104" i="7"/>
  <c r="BL104" i="7"/>
  <c r="E106" i="7"/>
  <c r="I106" i="7"/>
  <c r="BA106" i="7"/>
  <c r="BE106" i="7"/>
  <c r="BD118" i="7"/>
  <c r="BH118" i="7"/>
  <c r="BL118" i="7"/>
  <c r="E98" i="7"/>
  <c r="I98" i="7"/>
  <c r="Q98" i="7"/>
  <c r="X98" i="7"/>
  <c r="AH112" i="7"/>
  <c r="G109" i="7"/>
  <c r="K109" i="7"/>
  <c r="M4" i="8"/>
  <c r="E10" i="8"/>
  <c r="L14" i="8"/>
  <c r="I20" i="8"/>
  <c r="P17" i="8"/>
  <c r="I24" i="8"/>
  <c r="E35" i="8"/>
  <c r="I42" i="8"/>
  <c r="I49" i="8"/>
  <c r="Q50" i="8"/>
  <c r="E56" i="8"/>
  <c r="I60" i="8"/>
  <c r="I64" i="8"/>
  <c r="E74" i="8"/>
  <c r="E76" i="8"/>
  <c r="E78" i="8"/>
  <c r="Q79" i="8"/>
  <c r="E88" i="8"/>
  <c r="I114" i="8"/>
  <c r="I116" i="8"/>
  <c r="M117" i="8"/>
  <c r="M127" i="8"/>
  <c r="Q129" i="8"/>
  <c r="Q131" i="8"/>
  <c r="E152" i="8"/>
  <c r="Q156" i="8"/>
  <c r="I162" i="8"/>
  <c r="Q164" i="8"/>
  <c r="H163" i="8"/>
  <c r="N163" i="8"/>
  <c r="E166" i="8"/>
  <c r="M170" i="8"/>
  <c r="I174" i="8"/>
  <c r="E181" i="8"/>
  <c r="I183" i="8"/>
  <c r="I185" i="8"/>
  <c r="C82" i="7"/>
  <c r="G82" i="7"/>
  <c r="K82" i="7"/>
  <c r="O82" i="7"/>
  <c r="S82" i="7"/>
  <c r="W82" i="7"/>
  <c r="AA82" i="7"/>
  <c r="AE82" i="7"/>
  <c r="AI82" i="7"/>
  <c r="AM82" i="7"/>
  <c r="AQ82" i="7"/>
  <c r="AF109" i="7"/>
  <c r="I5" i="8"/>
  <c r="I9" i="8"/>
  <c r="Q16" i="8"/>
  <c r="E20" i="8"/>
  <c r="E24" i="8"/>
  <c r="I32" i="8"/>
  <c r="Q35" i="8"/>
  <c r="E42" i="8"/>
  <c r="E45" i="8"/>
  <c r="E47" i="8"/>
  <c r="E48" i="8"/>
  <c r="E49" i="8"/>
  <c r="M50" i="8"/>
  <c r="E52" i="8"/>
  <c r="I57" i="8"/>
  <c r="E60" i="8"/>
  <c r="M61" i="8"/>
  <c r="E62" i="8"/>
  <c r="E63" i="8"/>
  <c r="E64" i="8"/>
  <c r="M65" i="8"/>
  <c r="E82" i="8"/>
  <c r="L81" i="8"/>
  <c r="I101" i="8"/>
  <c r="P128" i="8"/>
  <c r="M157" i="8"/>
  <c r="Q181" i="8"/>
  <c r="Q184" i="8"/>
  <c r="AR104" i="7"/>
  <c r="K106" i="7"/>
  <c r="V106" i="7"/>
  <c r="BG106" i="7"/>
  <c r="BB108" i="7"/>
  <c r="BF108" i="7"/>
  <c r="BJ108" i="7"/>
  <c r="G126" i="7"/>
  <c r="K126" i="7"/>
  <c r="AZ127" i="7"/>
  <c r="G98" i="7"/>
  <c r="K98" i="7"/>
  <c r="AW82" i="7"/>
  <c r="X89" i="7"/>
  <c r="F112" i="7"/>
  <c r="J112" i="7"/>
  <c r="AZ112" i="7"/>
  <c r="E5" i="8"/>
  <c r="L6" i="8"/>
  <c r="M15" i="8"/>
  <c r="H17" i="8"/>
  <c r="M30" i="8"/>
  <c r="E32" i="8"/>
  <c r="Q33" i="8"/>
  <c r="Q47" i="8"/>
  <c r="Q48" i="8"/>
  <c r="Q49" i="8"/>
  <c r="J55" i="8"/>
  <c r="O55" i="8"/>
  <c r="Q60" i="8"/>
  <c r="Q64" i="8"/>
  <c r="M74" i="8"/>
  <c r="M76" i="8"/>
  <c r="M88" i="8"/>
  <c r="I91" i="8"/>
  <c r="E117" i="8"/>
  <c r="Q126" i="8"/>
  <c r="E127" i="8"/>
  <c r="I129" i="8"/>
  <c r="L128" i="8"/>
  <c r="I131" i="8"/>
  <c r="E139" i="8"/>
  <c r="P163" i="8"/>
  <c r="M166" i="8"/>
  <c r="M172" i="8"/>
  <c r="Q174" i="8"/>
  <c r="M181" i="8"/>
  <c r="Q183" i="8"/>
  <c r="Q185" i="8"/>
  <c r="U16" i="6"/>
  <c r="U46" i="6" s="1"/>
  <c r="U13" i="6"/>
  <c r="U42" i="6" s="1"/>
  <c r="AJ10" i="6"/>
  <c r="AJ16" i="6" s="1"/>
  <c r="AJ46" i="6" s="1"/>
  <c r="U39" i="6"/>
  <c r="AC12" i="6"/>
  <c r="AC43" i="6" s="1"/>
  <c r="AR10" i="6"/>
  <c r="BG10" i="6" s="1"/>
  <c r="BG15" i="6" s="1"/>
  <c r="BG44" i="6" s="1"/>
  <c r="AC39" i="6"/>
  <c r="AC14" i="6"/>
  <c r="AC45" i="6" s="1"/>
  <c r="N103" i="7"/>
  <c r="O103" i="7"/>
  <c r="L103" i="7"/>
  <c r="B186" i="8"/>
  <c r="AG6" i="6"/>
  <c r="IB6" i="6" s="1"/>
  <c r="IB26" i="6"/>
  <c r="C11" i="7"/>
  <c r="C14" i="7" s="1"/>
  <c r="G11" i="7"/>
  <c r="G14" i="7" s="1"/>
  <c r="G15" i="7" s="1"/>
  <c r="K11" i="7"/>
  <c r="K14" i="7" s="1"/>
  <c r="K15" i="7" s="1"/>
  <c r="AA11" i="7"/>
  <c r="AA14" i="7" s="1"/>
  <c r="AA15" i="7" s="1"/>
  <c r="BG11" i="7"/>
  <c r="BG14" i="7" s="1"/>
  <c r="K40" i="7"/>
  <c r="BE40" i="7"/>
  <c r="E115" i="7"/>
  <c r="I115" i="7"/>
  <c r="BL95" i="7"/>
  <c r="D48" i="7"/>
  <c r="H48" i="7"/>
  <c r="L48" i="7"/>
  <c r="X48" i="7"/>
  <c r="AB48" i="7"/>
  <c r="AF48" i="7"/>
  <c r="AN48" i="7"/>
  <c r="AW116" i="7"/>
  <c r="AS116" i="7"/>
  <c r="AA105" i="7"/>
  <c r="BH105" i="7"/>
  <c r="F96" i="7"/>
  <c r="AY82" i="7"/>
  <c r="E172" i="8"/>
  <c r="B171" i="8"/>
  <c r="HZ7" i="6"/>
  <c r="D11" i="7"/>
  <c r="D14" i="7" s="1"/>
  <c r="H11" i="7"/>
  <c r="H14" i="7" s="1"/>
  <c r="H15" i="7" s="1"/>
  <c r="P11" i="7"/>
  <c r="P14" i="7" s="1"/>
  <c r="P15" i="7" s="1"/>
  <c r="X11" i="7"/>
  <c r="X14" i="7" s="1"/>
  <c r="X15" i="7" s="1"/>
  <c r="AB11" i="7"/>
  <c r="AB14" i="7" s="1"/>
  <c r="AB20" i="7" s="1"/>
  <c r="AF11" i="7"/>
  <c r="AF14" i="7" s="1"/>
  <c r="AF15" i="7" s="1"/>
  <c r="AV11" i="7"/>
  <c r="AV14" i="7" s="1"/>
  <c r="AV20" i="7" s="1"/>
  <c r="BD11" i="7"/>
  <c r="BD14" i="7" s="1"/>
  <c r="BD20" i="7" s="1"/>
  <c r="BH11" i="7"/>
  <c r="BH14" i="7" s="1"/>
  <c r="BL11" i="7"/>
  <c r="BL14" i="7" s="1"/>
  <c r="BL15" i="7" s="1"/>
  <c r="U40" i="7"/>
  <c r="BG40" i="7"/>
  <c r="E48" i="7"/>
  <c r="I48" i="7"/>
  <c r="M48" i="7"/>
  <c r="Q48" i="7"/>
  <c r="U48" i="7"/>
  <c r="Y48" i="7"/>
  <c r="AC48" i="7"/>
  <c r="AG48" i="7"/>
  <c r="AK48" i="7"/>
  <c r="AO48" i="7"/>
  <c r="AS48" i="7"/>
  <c r="AZ48" i="7"/>
  <c r="BH48" i="7"/>
  <c r="F117" i="7"/>
  <c r="J117" i="7"/>
  <c r="AR48" i="7"/>
  <c r="BB117" i="7"/>
  <c r="BF117" i="7"/>
  <c r="BJ117" i="7"/>
  <c r="N119" i="7"/>
  <c r="BC119" i="7"/>
  <c r="BG119" i="7"/>
  <c r="AS57" i="7"/>
  <c r="AC96" i="7"/>
  <c r="AD96" i="7"/>
  <c r="X121" i="7"/>
  <c r="AX96" i="7"/>
  <c r="BC5" i="6"/>
  <c r="BR5" i="6" s="1"/>
  <c r="CG5" i="6" s="1"/>
  <c r="CV5" i="6" s="1"/>
  <c r="DK5" i="6" s="1"/>
  <c r="DZ5" i="6" s="1"/>
  <c r="EO5" i="6" s="1"/>
  <c r="FD5" i="6" s="1"/>
  <c r="FS5" i="6" s="1"/>
  <c r="GH5" i="6" s="1"/>
  <c r="GW5" i="6" s="1"/>
  <c r="HL5" i="6" s="1"/>
  <c r="AJ5" i="6"/>
  <c r="AY5" i="6" s="1"/>
  <c r="C40" i="7"/>
  <c r="AI40" i="7"/>
  <c r="G115" i="7"/>
  <c r="BB95" i="7"/>
  <c r="BF95" i="7"/>
  <c r="BJ95" i="7"/>
  <c r="H116" i="7"/>
  <c r="BD116" i="7"/>
  <c r="BL116" i="7"/>
  <c r="T48" i="7"/>
  <c r="D119" i="7"/>
  <c r="H119" i="7"/>
  <c r="AX107" i="7"/>
  <c r="AW107" i="7"/>
  <c r="AI98" i="7"/>
  <c r="AC98" i="7"/>
  <c r="BA82" i="7"/>
  <c r="BE82" i="7"/>
  <c r="C57" i="7"/>
  <c r="H105" i="7"/>
  <c r="O105" i="7"/>
  <c r="L105" i="7"/>
  <c r="O57" i="7"/>
  <c r="S57" i="7"/>
  <c r="W57" i="7"/>
  <c r="AA57" i="7"/>
  <c r="AE57" i="7"/>
  <c r="AI105" i="7"/>
  <c r="AI57" i="7"/>
  <c r="AM57" i="7"/>
  <c r="AQ57" i="7"/>
  <c r="BB105" i="7"/>
  <c r="BJ105" i="7"/>
  <c r="N57" i="7"/>
  <c r="R57" i="7"/>
  <c r="V57" i="7"/>
  <c r="AD57" i="7"/>
  <c r="AH57" i="7"/>
  <c r="AL57" i="7"/>
  <c r="AP57" i="7"/>
  <c r="D100" i="7"/>
  <c r="H100" i="7"/>
  <c r="S100" i="7"/>
  <c r="W100" i="7"/>
  <c r="AM100" i="7"/>
  <c r="AQ100" i="7"/>
  <c r="AZ100" i="7"/>
  <c r="BD100" i="7"/>
  <c r="BH100" i="7"/>
  <c r="BL100" i="7"/>
  <c r="E101" i="7"/>
  <c r="I101" i="7"/>
  <c r="BB101" i="7"/>
  <c r="BJ101" i="7"/>
  <c r="G102" i="7"/>
  <c r="K102" i="7"/>
  <c r="AE102" i="7"/>
  <c r="AC102" i="7"/>
  <c r="E103" i="7"/>
  <c r="I103" i="7"/>
  <c r="AZ103" i="7"/>
  <c r="BD103" i="7"/>
  <c r="BH103" i="7"/>
  <c r="BL103" i="7"/>
  <c r="W96" i="7"/>
  <c r="AA96" i="7"/>
  <c r="AQ96" i="7"/>
  <c r="AU96" i="7"/>
  <c r="BG96" i="7"/>
  <c r="E104" i="7"/>
  <c r="Q104" i="7"/>
  <c r="AO104" i="7"/>
  <c r="BA104" i="7"/>
  <c r="BE104" i="7"/>
  <c r="BI104" i="7"/>
  <c r="AH107" i="7"/>
  <c r="D108" i="7"/>
  <c r="L108" i="7"/>
  <c r="BC108" i="7"/>
  <c r="BG108" i="7"/>
  <c r="BK108" i="7"/>
  <c r="AM68" i="7"/>
  <c r="D126" i="7"/>
  <c r="H126" i="7"/>
  <c r="AZ126" i="7"/>
  <c r="BD126" i="7"/>
  <c r="BH126" i="7"/>
  <c r="BL126" i="7"/>
  <c r="E127" i="7"/>
  <c r="I127" i="7"/>
  <c r="AM99" i="7"/>
  <c r="AN104" i="7"/>
  <c r="G44" i="8"/>
  <c r="BC105" i="7"/>
  <c r="BK105" i="7"/>
  <c r="P99" i="7"/>
  <c r="O99" i="7"/>
  <c r="AJ99" i="7"/>
  <c r="AI99" i="7"/>
  <c r="AF99" i="7"/>
  <c r="BI100" i="7"/>
  <c r="Z101" i="7"/>
  <c r="Y101" i="7"/>
  <c r="AS101" i="7"/>
  <c r="AP101" i="7"/>
  <c r="BH102" i="7"/>
  <c r="BI102" i="7"/>
  <c r="D121" i="7"/>
  <c r="H121" i="7"/>
  <c r="K68" i="7"/>
  <c r="S68" i="7"/>
  <c r="AA68" i="7"/>
  <c r="AI68" i="7"/>
  <c r="AQ68" i="7"/>
  <c r="AN121" i="7"/>
  <c r="Y104" i="7"/>
  <c r="X104" i="7"/>
  <c r="AR105" i="7"/>
  <c r="AL106" i="7"/>
  <c r="D113" i="7"/>
  <c r="H113" i="7"/>
  <c r="W68" i="7"/>
  <c r="I107" i="7"/>
  <c r="BI107" i="7"/>
  <c r="M108" i="7"/>
  <c r="AQ118" i="7"/>
  <c r="AB98" i="7"/>
  <c r="AR98" i="7"/>
  <c r="BI82" i="7"/>
  <c r="C147" i="7"/>
  <c r="C149" i="7" s="1"/>
  <c r="BD89" i="7"/>
  <c r="AS98" i="7"/>
  <c r="Q5" i="8"/>
  <c r="E9" i="8"/>
  <c r="M16" i="8"/>
  <c r="Q20" i="8"/>
  <c r="Q24" i="8"/>
  <c r="J31" i="8"/>
  <c r="M35" i="8"/>
  <c r="BK119" i="7"/>
  <c r="F105" i="7"/>
  <c r="J105" i="7"/>
  <c r="Q57" i="7"/>
  <c r="Y57" i="7"/>
  <c r="AG57" i="7"/>
  <c r="AF102" i="7"/>
  <c r="AK102" i="7"/>
  <c r="BB102" i="7"/>
  <c r="BF102" i="7"/>
  <c r="BJ102" i="7"/>
  <c r="G103" i="7"/>
  <c r="K103" i="7"/>
  <c r="I121" i="7"/>
  <c r="J96" i="7"/>
  <c r="Y96" i="7"/>
  <c r="V96" i="7"/>
  <c r="AS96" i="7"/>
  <c r="AT96" i="7"/>
  <c r="AP96" i="7"/>
  <c r="BB96" i="7"/>
  <c r="BF96" i="7"/>
  <c r="BJ96" i="7"/>
  <c r="G104" i="7"/>
  <c r="K104" i="7"/>
  <c r="BC104" i="7"/>
  <c r="BG104" i="7"/>
  <c r="BK104" i="7"/>
  <c r="K105" i="7"/>
  <c r="BG105" i="7"/>
  <c r="D106" i="7"/>
  <c r="H106" i="7"/>
  <c r="AM106" i="7"/>
  <c r="AZ106" i="7"/>
  <c r="BD106" i="7"/>
  <c r="BH106" i="7"/>
  <c r="BL106" i="7"/>
  <c r="E123" i="7"/>
  <c r="I123" i="7"/>
  <c r="BA123" i="7"/>
  <c r="BE123" i="7"/>
  <c r="BI123" i="7"/>
  <c r="F107" i="7"/>
  <c r="J107" i="7"/>
  <c r="AP107" i="7"/>
  <c r="BB107" i="7"/>
  <c r="BJ107" i="7"/>
  <c r="G108" i="7"/>
  <c r="K108" i="7"/>
  <c r="AZ108" i="7"/>
  <c r="F126" i="7"/>
  <c r="BB126" i="7"/>
  <c r="K127" i="7"/>
  <c r="E118" i="7"/>
  <c r="I118" i="7"/>
  <c r="F98" i="7"/>
  <c r="J98" i="7"/>
  <c r="BB98" i="7"/>
  <c r="BF98" i="7"/>
  <c r="BJ98" i="7"/>
  <c r="AX82" i="7"/>
  <c r="BB82" i="7"/>
  <c r="BF82" i="7"/>
  <c r="Z96" i="7"/>
  <c r="L99" i="7"/>
  <c r="V101" i="7"/>
  <c r="AM103" i="7"/>
  <c r="Z107" i="7"/>
  <c r="AP110" i="7"/>
  <c r="M5" i="8"/>
  <c r="Q9" i="8"/>
  <c r="I16" i="8"/>
  <c r="M20" i="8"/>
  <c r="M24" i="8"/>
  <c r="I35" i="8"/>
  <c r="AF89" i="7"/>
  <c r="I4" i="8"/>
  <c r="K6" i="8"/>
  <c r="K11" i="8"/>
  <c r="P11" i="8"/>
  <c r="Q10" i="8"/>
  <c r="I15" i="8"/>
  <c r="K17" i="8"/>
  <c r="I19" i="8"/>
  <c r="Q21" i="8"/>
  <c r="M22" i="8"/>
  <c r="I23" i="8"/>
  <c r="Q25" i="8"/>
  <c r="I30" i="8"/>
  <c r="Q32" i="8"/>
  <c r="M33" i="8"/>
  <c r="F31" i="8"/>
  <c r="Q42" i="8"/>
  <c r="Q45" i="8"/>
  <c r="N44" i="8"/>
  <c r="M56" i="8"/>
  <c r="Q82" i="8"/>
  <c r="O80" i="8"/>
  <c r="Q152" i="8"/>
  <c r="M156" i="8"/>
  <c r="E162" i="8"/>
  <c r="M164" i="8"/>
  <c r="I170" i="8"/>
  <c r="Q172" i="8"/>
  <c r="N171" i="8"/>
  <c r="AO89" i="7"/>
  <c r="AS89" i="7"/>
  <c r="AW89" i="7"/>
  <c r="D110" i="7"/>
  <c r="H110" i="7"/>
  <c r="AQ110" i="7"/>
  <c r="AV89" i="7"/>
  <c r="BE110" i="7"/>
  <c r="BL89" i="7"/>
  <c r="AG112" i="7"/>
  <c r="D109" i="7"/>
  <c r="O109" i="7"/>
  <c r="AM109" i="7"/>
  <c r="E4" i="8"/>
  <c r="G6" i="8"/>
  <c r="G11" i="8"/>
  <c r="L11" i="8"/>
  <c r="M10" i="8"/>
  <c r="E15" i="8"/>
  <c r="G17" i="8"/>
  <c r="E19" i="8"/>
  <c r="M21" i="8"/>
  <c r="I22" i="8"/>
  <c r="E23" i="8"/>
  <c r="M25" i="8"/>
  <c r="E30" i="8"/>
  <c r="M32" i="8"/>
  <c r="I33" i="8"/>
  <c r="B31" i="8"/>
  <c r="M42" i="8"/>
  <c r="D41" i="8"/>
  <c r="M43" i="8"/>
  <c r="J41" i="8"/>
  <c r="J44" i="8"/>
  <c r="M49" i="8"/>
  <c r="M82" i="8"/>
  <c r="M137" i="8"/>
  <c r="L136" i="8"/>
  <c r="M152" i="8"/>
  <c r="I156" i="8"/>
  <c r="Q162" i="8"/>
  <c r="I164" i="8"/>
  <c r="E110" i="7"/>
  <c r="I110" i="7"/>
  <c r="BB110" i="7"/>
  <c r="BJ110" i="7"/>
  <c r="G112" i="7"/>
  <c r="K112" i="7"/>
  <c r="BA111" i="7"/>
  <c r="BE111" i="7"/>
  <c r="BI111" i="7"/>
  <c r="F125" i="7"/>
  <c r="J125" i="7"/>
  <c r="BC109" i="7"/>
  <c r="BG109" i="7"/>
  <c r="BK109" i="7"/>
  <c r="Q4" i="8"/>
  <c r="H11" i="8"/>
  <c r="Q15" i="8"/>
  <c r="Q19" i="8"/>
  <c r="E22" i="8"/>
  <c r="Q23" i="8"/>
  <c r="Q30" i="8"/>
  <c r="E33" i="8"/>
  <c r="N31" i="8"/>
  <c r="I45" i="8"/>
  <c r="F44" i="8"/>
  <c r="I82" i="8"/>
  <c r="P110" i="8"/>
  <c r="E164" i="8"/>
  <c r="H167" i="8"/>
  <c r="Q170" i="8"/>
  <c r="M36" i="8"/>
  <c r="I37" i="8"/>
  <c r="E38" i="8"/>
  <c r="B41" i="8"/>
  <c r="P41" i="8"/>
  <c r="C44" i="8"/>
  <c r="I50" i="8"/>
  <c r="I56" i="8"/>
  <c r="Q56" i="8"/>
  <c r="Q57" i="8"/>
  <c r="I61" i="8"/>
  <c r="C58" i="8"/>
  <c r="Q62" i="8"/>
  <c r="Q63" i="8"/>
  <c r="I65" i="8"/>
  <c r="Q78" i="8"/>
  <c r="M79" i="8"/>
  <c r="J81" i="8"/>
  <c r="M81" i="8" s="1"/>
  <c r="I86" i="8"/>
  <c r="I88" i="8"/>
  <c r="Q96" i="8"/>
  <c r="E99" i="8"/>
  <c r="I102" i="8"/>
  <c r="I104" i="8"/>
  <c r="E105" i="8"/>
  <c r="Q109" i="8"/>
  <c r="L110" i="8"/>
  <c r="L106" i="8" s="1"/>
  <c r="E114" i="8"/>
  <c r="I117" i="8"/>
  <c r="D124" i="8"/>
  <c r="Q127" i="8"/>
  <c r="M134" i="8"/>
  <c r="M135" i="8"/>
  <c r="M148" i="8"/>
  <c r="M149" i="8"/>
  <c r="K150" i="8"/>
  <c r="K145" i="8" s="1"/>
  <c r="P150" i="8"/>
  <c r="P154" i="8"/>
  <c r="I157" i="8"/>
  <c r="P159" i="8"/>
  <c r="D163" i="8"/>
  <c r="M165" i="8"/>
  <c r="Q166" i="8"/>
  <c r="E174" i="8"/>
  <c r="Q175" i="8"/>
  <c r="H186" i="8"/>
  <c r="E183" i="8"/>
  <c r="E185" i="8"/>
  <c r="I36" i="8"/>
  <c r="Q38" i="8"/>
  <c r="M48" i="8"/>
  <c r="E50" i="8"/>
  <c r="M51" i="8"/>
  <c r="O44" i="8"/>
  <c r="M52" i="8"/>
  <c r="M57" i="8"/>
  <c r="E61" i="8"/>
  <c r="M63" i="8"/>
  <c r="E65" i="8"/>
  <c r="M66" i="8"/>
  <c r="P71" i="8"/>
  <c r="I75" i="8"/>
  <c r="I77" i="8"/>
  <c r="M78" i="8"/>
  <c r="N81" i="8"/>
  <c r="P81" i="8"/>
  <c r="Q87" i="8"/>
  <c r="Q89" i="8"/>
  <c r="N97" i="8"/>
  <c r="H97" i="8"/>
  <c r="H93" i="8" s="1"/>
  <c r="Q103" i="8"/>
  <c r="Q105" i="8"/>
  <c r="Q112" i="8"/>
  <c r="Q118" i="8"/>
  <c r="I134" i="8"/>
  <c r="I135" i="8"/>
  <c r="M138" i="8"/>
  <c r="I149" i="8"/>
  <c r="E153" i="8"/>
  <c r="L150" i="8"/>
  <c r="L154" i="8"/>
  <c r="L159" i="8"/>
  <c r="P167" i="8"/>
  <c r="D171" i="8"/>
  <c r="M175" i="8"/>
  <c r="D186" i="8"/>
  <c r="M182" i="8"/>
  <c r="M184" i="8"/>
  <c r="Q37" i="8"/>
  <c r="M38" i="8"/>
  <c r="I51" i="8"/>
  <c r="K44" i="8"/>
  <c r="I52" i="8"/>
  <c r="Q61" i="8"/>
  <c r="Q65" i="8"/>
  <c r="I66" i="8"/>
  <c r="L71" i="8"/>
  <c r="E75" i="8"/>
  <c r="I78" i="8"/>
  <c r="E83" i="8"/>
  <c r="Q86" i="8"/>
  <c r="M87" i="8"/>
  <c r="Q88" i="8"/>
  <c r="I96" i="8"/>
  <c r="D97" i="8"/>
  <c r="D93" i="8" s="1"/>
  <c r="M101" i="8"/>
  <c r="Q102" i="8"/>
  <c r="M103" i="8"/>
  <c r="Q104" i="8"/>
  <c r="I109" i="8"/>
  <c r="Q117" i="8"/>
  <c r="M118" i="8"/>
  <c r="B124" i="8"/>
  <c r="I127" i="8"/>
  <c r="E130" i="8"/>
  <c r="E148" i="8"/>
  <c r="G146" i="8"/>
  <c r="E149" i="8"/>
  <c r="Q153" i="8"/>
  <c r="H159" i="8"/>
  <c r="Q161" i="8"/>
  <c r="I166" i="8"/>
  <c r="L167" i="8"/>
  <c r="M174" i="8"/>
  <c r="I182" i="8"/>
  <c r="M183" i="8"/>
  <c r="M185" i="8"/>
  <c r="W121" i="7"/>
  <c r="AV98" i="7"/>
  <c r="E12" i="8"/>
  <c r="M12" i="8"/>
  <c r="I83" i="8"/>
  <c r="F81" i="8"/>
  <c r="M85" i="8"/>
  <c r="J84" i="8"/>
  <c r="I99" i="8"/>
  <c r="F97" i="8"/>
  <c r="G110" i="8"/>
  <c r="I111" i="8"/>
  <c r="E112" i="8"/>
  <c r="B110" i="8"/>
  <c r="M116" i="8"/>
  <c r="J110" i="8"/>
  <c r="K124" i="8"/>
  <c r="M125" i="8"/>
  <c r="M139" i="8"/>
  <c r="J136" i="8"/>
  <c r="M147" i="8"/>
  <c r="J146" i="8"/>
  <c r="B6" i="8"/>
  <c r="F6" i="8"/>
  <c r="J6" i="8"/>
  <c r="N6" i="8"/>
  <c r="Q6" i="8" s="1"/>
  <c r="E7" i="8"/>
  <c r="I7" i="8"/>
  <c r="M7" i="8"/>
  <c r="Q7" i="8"/>
  <c r="B17" i="8"/>
  <c r="E17" i="8" s="1"/>
  <c r="F17" i="8"/>
  <c r="J17" i="8"/>
  <c r="N17" i="8"/>
  <c r="E18" i="8"/>
  <c r="I18" i="8"/>
  <c r="M18" i="8"/>
  <c r="Q18" i="8"/>
  <c r="B28" i="8"/>
  <c r="F28" i="8"/>
  <c r="J28" i="8"/>
  <c r="N28" i="8"/>
  <c r="E29" i="8"/>
  <c r="I29" i="8"/>
  <c r="M29" i="8"/>
  <c r="Q29" i="8"/>
  <c r="C31" i="8"/>
  <c r="G31" i="8"/>
  <c r="K31" i="8"/>
  <c r="K27" i="8" s="1"/>
  <c r="O31" i="8"/>
  <c r="E43" i="8"/>
  <c r="B44" i="8"/>
  <c r="D44" i="8"/>
  <c r="H44" i="8"/>
  <c r="H40" i="8" s="1"/>
  <c r="L44" i="8"/>
  <c r="P44" i="8"/>
  <c r="M47" i="8"/>
  <c r="E51" i="8"/>
  <c r="E59" i="8"/>
  <c r="B58" i="8"/>
  <c r="M62" i="8"/>
  <c r="E66" i="8"/>
  <c r="C68" i="8"/>
  <c r="E70" i="8"/>
  <c r="F71" i="8"/>
  <c r="C71" i="8"/>
  <c r="E72" i="8"/>
  <c r="H71" i="8"/>
  <c r="H67" i="8" s="1"/>
  <c r="I85" i="8"/>
  <c r="F84" i="8"/>
  <c r="M86" i="8"/>
  <c r="K84" i="8"/>
  <c r="K80" i="8" s="1"/>
  <c r="G94" i="8"/>
  <c r="Q95" i="8"/>
  <c r="N94" i="8"/>
  <c r="E96" i="8"/>
  <c r="C94" i="8"/>
  <c r="E109" i="8"/>
  <c r="C107" i="8"/>
  <c r="F110" i="8"/>
  <c r="C110" i="8"/>
  <c r="E111" i="8"/>
  <c r="H110" i="8"/>
  <c r="G124" i="8"/>
  <c r="I125" i="8"/>
  <c r="B128" i="8"/>
  <c r="M133" i="8"/>
  <c r="J132" i="8"/>
  <c r="M132" i="8" s="1"/>
  <c r="Q137" i="8"/>
  <c r="P136" i="8"/>
  <c r="I151" i="8"/>
  <c r="F150" i="8"/>
  <c r="I150" i="8" s="1"/>
  <c r="G167" i="8"/>
  <c r="I168" i="8"/>
  <c r="E169" i="8"/>
  <c r="B167" i="8"/>
  <c r="M173" i="8"/>
  <c r="J171" i="8"/>
  <c r="I180" i="8"/>
  <c r="F186" i="8"/>
  <c r="E8" i="8"/>
  <c r="I8" i="8"/>
  <c r="M8" i="8"/>
  <c r="Q8" i="8"/>
  <c r="B14" i="8"/>
  <c r="F14" i="8"/>
  <c r="J14" i="8"/>
  <c r="N14" i="8"/>
  <c r="D31" i="8"/>
  <c r="D27" i="8" s="1"/>
  <c r="H31" i="8"/>
  <c r="H27" i="8" s="1"/>
  <c r="L31" i="8"/>
  <c r="L27" i="8" s="1"/>
  <c r="P31" i="8"/>
  <c r="E34" i="8"/>
  <c r="I34" i="8"/>
  <c r="M34" i="8"/>
  <c r="Q34" i="8"/>
  <c r="Q43" i="8"/>
  <c r="E46" i="8"/>
  <c r="I46" i="8"/>
  <c r="M46" i="8"/>
  <c r="Q46" i="8"/>
  <c r="I47" i="8"/>
  <c r="I48" i="8"/>
  <c r="Q51" i="8"/>
  <c r="Q52" i="8"/>
  <c r="D55" i="8"/>
  <c r="H55" i="8"/>
  <c r="L55" i="8"/>
  <c r="P55" i="8"/>
  <c r="D58" i="8"/>
  <c r="L58" i="8"/>
  <c r="Q59" i="8"/>
  <c r="N58" i="8"/>
  <c r="N54" i="8" s="1"/>
  <c r="I62" i="8"/>
  <c r="I63" i="8"/>
  <c r="Q66" i="8"/>
  <c r="M69" i="8"/>
  <c r="J68" i="8"/>
  <c r="O68" i="8"/>
  <c r="Q70" i="8"/>
  <c r="O71" i="8"/>
  <c r="Q72" i="8"/>
  <c r="B81" i="8"/>
  <c r="M95" i="8"/>
  <c r="J94" i="8"/>
  <c r="J97" i="8"/>
  <c r="M108" i="8"/>
  <c r="J107" i="8"/>
  <c r="O110" i="8"/>
  <c r="Q111" i="8"/>
  <c r="C124" i="8"/>
  <c r="E125" i="8"/>
  <c r="I133" i="8"/>
  <c r="F132" i="8"/>
  <c r="H140" i="8"/>
  <c r="I141" i="8"/>
  <c r="M59" i="8"/>
  <c r="J58" i="8"/>
  <c r="I69" i="8"/>
  <c r="F68" i="8"/>
  <c r="K68" i="8"/>
  <c r="M70" i="8"/>
  <c r="K71" i="8"/>
  <c r="M72" i="8"/>
  <c r="E86" i="8"/>
  <c r="C84" i="8"/>
  <c r="M96" i="8"/>
  <c r="K94" i="8"/>
  <c r="I108" i="8"/>
  <c r="F107" i="8"/>
  <c r="M109" i="8"/>
  <c r="K107" i="8"/>
  <c r="K110" i="8"/>
  <c r="M111" i="8"/>
  <c r="O124" i="8"/>
  <c r="Q125" i="8"/>
  <c r="M126" i="8"/>
  <c r="J124" i="8"/>
  <c r="I130" i="8"/>
  <c r="F128" i="8"/>
  <c r="D140" i="8"/>
  <c r="E141" i="8"/>
  <c r="O140" i="8"/>
  <c r="Q142" i="8"/>
  <c r="M143" i="8"/>
  <c r="J140" i="8"/>
  <c r="K159" i="8"/>
  <c r="M160" i="8"/>
  <c r="K54" i="8"/>
  <c r="H58" i="8"/>
  <c r="P58" i="8"/>
  <c r="I59" i="8"/>
  <c r="F58" i="8"/>
  <c r="G68" i="8"/>
  <c r="I70" i="8"/>
  <c r="G71" i="8"/>
  <c r="I72" i="8"/>
  <c r="E73" i="8"/>
  <c r="B71" i="8"/>
  <c r="M77" i="8"/>
  <c r="J71" i="8"/>
  <c r="E69" i="8"/>
  <c r="M73" i="8"/>
  <c r="Q75" i="8"/>
  <c r="E77" i="8"/>
  <c r="I79" i="8"/>
  <c r="Q83" i="8"/>
  <c r="E85" i="8"/>
  <c r="B84" i="8"/>
  <c r="L84" i="8"/>
  <c r="I87" i="8"/>
  <c r="M89" i="8"/>
  <c r="Q91" i="8"/>
  <c r="I95" i="8"/>
  <c r="F94" i="8"/>
  <c r="C97" i="8"/>
  <c r="G97" i="8"/>
  <c r="K97" i="8"/>
  <c r="O97" i="8"/>
  <c r="Q99" i="8"/>
  <c r="E101" i="8"/>
  <c r="I103" i="8"/>
  <c r="M105" i="8"/>
  <c r="E108" i="8"/>
  <c r="B107" i="8"/>
  <c r="M112" i="8"/>
  <c r="Q114" i="8"/>
  <c r="E116" i="8"/>
  <c r="I118" i="8"/>
  <c r="I126" i="8"/>
  <c r="C128" i="8"/>
  <c r="G128" i="8"/>
  <c r="K128" i="8"/>
  <c r="O128" i="8"/>
  <c r="Q130" i="8"/>
  <c r="E133" i="8"/>
  <c r="B132" i="8"/>
  <c r="E134" i="8"/>
  <c r="E135" i="8"/>
  <c r="E138" i="8"/>
  <c r="P140" i="8"/>
  <c r="Q141" i="8"/>
  <c r="I155" i="8"/>
  <c r="F154" i="8"/>
  <c r="C159" i="8"/>
  <c r="E160" i="8"/>
  <c r="I165" i="8"/>
  <c r="F163" i="8"/>
  <c r="O167" i="8"/>
  <c r="Q168" i="8"/>
  <c r="J186" i="8"/>
  <c r="R189" i="8"/>
  <c r="R191" i="8"/>
  <c r="Q69" i="8"/>
  <c r="I73" i="8"/>
  <c r="M75" i="8"/>
  <c r="Q77" i="8"/>
  <c r="E79" i="8"/>
  <c r="M83" i="8"/>
  <c r="H84" i="8"/>
  <c r="H80" i="8" s="1"/>
  <c r="Q85" i="8"/>
  <c r="N84" i="8"/>
  <c r="E87" i="8"/>
  <c r="I89" i="8"/>
  <c r="M91" i="8"/>
  <c r="E95" i="8"/>
  <c r="B94" i="8"/>
  <c r="M99" i="8"/>
  <c r="Q101" i="8"/>
  <c r="E103" i="8"/>
  <c r="I105" i="8"/>
  <c r="Q108" i="8"/>
  <c r="N107" i="8"/>
  <c r="I112" i="8"/>
  <c r="M114" i="8"/>
  <c r="Q116" i="8"/>
  <c r="E118" i="8"/>
  <c r="E126" i="8"/>
  <c r="M130" i="8"/>
  <c r="Q133" i="8"/>
  <c r="N132" i="8"/>
  <c r="Q134" i="8"/>
  <c r="Q135" i="8"/>
  <c r="E137" i="8"/>
  <c r="I137" i="8"/>
  <c r="H136" i="8"/>
  <c r="L140" i="8"/>
  <c r="M141" i="8"/>
  <c r="I142" i="8"/>
  <c r="G140" i="8"/>
  <c r="G136" i="8"/>
  <c r="O136" i="8"/>
  <c r="Q138" i="8"/>
  <c r="Q139" i="8"/>
  <c r="E142" i="8"/>
  <c r="C140" i="8"/>
  <c r="Q143" i="8"/>
  <c r="N140" i="8"/>
  <c r="I147" i="8"/>
  <c r="F146" i="8"/>
  <c r="I148" i="8"/>
  <c r="E151" i="8"/>
  <c r="B150" i="8"/>
  <c r="E155" i="8"/>
  <c r="B154" i="8"/>
  <c r="O159" i="8"/>
  <c r="Q160" i="8"/>
  <c r="C167" i="8"/>
  <c r="E168" i="8"/>
  <c r="G186" i="8"/>
  <c r="I138" i="8"/>
  <c r="I139" i="8"/>
  <c r="M142" i="8"/>
  <c r="Q148" i="8"/>
  <c r="D150" i="8"/>
  <c r="G159" i="8"/>
  <c r="I160" i="8"/>
  <c r="E161" i="8"/>
  <c r="B159" i="8"/>
  <c r="K167" i="8"/>
  <c r="M168" i="8"/>
  <c r="I173" i="8"/>
  <c r="F171" i="8"/>
  <c r="I143" i="8"/>
  <c r="E147" i="8"/>
  <c r="B146" i="8"/>
  <c r="Q151" i="8"/>
  <c r="N150" i="8"/>
  <c r="M153" i="8"/>
  <c r="H154" i="8"/>
  <c r="H145" i="8" s="1"/>
  <c r="Q155" i="8"/>
  <c r="N154" i="8"/>
  <c r="E157" i="8"/>
  <c r="M161" i="8"/>
  <c r="E165" i="8"/>
  <c r="M169" i="8"/>
  <c r="E173" i="8"/>
  <c r="I175" i="8"/>
  <c r="C186" i="8"/>
  <c r="Q180" i="8"/>
  <c r="E182" i="8"/>
  <c r="I184" i="8"/>
  <c r="N186" i="8"/>
  <c r="E143" i="8"/>
  <c r="Q147" i="8"/>
  <c r="N146" i="8"/>
  <c r="M151" i="8"/>
  <c r="J150" i="8"/>
  <c r="I153" i="8"/>
  <c r="D154" i="8"/>
  <c r="M155" i="8"/>
  <c r="J154" i="8"/>
  <c r="Q157" i="8"/>
  <c r="I161" i="8"/>
  <c r="C163" i="8"/>
  <c r="G163" i="8"/>
  <c r="K163" i="8"/>
  <c r="O163" i="8"/>
  <c r="Q165" i="8"/>
  <c r="I169" i="8"/>
  <c r="C171" i="8"/>
  <c r="G171" i="8"/>
  <c r="K171" i="8"/>
  <c r="O171" i="8"/>
  <c r="Q173" i="8"/>
  <c r="E175" i="8"/>
  <c r="M180" i="8"/>
  <c r="O186" i="8"/>
  <c r="Q182" i="8"/>
  <c r="E184" i="8"/>
  <c r="R190" i="8"/>
  <c r="F93" i="7"/>
  <c r="F40" i="7"/>
  <c r="Z93" i="7"/>
  <c r="Z40" i="7"/>
  <c r="AZ93" i="7"/>
  <c r="AZ40" i="7"/>
  <c r="BD93" i="7"/>
  <c r="BD40" i="7"/>
  <c r="BL93" i="7"/>
  <c r="BL40" i="7"/>
  <c r="F8" i="7"/>
  <c r="Z8" i="7"/>
  <c r="AZ8" i="7"/>
  <c r="BD8" i="7"/>
  <c r="BL8" i="7"/>
  <c r="N161" i="7"/>
  <c r="N137" i="7" s="1"/>
  <c r="N11" i="7"/>
  <c r="N14" i="7" s="1"/>
  <c r="R11" i="7"/>
  <c r="R14" i="7" s="1"/>
  <c r="AH161" i="7"/>
  <c r="AH11" i="7"/>
  <c r="AH14" i="7" s="1"/>
  <c r="AL161" i="7"/>
  <c r="AL11" i="7"/>
  <c r="AL14" i="7" s="1"/>
  <c r="AP161" i="7"/>
  <c r="AQ162" i="7" s="1"/>
  <c r="AQ137" i="7" s="1"/>
  <c r="AP11" i="7"/>
  <c r="AP14" i="7" s="1"/>
  <c r="AT11" i="7"/>
  <c r="AT14" i="7" s="1"/>
  <c r="AX161" i="7"/>
  <c r="AX11" i="7"/>
  <c r="AX14" i="7" s="1"/>
  <c r="E148" i="7"/>
  <c r="E122" i="7"/>
  <c r="E97" i="7"/>
  <c r="I122" i="7"/>
  <c r="I148" i="7"/>
  <c r="I97" i="7"/>
  <c r="M148" i="7"/>
  <c r="M122" i="7"/>
  <c r="M97" i="7"/>
  <c r="Q148" i="7"/>
  <c r="Q122" i="7"/>
  <c r="Q97" i="7"/>
  <c r="U148" i="7"/>
  <c r="U122" i="7"/>
  <c r="U97" i="7"/>
  <c r="Y148" i="7"/>
  <c r="Y122" i="7"/>
  <c r="Y97" i="7"/>
  <c r="AC148" i="7"/>
  <c r="AC122" i="7"/>
  <c r="AC97" i="7"/>
  <c r="AG148" i="7"/>
  <c r="AG122" i="7"/>
  <c r="AG97" i="7"/>
  <c r="AK148" i="7"/>
  <c r="AK122" i="7"/>
  <c r="AK97" i="7"/>
  <c r="AO122" i="7"/>
  <c r="AO148" i="7"/>
  <c r="AO97" i="7"/>
  <c r="AS148" i="7"/>
  <c r="AS122" i="7"/>
  <c r="AS97" i="7"/>
  <c r="AW148" i="7"/>
  <c r="AW122" i="7"/>
  <c r="AW97" i="7"/>
  <c r="H40" i="7"/>
  <c r="BB40" i="7"/>
  <c r="J137" i="7"/>
  <c r="J136" i="7"/>
  <c r="J139" i="7" s="1"/>
  <c r="J140" i="7" s="1"/>
  <c r="K115" i="7"/>
  <c r="N136" i="7"/>
  <c r="N139" i="7" s="1"/>
  <c r="N140" i="7" s="1"/>
  <c r="R137" i="7"/>
  <c r="R136" i="7"/>
  <c r="R139" i="7" s="1"/>
  <c r="R140" i="7" s="1"/>
  <c r="V137" i="7"/>
  <c r="V136" i="7"/>
  <c r="V139" i="7" s="1"/>
  <c r="V140" i="7" s="1"/>
  <c r="Z137" i="7"/>
  <c r="Z136" i="7"/>
  <c r="Z139" i="7" s="1"/>
  <c r="Z140" i="7" s="1"/>
  <c r="AC115" i="7"/>
  <c r="AB115" i="7"/>
  <c r="AE115" i="7"/>
  <c r="AD115" i="7"/>
  <c r="AA115" i="7"/>
  <c r="AD137" i="7"/>
  <c r="AE137" i="7" s="1"/>
  <c r="AD136" i="7"/>
  <c r="AD139" i="7" s="1"/>
  <c r="AD140" i="7" s="1"/>
  <c r="AP137" i="7"/>
  <c r="AP136" i="7"/>
  <c r="AP139" i="7" s="1"/>
  <c r="AP140" i="7" s="1"/>
  <c r="AW115" i="7"/>
  <c r="AV115" i="7"/>
  <c r="AU115" i="7"/>
  <c r="AX115" i="7"/>
  <c r="BC115" i="7"/>
  <c r="BG115" i="7"/>
  <c r="BK115" i="7"/>
  <c r="N95" i="7"/>
  <c r="M95" i="7"/>
  <c r="O95" i="7"/>
  <c r="L95" i="7"/>
  <c r="P95" i="7"/>
  <c r="AH95" i="7"/>
  <c r="AG95" i="7"/>
  <c r="AJ95" i="7"/>
  <c r="AI95" i="7"/>
  <c r="AB116" i="7"/>
  <c r="AI116" i="7"/>
  <c r="AE116" i="7"/>
  <c r="AA116" i="7"/>
  <c r="AH116" i="7"/>
  <c r="AD116" i="7"/>
  <c r="AC116" i="7"/>
  <c r="AV116" i="7"/>
  <c r="AY116" i="7"/>
  <c r="AU116" i="7"/>
  <c r="W117" i="7"/>
  <c r="Z117" i="7"/>
  <c r="V117" i="7"/>
  <c r="Y117" i="7"/>
  <c r="AE117" i="7"/>
  <c r="AA117" i="7"/>
  <c r="AD117" i="7"/>
  <c r="AC117" i="7"/>
  <c r="AB117" i="7"/>
  <c r="AJ117" i="7"/>
  <c r="AG117" i="7"/>
  <c r="AF117" i="7"/>
  <c r="AC119" i="7"/>
  <c r="AB119" i="7"/>
  <c r="AI119" i="7"/>
  <c r="AA119" i="7"/>
  <c r="AH119" i="7"/>
  <c r="AE119" i="7"/>
  <c r="AD119" i="7"/>
  <c r="AW119" i="7"/>
  <c r="AV119" i="7"/>
  <c r="AY119" i="7"/>
  <c r="AX119" i="7"/>
  <c r="AU119" i="7"/>
  <c r="BF105" i="7"/>
  <c r="G99" i="7"/>
  <c r="F57" i="7"/>
  <c r="K99" i="7"/>
  <c r="J57" i="7"/>
  <c r="AD99" i="7"/>
  <c r="AC99" i="7"/>
  <c r="AA99" i="7"/>
  <c r="AE99" i="7"/>
  <c r="AB99" i="7"/>
  <c r="Z57" i="7"/>
  <c r="AX99" i="7"/>
  <c r="AW99" i="7"/>
  <c r="AY99" i="7"/>
  <c r="AV99" i="7"/>
  <c r="AU99" i="7"/>
  <c r="BC99" i="7"/>
  <c r="BG99" i="7"/>
  <c r="BK99" i="7"/>
  <c r="M100" i="7"/>
  <c r="P100" i="7"/>
  <c r="L100" i="7"/>
  <c r="N100" i="7"/>
  <c r="O100" i="7"/>
  <c r="AG100" i="7"/>
  <c r="AJ100" i="7"/>
  <c r="AF100" i="7"/>
  <c r="AI100" i="7"/>
  <c r="AH100" i="7"/>
  <c r="T101" i="7"/>
  <c r="S101" i="7"/>
  <c r="Q101" i="7"/>
  <c r="U101" i="7"/>
  <c r="AN101" i="7"/>
  <c r="AM101" i="7"/>
  <c r="AO101" i="7"/>
  <c r="AL101" i="7"/>
  <c r="AK101" i="7"/>
  <c r="Z103" i="7"/>
  <c r="V103" i="7"/>
  <c r="Y103" i="7"/>
  <c r="W103" i="7"/>
  <c r="X103" i="7"/>
  <c r="AD103" i="7"/>
  <c r="AC103" i="7"/>
  <c r="AE103" i="7"/>
  <c r="AB103" i="7"/>
  <c r="AA103" i="7"/>
  <c r="G106" i="7"/>
  <c r="F106" i="7"/>
  <c r="AC106" i="7"/>
  <c r="AB106" i="7"/>
  <c r="AA106" i="7"/>
  <c r="AD106" i="7"/>
  <c r="AE106" i="7"/>
  <c r="AW106" i="7"/>
  <c r="AV106" i="7"/>
  <c r="AY106" i="7"/>
  <c r="AX106" i="7"/>
  <c r="AT106" i="7"/>
  <c r="BC106" i="7"/>
  <c r="BB106" i="7"/>
  <c r="BJ106" i="7"/>
  <c r="BK106" i="7"/>
  <c r="M113" i="7"/>
  <c r="AE113" i="7"/>
  <c r="AA113" i="7"/>
  <c r="AD113" i="7"/>
  <c r="AC113" i="7"/>
  <c r="AB113" i="7"/>
  <c r="AY113" i="7"/>
  <c r="AU113" i="7"/>
  <c r="AX113" i="7"/>
  <c r="AW113" i="7"/>
  <c r="AV113" i="7"/>
  <c r="P123" i="7"/>
  <c r="L123" i="7"/>
  <c r="O123" i="7"/>
  <c r="N123" i="7"/>
  <c r="M123" i="7"/>
  <c r="AJ123" i="7"/>
  <c r="AF123" i="7"/>
  <c r="AG123" i="7"/>
  <c r="T107" i="7"/>
  <c r="S107" i="7"/>
  <c r="U107" i="7"/>
  <c r="Q107" i="7"/>
  <c r="R107" i="7"/>
  <c r="AN107" i="7"/>
  <c r="AM107" i="7"/>
  <c r="AL107" i="7"/>
  <c r="AK107" i="7"/>
  <c r="AO107" i="7"/>
  <c r="W108" i="7"/>
  <c r="Z108" i="7"/>
  <c r="V108" i="7"/>
  <c r="Y108" i="7"/>
  <c r="X108" i="7"/>
  <c r="AE108" i="7"/>
  <c r="AA108" i="7"/>
  <c r="AD108" i="7"/>
  <c r="AC108" i="7"/>
  <c r="AB108" i="7"/>
  <c r="AI108" i="7"/>
  <c r="AH108" i="7"/>
  <c r="AG108" i="7"/>
  <c r="AF108" i="7"/>
  <c r="AJ108" i="7"/>
  <c r="AZ124" i="7"/>
  <c r="BD124" i="7"/>
  <c r="BH124" i="7"/>
  <c r="BL124" i="7"/>
  <c r="AJ127" i="7"/>
  <c r="AG127" i="7"/>
  <c r="AF127" i="7"/>
  <c r="P75" i="7"/>
  <c r="N118" i="7"/>
  <c r="M118" i="7"/>
  <c r="P118" i="7"/>
  <c r="O118" i="7"/>
  <c r="L118" i="7"/>
  <c r="AG118" i="7"/>
  <c r="AF118" i="7"/>
  <c r="AJ118" i="7"/>
  <c r="S98" i="7"/>
  <c r="R98" i="7"/>
  <c r="U98" i="7"/>
  <c r="T98" i="7"/>
  <c r="AM98" i="7"/>
  <c r="AL98" i="7"/>
  <c r="AN98" i="7"/>
  <c r="AK98" i="7"/>
  <c r="R101" i="7"/>
  <c r="AU106" i="7"/>
  <c r="U108" i="7"/>
  <c r="C8" i="7"/>
  <c r="G8" i="7"/>
  <c r="K8" i="7"/>
  <c r="AE8" i="7"/>
  <c r="AI8" i="7"/>
  <c r="BA8" i="7"/>
  <c r="BE8" i="7"/>
  <c r="BI8" i="7"/>
  <c r="O161" i="7"/>
  <c r="O137" i="7" s="1"/>
  <c r="AI161" i="7"/>
  <c r="AM161" i="7"/>
  <c r="AQ161" i="7"/>
  <c r="AU161" i="7"/>
  <c r="AV162" i="7" s="1"/>
  <c r="AQ11" i="7"/>
  <c r="AQ14" i="7" s="1"/>
  <c r="F148" i="7"/>
  <c r="F122" i="7"/>
  <c r="F97" i="7"/>
  <c r="J148" i="7"/>
  <c r="J97" i="7"/>
  <c r="J122" i="7"/>
  <c r="N148" i="7"/>
  <c r="N122" i="7"/>
  <c r="V148" i="7"/>
  <c r="V122" i="7"/>
  <c r="V97" i="7"/>
  <c r="Z148" i="7"/>
  <c r="Z122" i="7"/>
  <c r="Z97" i="7"/>
  <c r="AD148" i="7"/>
  <c r="AD122" i="7"/>
  <c r="AD97" i="7"/>
  <c r="AH148" i="7"/>
  <c r="AH122" i="7"/>
  <c r="AH97" i="7"/>
  <c r="AL148" i="7"/>
  <c r="AL122" i="7"/>
  <c r="AL97" i="7"/>
  <c r="AP148" i="7"/>
  <c r="AP122" i="7"/>
  <c r="AP97" i="7"/>
  <c r="AT148" i="7"/>
  <c r="AT122" i="7"/>
  <c r="AX148" i="7"/>
  <c r="AX122" i="7"/>
  <c r="AX97" i="7"/>
  <c r="L113" i="7"/>
  <c r="T113" i="7"/>
  <c r="AJ113" i="7"/>
  <c r="D40" i="7"/>
  <c r="I40" i="7"/>
  <c r="AE40" i="7"/>
  <c r="AJ40" i="7"/>
  <c r="BC40" i="7"/>
  <c r="BI40" i="7"/>
  <c r="D115" i="7"/>
  <c r="H115" i="7"/>
  <c r="K137" i="7"/>
  <c r="M115" i="7"/>
  <c r="K136" i="7"/>
  <c r="K139" i="7" s="1"/>
  <c r="K140" i="7" s="1"/>
  <c r="P115" i="7"/>
  <c r="L115" i="7"/>
  <c r="O115" i="7"/>
  <c r="N115" i="7"/>
  <c r="O136" i="7"/>
  <c r="O139" i="7" s="1"/>
  <c r="O140" i="7" s="1"/>
  <c r="W136" i="7"/>
  <c r="W139" i="7" s="1"/>
  <c r="W140" i="7" s="1"/>
  <c r="W137" i="7"/>
  <c r="AA137" i="7"/>
  <c r="AA136" i="7"/>
  <c r="AA139" i="7" s="1"/>
  <c r="AA140" i="7" s="1"/>
  <c r="AG115" i="7"/>
  <c r="AJ115" i="7"/>
  <c r="AF115" i="7"/>
  <c r="AI115" i="7"/>
  <c r="AH115" i="7"/>
  <c r="AY41" i="7"/>
  <c r="BD115" i="7"/>
  <c r="BH115" i="7"/>
  <c r="BL115" i="7"/>
  <c r="E95" i="7"/>
  <c r="I95" i="7"/>
  <c r="R95" i="7"/>
  <c r="U95" i="7"/>
  <c r="Q95" i="7"/>
  <c r="T95" i="7"/>
  <c r="S95" i="7"/>
  <c r="AL95" i="7"/>
  <c r="AO95" i="7"/>
  <c r="AK95" i="7"/>
  <c r="AM95" i="7"/>
  <c r="AN95" i="7"/>
  <c r="F48" i="7"/>
  <c r="J48" i="7"/>
  <c r="N48" i="7"/>
  <c r="R48" i="7"/>
  <c r="V48" i="7"/>
  <c r="Z48" i="7"/>
  <c r="AD48" i="7"/>
  <c r="AH48" i="7"/>
  <c r="AL48" i="7"/>
  <c r="AP48" i="7"/>
  <c r="AT48" i="7"/>
  <c r="AX48" i="7"/>
  <c r="BB48" i="7"/>
  <c r="BF48" i="7"/>
  <c r="BJ48" i="7"/>
  <c r="D116" i="7"/>
  <c r="C48" i="7"/>
  <c r="P116" i="7"/>
  <c r="L116" i="7"/>
  <c r="O116" i="7"/>
  <c r="N116" i="7"/>
  <c r="M116" i="7"/>
  <c r="K48" i="7"/>
  <c r="S48" i="7"/>
  <c r="AA48" i="7"/>
  <c r="AJ116" i="7"/>
  <c r="AF116" i="7"/>
  <c r="AG116" i="7"/>
  <c r="AI48" i="7"/>
  <c r="AQ48" i="7"/>
  <c r="AZ116" i="7"/>
  <c r="AY48" i="7"/>
  <c r="BH116" i="7"/>
  <c r="BG48" i="7"/>
  <c r="AH117" i="7"/>
  <c r="AM117" i="7"/>
  <c r="AL117" i="7"/>
  <c r="AK117" i="7"/>
  <c r="AO117" i="7"/>
  <c r="AN117" i="7"/>
  <c r="AQ117" i="7"/>
  <c r="AT117" i="7"/>
  <c r="AP117" i="7"/>
  <c r="AS117" i="7"/>
  <c r="AR117" i="7"/>
  <c r="U57" i="7"/>
  <c r="D68" i="7"/>
  <c r="L68" i="7"/>
  <c r="T68" i="7"/>
  <c r="X68" i="7"/>
  <c r="AB68" i="7"/>
  <c r="AF68" i="7"/>
  <c r="AN68" i="7"/>
  <c r="AR68" i="7"/>
  <c r="AE104" i="7"/>
  <c r="AA104" i="7"/>
  <c r="AD104" i="7"/>
  <c r="AC104" i="7"/>
  <c r="AB104" i="7"/>
  <c r="AY104" i="7"/>
  <c r="AU104" i="7"/>
  <c r="AX104" i="7"/>
  <c r="AW104" i="7"/>
  <c r="AV104" i="7"/>
  <c r="E113" i="7"/>
  <c r="AE68" i="7"/>
  <c r="AY127" i="7"/>
  <c r="AU127" i="7"/>
  <c r="AV127" i="7"/>
  <c r="AV110" i="7"/>
  <c r="AU110" i="7"/>
  <c r="AY110" i="7"/>
  <c r="AN111" i="7"/>
  <c r="AN89" i="7"/>
  <c r="AY109" i="7"/>
  <c r="AV109" i="7"/>
  <c r="AU109" i="7"/>
  <c r="AT97" i="7"/>
  <c r="AO98" i="7"/>
  <c r="BC100" i="7"/>
  <c r="BJ119" i="7"/>
  <c r="J93" i="7"/>
  <c r="J40" i="7"/>
  <c r="AH93" i="7"/>
  <c r="AH40" i="7"/>
  <c r="BH93" i="7"/>
  <c r="BH40" i="7"/>
  <c r="D8" i="7"/>
  <c r="H8" i="7"/>
  <c r="P8" i="7"/>
  <c r="AF8" i="7"/>
  <c r="AJ8" i="7"/>
  <c r="BB8" i="7"/>
  <c r="BF8" i="7"/>
  <c r="BJ8" i="7"/>
  <c r="L161" i="7"/>
  <c r="M162" i="7" s="1"/>
  <c r="AF161" i="7"/>
  <c r="AG162" i="7" s="1"/>
  <c r="AG137" i="7" s="1"/>
  <c r="AN161" i="7"/>
  <c r="AR161" i="7"/>
  <c r="AV161" i="7"/>
  <c r="L11" i="7"/>
  <c r="L14" i="7" s="1"/>
  <c r="AR11" i="7"/>
  <c r="AR14" i="7" s="1"/>
  <c r="AF40" i="7"/>
  <c r="BJ40" i="7"/>
  <c r="L136" i="7"/>
  <c r="L139" i="7" s="1"/>
  <c r="L140" i="7" s="1"/>
  <c r="U115" i="7"/>
  <c r="Q115" i="7"/>
  <c r="T115" i="7"/>
  <c r="S115" i="7"/>
  <c r="R115" i="7"/>
  <c r="X136" i="7"/>
  <c r="X139" i="7" s="1"/>
  <c r="X140" i="7" s="1"/>
  <c r="X137" i="7"/>
  <c r="AB136" i="7"/>
  <c r="AB139" i="7" s="1"/>
  <c r="AB140" i="7" s="1"/>
  <c r="AB137" i="7"/>
  <c r="AF137" i="7"/>
  <c r="AF136" i="7"/>
  <c r="AF139" i="7" s="1"/>
  <c r="AF140" i="7" s="1"/>
  <c r="AO115" i="7"/>
  <c r="AK115" i="7"/>
  <c r="AN115" i="7"/>
  <c r="AM115" i="7"/>
  <c r="AL115" i="7"/>
  <c r="BA115" i="7"/>
  <c r="BE115" i="7"/>
  <c r="BI115" i="7"/>
  <c r="Z95" i="7"/>
  <c r="V95" i="7"/>
  <c r="Y95" i="7"/>
  <c r="W95" i="7"/>
  <c r="X95" i="7"/>
  <c r="AT95" i="7"/>
  <c r="AP95" i="7"/>
  <c r="AS95" i="7"/>
  <c r="AR95" i="7"/>
  <c r="AQ95" i="7"/>
  <c r="AX95" i="7"/>
  <c r="AW95" i="7"/>
  <c r="AU95" i="7"/>
  <c r="AY95" i="7"/>
  <c r="AV95" i="7"/>
  <c r="G48" i="7"/>
  <c r="O48" i="7"/>
  <c r="W48" i="7"/>
  <c r="AE48" i="7"/>
  <c r="AM48" i="7"/>
  <c r="AT57" i="7"/>
  <c r="U113" i="7"/>
  <c r="D124" i="7"/>
  <c r="H124" i="7"/>
  <c r="O124" i="7"/>
  <c r="N124" i="7"/>
  <c r="M124" i="7"/>
  <c r="L124" i="7"/>
  <c r="P71" i="7"/>
  <c r="J126" i="7"/>
  <c r="AC126" i="7"/>
  <c r="AB126" i="7"/>
  <c r="AI126" i="7"/>
  <c r="AA126" i="7"/>
  <c r="AH126" i="7"/>
  <c r="AD126" i="7"/>
  <c r="AE73" i="7"/>
  <c r="AE126" i="7" s="1"/>
  <c r="AO126" i="7"/>
  <c r="AK126" i="7"/>
  <c r="AN126" i="7"/>
  <c r="AM126" i="7"/>
  <c r="AL126" i="7"/>
  <c r="BF126" i="7"/>
  <c r="BJ126" i="7"/>
  <c r="BI126" i="7"/>
  <c r="G127" i="7"/>
  <c r="AF95" i="7"/>
  <c r="E8" i="7"/>
  <c r="I8" i="7"/>
  <c r="U8" i="7"/>
  <c r="AG8" i="7"/>
  <c r="AY8" i="7"/>
  <c r="BC8" i="7"/>
  <c r="BG8" i="7"/>
  <c r="BK8" i="7"/>
  <c r="M161" i="7"/>
  <c r="Q161" i="7"/>
  <c r="R162" i="7" s="1"/>
  <c r="AG161" i="7"/>
  <c r="AK161" i="7"/>
  <c r="AL162" i="7" s="1"/>
  <c r="AL137" i="7" s="1"/>
  <c r="AS161" i="7"/>
  <c r="AW161" i="7"/>
  <c r="M11" i="7"/>
  <c r="M14" i="7" s="1"/>
  <c r="AN11" i="7"/>
  <c r="AN14" i="7" s="1"/>
  <c r="AS11" i="7"/>
  <c r="AS14" i="7" s="1"/>
  <c r="D148" i="7"/>
  <c r="D122" i="7"/>
  <c r="D97" i="7"/>
  <c r="H122" i="7"/>
  <c r="H148" i="7"/>
  <c r="H97" i="7"/>
  <c r="L148" i="7"/>
  <c r="L122" i="7"/>
  <c r="L97" i="7"/>
  <c r="P148" i="7"/>
  <c r="P122" i="7"/>
  <c r="P97" i="7"/>
  <c r="T148" i="7"/>
  <c r="T122" i="7"/>
  <c r="T97" i="7"/>
  <c r="X148" i="7"/>
  <c r="X122" i="7"/>
  <c r="X97" i="7"/>
  <c r="AB148" i="7"/>
  <c r="AB122" i="7"/>
  <c r="AB97" i="7"/>
  <c r="AF148" i="7"/>
  <c r="AF122" i="7"/>
  <c r="AF97" i="7"/>
  <c r="AJ148" i="7"/>
  <c r="AJ122" i="7"/>
  <c r="AJ97" i="7"/>
  <c r="AN122" i="7"/>
  <c r="AN97" i="7"/>
  <c r="AN148" i="7"/>
  <c r="AR148" i="7"/>
  <c r="AR122" i="7"/>
  <c r="AR97" i="7"/>
  <c r="AV148" i="7"/>
  <c r="AV122" i="7"/>
  <c r="AV97" i="7"/>
  <c r="G40" i="7"/>
  <c r="P40" i="7"/>
  <c r="AG40" i="7"/>
  <c r="BA40" i="7"/>
  <c r="BF40" i="7"/>
  <c r="BK40" i="7"/>
  <c r="AZ95" i="7"/>
  <c r="BD95" i="7"/>
  <c r="BH95" i="7"/>
  <c r="AV48" i="7"/>
  <c r="BD48" i="7"/>
  <c r="BL48" i="7"/>
  <c r="BD117" i="7"/>
  <c r="AE100" i="7"/>
  <c r="AX103" i="7"/>
  <c r="AW103" i="7"/>
  <c r="AU103" i="7"/>
  <c r="AY103" i="7"/>
  <c r="AV103" i="7"/>
  <c r="J68" i="7"/>
  <c r="N68" i="7"/>
  <c r="R68" i="7"/>
  <c r="V68" i="7"/>
  <c r="Z68" i="7"/>
  <c r="AD68" i="7"/>
  <c r="AH68" i="7"/>
  <c r="AL68" i="7"/>
  <c r="AP68" i="7"/>
  <c r="AK113" i="7"/>
  <c r="O68" i="7"/>
  <c r="X117" i="7"/>
  <c r="G148" i="7"/>
  <c r="G122" i="7"/>
  <c r="G97" i="7"/>
  <c r="K148" i="7"/>
  <c r="K97" i="7"/>
  <c r="K122" i="7"/>
  <c r="O148" i="7"/>
  <c r="O122" i="7"/>
  <c r="O97" i="7"/>
  <c r="S148" i="7"/>
  <c r="S122" i="7"/>
  <c r="S97" i="7"/>
  <c r="W148" i="7"/>
  <c r="W122" i="7"/>
  <c r="W97" i="7"/>
  <c r="AA148" i="7"/>
  <c r="AA97" i="7"/>
  <c r="AA122" i="7"/>
  <c r="AE148" i="7"/>
  <c r="AE122" i="7"/>
  <c r="AE97" i="7"/>
  <c r="AI148" i="7"/>
  <c r="AI122" i="7"/>
  <c r="AI97" i="7"/>
  <c r="AM148" i="7"/>
  <c r="AM122" i="7"/>
  <c r="AM97" i="7"/>
  <c r="AQ148" i="7"/>
  <c r="AQ97" i="7"/>
  <c r="AQ122" i="7"/>
  <c r="AU148" i="7"/>
  <c r="AU122" i="7"/>
  <c r="AU97" i="7"/>
  <c r="F115" i="7"/>
  <c r="I136" i="7"/>
  <c r="I139" i="7" s="1"/>
  <c r="I140" i="7" s="1"/>
  <c r="I137" i="7"/>
  <c r="J115" i="7"/>
  <c r="M136" i="7"/>
  <c r="M139" i="7" s="1"/>
  <c r="M140" i="7" s="1"/>
  <c r="Q136" i="7"/>
  <c r="Q139" i="7" s="1"/>
  <c r="Q140" i="7" s="1"/>
  <c r="Q137" i="7"/>
  <c r="Y115" i="7"/>
  <c r="X115" i="7"/>
  <c r="W115" i="7"/>
  <c r="V115" i="7"/>
  <c r="Z115" i="7"/>
  <c r="Y136" i="7"/>
  <c r="Y139" i="7" s="1"/>
  <c r="Y140" i="7" s="1"/>
  <c r="Y137" i="7"/>
  <c r="AC136" i="7"/>
  <c r="AC139" i="7" s="1"/>
  <c r="AC140" i="7" s="1"/>
  <c r="AC137" i="7"/>
  <c r="AK137" i="7"/>
  <c r="AK136" i="7"/>
  <c r="AK139" i="7" s="1"/>
  <c r="AK140" i="7" s="1"/>
  <c r="AS115" i="7"/>
  <c r="AR115" i="7"/>
  <c r="AT115" i="7"/>
  <c r="AQ115" i="7"/>
  <c r="AP115" i="7"/>
  <c r="BB115" i="7"/>
  <c r="BF115" i="7"/>
  <c r="BJ115" i="7"/>
  <c r="G95" i="7"/>
  <c r="K95" i="7"/>
  <c r="AD95" i="7"/>
  <c r="AC95" i="7"/>
  <c r="AE95" i="7"/>
  <c r="AB95" i="7"/>
  <c r="AA95" i="7"/>
  <c r="BC95" i="7"/>
  <c r="BG95" i="7"/>
  <c r="BK95" i="7"/>
  <c r="E116" i="7"/>
  <c r="I116" i="7"/>
  <c r="T116" i="7"/>
  <c r="S116" i="7"/>
  <c r="R116" i="7"/>
  <c r="Q116" i="7"/>
  <c r="AL116" i="7"/>
  <c r="D117" i="7"/>
  <c r="L117" i="7"/>
  <c r="AI117" i="7"/>
  <c r="AY117" i="7"/>
  <c r="AU117" i="7"/>
  <c r="AX117" i="7"/>
  <c r="AW117" i="7"/>
  <c r="AV117" i="7"/>
  <c r="E105" i="7"/>
  <c r="D57" i="7"/>
  <c r="D105" i="7"/>
  <c r="I105" i="7"/>
  <c r="H57" i="7"/>
  <c r="L57" i="7"/>
  <c r="R105" i="7"/>
  <c r="U105" i="7"/>
  <c r="Q105" i="7"/>
  <c r="P57" i="7"/>
  <c r="T105" i="7"/>
  <c r="S105" i="7"/>
  <c r="T57" i="7"/>
  <c r="X57" i="7"/>
  <c r="AB57" i="7"/>
  <c r="AF57" i="7"/>
  <c r="AL105" i="7"/>
  <c r="AO105" i="7"/>
  <c r="AK105" i="7"/>
  <c r="AN105" i="7"/>
  <c r="AJ57" i="7"/>
  <c r="AM105" i="7"/>
  <c r="AJ105" i="7"/>
  <c r="AN57" i="7"/>
  <c r="AR57" i="7"/>
  <c r="N99" i="7"/>
  <c r="AH99" i="7"/>
  <c r="X101" i="7"/>
  <c r="AR101" i="7"/>
  <c r="AV101" i="7"/>
  <c r="AY101" i="7"/>
  <c r="AU101" i="7"/>
  <c r="AW101" i="7"/>
  <c r="AT101" i="7"/>
  <c r="BC101" i="7"/>
  <c r="BG101" i="7"/>
  <c r="BK101" i="7"/>
  <c r="BE102" i="7"/>
  <c r="BD102" i="7"/>
  <c r="F103" i="7"/>
  <c r="J103" i="7"/>
  <c r="AH103" i="7"/>
  <c r="AG103" i="7"/>
  <c r="AJ103" i="7"/>
  <c r="AI103" i="7"/>
  <c r="M68" i="7"/>
  <c r="Q68" i="7"/>
  <c r="Y68" i="7"/>
  <c r="AC68" i="7"/>
  <c r="AG68" i="7"/>
  <c r="AK68" i="7"/>
  <c r="AS68" i="7"/>
  <c r="O104" i="7"/>
  <c r="N104" i="7"/>
  <c r="M104" i="7"/>
  <c r="L104" i="7"/>
  <c r="P104" i="7"/>
  <c r="AI104" i="7"/>
  <c r="AH104" i="7"/>
  <c r="AJ104" i="7"/>
  <c r="AG104" i="7"/>
  <c r="AF104" i="7"/>
  <c r="M106" i="7"/>
  <c r="P106" i="7"/>
  <c r="L106" i="7"/>
  <c r="N106" i="7"/>
  <c r="AG106" i="7"/>
  <c r="AJ106" i="7"/>
  <c r="AF106" i="7"/>
  <c r="AI106" i="7"/>
  <c r="AH106" i="7"/>
  <c r="I113" i="7"/>
  <c r="AM108" i="7"/>
  <c r="AL108" i="7"/>
  <c r="AO108" i="7"/>
  <c r="AN108" i="7"/>
  <c r="BE108" i="7"/>
  <c r="BI108" i="7"/>
  <c r="BH108" i="7"/>
  <c r="E124" i="7"/>
  <c r="I124" i="7"/>
  <c r="U71" i="7"/>
  <c r="AI124" i="7"/>
  <c r="AE124" i="7"/>
  <c r="AA124" i="7"/>
  <c r="AD124" i="7"/>
  <c r="AC124" i="7"/>
  <c r="AB124" i="7"/>
  <c r="BA124" i="7"/>
  <c r="BE124" i="7"/>
  <c r="BI124" i="7"/>
  <c r="AW126" i="7"/>
  <c r="AS126" i="7"/>
  <c r="AR126" i="7"/>
  <c r="AQ126" i="7"/>
  <c r="AX126" i="7"/>
  <c r="AP126" i="7"/>
  <c r="AT126" i="7"/>
  <c r="O127" i="7"/>
  <c r="N127" i="7"/>
  <c r="L127" i="7"/>
  <c r="P127" i="7"/>
  <c r="M127" i="7"/>
  <c r="R127" i="7"/>
  <c r="Q127" i="7"/>
  <c r="W98" i="7"/>
  <c r="AQ98" i="7"/>
  <c r="D82" i="7"/>
  <c r="H82" i="7"/>
  <c r="L82" i="7"/>
  <c r="P82" i="7"/>
  <c r="T82" i="7"/>
  <c r="X82" i="7"/>
  <c r="AB82" i="7"/>
  <c r="AF82" i="7"/>
  <c r="AJ82" i="7"/>
  <c r="AN82" i="7"/>
  <c r="AR82" i="7"/>
  <c r="AV82" i="7"/>
  <c r="AZ82" i="7"/>
  <c r="BD82" i="7"/>
  <c r="BH82" i="7"/>
  <c r="BL82" i="7"/>
  <c r="BA89" i="7"/>
  <c r="BE89" i="7"/>
  <c r="BI89" i="7"/>
  <c r="G110" i="7"/>
  <c r="AZ110" i="7"/>
  <c r="BD110" i="7"/>
  <c r="BH110" i="7"/>
  <c r="BL110" i="7"/>
  <c r="E112" i="7"/>
  <c r="D89" i="7"/>
  <c r="I112" i="7"/>
  <c r="L89" i="7"/>
  <c r="T112" i="7"/>
  <c r="S112" i="7"/>
  <c r="U112" i="7"/>
  <c r="Q112" i="7"/>
  <c r="T89" i="7"/>
  <c r="AB89" i="7"/>
  <c r="AN112" i="7"/>
  <c r="AM112" i="7"/>
  <c r="AL112" i="7"/>
  <c r="AK112" i="7"/>
  <c r="AJ89" i="7"/>
  <c r="AO112" i="7"/>
  <c r="AR89" i="7"/>
  <c r="AW111" i="7"/>
  <c r="AV111" i="7"/>
  <c r="AY111" i="7"/>
  <c r="AX111" i="7"/>
  <c r="AT111" i="7"/>
  <c r="BG111" i="7"/>
  <c r="BK100" i="7"/>
  <c r="AX101" i="7"/>
  <c r="E102" i="7"/>
  <c r="AK108" i="7"/>
  <c r="BK111" i="7"/>
  <c r="F116" i="7"/>
  <c r="J116" i="7"/>
  <c r="X116" i="7"/>
  <c r="W116" i="7"/>
  <c r="Z116" i="7"/>
  <c r="Y116" i="7"/>
  <c r="V116" i="7"/>
  <c r="BB116" i="7"/>
  <c r="BF116" i="7"/>
  <c r="BJ116" i="7"/>
  <c r="E117" i="7"/>
  <c r="I117" i="7"/>
  <c r="H117" i="7"/>
  <c r="S117" i="7"/>
  <c r="R117" i="7"/>
  <c r="U117" i="7"/>
  <c r="T117" i="7"/>
  <c r="Q117" i="7"/>
  <c r="P117" i="7"/>
  <c r="AZ117" i="7"/>
  <c r="BH117" i="7"/>
  <c r="R119" i="7"/>
  <c r="Z105" i="7"/>
  <c r="V105" i="7"/>
  <c r="Y105" i="7"/>
  <c r="X105" i="7"/>
  <c r="W105" i="7"/>
  <c r="AX105" i="7"/>
  <c r="AT105" i="7"/>
  <c r="AP105" i="7"/>
  <c r="AW105" i="7"/>
  <c r="AS105" i="7"/>
  <c r="AQ105" i="7"/>
  <c r="AV105" i="7"/>
  <c r="AU105" i="7"/>
  <c r="AY105" i="7"/>
  <c r="AZ105" i="7"/>
  <c r="BD105" i="7"/>
  <c r="BL105" i="7"/>
  <c r="E99" i="7"/>
  <c r="I99" i="7"/>
  <c r="R99" i="7"/>
  <c r="AL99" i="7"/>
  <c r="BA99" i="7"/>
  <c r="BE99" i="7"/>
  <c r="BI99" i="7"/>
  <c r="G101" i="7"/>
  <c r="K101" i="7"/>
  <c r="AB101" i="7"/>
  <c r="AZ101" i="7"/>
  <c r="BD101" i="7"/>
  <c r="BH101" i="7"/>
  <c r="BL101" i="7"/>
  <c r="I102" i="7"/>
  <c r="H102" i="7"/>
  <c r="S102" i="7"/>
  <c r="R102" i="7"/>
  <c r="T102" i="7"/>
  <c r="Q102" i="7"/>
  <c r="P102" i="7"/>
  <c r="AM102" i="7"/>
  <c r="AL102" i="7"/>
  <c r="AJ102" i="7"/>
  <c r="AO102" i="7"/>
  <c r="AN102" i="7"/>
  <c r="AL103" i="7"/>
  <c r="BA103" i="7"/>
  <c r="BE103" i="7"/>
  <c r="I57" i="7"/>
  <c r="AO57" i="7"/>
  <c r="G121" i="7"/>
  <c r="K121" i="7"/>
  <c r="AD121" i="7"/>
  <c r="AC121" i="7"/>
  <c r="AB121" i="7"/>
  <c r="AA121" i="7"/>
  <c r="AE121" i="7"/>
  <c r="D96" i="7"/>
  <c r="H96" i="7"/>
  <c r="G96" i="7"/>
  <c r="M96" i="7"/>
  <c r="P96" i="7"/>
  <c r="L96" i="7"/>
  <c r="O96" i="7"/>
  <c r="N96" i="7"/>
  <c r="AG96" i="7"/>
  <c r="AJ96" i="7"/>
  <c r="AF96" i="7"/>
  <c r="AH96" i="7"/>
  <c r="AE96" i="7"/>
  <c r="AZ96" i="7"/>
  <c r="BD96" i="7"/>
  <c r="BC96" i="7"/>
  <c r="BH96" i="7"/>
  <c r="BL96" i="7"/>
  <c r="BK96" i="7"/>
  <c r="E121" i="7"/>
  <c r="AN113" i="7"/>
  <c r="F123" i="7"/>
  <c r="BB123" i="7"/>
  <c r="AQ108" i="7"/>
  <c r="AT108" i="7"/>
  <c r="AP108" i="7"/>
  <c r="AS108" i="7"/>
  <c r="AR108" i="7"/>
  <c r="C68" i="7"/>
  <c r="AH124" i="7"/>
  <c r="AG124" i="7"/>
  <c r="AF124" i="7"/>
  <c r="U126" i="7"/>
  <c r="Q126" i="7"/>
  <c r="T126" i="7"/>
  <c r="S126" i="7"/>
  <c r="R126" i="7"/>
  <c r="AY126" i="7"/>
  <c r="AV126" i="7"/>
  <c r="AU126" i="7"/>
  <c r="AI127" i="7"/>
  <c r="AE127" i="7"/>
  <c r="AA127" i="7"/>
  <c r="AH127" i="7"/>
  <c r="AD127" i="7"/>
  <c r="AB127" i="7"/>
  <c r="W118" i="7"/>
  <c r="BB147" i="7"/>
  <c r="BB89" i="7"/>
  <c r="BF147" i="7"/>
  <c r="BF89" i="7"/>
  <c r="BJ147" i="7"/>
  <c r="BJ89" i="7"/>
  <c r="M110" i="7"/>
  <c r="P110" i="7"/>
  <c r="L110" i="7"/>
  <c r="O110" i="7"/>
  <c r="N110" i="7"/>
  <c r="AG110" i="7"/>
  <c r="AJ110" i="7"/>
  <c r="AF110" i="7"/>
  <c r="AI110" i="7"/>
  <c r="AH110" i="7"/>
  <c r="BA110" i="7"/>
  <c r="AZ89" i="7"/>
  <c r="BI110" i="7"/>
  <c r="BH89" i="7"/>
  <c r="X112" i="7"/>
  <c r="W112" i="7"/>
  <c r="V112" i="7"/>
  <c r="Z112" i="7"/>
  <c r="Y112" i="7"/>
  <c r="AR112" i="7"/>
  <c r="AQ112" i="7"/>
  <c r="AT112" i="7"/>
  <c r="AS112" i="7"/>
  <c r="AP112" i="7"/>
  <c r="AV112" i="7"/>
  <c r="AY112" i="7"/>
  <c r="AU112" i="7"/>
  <c r="AW112" i="7"/>
  <c r="BD111" i="7"/>
  <c r="BC111" i="7"/>
  <c r="E125" i="7"/>
  <c r="D125" i="7"/>
  <c r="R125" i="7"/>
  <c r="U125" i="7"/>
  <c r="Q125" i="7"/>
  <c r="T125" i="7"/>
  <c r="S125" i="7"/>
  <c r="AL125" i="7"/>
  <c r="AO125" i="7"/>
  <c r="AK125" i="7"/>
  <c r="AN125" i="7"/>
  <c r="AM125" i="7"/>
  <c r="AJ125" i="7"/>
  <c r="H89" i="7"/>
  <c r="AY96" i="7"/>
  <c r="G100" i="7"/>
  <c r="AB105" i="7"/>
  <c r="O106" i="7"/>
  <c r="BA108" i="7"/>
  <c r="AU111" i="7"/>
  <c r="R112" i="7"/>
  <c r="AC127" i="7"/>
  <c r="BA117" i="7"/>
  <c r="BE117" i="7"/>
  <c r="BI117" i="7"/>
  <c r="BL117" i="7"/>
  <c r="F119" i="7"/>
  <c r="J119" i="7"/>
  <c r="Y119" i="7"/>
  <c r="X119" i="7"/>
  <c r="Z119" i="7"/>
  <c r="W119" i="7"/>
  <c r="V119" i="7"/>
  <c r="AS119" i="7"/>
  <c r="AR119" i="7"/>
  <c r="AQ119" i="7"/>
  <c r="AP119" i="7"/>
  <c r="AT119" i="7"/>
  <c r="BB119" i="7"/>
  <c r="BF119" i="7"/>
  <c r="G105" i="7"/>
  <c r="BA105" i="7"/>
  <c r="BE105" i="7"/>
  <c r="BI105" i="7"/>
  <c r="F99" i="7"/>
  <c r="J99" i="7"/>
  <c r="Z99" i="7"/>
  <c r="V99" i="7"/>
  <c r="Y99" i="7"/>
  <c r="X99" i="7"/>
  <c r="W99" i="7"/>
  <c r="AT99" i="7"/>
  <c r="AP99" i="7"/>
  <c r="AS99" i="7"/>
  <c r="AQ99" i="7"/>
  <c r="BB99" i="7"/>
  <c r="BF99" i="7"/>
  <c r="BJ99" i="7"/>
  <c r="K100" i="7"/>
  <c r="J100" i="7"/>
  <c r="AC100" i="7"/>
  <c r="AB100" i="7"/>
  <c r="AD100" i="7"/>
  <c r="AA100" i="7"/>
  <c r="Z100" i="7"/>
  <c r="AW100" i="7"/>
  <c r="AV100" i="7"/>
  <c r="AT100" i="7"/>
  <c r="AY100" i="7"/>
  <c r="AX100" i="7"/>
  <c r="BG100" i="7"/>
  <c r="BF100" i="7"/>
  <c r="D101" i="7"/>
  <c r="H101" i="7"/>
  <c r="P101" i="7"/>
  <c r="L101" i="7"/>
  <c r="O101" i="7"/>
  <c r="N101" i="7"/>
  <c r="M101" i="7"/>
  <c r="AJ101" i="7"/>
  <c r="AF101" i="7"/>
  <c r="AI101" i="7"/>
  <c r="AG101" i="7"/>
  <c r="W102" i="7"/>
  <c r="Z102" i="7"/>
  <c r="V102" i="7"/>
  <c r="Y102" i="7"/>
  <c r="X102" i="7"/>
  <c r="AQ102" i="7"/>
  <c r="AT102" i="7"/>
  <c r="AP102" i="7"/>
  <c r="AR102" i="7"/>
  <c r="AY102" i="7"/>
  <c r="AU102" i="7"/>
  <c r="AX102" i="7"/>
  <c r="AW102" i="7"/>
  <c r="AV102" i="7"/>
  <c r="R103" i="7"/>
  <c r="U103" i="7"/>
  <c r="Q103" i="7"/>
  <c r="T103" i="7"/>
  <c r="S103" i="7"/>
  <c r="AT103" i="7"/>
  <c r="AP103" i="7"/>
  <c r="AS103" i="7"/>
  <c r="AR103" i="7"/>
  <c r="AQ103" i="7"/>
  <c r="BB103" i="7"/>
  <c r="BF103" i="7"/>
  <c r="BJ103" i="7"/>
  <c r="BI103" i="7"/>
  <c r="O121" i="7"/>
  <c r="N121" i="7"/>
  <c r="P121" i="7"/>
  <c r="M121" i="7"/>
  <c r="L121" i="7"/>
  <c r="AH121" i="7"/>
  <c r="AG121" i="7"/>
  <c r="AJ121" i="7"/>
  <c r="AI121" i="7"/>
  <c r="AF121" i="7"/>
  <c r="U96" i="7"/>
  <c r="Q96" i="7"/>
  <c r="T96" i="7"/>
  <c r="R96" i="7"/>
  <c r="AO96" i="7"/>
  <c r="AK96" i="7"/>
  <c r="AN96" i="7"/>
  <c r="AM96" i="7"/>
  <c r="AL96" i="7"/>
  <c r="J106" i="7"/>
  <c r="Z106" i="7"/>
  <c r="AP106" i="7"/>
  <c r="BF106" i="7"/>
  <c r="W113" i="7"/>
  <c r="Z113" i="7"/>
  <c r="V113" i="7"/>
  <c r="Y113" i="7"/>
  <c r="X113" i="7"/>
  <c r="AQ113" i="7"/>
  <c r="AT113" i="7"/>
  <c r="AP113" i="7"/>
  <c r="AS113" i="7"/>
  <c r="AR113" i="7"/>
  <c r="G123" i="7"/>
  <c r="K123" i="7"/>
  <c r="AB123" i="7"/>
  <c r="AI123" i="7"/>
  <c r="AE123" i="7"/>
  <c r="AA123" i="7"/>
  <c r="AH123" i="7"/>
  <c r="AD123" i="7"/>
  <c r="AC123" i="7"/>
  <c r="AV123" i="7"/>
  <c r="AY123" i="7"/>
  <c r="AU123" i="7"/>
  <c r="AT123" i="7"/>
  <c r="BC123" i="7"/>
  <c r="BG123" i="7"/>
  <c r="BK123" i="7"/>
  <c r="BJ123" i="7"/>
  <c r="D107" i="7"/>
  <c r="H107" i="7"/>
  <c r="P107" i="7"/>
  <c r="L107" i="7"/>
  <c r="O107" i="7"/>
  <c r="N107" i="7"/>
  <c r="M107" i="7"/>
  <c r="AJ107" i="7"/>
  <c r="AF107" i="7"/>
  <c r="AI107" i="7"/>
  <c r="AG107" i="7"/>
  <c r="AZ107" i="7"/>
  <c r="BD107" i="7"/>
  <c r="BH107" i="7"/>
  <c r="BL107" i="7"/>
  <c r="I108" i="7"/>
  <c r="S108" i="7"/>
  <c r="R108" i="7"/>
  <c r="Q108" i="7"/>
  <c r="T108" i="7"/>
  <c r="F68" i="7"/>
  <c r="AT68" i="7"/>
  <c r="AJ71" i="7"/>
  <c r="AJ124" i="7" s="1"/>
  <c r="AO71" i="7"/>
  <c r="AO136" i="7" s="1"/>
  <c r="AO139" i="7" s="1"/>
  <c r="AO140" i="7" s="1"/>
  <c r="AY124" i="7"/>
  <c r="Y126" i="7"/>
  <c r="X126" i="7"/>
  <c r="Z126" i="7"/>
  <c r="W126" i="7"/>
  <c r="V126" i="7"/>
  <c r="AM127" i="7"/>
  <c r="AL127" i="7"/>
  <c r="AO127" i="7"/>
  <c r="AN127" i="7"/>
  <c r="AK127" i="7"/>
  <c r="AQ127" i="7"/>
  <c r="AX127" i="7"/>
  <c r="AT127" i="7"/>
  <c r="AP127" i="7"/>
  <c r="AR127" i="7"/>
  <c r="AW127" i="7"/>
  <c r="AS127" i="7"/>
  <c r="G118" i="7"/>
  <c r="K118" i="7"/>
  <c r="AH118" i="7"/>
  <c r="AD118" i="7"/>
  <c r="AC118" i="7"/>
  <c r="AE118" i="7"/>
  <c r="AB118" i="7"/>
  <c r="AI118" i="7"/>
  <c r="AA118" i="7"/>
  <c r="AV118" i="7"/>
  <c r="AU118" i="7"/>
  <c r="AY118" i="7"/>
  <c r="BC118" i="7"/>
  <c r="BG118" i="7"/>
  <c r="BK118" i="7"/>
  <c r="D98" i="7"/>
  <c r="H98" i="7"/>
  <c r="O98" i="7"/>
  <c r="N98" i="7"/>
  <c r="P98" i="7"/>
  <c r="M98" i="7"/>
  <c r="L98" i="7"/>
  <c r="AF98" i="7"/>
  <c r="AJ98" i="7"/>
  <c r="AZ98" i="7"/>
  <c r="BD98" i="7"/>
  <c r="BH98" i="7"/>
  <c r="BL98" i="7"/>
  <c r="F147" i="7"/>
  <c r="F89" i="7"/>
  <c r="J147" i="7"/>
  <c r="J89" i="7"/>
  <c r="N147" i="7"/>
  <c r="N89" i="7"/>
  <c r="R147" i="7"/>
  <c r="R89" i="7"/>
  <c r="V147" i="7"/>
  <c r="V89" i="7"/>
  <c r="Z147" i="7"/>
  <c r="Z89" i="7"/>
  <c r="AD147" i="7"/>
  <c r="AD89" i="7"/>
  <c r="AH147" i="7"/>
  <c r="AH89" i="7"/>
  <c r="AL89" i="7"/>
  <c r="AL147" i="7"/>
  <c r="AP147" i="7"/>
  <c r="AP89" i="7"/>
  <c r="AT147" i="7"/>
  <c r="AT89" i="7"/>
  <c r="AX147" i="7"/>
  <c r="AX89" i="7"/>
  <c r="AY83" i="7"/>
  <c r="BE112" i="7"/>
  <c r="P89" i="7"/>
  <c r="K96" i="7"/>
  <c r="AG98" i="7"/>
  <c r="AU100" i="7"/>
  <c r="U102" i="7"/>
  <c r="BA102" i="7"/>
  <c r="AF103" i="7"/>
  <c r="E108" i="7"/>
  <c r="U116" i="7"/>
  <c r="G147" i="7"/>
  <c r="K147" i="7"/>
  <c r="O147" i="7"/>
  <c r="S147" i="7"/>
  <c r="W147" i="7"/>
  <c r="AA147" i="7"/>
  <c r="AE147" i="7"/>
  <c r="AI147" i="7"/>
  <c r="AM147" i="7"/>
  <c r="AQ147" i="7"/>
  <c r="AU147" i="7"/>
  <c r="BC147" i="7"/>
  <c r="BG147" i="7"/>
  <c r="BK147" i="7"/>
  <c r="U110" i="7"/>
  <c r="Q110" i="7"/>
  <c r="T110" i="7"/>
  <c r="AO110" i="7"/>
  <c r="AK110" i="7"/>
  <c r="AN110" i="7"/>
  <c r="AM110" i="7"/>
  <c r="AL110" i="7"/>
  <c r="BA112" i="7"/>
  <c r="BI112" i="7"/>
  <c r="Z125" i="7"/>
  <c r="V125" i="7"/>
  <c r="Y125" i="7"/>
  <c r="X125" i="7"/>
  <c r="W125" i="7"/>
  <c r="AX125" i="7"/>
  <c r="AT125" i="7"/>
  <c r="AP125" i="7"/>
  <c r="AW125" i="7"/>
  <c r="AS125" i="7"/>
  <c r="AR125" i="7"/>
  <c r="AQ125" i="7"/>
  <c r="AV125" i="7"/>
  <c r="AU125" i="7"/>
  <c r="AZ125" i="7"/>
  <c r="BH125" i="7"/>
  <c r="BB109" i="7"/>
  <c r="BF109" i="7"/>
  <c r="BJ109" i="7"/>
  <c r="C89" i="7"/>
  <c r="K89" i="7"/>
  <c r="S89" i="7"/>
  <c r="AA89" i="7"/>
  <c r="AI89" i="7"/>
  <c r="AQ89" i="7"/>
  <c r="BG89" i="7"/>
  <c r="R110" i="7"/>
  <c r="BA125" i="7"/>
  <c r="BE125" i="7"/>
  <c r="BI125" i="7"/>
  <c r="Z109" i="7"/>
  <c r="V109" i="7"/>
  <c r="Y109" i="7"/>
  <c r="AX109" i="7"/>
  <c r="AT109" i="7"/>
  <c r="AP109" i="7"/>
  <c r="AW109" i="7"/>
  <c r="AS109" i="7"/>
  <c r="AR109" i="7"/>
  <c r="AQ109" i="7"/>
  <c r="S110" i="7"/>
  <c r="AH109" i="7"/>
  <c r="AD109" i="7"/>
  <c r="AC109" i="7"/>
  <c r="AB109" i="7"/>
  <c r="AI109" i="7"/>
  <c r="AA109" i="7"/>
  <c r="G89" i="7"/>
  <c r="O89" i="7"/>
  <c r="W89" i="7"/>
  <c r="AE89" i="7"/>
  <c r="AM89" i="7"/>
  <c r="AU89" i="7"/>
  <c r="BC89" i="7"/>
  <c r="BK89" i="7"/>
  <c r="W109" i="7"/>
  <c r="AY125" i="7"/>
  <c r="AT116" i="7"/>
  <c r="AN116" i="7"/>
  <c r="AM116" i="7"/>
  <c r="G117" i="7"/>
  <c r="K117" i="7"/>
  <c r="BC117" i="7"/>
  <c r="BG117" i="7"/>
  <c r="BK117" i="7"/>
  <c r="M119" i="7"/>
  <c r="P119" i="7"/>
  <c r="L119" i="7"/>
  <c r="AG119" i="7"/>
  <c r="AJ119" i="7"/>
  <c r="AF119" i="7"/>
  <c r="AD105" i="7"/>
  <c r="AC105" i="7"/>
  <c r="G57" i="7"/>
  <c r="K57" i="7"/>
  <c r="R121" i="7"/>
  <c r="U121" i="7"/>
  <c r="T121" i="7"/>
  <c r="S121" i="7"/>
  <c r="AL121" i="7"/>
  <c r="AO121" i="7"/>
  <c r="AK121" i="7"/>
  <c r="S104" i="7"/>
  <c r="R104" i="7"/>
  <c r="AM104" i="7"/>
  <c r="AL104" i="7"/>
  <c r="U106" i="7"/>
  <c r="Q106" i="7"/>
  <c r="T106" i="7"/>
  <c r="AO106" i="7"/>
  <c r="AK106" i="7"/>
  <c r="AN106" i="7"/>
  <c r="BI106" i="7"/>
  <c r="F113" i="7"/>
  <c r="S113" i="7"/>
  <c r="O113" i="7"/>
  <c r="K113" i="7"/>
  <c r="R113" i="7"/>
  <c r="N113" i="7"/>
  <c r="AI113" i="7"/>
  <c r="AH113" i="7"/>
  <c r="T123" i="7"/>
  <c r="S123" i="7"/>
  <c r="R123" i="7"/>
  <c r="Q123" i="7"/>
  <c r="AN123" i="7"/>
  <c r="AM123" i="7"/>
  <c r="AO123" i="7"/>
  <c r="X107" i="7"/>
  <c r="W107" i="7"/>
  <c r="AR107" i="7"/>
  <c r="AQ107" i="7"/>
  <c r="AY108" i="7"/>
  <c r="AU108" i="7"/>
  <c r="AX108" i="7"/>
  <c r="H68" i="7"/>
  <c r="P68" i="7"/>
  <c r="AJ68" i="7"/>
  <c r="F124" i="7"/>
  <c r="J124" i="7"/>
  <c r="BB124" i="7"/>
  <c r="BF124" i="7"/>
  <c r="BJ124" i="7"/>
  <c r="M126" i="7"/>
  <c r="P126" i="7"/>
  <c r="L126" i="7"/>
  <c r="BA127" i="7"/>
  <c r="R118" i="7"/>
  <c r="U118" i="7"/>
  <c r="Q118" i="7"/>
  <c r="AL118" i="7"/>
  <c r="AO118" i="7"/>
  <c r="AK118" i="7"/>
  <c r="BA118" i="7"/>
  <c r="BE118" i="7"/>
  <c r="BI118" i="7"/>
  <c r="D147" i="7"/>
  <c r="H147" i="7"/>
  <c r="L147" i="7"/>
  <c r="P147" i="7"/>
  <c r="T147" i="7"/>
  <c r="X147" i="7"/>
  <c r="AB147" i="7"/>
  <c r="AF147" i="7"/>
  <c r="AJ147" i="7"/>
  <c r="AN147" i="7"/>
  <c r="AR147" i="7"/>
  <c r="AV147" i="7"/>
  <c r="BD147" i="7"/>
  <c r="BH147" i="7"/>
  <c r="BL147" i="7"/>
  <c r="Y110" i="7"/>
  <c r="X110" i="7"/>
  <c r="AW110" i="7"/>
  <c r="AS110" i="7"/>
  <c r="AR110" i="7"/>
  <c r="AB112" i="7"/>
  <c r="AE112" i="7"/>
  <c r="AA112" i="7"/>
  <c r="AS111" i="7"/>
  <c r="AO111" i="7"/>
  <c r="AR111" i="7"/>
  <c r="AH125" i="7"/>
  <c r="AD125" i="7"/>
  <c r="AC125" i="7"/>
  <c r="AE125" i="7"/>
  <c r="N109" i="7"/>
  <c r="M109" i="7"/>
  <c r="AG109" i="7"/>
  <c r="X96" i="7"/>
  <c r="AB96" i="7"/>
  <c r="AR96" i="7"/>
  <c r="AV96" i="7"/>
  <c r="V98" i="7"/>
  <c r="Z98" i="7"/>
  <c r="AD98" i="7"/>
  <c r="AH98" i="7"/>
  <c r="AP98" i="7"/>
  <c r="AT98" i="7"/>
  <c r="AX98" i="7"/>
  <c r="M99" i="7"/>
  <c r="Q99" i="7"/>
  <c r="U99" i="7"/>
  <c r="AG99" i="7"/>
  <c r="AK99" i="7"/>
  <c r="AO99" i="7"/>
  <c r="T100" i="7"/>
  <c r="X100" i="7"/>
  <c r="AN100" i="7"/>
  <c r="AR100" i="7"/>
  <c r="W101" i="7"/>
  <c r="AA101" i="7"/>
  <c r="AE101" i="7"/>
  <c r="AQ101" i="7"/>
  <c r="N102" i="7"/>
  <c r="AD102" i="7"/>
  <c r="AH102" i="7"/>
  <c r="M103" i="7"/>
  <c r="AK103" i="7"/>
  <c r="AO103" i="7"/>
  <c r="T104" i="7"/>
  <c r="AE105" i="7"/>
  <c r="R106" i="7"/>
  <c r="AS107" i="7"/>
  <c r="AV108" i="7"/>
  <c r="V110" i="7"/>
  <c r="AT110" i="7"/>
  <c r="AP111" i="7"/>
  <c r="AC112" i="7"/>
  <c r="P113" i="7"/>
  <c r="AF113" i="7"/>
  <c r="AO116" i="7"/>
  <c r="AM118" i="7"/>
  <c r="U123" i="7"/>
  <c r="AK123" i="7"/>
  <c r="AA125" i="7"/>
  <c r="N126" i="7"/>
  <c r="AR116" i="7"/>
  <c r="AQ116" i="7"/>
  <c r="O117" i="7"/>
  <c r="N117" i="7"/>
  <c r="E119" i="7"/>
  <c r="I119" i="7"/>
  <c r="U119" i="7"/>
  <c r="Q119" i="7"/>
  <c r="T119" i="7"/>
  <c r="AO119" i="7"/>
  <c r="AK119" i="7"/>
  <c r="AN119" i="7"/>
  <c r="BA119" i="7"/>
  <c r="BE119" i="7"/>
  <c r="BI119" i="7"/>
  <c r="N105" i="7"/>
  <c r="M105" i="7"/>
  <c r="AH105" i="7"/>
  <c r="AG105" i="7"/>
  <c r="F121" i="7"/>
  <c r="J121" i="7"/>
  <c r="Z121" i="7"/>
  <c r="V121" i="7"/>
  <c r="Y121" i="7"/>
  <c r="AT121" i="7"/>
  <c r="AP121" i="7"/>
  <c r="AS121" i="7"/>
  <c r="AR121" i="7"/>
  <c r="AQ121" i="7"/>
  <c r="F104" i="7"/>
  <c r="J104" i="7"/>
  <c r="W104" i="7"/>
  <c r="Z104" i="7"/>
  <c r="V104" i="7"/>
  <c r="AQ104" i="7"/>
  <c r="AT104" i="7"/>
  <c r="AP104" i="7"/>
  <c r="BB104" i="7"/>
  <c r="BF104" i="7"/>
  <c r="BJ104" i="7"/>
  <c r="Y106" i="7"/>
  <c r="X106" i="7"/>
  <c r="AS106" i="7"/>
  <c r="AR106" i="7"/>
  <c r="G113" i="7"/>
  <c r="AM113" i="7"/>
  <c r="AL113" i="7"/>
  <c r="J123" i="7"/>
  <c r="X123" i="7"/>
  <c r="W123" i="7"/>
  <c r="Z123" i="7"/>
  <c r="Y123" i="7"/>
  <c r="AR123" i="7"/>
  <c r="AQ123" i="7"/>
  <c r="AX123" i="7"/>
  <c r="AP123" i="7"/>
  <c r="AW123" i="7"/>
  <c r="BF123" i="7"/>
  <c r="G107" i="7"/>
  <c r="K107" i="7"/>
  <c r="AB107" i="7"/>
  <c r="AE107" i="7"/>
  <c r="AA107" i="7"/>
  <c r="AV107" i="7"/>
  <c r="AY107" i="7"/>
  <c r="AU107" i="7"/>
  <c r="BC107" i="7"/>
  <c r="BG107" i="7"/>
  <c r="BK107" i="7"/>
  <c r="O108" i="7"/>
  <c r="N108" i="7"/>
  <c r="E68" i="7"/>
  <c r="I68" i="7"/>
  <c r="U68" i="7"/>
  <c r="AO68" i="7"/>
  <c r="G124" i="7"/>
  <c r="K124" i="7"/>
  <c r="BC124" i="7"/>
  <c r="BG124" i="7"/>
  <c r="BK124" i="7"/>
  <c r="E126" i="7"/>
  <c r="I126" i="7"/>
  <c r="BA126" i="7"/>
  <c r="BE126" i="7"/>
  <c r="F127" i="7"/>
  <c r="J127" i="7"/>
  <c r="BB127" i="7"/>
  <c r="F118" i="7"/>
  <c r="J118" i="7"/>
  <c r="Z118" i="7"/>
  <c r="V118" i="7"/>
  <c r="Y118" i="7"/>
  <c r="AX118" i="7"/>
  <c r="AT118" i="7"/>
  <c r="AP118" i="7"/>
  <c r="AW118" i="7"/>
  <c r="AS118" i="7"/>
  <c r="BB118" i="7"/>
  <c r="BF118" i="7"/>
  <c r="BJ118" i="7"/>
  <c r="E147" i="7"/>
  <c r="I147" i="7"/>
  <c r="M147" i="7"/>
  <c r="Q147" i="7"/>
  <c r="U147" i="7"/>
  <c r="Y147" i="7"/>
  <c r="AC147" i="7"/>
  <c r="AG147" i="7"/>
  <c r="AK147" i="7"/>
  <c r="AO147" i="7"/>
  <c r="AS147" i="7"/>
  <c r="AW147" i="7"/>
  <c r="BA147" i="7"/>
  <c r="BE147" i="7"/>
  <c r="BI147" i="7"/>
  <c r="AC110" i="7"/>
  <c r="AB110" i="7"/>
  <c r="D112" i="7"/>
  <c r="H112" i="7"/>
  <c r="P112" i="7"/>
  <c r="L112" i="7"/>
  <c r="O112" i="7"/>
  <c r="AJ112" i="7"/>
  <c r="AF112" i="7"/>
  <c r="AI112" i="7"/>
  <c r="BD112" i="7"/>
  <c r="BH112" i="7"/>
  <c r="BL112" i="7"/>
  <c r="H125" i="7"/>
  <c r="N125" i="7"/>
  <c r="M125" i="7"/>
  <c r="P125" i="7"/>
  <c r="O125" i="7"/>
  <c r="AG125" i="7"/>
  <c r="AF125" i="7"/>
  <c r="BD125" i="7"/>
  <c r="BL125" i="7"/>
  <c r="E109" i="7"/>
  <c r="I109" i="7"/>
  <c r="R109" i="7"/>
  <c r="U109" i="7"/>
  <c r="Q109" i="7"/>
  <c r="AL109" i="7"/>
  <c r="AO109" i="7"/>
  <c r="AK109" i="7"/>
  <c r="BA109" i="7"/>
  <c r="BE109" i="7"/>
  <c r="BI109" i="7"/>
  <c r="AA98" i="7"/>
  <c r="AE98" i="7"/>
  <c r="AU98" i="7"/>
  <c r="Q100" i="7"/>
  <c r="AK100" i="7"/>
  <c r="AA102" i="7"/>
  <c r="U104" i="7"/>
  <c r="AK104" i="7"/>
  <c r="AS104" i="7"/>
  <c r="P105" i="7"/>
  <c r="AF105" i="7"/>
  <c r="S106" i="7"/>
  <c r="AQ106" i="7"/>
  <c r="V107" i="7"/>
  <c r="AD107" i="7"/>
  <c r="AT107" i="7"/>
  <c r="AW108" i="7"/>
  <c r="L109" i="7"/>
  <c r="T109" i="7"/>
  <c r="AJ109" i="7"/>
  <c r="W110" i="7"/>
  <c r="AE110" i="7"/>
  <c r="AQ111" i="7"/>
  <c r="N112" i="7"/>
  <c r="AD112" i="7"/>
  <c r="Q113" i="7"/>
  <c r="AG113" i="7"/>
  <c r="AO113" i="7"/>
  <c r="AP116" i="7"/>
  <c r="AX116" i="7"/>
  <c r="M117" i="7"/>
  <c r="X118" i="7"/>
  <c r="AN118" i="7"/>
  <c r="S119" i="7"/>
  <c r="Q121" i="7"/>
  <c r="V123" i="7"/>
  <c r="AL123" i="7"/>
  <c r="L125" i="7"/>
  <c r="AB125" i="7"/>
  <c r="O126" i="7"/>
  <c r="BA6" i="6"/>
  <c r="BP6" i="6" s="1"/>
  <c r="BU12" i="6"/>
  <c r="AT5" i="6"/>
  <c r="BI5" i="6" s="1"/>
  <c r="BX5" i="6" s="1"/>
  <c r="CM5" i="6" s="1"/>
  <c r="DB5" i="6" s="1"/>
  <c r="DQ5" i="6" s="1"/>
  <c r="EF5" i="6" s="1"/>
  <c r="EU5" i="6" s="1"/>
  <c r="FJ5" i="6" s="1"/>
  <c r="FY5" i="6" s="1"/>
  <c r="GN5" i="6" s="1"/>
  <c r="HC5" i="6" s="1"/>
  <c r="HR5" i="6" s="1"/>
  <c r="AE10" i="6"/>
  <c r="J39" i="6"/>
  <c r="J12" i="6"/>
  <c r="J15" i="6"/>
  <c r="J44" i="6" s="1"/>
  <c r="J13" i="6"/>
  <c r="P39" i="6"/>
  <c r="P14" i="6"/>
  <c r="P13" i="6"/>
  <c r="P15" i="6"/>
  <c r="P12" i="6"/>
  <c r="H43" i="6"/>
  <c r="L52" i="6"/>
  <c r="FK14" i="6"/>
  <c r="BJ15" i="6"/>
  <c r="P16" i="6"/>
  <c r="F15" i="6"/>
  <c r="F44" i="6" s="1"/>
  <c r="F14" i="6"/>
  <c r="F45" i="6" s="1"/>
  <c r="F12" i="6"/>
  <c r="F39" i="6"/>
  <c r="R10" i="6"/>
  <c r="K10" i="6" s="1"/>
  <c r="K39" i="6" s="1"/>
  <c r="AA10" i="6"/>
  <c r="HZ10" i="6"/>
  <c r="HZ43" i="6"/>
  <c r="HZ14" i="6"/>
  <c r="HZ45" i="6" s="1"/>
  <c r="C18" i="6"/>
  <c r="CD14" i="6"/>
  <c r="AZ15" i="6"/>
  <c r="AK62" i="6"/>
  <c r="AL5" i="6"/>
  <c r="BA5" i="6" s="1"/>
  <c r="BP5" i="6" s="1"/>
  <c r="CE5" i="6" s="1"/>
  <c r="CT5" i="6" s="1"/>
  <c r="DI5" i="6" s="1"/>
  <c r="DX5" i="6" s="1"/>
  <c r="EM5" i="6" s="1"/>
  <c r="FB5" i="6" s="1"/>
  <c r="FQ5" i="6" s="1"/>
  <c r="GF5" i="6" s="1"/>
  <c r="GU5" i="6" s="1"/>
  <c r="HJ5" i="6" s="1"/>
  <c r="W10" i="6"/>
  <c r="AG5" i="6"/>
  <c r="BN3" i="6"/>
  <c r="CC3" i="6" s="1"/>
  <c r="CR3" i="6" s="1"/>
  <c r="DG3" i="6" s="1"/>
  <c r="DV3" i="6" s="1"/>
  <c r="EK3" i="6" s="1"/>
  <c r="EZ3" i="6" s="1"/>
  <c r="FO3" i="6" s="1"/>
  <c r="GD3" i="6" s="1"/>
  <c r="GS3" i="6" s="1"/>
  <c r="HH3" i="6" s="1"/>
  <c r="C10" i="6"/>
  <c r="AZ12" i="6"/>
  <c r="J14" i="6"/>
  <c r="J45" i="6" s="1"/>
  <c r="CL15" i="6"/>
  <c r="BK17" i="6"/>
  <c r="BO17" i="6"/>
  <c r="HE17" i="6"/>
  <c r="BC6" i="6"/>
  <c r="BR6" i="6" s="1"/>
  <c r="CG6" i="6" s="1"/>
  <c r="CV6" i="6" s="1"/>
  <c r="DK6" i="6" s="1"/>
  <c r="DZ6" i="6" s="1"/>
  <c r="EO6" i="6" s="1"/>
  <c r="FD6" i="6" s="1"/>
  <c r="FS6" i="6" s="1"/>
  <c r="GH6" i="6" s="1"/>
  <c r="GW6" i="6" s="1"/>
  <c r="H39" i="6"/>
  <c r="H14" i="6"/>
  <c r="H45" i="6" s="1"/>
  <c r="H13" i="6"/>
  <c r="H16" i="6"/>
  <c r="H53" i="6" s="1"/>
  <c r="BH12" i="6"/>
  <c r="CW12" i="6"/>
  <c r="DJ12" i="6"/>
  <c r="F13" i="6"/>
  <c r="HZ52" i="6"/>
  <c r="HZ62" i="6" s="1"/>
  <c r="HZ42" i="6"/>
  <c r="BF14" i="6"/>
  <c r="BB14" i="6"/>
  <c r="BJ14" i="6"/>
  <c r="BW14" i="6"/>
  <c r="BB15" i="6"/>
  <c r="CY15" i="6"/>
  <c r="DL15" i="6"/>
  <c r="J16" i="6"/>
  <c r="J53" i="6" s="1"/>
  <c r="BK26" i="6"/>
  <c r="IC26" i="6"/>
  <c r="C28" i="6"/>
  <c r="N15" i="6"/>
  <c r="N44" i="6" s="1"/>
  <c r="N39" i="6"/>
  <c r="U15" i="6"/>
  <c r="U44" i="6" s="1"/>
  <c r="AC13" i="6"/>
  <c r="N16" i="6"/>
  <c r="N53" i="6" s="1"/>
  <c r="HT17" i="6"/>
  <c r="IA28" i="6"/>
  <c r="IB25" i="6"/>
  <c r="AV25" i="6"/>
  <c r="AG28" i="6"/>
  <c r="AV6" i="6"/>
  <c r="IC6" i="6" s="1"/>
  <c r="L39" i="6"/>
  <c r="L16" i="6"/>
  <c r="L53" i="6" s="1"/>
  <c r="AC15" i="6"/>
  <c r="AC44" i="6" s="1"/>
  <c r="L12" i="6"/>
  <c r="U12" i="6"/>
  <c r="BJ12" i="6"/>
  <c r="N13" i="6"/>
  <c r="L14" i="6"/>
  <c r="L45" i="6" s="1"/>
  <c r="U14" i="6"/>
  <c r="U45" i="6" s="1"/>
  <c r="BS14" i="6"/>
  <c r="GE14" i="6"/>
  <c r="AC16" i="6"/>
  <c r="IC24" i="6"/>
  <c r="BK24" i="6"/>
  <c r="AO62" i="6"/>
  <c r="FX62" i="6"/>
  <c r="HZ28" i="6"/>
  <c r="AS62" i="6"/>
  <c r="BY62" i="6"/>
  <c r="GX62" i="6"/>
  <c r="FE62" i="6"/>
  <c r="GK62" i="6"/>
  <c r="GP59" i="6"/>
  <c r="CF62" i="6"/>
  <c r="DP62" i="6"/>
  <c r="DY62" i="6"/>
  <c r="EN62" i="6"/>
  <c r="FI62" i="6"/>
  <c r="HD62" i="6"/>
  <c r="HO62" i="6"/>
  <c r="GG62" i="6"/>
  <c r="HT59" i="6"/>
  <c r="AV22" i="6"/>
  <c r="AV23" i="6"/>
  <c r="BD62" i="6"/>
  <c r="BJ62" i="6"/>
  <c r="CW62" i="6"/>
  <c r="DA62" i="6"/>
  <c r="DL62" i="6"/>
  <c r="ET62" i="6"/>
  <c r="FT62" i="6"/>
  <c r="FZ62" i="6"/>
  <c r="R59" i="6"/>
  <c r="BK59" i="6"/>
  <c r="CN62" i="6"/>
  <c r="FV62" i="6"/>
  <c r="GO62" i="6"/>
  <c r="GV62" i="6"/>
  <c r="HB62" i="6"/>
  <c r="EH59" i="6"/>
  <c r="EW59" i="6"/>
  <c r="C62" i="6"/>
  <c r="I62" i="6"/>
  <c r="M62" i="6"/>
  <c r="Q62" i="6"/>
  <c r="AM62" i="6"/>
  <c r="AQ62" i="6"/>
  <c r="AU62" i="6"/>
  <c r="BS62" i="6"/>
  <c r="BW62" i="6"/>
  <c r="CU62" i="6"/>
  <c r="CY62" i="6"/>
  <c r="DC62" i="6"/>
  <c r="EA62" i="6"/>
  <c r="EE62" i="6"/>
  <c r="FC62" i="6"/>
  <c r="FG62" i="6"/>
  <c r="FK62" i="6"/>
  <c r="GI62" i="6"/>
  <c r="HS62" i="6"/>
  <c r="AG59" i="6"/>
  <c r="HE59" i="6"/>
  <c r="E55" i="8" l="1"/>
  <c r="G145" i="8"/>
  <c r="E132" i="8"/>
  <c r="P27" i="8"/>
  <c r="P67" i="8"/>
  <c r="F40" i="8"/>
  <c r="H106" i="8"/>
  <c r="L40" i="8"/>
  <c r="L26" i="8" s="1"/>
  <c r="N40" i="8"/>
  <c r="Q11" i="8"/>
  <c r="G40" i="8"/>
  <c r="G27" i="8"/>
  <c r="C54" i="8"/>
  <c r="G106" i="8"/>
  <c r="P93" i="8"/>
  <c r="E6" i="8"/>
  <c r="O27" i="8"/>
  <c r="N67" i="8"/>
  <c r="C27" i="8"/>
  <c r="C26" i="8" s="1"/>
  <c r="P106" i="8"/>
  <c r="R20" i="8"/>
  <c r="O54" i="8"/>
  <c r="H13" i="8"/>
  <c r="G80" i="8"/>
  <c r="Q124" i="8"/>
  <c r="E136" i="8"/>
  <c r="C145" i="8"/>
  <c r="C80" i="8"/>
  <c r="C40" i="8"/>
  <c r="D80" i="8"/>
  <c r="D106" i="8"/>
  <c r="D67" i="8"/>
  <c r="P80" i="8"/>
  <c r="G13" i="8"/>
  <c r="Q132" i="8"/>
  <c r="I132" i="8"/>
  <c r="M41" i="8"/>
  <c r="J158" i="8"/>
  <c r="Q84" i="8"/>
  <c r="K40" i="8"/>
  <c r="K26" i="8" s="1"/>
  <c r="O13" i="8"/>
  <c r="L13" i="8"/>
  <c r="AI15" i="7"/>
  <c r="L67" i="8"/>
  <c r="W20" i="7"/>
  <c r="W144" i="7" s="1"/>
  <c r="W146" i="7" s="1"/>
  <c r="HZ48" i="6"/>
  <c r="HZ18" i="6"/>
  <c r="HZ19" i="6" s="1"/>
  <c r="AJ20" i="7"/>
  <c r="AJ23" i="7" s="1"/>
  <c r="AJ31" i="7" s="1"/>
  <c r="AU20" i="7"/>
  <c r="AU23" i="7" s="1"/>
  <c r="AU31" i="7" s="1"/>
  <c r="BK15" i="7"/>
  <c r="AR12" i="6"/>
  <c r="AR43" i="6" s="1"/>
  <c r="U52" i="6"/>
  <c r="AJ52" i="6" s="1"/>
  <c r="E84" i="8"/>
  <c r="I6" i="8"/>
  <c r="BL20" i="7"/>
  <c r="BL144" i="7" s="1"/>
  <c r="BL146" i="7" s="1"/>
  <c r="T15" i="7"/>
  <c r="AP69" i="7"/>
  <c r="AP70" i="7" s="1"/>
  <c r="BE23" i="7"/>
  <c r="Q23" i="7"/>
  <c r="Q31" i="7" s="1"/>
  <c r="Q36" i="7" s="1"/>
  <c r="O20" i="7"/>
  <c r="O23" i="7" s="1"/>
  <c r="O31" i="7" s="1"/>
  <c r="AF20" i="7"/>
  <c r="AF21" i="7" s="1"/>
  <c r="AD15" i="7"/>
  <c r="M163" i="8"/>
  <c r="BC20" i="7"/>
  <c r="BC23" i="7" s="1"/>
  <c r="AA20" i="7"/>
  <c r="AA144" i="7" s="1"/>
  <c r="AA146" i="7" s="1"/>
  <c r="H20" i="7"/>
  <c r="H21" i="7" s="1"/>
  <c r="F20" i="7"/>
  <c r="F23" i="7" s="1"/>
  <c r="F31" i="7" s="1"/>
  <c r="R32" i="8"/>
  <c r="AJ12" i="6"/>
  <c r="AJ43" i="6" s="1"/>
  <c r="AJ14" i="6"/>
  <c r="AJ45" i="6" s="1"/>
  <c r="AE15" i="7"/>
  <c r="E20" i="7"/>
  <c r="E144" i="7" s="1"/>
  <c r="E146" i="7" s="1"/>
  <c r="BB15" i="7"/>
  <c r="AQ136" i="7"/>
  <c r="AQ139" i="7" s="1"/>
  <c r="AQ140" i="7" s="1"/>
  <c r="J15" i="7"/>
  <c r="AY10" i="6"/>
  <c r="BN10" i="6" s="1"/>
  <c r="AR162" i="7"/>
  <c r="AR136" i="7" s="1"/>
  <c r="AR139" i="7" s="1"/>
  <c r="AR140" i="7" s="1"/>
  <c r="M17" i="8"/>
  <c r="N158" i="8"/>
  <c r="Q163" i="8"/>
  <c r="E97" i="8"/>
  <c r="Q71" i="8"/>
  <c r="D158" i="8"/>
  <c r="W69" i="7"/>
  <c r="W70" i="7" s="1"/>
  <c r="R74" i="8"/>
  <c r="R100" i="8"/>
  <c r="AR14" i="6"/>
  <c r="AR45" i="6" s="1"/>
  <c r="AM20" i="7"/>
  <c r="AM23" i="7" s="1"/>
  <c r="AM31" i="7" s="1"/>
  <c r="K13" i="8"/>
  <c r="L69" i="7"/>
  <c r="L70" i="7" s="1"/>
  <c r="S17" i="6"/>
  <c r="R7" i="6"/>
  <c r="S10" i="6" s="1"/>
  <c r="IA10" i="6"/>
  <c r="IA39" i="6" s="1"/>
  <c r="AF69" i="7"/>
  <c r="AF70" i="7" s="1"/>
  <c r="AO23" i="7"/>
  <c r="AO31" i="7" s="1"/>
  <c r="AO94" i="7" s="1"/>
  <c r="AO114" i="7" s="1"/>
  <c r="Q15" i="7"/>
  <c r="BE21" i="7"/>
  <c r="S20" i="7"/>
  <c r="S23" i="7" s="1"/>
  <c r="S31" i="7" s="1"/>
  <c r="R36" i="8"/>
  <c r="E41" i="8"/>
  <c r="Q21" i="7"/>
  <c r="AO21" i="7"/>
  <c r="AO15" i="7"/>
  <c r="AK20" i="7"/>
  <c r="AK23" i="7" s="1"/>
  <c r="AK31" i="7" s="1"/>
  <c r="R76" i="8"/>
  <c r="R39" i="8"/>
  <c r="Y20" i="7"/>
  <c r="Y144" i="7" s="1"/>
  <c r="Y146" i="7" s="1"/>
  <c r="R15" i="8"/>
  <c r="R156" i="8"/>
  <c r="Y13" i="6"/>
  <c r="Y42" i="6" s="1"/>
  <c r="AW149" i="7"/>
  <c r="AW150" i="7" s="1"/>
  <c r="AG149" i="7"/>
  <c r="Q149" i="7"/>
  <c r="Q150" i="7" s="1"/>
  <c r="AW21" i="7"/>
  <c r="AW15" i="7"/>
  <c r="AW23" i="7"/>
  <c r="AW31" i="7" s="1"/>
  <c r="AW36" i="7" s="1"/>
  <c r="BE15" i="7"/>
  <c r="BD15" i="7"/>
  <c r="X20" i="7"/>
  <c r="X23" i="7" s="1"/>
  <c r="X31" i="7" s="1"/>
  <c r="E163" i="8"/>
  <c r="R91" i="8"/>
  <c r="Q167" i="8"/>
  <c r="R117" i="8"/>
  <c r="R129" i="8"/>
  <c r="P13" i="8"/>
  <c r="R90" i="8"/>
  <c r="V69" i="7"/>
  <c r="V70" i="7" s="1"/>
  <c r="U15" i="7"/>
  <c r="D123" i="8"/>
  <c r="Y16" i="6"/>
  <c r="AN16" i="6" s="1"/>
  <c r="Y14" i="6"/>
  <c r="Y45" i="6" s="1"/>
  <c r="AT149" i="7"/>
  <c r="AD149" i="7"/>
  <c r="AK69" i="7"/>
  <c r="AK70" i="7" s="1"/>
  <c r="Q69" i="7"/>
  <c r="Q70" i="7" s="1"/>
  <c r="AB15" i="7"/>
  <c r="Z15" i="7"/>
  <c r="Q150" i="8"/>
  <c r="R113" i="8"/>
  <c r="R92" i="8"/>
  <c r="O10" i="6"/>
  <c r="O39" i="6" s="1"/>
  <c r="Q10" i="6"/>
  <c r="Q39" i="6" s="1"/>
  <c r="I31" i="8"/>
  <c r="M167" i="8"/>
  <c r="P145" i="8"/>
  <c r="O40" i="8"/>
  <c r="I11" i="8"/>
  <c r="R21" i="8"/>
  <c r="R98" i="8"/>
  <c r="BO16" i="6"/>
  <c r="BO53" i="6" s="1"/>
  <c r="I20" i="7"/>
  <c r="I144" i="7" s="1"/>
  <c r="I146" i="7" s="1"/>
  <c r="I15" i="7"/>
  <c r="F149" i="7"/>
  <c r="AB69" i="7"/>
  <c r="AB70" i="7" s="1"/>
  <c r="W149" i="7"/>
  <c r="AL69" i="7"/>
  <c r="AL70" i="7" s="1"/>
  <c r="AG15" i="7"/>
  <c r="Q41" i="8"/>
  <c r="AG144" i="7"/>
  <c r="AG146" i="7" s="1"/>
  <c r="AG21" i="7"/>
  <c r="AG23" i="7"/>
  <c r="AG31" i="7" s="1"/>
  <c r="AG36" i="7" s="1"/>
  <c r="R25" i="8"/>
  <c r="BI15" i="7"/>
  <c r="BH20" i="7"/>
  <c r="BH144" i="7" s="1"/>
  <c r="BH146" i="7" s="1"/>
  <c r="BH15" i="7"/>
  <c r="D15" i="7"/>
  <c r="D20" i="7"/>
  <c r="D144" i="7" s="1"/>
  <c r="D146" i="7" s="1"/>
  <c r="AM149" i="7"/>
  <c r="G149" i="7"/>
  <c r="R69" i="7"/>
  <c r="R70" i="7" s="1"/>
  <c r="L158" i="8"/>
  <c r="BG15" i="7"/>
  <c r="BG20" i="7"/>
  <c r="BG21" i="7" s="1"/>
  <c r="C15" i="7"/>
  <c r="C20" i="7"/>
  <c r="C23" i="7" s="1"/>
  <c r="C31" i="7" s="1"/>
  <c r="C36" i="7" s="1"/>
  <c r="M55" i="8"/>
  <c r="BJ20" i="7"/>
  <c r="BJ144" i="7" s="1"/>
  <c r="BJ146" i="7" s="1"/>
  <c r="BJ15" i="7"/>
  <c r="Y12" i="6"/>
  <c r="Y43" i="6" s="1"/>
  <c r="Y39" i="6"/>
  <c r="Y15" i="6"/>
  <c r="Y44" i="6" s="1"/>
  <c r="M128" i="8"/>
  <c r="R45" i="8"/>
  <c r="R49" i="8"/>
  <c r="AQ69" i="7"/>
  <c r="AQ70" i="7" s="1"/>
  <c r="IB28" i="6"/>
  <c r="AR15" i="6"/>
  <c r="AR44" i="6" s="1"/>
  <c r="AR39" i="6"/>
  <c r="E69" i="7"/>
  <c r="E70" i="7" s="1"/>
  <c r="AR149" i="7"/>
  <c r="AB149" i="7"/>
  <c r="L149" i="7"/>
  <c r="AH149" i="7"/>
  <c r="AG69" i="7"/>
  <c r="AG70" i="7" s="1"/>
  <c r="D69" i="7"/>
  <c r="D70" i="7" s="1"/>
  <c r="R153" i="8"/>
  <c r="R62" i="8"/>
  <c r="R8" i="8"/>
  <c r="E167" i="8"/>
  <c r="R47" i="8"/>
  <c r="D40" i="8"/>
  <c r="D26" i="8" s="1"/>
  <c r="O26" i="8"/>
  <c r="Q17" i="8"/>
  <c r="L145" i="8"/>
  <c r="N80" i="8"/>
  <c r="R38" i="8"/>
  <c r="R102" i="8"/>
  <c r="I167" i="8"/>
  <c r="R63" i="8"/>
  <c r="R57" i="8"/>
  <c r="P136" i="7"/>
  <c r="P139" i="7" s="1"/>
  <c r="P140" i="7" s="1"/>
  <c r="R66" i="8"/>
  <c r="R183" i="8"/>
  <c r="R56" i="8"/>
  <c r="R185" i="8"/>
  <c r="AO149" i="7"/>
  <c r="AO150" i="7" s="1"/>
  <c r="I149" i="7"/>
  <c r="K69" i="7"/>
  <c r="K70" i="7" s="1"/>
  <c r="AC69" i="7"/>
  <c r="AC70" i="7" s="1"/>
  <c r="O69" i="7"/>
  <c r="O70" i="7" s="1"/>
  <c r="R184" i="8"/>
  <c r="R175" i="8"/>
  <c r="M154" i="8"/>
  <c r="M150" i="8"/>
  <c r="Q186" i="8"/>
  <c r="E140" i="8"/>
  <c r="Q136" i="8"/>
  <c r="J54" i="8"/>
  <c r="R12" i="8"/>
  <c r="R174" i="8"/>
  <c r="H158" i="8"/>
  <c r="R19" i="8"/>
  <c r="R143" i="8"/>
  <c r="Q128" i="8"/>
  <c r="AP149" i="7"/>
  <c r="Z149" i="7"/>
  <c r="M69" i="7"/>
  <c r="M70" i="7" s="1"/>
  <c r="AD69" i="7"/>
  <c r="AD70" i="7" s="1"/>
  <c r="AV15" i="7"/>
  <c r="AZ20" i="7"/>
  <c r="AZ21" i="7" s="1"/>
  <c r="BF20" i="7"/>
  <c r="BF21" i="7" s="1"/>
  <c r="V15" i="7"/>
  <c r="Q171" i="8"/>
  <c r="D145" i="8"/>
  <c r="Q110" i="8"/>
  <c r="R52" i="8"/>
  <c r="M84" i="8"/>
  <c r="E124" i="8"/>
  <c r="R149" i="8"/>
  <c r="R104" i="8"/>
  <c r="R88" i="8"/>
  <c r="R78" i="8"/>
  <c r="R4" i="8"/>
  <c r="R64" i="8"/>
  <c r="R60" i="8"/>
  <c r="I40" i="8"/>
  <c r="U149" i="7"/>
  <c r="AJ149" i="7"/>
  <c r="T149" i="7"/>
  <c r="D149" i="7"/>
  <c r="G69" i="7"/>
  <c r="G70" i="7" s="1"/>
  <c r="N149" i="7"/>
  <c r="AS69" i="7"/>
  <c r="AS70" i="7" s="1"/>
  <c r="K20" i="7"/>
  <c r="K23" i="7" s="1"/>
  <c r="K31" i="7" s="1"/>
  <c r="AY20" i="7"/>
  <c r="AY144" i="7" s="1"/>
  <c r="AY146" i="7" s="1"/>
  <c r="BA15" i="7"/>
  <c r="AC15" i="7"/>
  <c r="P20" i="7"/>
  <c r="P144" i="7" s="1"/>
  <c r="P146" i="7" s="1"/>
  <c r="Q154" i="8"/>
  <c r="I154" i="8"/>
  <c r="Q97" i="8"/>
  <c r="R48" i="8"/>
  <c r="M6" i="8"/>
  <c r="R50" i="8"/>
  <c r="R164" i="8"/>
  <c r="R82" i="8"/>
  <c r="AK149" i="7"/>
  <c r="E149" i="7"/>
  <c r="E171" i="8"/>
  <c r="R168" i="8"/>
  <c r="E154" i="8"/>
  <c r="R148" i="8"/>
  <c r="I140" i="8"/>
  <c r="H123" i="8"/>
  <c r="R126" i="8"/>
  <c r="R105" i="8"/>
  <c r="L80" i="8"/>
  <c r="O93" i="8"/>
  <c r="P123" i="8"/>
  <c r="G26" i="8"/>
  <c r="I17" i="8"/>
  <c r="R166" i="8"/>
  <c r="R127" i="8"/>
  <c r="R37" i="8"/>
  <c r="L123" i="8"/>
  <c r="M44" i="8"/>
  <c r="R42" i="8"/>
  <c r="R30" i="8"/>
  <c r="R10" i="8"/>
  <c r="R170" i="8"/>
  <c r="R152" i="8"/>
  <c r="R23" i="8"/>
  <c r="M11" i="8"/>
  <c r="R35" i="8"/>
  <c r="R16" i="8"/>
  <c r="R24" i="8"/>
  <c r="R5" i="8"/>
  <c r="R181" i="8"/>
  <c r="R115" i="8"/>
  <c r="R61" i="8"/>
  <c r="G10" i="6"/>
  <c r="G39" i="6" s="1"/>
  <c r="AJ15" i="6"/>
  <c r="AJ44" i="6" s="1"/>
  <c r="H149" i="7"/>
  <c r="AU149" i="7"/>
  <c r="AE149" i="7"/>
  <c r="O149" i="7"/>
  <c r="AX149" i="7"/>
  <c r="J149" i="7"/>
  <c r="N69" i="7"/>
  <c r="N70" i="7" s="1"/>
  <c r="M186" i="8"/>
  <c r="R182" i="8"/>
  <c r="I171" i="8"/>
  <c r="G158" i="8"/>
  <c r="O158" i="8"/>
  <c r="R151" i="8"/>
  <c r="Q140" i="8"/>
  <c r="I136" i="8"/>
  <c r="R116" i="8"/>
  <c r="R101" i="8"/>
  <c r="Q81" i="8"/>
  <c r="M71" i="8"/>
  <c r="I128" i="8"/>
  <c r="I44" i="8"/>
  <c r="R83" i="8"/>
  <c r="P158" i="8"/>
  <c r="R33" i="8"/>
  <c r="S69" i="7"/>
  <c r="S70" i="7" s="1"/>
  <c r="R172" i="8"/>
  <c r="R108" i="8"/>
  <c r="R130" i="8"/>
  <c r="AJ39" i="6"/>
  <c r="G120" i="7"/>
  <c r="V149" i="7"/>
  <c r="Y69" i="7"/>
  <c r="Y70" i="7" s="1"/>
  <c r="G20" i="7"/>
  <c r="G21" i="7" s="1"/>
  <c r="R165" i="8"/>
  <c r="R114" i="8"/>
  <c r="R99" i="8"/>
  <c r="R89" i="8"/>
  <c r="R75" i="8"/>
  <c r="M140" i="8"/>
  <c r="K106" i="8"/>
  <c r="I186" i="8"/>
  <c r="I71" i="8"/>
  <c r="J40" i="8"/>
  <c r="M136" i="8"/>
  <c r="E110" i="8"/>
  <c r="R9" i="8"/>
  <c r="AM69" i="7"/>
  <c r="AM70" i="7" s="1"/>
  <c r="AA69" i="7"/>
  <c r="AA70" i="7" s="1"/>
  <c r="C158" i="8"/>
  <c r="R85" i="8"/>
  <c r="I10" i="6"/>
  <c r="I39" i="6" s="1"/>
  <c r="AS149" i="7"/>
  <c r="AC149" i="7"/>
  <c r="M149" i="7"/>
  <c r="C69" i="7"/>
  <c r="C70" i="7" s="1"/>
  <c r="I120" i="7"/>
  <c r="AH69" i="7"/>
  <c r="AH70" i="7" s="1"/>
  <c r="AE69" i="7"/>
  <c r="AE70" i="7" s="1"/>
  <c r="R87" i="8"/>
  <c r="G67" i="8"/>
  <c r="G53" i="8" s="1"/>
  <c r="K93" i="8"/>
  <c r="M58" i="8"/>
  <c r="H26" i="8"/>
  <c r="C106" i="8"/>
  <c r="Q44" i="8"/>
  <c r="E31" i="8"/>
  <c r="R139" i="8"/>
  <c r="R65" i="8"/>
  <c r="R22" i="8"/>
  <c r="R162" i="8"/>
  <c r="AI69" i="7"/>
  <c r="AI70" i="7" s="1"/>
  <c r="P124" i="7"/>
  <c r="X69" i="7"/>
  <c r="X70" i="7" s="1"/>
  <c r="P69" i="7"/>
  <c r="P70" i="7" s="1"/>
  <c r="Z120" i="7"/>
  <c r="Y120" i="7"/>
  <c r="AT69" i="7"/>
  <c r="AT70" i="7" s="1"/>
  <c r="AL120" i="7"/>
  <c r="BE120" i="7"/>
  <c r="BJ120" i="7"/>
  <c r="AR120" i="7"/>
  <c r="I69" i="7"/>
  <c r="I70" i="7" s="1"/>
  <c r="E120" i="7"/>
  <c r="AR69" i="7"/>
  <c r="AR70" i="7" s="1"/>
  <c r="BB120" i="7"/>
  <c r="AM120" i="7"/>
  <c r="AJ120" i="7"/>
  <c r="J69" i="7"/>
  <c r="J70" i="7" s="1"/>
  <c r="R180" i="8"/>
  <c r="R73" i="8"/>
  <c r="D54" i="8"/>
  <c r="D53" i="8" s="1"/>
  <c r="M28" i="8"/>
  <c r="J27" i="8"/>
  <c r="J145" i="8"/>
  <c r="M146" i="8"/>
  <c r="M31" i="8"/>
  <c r="N53" i="8"/>
  <c r="Q31" i="8"/>
  <c r="E159" i="8"/>
  <c r="B158" i="8"/>
  <c r="B93" i="8"/>
  <c r="E94" i="8"/>
  <c r="I163" i="8"/>
  <c r="K158" i="8"/>
  <c r="R141" i="8"/>
  <c r="P54" i="8"/>
  <c r="J13" i="8"/>
  <c r="M14" i="8"/>
  <c r="R169" i="8"/>
  <c r="R111" i="8"/>
  <c r="R109" i="8"/>
  <c r="I84" i="8"/>
  <c r="R70" i="8"/>
  <c r="E58" i="8"/>
  <c r="E44" i="8"/>
  <c r="I28" i="8"/>
  <c r="F27" i="8"/>
  <c r="F123" i="8"/>
  <c r="Q55" i="8"/>
  <c r="P40" i="8"/>
  <c r="M159" i="8"/>
  <c r="N145" i="8"/>
  <c r="Q146" i="8"/>
  <c r="B145" i="8"/>
  <c r="E146" i="8"/>
  <c r="R161" i="8"/>
  <c r="I159" i="8"/>
  <c r="E186" i="8"/>
  <c r="R155" i="8"/>
  <c r="I146" i="8"/>
  <c r="F145" i="8"/>
  <c r="R137" i="8"/>
  <c r="R118" i="8"/>
  <c r="N106" i="8"/>
  <c r="Q107" i="8"/>
  <c r="R103" i="8"/>
  <c r="R95" i="8"/>
  <c r="R138" i="8"/>
  <c r="I94" i="8"/>
  <c r="F93" i="8"/>
  <c r="R77" i="8"/>
  <c r="I58" i="8"/>
  <c r="M124" i="8"/>
  <c r="J123" i="8"/>
  <c r="O123" i="8"/>
  <c r="F106" i="8"/>
  <c r="I107" i="8"/>
  <c r="K67" i="8"/>
  <c r="K53" i="8" s="1"/>
  <c r="R125" i="8"/>
  <c r="J106" i="8"/>
  <c r="M107" i="8"/>
  <c r="M97" i="8"/>
  <c r="E81" i="8"/>
  <c r="B80" i="8"/>
  <c r="O67" i="8"/>
  <c r="Q67" i="8" s="1"/>
  <c r="Q68" i="8"/>
  <c r="L54" i="8"/>
  <c r="R46" i="8"/>
  <c r="F13" i="8"/>
  <c r="I14" i="8"/>
  <c r="M171" i="8"/>
  <c r="E128" i="8"/>
  <c r="G123" i="8"/>
  <c r="C93" i="8"/>
  <c r="G93" i="8"/>
  <c r="R72" i="8"/>
  <c r="C67" i="8"/>
  <c r="E68" i="8"/>
  <c r="R59" i="8"/>
  <c r="R43" i="8"/>
  <c r="B40" i="8"/>
  <c r="R29" i="8"/>
  <c r="E28" i="8"/>
  <c r="B27" i="8"/>
  <c r="R18" i="8"/>
  <c r="I124" i="8"/>
  <c r="R112" i="8"/>
  <c r="I97" i="8"/>
  <c r="F54" i="8"/>
  <c r="B106" i="8"/>
  <c r="E107" i="8"/>
  <c r="N13" i="8"/>
  <c r="Q14" i="8"/>
  <c r="Q94" i="8"/>
  <c r="N93" i="8"/>
  <c r="F158" i="8"/>
  <c r="R69" i="8"/>
  <c r="R86" i="8"/>
  <c r="O106" i="8"/>
  <c r="Q58" i="8"/>
  <c r="R173" i="8"/>
  <c r="R157" i="8"/>
  <c r="R147" i="8"/>
  <c r="E150" i="8"/>
  <c r="R142" i="8"/>
  <c r="R79" i="8"/>
  <c r="R160" i="8"/>
  <c r="E71" i="8"/>
  <c r="B67" i="8"/>
  <c r="Q159" i="8"/>
  <c r="N123" i="8"/>
  <c r="I68" i="8"/>
  <c r="F67" i="8"/>
  <c r="B54" i="8"/>
  <c r="C123" i="8"/>
  <c r="J93" i="8"/>
  <c r="M94" i="8"/>
  <c r="M68" i="8"/>
  <c r="J67" i="8"/>
  <c r="H54" i="8"/>
  <c r="H53" i="8" s="1"/>
  <c r="R34" i="8"/>
  <c r="B13" i="8"/>
  <c r="E14" i="8"/>
  <c r="B123" i="8"/>
  <c r="I110" i="8"/>
  <c r="R96" i="8"/>
  <c r="J80" i="8"/>
  <c r="R51" i="8"/>
  <c r="Q28" i="8"/>
  <c r="N27" i="8"/>
  <c r="R7" i="8"/>
  <c r="K123" i="8"/>
  <c r="M110" i="8"/>
  <c r="I81" i="8"/>
  <c r="F80" i="8"/>
  <c r="I80" i="8" s="1"/>
  <c r="I55" i="8"/>
  <c r="AW162" i="7"/>
  <c r="AH162" i="7"/>
  <c r="AH137" i="7" s="1"/>
  <c r="L137" i="7"/>
  <c r="N162" i="7"/>
  <c r="O162" i="7" s="1"/>
  <c r="AG136" i="7"/>
  <c r="AG139" i="7" s="1"/>
  <c r="AG140" i="7" s="1"/>
  <c r="AL136" i="7"/>
  <c r="AL139" i="7" s="1"/>
  <c r="AL140" i="7" s="1"/>
  <c r="W124" i="7"/>
  <c r="Z124" i="7"/>
  <c r="V124" i="7"/>
  <c r="Y124" i="7"/>
  <c r="X124" i="7"/>
  <c r="AJ69" i="7"/>
  <c r="AJ70" i="7" s="1"/>
  <c r="T69" i="7"/>
  <c r="T70" i="7" s="1"/>
  <c r="H69" i="7"/>
  <c r="H70" i="7" s="1"/>
  <c r="AQ120" i="7"/>
  <c r="W120" i="7"/>
  <c r="F120" i="7"/>
  <c r="AS20" i="7"/>
  <c r="AS15" i="7"/>
  <c r="AG126" i="7"/>
  <c r="AJ126" i="7"/>
  <c r="AF126" i="7"/>
  <c r="R120" i="7"/>
  <c r="U120" i="7"/>
  <c r="L15" i="7"/>
  <c r="L20" i="7"/>
  <c r="BH120" i="7"/>
  <c r="BD120" i="7"/>
  <c r="AI120" i="7"/>
  <c r="N120" i="7"/>
  <c r="D120" i="7"/>
  <c r="BC120" i="7"/>
  <c r="AV120" i="7"/>
  <c r="AE120" i="7"/>
  <c r="AX15" i="7"/>
  <c r="AX20" i="7"/>
  <c r="AP20" i="7"/>
  <c r="AP15" i="7"/>
  <c r="AH15" i="7"/>
  <c r="AH20" i="7"/>
  <c r="N20" i="7"/>
  <c r="N15" i="7"/>
  <c r="BD144" i="7"/>
  <c r="BD146" i="7" s="1"/>
  <c r="BD23" i="7"/>
  <c r="BD21" i="7"/>
  <c r="Z144" i="7"/>
  <c r="Z146" i="7" s="1"/>
  <c r="Z23" i="7"/>
  <c r="Z31" i="7" s="1"/>
  <c r="Z21" i="7"/>
  <c r="J144" i="7"/>
  <c r="J146" i="7" s="1"/>
  <c r="J23" i="7"/>
  <c r="J31" i="7" s="1"/>
  <c r="J21" i="7"/>
  <c r="Y149" i="7"/>
  <c r="AN149" i="7"/>
  <c r="X149" i="7"/>
  <c r="AQ149" i="7"/>
  <c r="AA149" i="7"/>
  <c r="K149" i="7"/>
  <c r="AL149" i="7"/>
  <c r="AU124" i="7"/>
  <c r="AQ124" i="7"/>
  <c r="AX124" i="7"/>
  <c r="AT124" i="7"/>
  <c r="AP124" i="7"/>
  <c r="AS124" i="7"/>
  <c r="AR124" i="7"/>
  <c r="AW124" i="7"/>
  <c r="AV124" i="7"/>
  <c r="AO69" i="7"/>
  <c r="AO70" i="7" s="1"/>
  <c r="AN69" i="7"/>
  <c r="AN70" i="7" s="1"/>
  <c r="BF120" i="7"/>
  <c r="AT120" i="7"/>
  <c r="AO137" i="7"/>
  <c r="X120" i="7"/>
  <c r="J120" i="7"/>
  <c r="AN15" i="7"/>
  <c r="AN20" i="7"/>
  <c r="S124" i="7"/>
  <c r="R124" i="7"/>
  <c r="U124" i="7"/>
  <c r="T124" i="7"/>
  <c r="Q124" i="7"/>
  <c r="BI120" i="7"/>
  <c r="AN120" i="7"/>
  <c r="S120" i="7"/>
  <c r="P137" i="7"/>
  <c r="AR15" i="7"/>
  <c r="AR20" i="7"/>
  <c r="AF120" i="7"/>
  <c r="O120" i="7"/>
  <c r="M120" i="7"/>
  <c r="AQ15" i="7"/>
  <c r="AQ20" i="7"/>
  <c r="BG120" i="7"/>
  <c r="AX120" i="7"/>
  <c r="AW120" i="7"/>
  <c r="AB120" i="7"/>
  <c r="BA144" i="7"/>
  <c r="BA146" i="7" s="1"/>
  <c r="BA21" i="7"/>
  <c r="BA23" i="7"/>
  <c r="AC144" i="7"/>
  <c r="AC146" i="7" s="1"/>
  <c r="AC23" i="7"/>
  <c r="AC31" i="7" s="1"/>
  <c r="AC21" i="7"/>
  <c r="V144" i="7"/>
  <c r="V146" i="7" s="1"/>
  <c r="V23" i="7"/>
  <c r="V31" i="7" s="1"/>
  <c r="V21" i="7"/>
  <c r="AY89" i="7"/>
  <c r="M20" i="7"/>
  <c r="M15" i="7"/>
  <c r="AK120" i="7"/>
  <c r="T120" i="7"/>
  <c r="BL120" i="7"/>
  <c r="AZ115" i="7"/>
  <c r="AZ120" i="7" s="1"/>
  <c r="L120" i="7"/>
  <c r="F69" i="7"/>
  <c r="F70" i="7" s="1"/>
  <c r="BK120" i="7"/>
  <c r="AY115" i="7"/>
  <c r="AY120" i="7" s="1"/>
  <c r="AA120" i="7"/>
  <c r="AC120" i="7"/>
  <c r="AT20" i="7"/>
  <c r="AT15" i="7"/>
  <c r="AL15" i="7"/>
  <c r="AL20" i="7"/>
  <c r="R15" i="7"/>
  <c r="R20" i="7"/>
  <c r="BK144" i="7"/>
  <c r="BK146" i="7" s="1"/>
  <c r="BK21" i="7"/>
  <c r="BK23" i="7"/>
  <c r="AE144" i="7"/>
  <c r="AE146" i="7" s="1"/>
  <c r="AE21" i="7"/>
  <c r="AE23" i="7"/>
  <c r="AE31" i="7" s="1"/>
  <c r="AI144" i="7"/>
  <c r="AI146" i="7" s="1"/>
  <c r="AI21" i="7"/>
  <c r="AI23" i="7"/>
  <c r="AI31" i="7" s="1"/>
  <c r="AV144" i="7"/>
  <c r="AV146" i="7" s="1"/>
  <c r="AV21" i="7"/>
  <c r="AV23" i="7"/>
  <c r="AV31" i="7" s="1"/>
  <c r="AB144" i="7"/>
  <c r="AB146" i="7" s="1"/>
  <c r="AB21" i="7"/>
  <c r="AB23" i="7"/>
  <c r="AB31" i="7" s="1"/>
  <c r="T144" i="7"/>
  <c r="T146" i="7" s="1"/>
  <c r="T23" i="7"/>
  <c r="T31" i="7" s="1"/>
  <c r="T21" i="7"/>
  <c r="AD144" i="7"/>
  <c r="AD146" i="7" s="1"/>
  <c r="AD23" i="7"/>
  <c r="AD31" i="7" s="1"/>
  <c r="AD21" i="7"/>
  <c r="AV149" i="7"/>
  <c r="AF149" i="7"/>
  <c r="P149" i="7"/>
  <c r="AI149" i="7"/>
  <c r="S149" i="7"/>
  <c r="AM124" i="7"/>
  <c r="AL124" i="7"/>
  <c r="AK124" i="7"/>
  <c r="AO124" i="7"/>
  <c r="AN124" i="7"/>
  <c r="AP120" i="7"/>
  <c r="AS120" i="7"/>
  <c r="V120" i="7"/>
  <c r="M137" i="7"/>
  <c r="BA120" i="7"/>
  <c r="AJ136" i="7"/>
  <c r="AJ139" i="7" s="1"/>
  <c r="AJ140" i="7" s="1"/>
  <c r="AO120" i="7"/>
  <c r="Q120" i="7"/>
  <c r="U69" i="7"/>
  <c r="U70" i="7" s="1"/>
  <c r="AH120" i="7"/>
  <c r="AG120" i="7"/>
  <c r="P120" i="7"/>
  <c r="H120" i="7"/>
  <c r="Z69" i="7"/>
  <c r="Z70" i="7" s="1"/>
  <c r="AU120" i="7"/>
  <c r="AD120" i="7"/>
  <c r="K120" i="7"/>
  <c r="AM162" i="7"/>
  <c r="BI144" i="7"/>
  <c r="BI146" i="7" s="1"/>
  <c r="BI23" i="7"/>
  <c r="BI21" i="7"/>
  <c r="U144" i="7"/>
  <c r="U146" i="7" s="1"/>
  <c r="U21" i="7"/>
  <c r="U23" i="7"/>
  <c r="U31" i="7" s="1"/>
  <c r="BB144" i="7"/>
  <c r="BB146" i="7" s="1"/>
  <c r="BB23" i="7"/>
  <c r="BB21" i="7"/>
  <c r="BK23" i="6"/>
  <c r="IC23" i="6"/>
  <c r="BZ24" i="6"/>
  <c r="ID24" i="6"/>
  <c r="CH14" i="6"/>
  <c r="BY14" i="6"/>
  <c r="DL12" i="6"/>
  <c r="BZ17" i="6"/>
  <c r="CD17" i="6"/>
  <c r="BG39" i="6"/>
  <c r="BV10" i="6"/>
  <c r="BV14" i="6" s="1"/>
  <c r="BV45" i="6" s="1"/>
  <c r="F43" i="6"/>
  <c r="F18" i="6"/>
  <c r="BY15" i="6"/>
  <c r="AN39" i="6"/>
  <c r="AN14" i="6"/>
  <c r="AN45" i="6" s="1"/>
  <c r="BC10" i="6"/>
  <c r="AN12" i="6"/>
  <c r="P52" i="6"/>
  <c r="P42" i="6"/>
  <c r="R13" i="6"/>
  <c r="AV28" i="6"/>
  <c r="BK22" i="6"/>
  <c r="IC22" i="6"/>
  <c r="AC53" i="6"/>
  <c r="AC46" i="6"/>
  <c r="AR16" i="6"/>
  <c r="AC42" i="6"/>
  <c r="AC52" i="6"/>
  <c r="ID26" i="6"/>
  <c r="BZ26" i="6"/>
  <c r="EA15" i="6"/>
  <c r="BQ15" i="6"/>
  <c r="BQ14" i="6"/>
  <c r="AJ42" i="6"/>
  <c r="C39" i="6"/>
  <c r="C49" i="6" s="1"/>
  <c r="C19" i="6"/>
  <c r="C29" i="6" s="1"/>
  <c r="D29" i="6" s="1"/>
  <c r="BO15" i="6"/>
  <c r="BK6" i="6"/>
  <c r="ID6" i="6" s="1"/>
  <c r="P43" i="6"/>
  <c r="R12" i="6"/>
  <c r="P18" i="6"/>
  <c r="P45" i="6"/>
  <c r="R45" i="6" s="1"/>
  <c r="R14" i="6"/>
  <c r="CJ12" i="6"/>
  <c r="CD16" i="6"/>
  <c r="BY12" i="6"/>
  <c r="U43" i="6"/>
  <c r="U48" i="6" s="1"/>
  <c r="U49" i="6" s="1"/>
  <c r="U18" i="6"/>
  <c r="CE6" i="6"/>
  <c r="BZ6" i="6"/>
  <c r="IE6" i="6" s="1"/>
  <c r="BK25" i="6"/>
  <c r="IC25" i="6"/>
  <c r="DN15" i="6"/>
  <c r="F42" i="6"/>
  <c r="F52" i="6"/>
  <c r="BW12" i="6"/>
  <c r="BG12" i="6"/>
  <c r="H52" i="6"/>
  <c r="H42" i="6"/>
  <c r="H48" i="6" s="1"/>
  <c r="H49" i="6" s="1"/>
  <c r="BG14" i="6"/>
  <c r="BG45" i="6" s="1"/>
  <c r="AG7" i="6"/>
  <c r="IB5" i="6"/>
  <c r="AC18" i="6"/>
  <c r="AA16" i="6"/>
  <c r="AA39" i="6"/>
  <c r="AA14" i="6"/>
  <c r="AA45" i="6" s="1"/>
  <c r="AA12" i="6"/>
  <c r="AA13" i="6"/>
  <c r="AP10" i="6"/>
  <c r="AA15" i="6"/>
  <c r="AA44" i="6" s="1"/>
  <c r="AV5" i="6"/>
  <c r="P53" i="6"/>
  <c r="R53" i="6" s="1"/>
  <c r="IA53" i="6" s="1"/>
  <c r="R16" i="6"/>
  <c r="FZ14" i="6"/>
  <c r="H18" i="6"/>
  <c r="J43" i="6"/>
  <c r="J18" i="6"/>
  <c r="BK5" i="6"/>
  <c r="BN5" i="6"/>
  <c r="GT14" i="6"/>
  <c r="N52" i="6"/>
  <c r="N42" i="6"/>
  <c r="N48" i="6" s="1"/>
  <c r="N49" i="6" s="1"/>
  <c r="N18" i="6"/>
  <c r="L43" i="6"/>
  <c r="L48" i="6" s="1"/>
  <c r="L49" i="6" s="1"/>
  <c r="L18" i="6"/>
  <c r="CL14" i="6"/>
  <c r="BU14" i="6"/>
  <c r="DY12" i="6"/>
  <c r="DA15" i="6"/>
  <c r="BO12" i="6"/>
  <c r="W39" i="6"/>
  <c r="W14" i="6"/>
  <c r="W45" i="6" s="1"/>
  <c r="W13" i="6"/>
  <c r="W16" i="6"/>
  <c r="AL10" i="6"/>
  <c r="W15" i="6"/>
  <c r="W44" i="6" s="1"/>
  <c r="W12" i="6"/>
  <c r="HZ39" i="6"/>
  <c r="HZ49" i="6" s="1"/>
  <c r="R39" i="6"/>
  <c r="S24" i="6"/>
  <c r="S26" i="6"/>
  <c r="S22" i="6"/>
  <c r="S25" i="6"/>
  <c r="S27" i="6"/>
  <c r="S23" i="6"/>
  <c r="M10" i="6"/>
  <c r="M39" i="6" s="1"/>
  <c r="P44" i="6"/>
  <c r="R44" i="6" s="1"/>
  <c r="R15" i="6"/>
  <c r="J42" i="6"/>
  <c r="J52" i="6"/>
  <c r="AE14" i="6"/>
  <c r="AE13" i="6"/>
  <c r="AE39" i="6"/>
  <c r="AE12" i="6"/>
  <c r="AT10" i="6"/>
  <c r="AE15" i="6"/>
  <c r="AE16" i="6"/>
  <c r="AG10" i="6"/>
  <c r="AF10" i="6" s="1"/>
  <c r="AF39" i="6" s="1"/>
  <c r="E67" i="8" l="1"/>
  <c r="I106" i="8"/>
  <c r="E80" i="8"/>
  <c r="C53" i="8"/>
  <c r="C119" i="8" s="1"/>
  <c r="C120" i="8" s="1"/>
  <c r="C121" i="8" s="1"/>
  <c r="M40" i="8"/>
  <c r="P26" i="8"/>
  <c r="P53" i="8"/>
  <c r="Q80" i="8"/>
  <c r="R132" i="8"/>
  <c r="L53" i="8"/>
  <c r="L119" i="8" s="1"/>
  <c r="L120" i="8" s="1"/>
  <c r="L121" i="8" s="1"/>
  <c r="W23" i="7"/>
  <c r="W31" i="7" s="1"/>
  <c r="W94" i="7" s="1"/>
  <c r="W114" i="7" s="1"/>
  <c r="W21" i="7"/>
  <c r="R55" i="8"/>
  <c r="J48" i="6"/>
  <c r="J49" i="6" s="1"/>
  <c r="J50" i="6" s="1"/>
  <c r="BN16" i="6"/>
  <c r="BN46" i="6" s="1"/>
  <c r="AJ144" i="7"/>
  <c r="AJ146" i="7" s="1"/>
  <c r="AJ150" i="7" s="1"/>
  <c r="AU21" i="7"/>
  <c r="AJ21" i="7"/>
  <c r="AZ23" i="7"/>
  <c r="Q94" i="7"/>
  <c r="Q114" i="7" s="1"/>
  <c r="AU144" i="7"/>
  <c r="AU146" i="7" s="1"/>
  <c r="AU150" i="7" s="1"/>
  <c r="BF23" i="7"/>
  <c r="O21" i="7"/>
  <c r="E21" i="7"/>
  <c r="AM21" i="7"/>
  <c r="F144" i="7"/>
  <c r="F146" i="7" s="1"/>
  <c r="F150" i="7" s="1"/>
  <c r="BN14" i="6"/>
  <c r="BN45" i="6" s="1"/>
  <c r="CC10" i="6"/>
  <c r="CC14" i="6" s="1"/>
  <c r="E23" i="7"/>
  <c r="E31" i="7" s="1"/>
  <c r="E94" i="7" s="1"/>
  <c r="E114" i="7" s="1"/>
  <c r="U150" i="7"/>
  <c r="AB150" i="7"/>
  <c r="C144" i="7"/>
  <c r="C146" i="7" s="1"/>
  <c r="C150" i="7" s="1"/>
  <c r="AY21" i="7"/>
  <c r="BC21" i="7"/>
  <c r="I21" i="7"/>
  <c r="O144" i="7"/>
  <c r="O146" i="7" s="1"/>
  <c r="O150" i="7" s="1"/>
  <c r="M158" i="8"/>
  <c r="AY14" i="6"/>
  <c r="AY45" i="6" s="1"/>
  <c r="AM144" i="7"/>
  <c r="AM146" i="7" s="1"/>
  <c r="AM150" i="7" s="1"/>
  <c r="AY12" i="6"/>
  <c r="AY43" i="6" s="1"/>
  <c r="AY16" i="6"/>
  <c r="AY46" i="6" s="1"/>
  <c r="D21" i="7"/>
  <c r="C21" i="7"/>
  <c r="BC144" i="7"/>
  <c r="BC146" i="7" s="1"/>
  <c r="I23" i="7"/>
  <c r="I31" i="7" s="1"/>
  <c r="I36" i="7" s="1"/>
  <c r="AY23" i="7"/>
  <c r="BN39" i="6"/>
  <c r="D23" i="7"/>
  <c r="D31" i="7" s="1"/>
  <c r="D94" i="7" s="1"/>
  <c r="D114" i="7" s="1"/>
  <c r="AK144" i="7"/>
  <c r="AK146" i="7" s="1"/>
  <c r="AK150" i="7" s="1"/>
  <c r="AY39" i="6"/>
  <c r="AY15" i="6"/>
  <c r="AY44" i="6" s="1"/>
  <c r="AF23" i="7"/>
  <c r="AF31" i="7" s="1"/>
  <c r="AF94" i="7" s="1"/>
  <c r="AF114" i="7" s="1"/>
  <c r="BL23" i="7"/>
  <c r="R11" i="8"/>
  <c r="R6" i="8"/>
  <c r="AF144" i="7"/>
  <c r="AF146" i="7" s="1"/>
  <c r="AF150" i="7" s="1"/>
  <c r="AA21" i="7"/>
  <c r="AR137" i="7"/>
  <c r="Y52" i="6"/>
  <c r="AN52" i="6" s="1"/>
  <c r="H23" i="7"/>
  <c r="H31" i="7" s="1"/>
  <c r="H36" i="7" s="1"/>
  <c r="S21" i="7"/>
  <c r="H144" i="7"/>
  <c r="H146" i="7" s="1"/>
  <c r="H150" i="7" s="1"/>
  <c r="S144" i="7"/>
  <c r="S146" i="7" s="1"/>
  <c r="S150" i="7" s="1"/>
  <c r="AA23" i="7"/>
  <c r="AA31" i="7" s="1"/>
  <c r="AA36" i="7" s="1"/>
  <c r="BL21" i="7"/>
  <c r="E158" i="8"/>
  <c r="K21" i="7"/>
  <c r="F21" i="7"/>
  <c r="R150" i="8"/>
  <c r="BH23" i="7"/>
  <c r="AS162" i="7"/>
  <c r="AS137" i="7" s="1"/>
  <c r="AT137" i="7" s="1"/>
  <c r="E106" i="8"/>
  <c r="D176" i="8"/>
  <c r="AO36" i="7"/>
  <c r="AO37" i="7" s="1"/>
  <c r="Y21" i="7"/>
  <c r="AZ144" i="7"/>
  <c r="AZ146" i="7" s="1"/>
  <c r="BH21" i="7"/>
  <c r="Y23" i="7"/>
  <c r="Y31" i="7" s="1"/>
  <c r="Y36" i="7" s="1"/>
  <c r="Y37" i="7" s="1"/>
  <c r="Y150" i="7"/>
  <c r="C176" i="8"/>
  <c r="R163" i="8"/>
  <c r="L176" i="8"/>
  <c r="AK21" i="7"/>
  <c r="Y53" i="6"/>
  <c r="E40" i="8"/>
  <c r="R14" i="8"/>
  <c r="Y46" i="6"/>
  <c r="Y48" i="6" s="1"/>
  <c r="Y49" i="6" s="1"/>
  <c r="X144" i="7"/>
  <c r="X146" i="7" s="1"/>
  <c r="X150" i="7" s="1"/>
  <c r="BJ21" i="7"/>
  <c r="X21" i="7"/>
  <c r="H119" i="8"/>
  <c r="H120" i="8" s="1"/>
  <c r="H121" i="8" s="1"/>
  <c r="E150" i="7"/>
  <c r="AD150" i="7"/>
  <c r="T150" i="7"/>
  <c r="BG144" i="7"/>
  <c r="BG146" i="7" s="1"/>
  <c r="I150" i="7"/>
  <c r="BJ23" i="7"/>
  <c r="M80" i="8"/>
  <c r="R58" i="8"/>
  <c r="R171" i="8"/>
  <c r="M106" i="8"/>
  <c r="BM59" i="1"/>
  <c r="BO59" i="13"/>
  <c r="R167" i="8"/>
  <c r="AG150" i="7"/>
  <c r="P23" i="7"/>
  <c r="P31" i="7" s="1"/>
  <c r="P94" i="7" s="1"/>
  <c r="P114" i="7" s="1"/>
  <c r="AC150" i="7"/>
  <c r="D150" i="7"/>
  <c r="P21" i="7"/>
  <c r="BG23" i="7"/>
  <c r="W150" i="7"/>
  <c r="R107" i="8"/>
  <c r="H176" i="8"/>
  <c r="R154" i="8"/>
  <c r="K144" i="7"/>
  <c r="K146" i="7" s="1"/>
  <c r="K150" i="7" s="1"/>
  <c r="R28" i="8"/>
  <c r="Y18" i="6"/>
  <c r="Y19" i="6" s="1"/>
  <c r="Z150" i="7"/>
  <c r="K176" i="8"/>
  <c r="I67" i="8"/>
  <c r="R41" i="8"/>
  <c r="R81" i="8"/>
  <c r="R128" i="8"/>
  <c r="P176" i="8"/>
  <c r="R140" i="8"/>
  <c r="R124" i="8"/>
  <c r="R136" i="8"/>
  <c r="IC28" i="6"/>
  <c r="BF144" i="7"/>
  <c r="BF146" i="7" s="1"/>
  <c r="R84" i="8"/>
  <c r="R80" i="8" s="1"/>
  <c r="Q93" i="8"/>
  <c r="P119" i="8"/>
  <c r="P120" i="8" s="1"/>
  <c r="P121" i="8" s="1"/>
  <c r="V150" i="7"/>
  <c r="R68" i="8"/>
  <c r="R186" i="8"/>
  <c r="G144" i="7"/>
  <c r="G146" i="7" s="1"/>
  <c r="G150" i="7" s="1"/>
  <c r="Q158" i="8"/>
  <c r="AE150" i="7"/>
  <c r="G23" i="7"/>
  <c r="G31" i="7" s="1"/>
  <c r="G94" i="7" s="1"/>
  <c r="G114" i="7" s="1"/>
  <c r="Q40" i="8"/>
  <c r="R31" i="8"/>
  <c r="O176" i="8"/>
  <c r="K119" i="8"/>
  <c r="K120" i="8" s="1"/>
  <c r="K121" i="8" s="1"/>
  <c r="R97" i="8"/>
  <c r="I123" i="8"/>
  <c r="R110" i="8"/>
  <c r="O53" i="8"/>
  <c r="O119" i="8" s="1"/>
  <c r="O120" i="8" s="1"/>
  <c r="X10" i="6"/>
  <c r="X39" i="6" s="1"/>
  <c r="G119" i="8"/>
  <c r="G120" i="8" s="1"/>
  <c r="G121" i="8" s="1"/>
  <c r="R146" i="8"/>
  <c r="J150" i="7"/>
  <c r="E123" i="8"/>
  <c r="M93" i="8"/>
  <c r="I158" i="8"/>
  <c r="R17" i="8"/>
  <c r="G176" i="8"/>
  <c r="M123" i="8"/>
  <c r="AV150" i="7"/>
  <c r="N176" i="8"/>
  <c r="Q145" i="8"/>
  <c r="F53" i="8"/>
  <c r="I53" i="8" s="1"/>
  <c r="I54" i="8"/>
  <c r="I13" i="8"/>
  <c r="B176" i="8"/>
  <c r="E145" i="8"/>
  <c r="Q27" i="8"/>
  <c r="N26" i="8"/>
  <c r="M67" i="8"/>
  <c r="Q123" i="8"/>
  <c r="J53" i="8"/>
  <c r="E27" i="8"/>
  <c r="B26" i="8"/>
  <c r="R71" i="8"/>
  <c r="R44" i="8"/>
  <c r="Q106" i="8"/>
  <c r="F176" i="8"/>
  <c r="I145" i="8"/>
  <c r="E93" i="8"/>
  <c r="Q54" i="8"/>
  <c r="J176" i="8"/>
  <c r="M145" i="8"/>
  <c r="I27" i="8"/>
  <c r="F26" i="8"/>
  <c r="R159" i="8"/>
  <c r="E13" i="8"/>
  <c r="E54" i="8"/>
  <c r="B53" i="8"/>
  <c r="E53" i="8" s="1"/>
  <c r="M54" i="8"/>
  <c r="Q13" i="8"/>
  <c r="I93" i="8"/>
  <c r="R94" i="8"/>
  <c r="D119" i="8"/>
  <c r="D120" i="8" s="1"/>
  <c r="M13" i="8"/>
  <c r="M27" i="8"/>
  <c r="J26" i="8"/>
  <c r="AH136" i="7"/>
  <c r="AH139" i="7" s="1"/>
  <c r="AH140" i="7" s="1"/>
  <c r="AX162" i="7"/>
  <c r="AY162" i="7" s="1"/>
  <c r="AI162" i="7"/>
  <c r="AI137" i="7" s="1"/>
  <c r="AJ137" i="7" s="1"/>
  <c r="U94" i="7"/>
  <c r="U114" i="7" s="1"/>
  <c r="U36" i="7"/>
  <c r="AI36" i="7"/>
  <c r="AE94" i="7"/>
  <c r="AE114" i="7" s="1"/>
  <c r="AE36" i="7"/>
  <c r="AL144" i="7"/>
  <c r="AL146" i="7" s="1"/>
  <c r="AL150" i="7" s="1"/>
  <c r="AL23" i="7"/>
  <c r="AL31" i="7" s="1"/>
  <c r="AL21" i="7"/>
  <c r="AN144" i="7"/>
  <c r="AN146" i="7" s="1"/>
  <c r="AN150" i="7" s="1"/>
  <c r="AN23" i="7"/>
  <c r="AN31" i="7" s="1"/>
  <c r="AN21" i="7"/>
  <c r="P150" i="7"/>
  <c r="AV94" i="7"/>
  <c r="AV36" i="7"/>
  <c r="AI150" i="7"/>
  <c r="K94" i="7"/>
  <c r="K114" i="7" s="1"/>
  <c r="K36" i="7"/>
  <c r="R144" i="7"/>
  <c r="R146" i="7" s="1"/>
  <c r="R23" i="7"/>
  <c r="R21" i="7"/>
  <c r="Q76" i="7"/>
  <c r="Q79" i="7" s="1"/>
  <c r="Q90" i="7" s="1"/>
  <c r="Q5" i="7" s="1"/>
  <c r="Q37" i="7"/>
  <c r="V94" i="7"/>
  <c r="V114" i="7" s="1"/>
  <c r="V36" i="7"/>
  <c r="AQ144" i="7"/>
  <c r="AQ146" i="7" s="1"/>
  <c r="AQ150" i="7" s="1"/>
  <c r="AQ21" i="7"/>
  <c r="AQ23" i="7"/>
  <c r="AQ31" i="7" s="1"/>
  <c r="AR144" i="7"/>
  <c r="AR146" i="7" s="1"/>
  <c r="AR150" i="7" s="1"/>
  <c r="AR21" i="7"/>
  <c r="AR23" i="7"/>
  <c r="AR31" i="7" s="1"/>
  <c r="S36" i="7"/>
  <c r="O36" i="7"/>
  <c r="AH144" i="7"/>
  <c r="AH146" i="7" s="1"/>
  <c r="AH150" i="7" s="1"/>
  <c r="AH23" i="7"/>
  <c r="AH31" i="7" s="1"/>
  <c r="AH21" i="7"/>
  <c r="AX144" i="7"/>
  <c r="AX146" i="7" s="1"/>
  <c r="AX150" i="7" s="1"/>
  <c r="AX23" i="7"/>
  <c r="AX31" i="7" s="1"/>
  <c r="AX21" i="7"/>
  <c r="L144" i="7"/>
  <c r="L146" i="7" s="1"/>
  <c r="L150" i="7" s="1"/>
  <c r="L21" i="7"/>
  <c r="L23" i="7"/>
  <c r="L31" i="7" s="1"/>
  <c r="AK94" i="7"/>
  <c r="AK114" i="7" s="1"/>
  <c r="AK36" i="7"/>
  <c r="T36" i="7"/>
  <c r="AB36" i="7"/>
  <c r="C76" i="7"/>
  <c r="C37" i="7"/>
  <c r="AT144" i="7"/>
  <c r="AT146" i="7" s="1"/>
  <c r="AT150" i="7" s="1"/>
  <c r="AT23" i="7"/>
  <c r="AT21" i="7"/>
  <c r="M144" i="7"/>
  <c r="M146" i="7" s="1"/>
  <c r="M150" i="7" s="1"/>
  <c r="M23" i="7"/>
  <c r="M31" i="7" s="1"/>
  <c r="M21" i="7"/>
  <c r="F94" i="7"/>
  <c r="F114" i="7" s="1"/>
  <c r="F36" i="7"/>
  <c r="Z94" i="7"/>
  <c r="Z114" i="7" s="1"/>
  <c r="Z36" i="7"/>
  <c r="X36" i="7"/>
  <c r="AM36" i="7"/>
  <c r="AC36" i="7"/>
  <c r="AG37" i="7"/>
  <c r="J94" i="7"/>
  <c r="J114" i="7" s="1"/>
  <c r="J36" i="7"/>
  <c r="AW37" i="7"/>
  <c r="AS144" i="7"/>
  <c r="AS146" i="7" s="1"/>
  <c r="AS150" i="7" s="1"/>
  <c r="AS23" i="7"/>
  <c r="AS31" i="7" s="1"/>
  <c r="AS21" i="7"/>
  <c r="AM136" i="7"/>
  <c r="AM139" i="7" s="1"/>
  <c r="AM140" i="7" s="1"/>
  <c r="AM137" i="7"/>
  <c r="AD36" i="7"/>
  <c r="AN162" i="7"/>
  <c r="AJ94" i="7"/>
  <c r="AJ114" i="7" s="1"/>
  <c r="AJ36" i="7"/>
  <c r="AA150" i="7"/>
  <c r="AU94" i="7"/>
  <c r="AU114" i="7" s="1"/>
  <c r="AU36" i="7"/>
  <c r="N144" i="7"/>
  <c r="N146" i="7" s="1"/>
  <c r="N150" i="7" s="1"/>
  <c r="N23" i="7"/>
  <c r="N31" i="7" s="1"/>
  <c r="N21" i="7"/>
  <c r="AP144" i="7"/>
  <c r="AP146" i="7" s="1"/>
  <c r="AP150" i="7" s="1"/>
  <c r="AP23" i="7"/>
  <c r="AP31" i="7" s="1"/>
  <c r="AP21" i="7"/>
  <c r="W36" i="7"/>
  <c r="O49" i="6"/>
  <c r="N50" i="6"/>
  <c r="S44" i="6"/>
  <c r="IA44" i="6"/>
  <c r="L50" i="6"/>
  <c r="M49" i="6"/>
  <c r="S45" i="6"/>
  <c r="IA45" i="6"/>
  <c r="AE44" i="6"/>
  <c r="AG44" i="6" s="1"/>
  <c r="IB44" i="6" s="1"/>
  <c r="AG15" i="6"/>
  <c r="AE43" i="6"/>
  <c r="AG12" i="6"/>
  <c r="AE18" i="6"/>
  <c r="N22" i="6"/>
  <c r="J22" i="6"/>
  <c r="P22" i="6"/>
  <c r="F22" i="6"/>
  <c r="L22" i="6"/>
  <c r="H22" i="6"/>
  <c r="W43" i="6"/>
  <c r="W18" i="6"/>
  <c r="BN12" i="6"/>
  <c r="CD12" i="6"/>
  <c r="DP15" i="6"/>
  <c r="AV7" i="6"/>
  <c r="IC5" i="6"/>
  <c r="AG39" i="6"/>
  <c r="AH23" i="6"/>
  <c r="AH24" i="6"/>
  <c r="AH10" i="6"/>
  <c r="AH26" i="6"/>
  <c r="AD10" i="6"/>
  <c r="AD39" i="6" s="1"/>
  <c r="V10" i="6"/>
  <c r="V39" i="6" s="1"/>
  <c r="AH22" i="6"/>
  <c r="Z10" i="6"/>
  <c r="Z39" i="6" s="1"/>
  <c r="AH25" i="6"/>
  <c r="AE45" i="6"/>
  <c r="AG45" i="6" s="1"/>
  <c r="IB45" i="6" s="1"/>
  <c r="AG14" i="6"/>
  <c r="N24" i="6"/>
  <c r="N56" i="6" s="1"/>
  <c r="F24" i="6"/>
  <c r="F56" i="6" s="1"/>
  <c r="H24" i="6"/>
  <c r="H56" i="6" s="1"/>
  <c r="J24" i="6"/>
  <c r="J56" i="6" s="1"/>
  <c r="P24" i="6"/>
  <c r="P56" i="6" s="1"/>
  <c r="L24" i="6"/>
  <c r="L56" i="6" s="1"/>
  <c r="HZ20" i="6"/>
  <c r="HZ9" i="6" s="1"/>
  <c r="HZ29" i="6"/>
  <c r="HZ30" i="6" s="1"/>
  <c r="AL39" i="6"/>
  <c r="BA10" i="6"/>
  <c r="AL12" i="6"/>
  <c r="AL14" i="6"/>
  <c r="AL15" i="6"/>
  <c r="H50" i="6"/>
  <c r="I49" i="6"/>
  <c r="CJ14" i="6"/>
  <c r="CC5" i="6"/>
  <c r="BZ5" i="6"/>
  <c r="S16" i="6"/>
  <c r="IA16" i="6"/>
  <c r="IA46" i="6" s="1"/>
  <c r="BE10" i="6"/>
  <c r="AP39" i="6"/>
  <c r="AP15" i="6"/>
  <c r="AP44" i="6" s="1"/>
  <c r="AP14" i="6"/>
  <c r="AP45" i="6" s="1"/>
  <c r="AP12" i="6"/>
  <c r="AY52" i="6"/>
  <c r="R42" i="6"/>
  <c r="F48" i="6"/>
  <c r="F49" i="6" s="1"/>
  <c r="V18" i="6"/>
  <c r="U19" i="6"/>
  <c r="CN12" i="6"/>
  <c r="Q18" i="6"/>
  <c r="P19" i="6"/>
  <c r="AJ48" i="6"/>
  <c r="AJ49" i="6" s="1"/>
  <c r="AY42" i="6"/>
  <c r="AJ13" i="6"/>
  <c r="CF14" i="6"/>
  <c r="AR53" i="6"/>
  <c r="AR46" i="6"/>
  <c r="BG16" i="6"/>
  <c r="AN43" i="6"/>
  <c r="G18" i="6"/>
  <c r="F19" i="6"/>
  <c r="CO17" i="6"/>
  <c r="CS17" i="6"/>
  <c r="CW14" i="6"/>
  <c r="AE53" i="6"/>
  <c r="AE46" i="6"/>
  <c r="AT16" i="6"/>
  <c r="AG16" i="6"/>
  <c r="AT39" i="6"/>
  <c r="AV10" i="6"/>
  <c r="BI10" i="6"/>
  <c r="AT15" i="6"/>
  <c r="AT44" i="6" s="1"/>
  <c r="AT14" i="6"/>
  <c r="AT45" i="6" s="1"/>
  <c r="AT12" i="6"/>
  <c r="IA15" i="6"/>
  <c r="S15" i="6"/>
  <c r="J25" i="6"/>
  <c r="J57" i="6" s="1"/>
  <c r="F25" i="6"/>
  <c r="F57" i="6" s="1"/>
  <c r="L25" i="6"/>
  <c r="L57" i="6" s="1"/>
  <c r="N25" i="6"/>
  <c r="N57" i="6" s="1"/>
  <c r="P25" i="6"/>
  <c r="P57" i="6" s="1"/>
  <c r="H25" i="6"/>
  <c r="H57" i="6" s="1"/>
  <c r="HZ63" i="6"/>
  <c r="HZ50" i="6"/>
  <c r="W53" i="6"/>
  <c r="W46" i="6"/>
  <c r="AL16" i="6"/>
  <c r="EN12" i="6"/>
  <c r="DA14" i="6"/>
  <c r="O18" i="6"/>
  <c r="N19" i="6"/>
  <c r="HI14" i="6"/>
  <c r="ID5" i="6"/>
  <c r="BK7" i="6"/>
  <c r="I18" i="6"/>
  <c r="H19" i="6"/>
  <c r="AA42" i="6"/>
  <c r="AA52" i="6"/>
  <c r="AB10" i="6"/>
  <c r="AB39" i="6" s="1"/>
  <c r="BG43" i="6"/>
  <c r="ID25" i="6"/>
  <c r="BZ25" i="6"/>
  <c r="CY12" i="6"/>
  <c r="IA12" i="6"/>
  <c r="R18" i="6"/>
  <c r="S12" i="6"/>
  <c r="AN42" i="6"/>
  <c r="C64" i="6"/>
  <c r="C65" i="6" s="1"/>
  <c r="C50" i="6"/>
  <c r="CF15" i="6"/>
  <c r="AR52" i="6"/>
  <c r="BZ22" i="6"/>
  <c r="BK28" i="6"/>
  <c r="ID22" i="6"/>
  <c r="IA13" i="6"/>
  <c r="S13" i="6"/>
  <c r="BC39" i="6"/>
  <c r="BC15" i="6"/>
  <c r="BC44" i="6" s="1"/>
  <c r="BR10" i="6"/>
  <c r="BC12" i="6"/>
  <c r="BC14" i="6"/>
  <c r="BC45" i="6" s="1"/>
  <c r="R43" i="6"/>
  <c r="CN14" i="6"/>
  <c r="K18" i="6"/>
  <c r="J19" i="6"/>
  <c r="AA53" i="6"/>
  <c r="AA46" i="6"/>
  <c r="AP16" i="6"/>
  <c r="AD18" i="6"/>
  <c r="AC19" i="6"/>
  <c r="BC16" i="6"/>
  <c r="AN53" i="6"/>
  <c r="AN46" i="6"/>
  <c r="BV12" i="6"/>
  <c r="CL12" i="6"/>
  <c r="EC15" i="6"/>
  <c r="CD53" i="6"/>
  <c r="CS16" i="6"/>
  <c r="IA14" i="6"/>
  <c r="S14" i="6"/>
  <c r="CD15" i="6"/>
  <c r="BN15" i="6"/>
  <c r="IE26" i="6"/>
  <c r="CO26" i="6"/>
  <c r="AR42" i="6"/>
  <c r="AC48" i="6"/>
  <c r="AC49" i="6" s="1"/>
  <c r="P48" i="6"/>
  <c r="P49" i="6" s="1"/>
  <c r="CN15" i="6"/>
  <c r="BZ23" i="6"/>
  <c r="ID23" i="6"/>
  <c r="AE52" i="6"/>
  <c r="AE42" i="6"/>
  <c r="AG13" i="6"/>
  <c r="F23" i="6"/>
  <c r="F55" i="6" s="1"/>
  <c r="P23" i="6"/>
  <c r="P55" i="6" s="1"/>
  <c r="H23" i="6"/>
  <c r="H55" i="6" s="1"/>
  <c r="N23" i="6"/>
  <c r="N55" i="6" s="1"/>
  <c r="J23" i="6"/>
  <c r="J55" i="6" s="1"/>
  <c r="L23" i="6"/>
  <c r="L55" i="6" s="1"/>
  <c r="N26" i="6"/>
  <c r="N58" i="6" s="1"/>
  <c r="F26" i="6"/>
  <c r="F58" i="6" s="1"/>
  <c r="J26" i="6"/>
  <c r="J58" i="6" s="1"/>
  <c r="L26" i="6"/>
  <c r="L58" i="6" s="1"/>
  <c r="P26" i="6"/>
  <c r="P58" i="6" s="1"/>
  <c r="H26" i="6"/>
  <c r="H58" i="6" s="1"/>
  <c r="W52" i="6"/>
  <c r="W42" i="6"/>
  <c r="M18" i="6"/>
  <c r="L19" i="6"/>
  <c r="GO14" i="6"/>
  <c r="AA43" i="6"/>
  <c r="AA18" i="6"/>
  <c r="IB7" i="6"/>
  <c r="IB10" i="6"/>
  <c r="R52" i="6"/>
  <c r="CT6" i="6"/>
  <c r="CO6" i="6"/>
  <c r="IF6" i="6" s="1"/>
  <c r="BO62" i="6"/>
  <c r="V49" i="6"/>
  <c r="U50" i="6"/>
  <c r="EP15" i="6"/>
  <c r="BV39" i="6"/>
  <c r="CK10" i="6"/>
  <c r="BV15" i="6"/>
  <c r="BV44" i="6" s="1"/>
  <c r="EA12" i="6"/>
  <c r="IE24" i="6"/>
  <c r="CO24" i="6"/>
  <c r="M53" i="8" l="1"/>
  <c r="AG94" i="7"/>
  <c r="AG114" i="7" s="1"/>
  <c r="R54" i="8"/>
  <c r="S54" i="8" s="1"/>
  <c r="R106" i="8"/>
  <c r="S106" i="8" s="1"/>
  <c r="R93" i="8"/>
  <c r="CR10" i="6"/>
  <c r="CR16" i="6" s="1"/>
  <c r="CC16" i="6"/>
  <c r="CC46" i="6" s="1"/>
  <c r="CC39" i="6"/>
  <c r="AF36" i="7"/>
  <c r="AF37" i="7" s="1"/>
  <c r="D36" i="7"/>
  <c r="D37" i="7" s="1"/>
  <c r="AS136" i="7"/>
  <c r="AT136" i="7" s="1"/>
  <c r="I94" i="7"/>
  <c r="I114" i="7" s="1"/>
  <c r="E36" i="7"/>
  <c r="E37" i="7" s="1"/>
  <c r="P36" i="7"/>
  <c r="P37" i="7" s="1"/>
  <c r="R40" i="8"/>
  <c r="S40" i="8" s="1"/>
  <c r="H94" i="7"/>
  <c r="H114" i="7" s="1"/>
  <c r="AA94" i="7"/>
  <c r="AA114" i="7" s="1"/>
  <c r="AB94" i="7"/>
  <c r="AB114" i="7" s="1"/>
  <c r="AO76" i="7"/>
  <c r="AR128" i="7" s="1"/>
  <c r="AR129" i="7" s="1"/>
  <c r="H177" i="8"/>
  <c r="H187" i="8" s="1"/>
  <c r="H192" i="8" s="1"/>
  <c r="L177" i="8"/>
  <c r="L187" i="8" s="1"/>
  <c r="L192" i="8" s="1"/>
  <c r="R67" i="8"/>
  <c r="S67" i="8" s="1"/>
  <c r="R13" i="8"/>
  <c r="S13" i="8" s="1"/>
  <c r="AT162" i="7"/>
  <c r="M176" i="8"/>
  <c r="E176" i="8"/>
  <c r="R158" i="8"/>
  <c r="G36" i="7"/>
  <c r="G37" i="7" s="1"/>
  <c r="Z18" i="6"/>
  <c r="P177" i="8"/>
  <c r="P178" i="8" s="1"/>
  <c r="C177" i="8"/>
  <c r="C187" i="8" s="1"/>
  <c r="C192" i="8" s="1"/>
  <c r="O177" i="8"/>
  <c r="O187" i="8" s="1"/>
  <c r="K177" i="8"/>
  <c r="K187" i="8" s="1"/>
  <c r="K192" i="8" s="1"/>
  <c r="Q53" i="8"/>
  <c r="O121" i="8"/>
  <c r="R123" i="8"/>
  <c r="R27" i="8"/>
  <c r="S27" i="8" s="1"/>
  <c r="I176" i="8"/>
  <c r="G177" i="8"/>
  <c r="G187" i="8" s="1"/>
  <c r="G192" i="8" s="1"/>
  <c r="AG43" i="6"/>
  <c r="IB43" i="6" s="1"/>
  <c r="Q176" i="8"/>
  <c r="R55" i="6"/>
  <c r="IA55" i="6" s="1"/>
  <c r="HZ64" i="6"/>
  <c r="AI136" i="7"/>
  <c r="AI139" i="7" s="1"/>
  <c r="AI140" i="7" s="1"/>
  <c r="AG46" i="6"/>
  <c r="J119" i="8"/>
  <c r="M26" i="8"/>
  <c r="R145" i="8"/>
  <c r="N119" i="8"/>
  <c r="Q26" i="8"/>
  <c r="D177" i="8"/>
  <c r="D121" i="8"/>
  <c r="F119" i="8"/>
  <c r="I26" i="8"/>
  <c r="B119" i="8"/>
  <c r="E26" i="8"/>
  <c r="AD37" i="7"/>
  <c r="H76" i="7"/>
  <c r="H37" i="7"/>
  <c r="Z37" i="7"/>
  <c r="Z76" i="7"/>
  <c r="F76" i="7"/>
  <c r="F37" i="7"/>
  <c r="T37" i="7"/>
  <c r="L94" i="7"/>
  <c r="L114" i="7" s="1"/>
  <c r="L36" i="7"/>
  <c r="AX36" i="7"/>
  <c r="AP94" i="7"/>
  <c r="AP114" i="7" s="1"/>
  <c r="AP36" i="7"/>
  <c r="I76" i="7"/>
  <c r="I37" i="7"/>
  <c r="J37" i="7"/>
  <c r="J76" i="7"/>
  <c r="X94" i="7"/>
  <c r="AB37" i="7"/>
  <c r="O94" i="7"/>
  <c r="O114" i="7" s="1"/>
  <c r="AV37" i="7"/>
  <c r="AN36" i="7"/>
  <c r="W37" i="7"/>
  <c r="AU76" i="7"/>
  <c r="AU37" i="7"/>
  <c r="AA76" i="7"/>
  <c r="AA79" i="7" s="1"/>
  <c r="AA90" i="7" s="1"/>
  <c r="AA5" i="7" s="1"/>
  <c r="AA37" i="7"/>
  <c r="M94" i="7"/>
  <c r="M114" i="7" s="1"/>
  <c r="M36" i="7"/>
  <c r="AK76" i="7"/>
  <c r="AK79" i="7" s="1"/>
  <c r="AK90" i="7" s="1"/>
  <c r="AK5" i="7" s="1"/>
  <c r="AK37" i="7"/>
  <c r="AH94" i="7"/>
  <c r="AH36" i="7"/>
  <c r="S37" i="7"/>
  <c r="K76" i="7"/>
  <c r="K37" i="7"/>
  <c r="AV114" i="7"/>
  <c r="AW94" i="7"/>
  <c r="AW114" i="7" s="1"/>
  <c r="AL94" i="7"/>
  <c r="AL36" i="7"/>
  <c r="AI37" i="7"/>
  <c r="V76" i="7"/>
  <c r="V79" i="7" s="1"/>
  <c r="V90" i="7" s="1"/>
  <c r="V5" i="7" s="1"/>
  <c r="V37" i="7"/>
  <c r="N94" i="7"/>
  <c r="N114" i="7" s="1"/>
  <c r="N36" i="7"/>
  <c r="AJ76" i="7"/>
  <c r="AJ37" i="7"/>
  <c r="AN137" i="7"/>
  <c r="AN136" i="7"/>
  <c r="AN139" i="7" s="1"/>
  <c r="AN140" i="7" s="1"/>
  <c r="AS36" i="7"/>
  <c r="AC37" i="7"/>
  <c r="AM37" i="7"/>
  <c r="X37" i="7"/>
  <c r="D128" i="7"/>
  <c r="D129" i="7" s="1"/>
  <c r="D130" i="7" s="1"/>
  <c r="D132" i="7" s="1"/>
  <c r="C79" i="7"/>
  <c r="C90" i="7" s="1"/>
  <c r="C5" i="7" s="1"/>
  <c r="O37" i="7"/>
  <c r="AR36" i="7"/>
  <c r="AQ94" i="7"/>
  <c r="AQ114" i="7" s="1"/>
  <c r="AQ36" i="7"/>
  <c r="AE76" i="7"/>
  <c r="AE37" i="7"/>
  <c r="U76" i="7"/>
  <c r="U37" i="7"/>
  <c r="HD14" i="6"/>
  <c r="AL52" i="6"/>
  <c r="AG52" i="6"/>
  <c r="AT52" i="6"/>
  <c r="BC52" i="6"/>
  <c r="AP46" i="6"/>
  <c r="AP53" i="6"/>
  <c r="BE16" i="6"/>
  <c r="BG52" i="6"/>
  <c r="AP52" i="6"/>
  <c r="O19" i="6"/>
  <c r="AV39" i="6"/>
  <c r="AW10" i="6"/>
  <c r="AW24" i="6"/>
  <c r="AK10" i="6"/>
  <c r="AK39" i="6" s="1"/>
  <c r="AW26" i="6"/>
  <c r="AS10" i="6"/>
  <c r="AS39" i="6" s="1"/>
  <c r="AW22" i="6"/>
  <c r="AW23" i="6"/>
  <c r="AO10" i="6"/>
  <c r="AO39" i="6" s="1"/>
  <c r="AW25" i="6"/>
  <c r="AP43" i="6"/>
  <c r="AL43" i="6"/>
  <c r="AV12" i="6"/>
  <c r="R56" i="6"/>
  <c r="IA56" i="6" s="1"/>
  <c r="AC26" i="6"/>
  <c r="AC58" i="6" s="1"/>
  <c r="U26" i="6"/>
  <c r="U58" i="6" s="1"/>
  <c r="Y26" i="6"/>
  <c r="Y58" i="6" s="1"/>
  <c r="AA26" i="6"/>
  <c r="AA58" i="6" s="1"/>
  <c r="W26" i="6"/>
  <c r="W58" i="6" s="1"/>
  <c r="AE26" i="6"/>
  <c r="AE58" i="6" s="1"/>
  <c r="AC23" i="6"/>
  <c r="AC55" i="6" s="1"/>
  <c r="Y23" i="6"/>
  <c r="Y55" i="6" s="1"/>
  <c r="U23" i="6"/>
  <c r="U55" i="6" s="1"/>
  <c r="AE23" i="6"/>
  <c r="AE55" i="6" s="1"/>
  <c r="AA23" i="6"/>
  <c r="AA55" i="6" s="1"/>
  <c r="W23" i="6"/>
  <c r="W55" i="6" s="1"/>
  <c r="BN43" i="6"/>
  <c r="L28" i="6"/>
  <c r="L29" i="6" s="1"/>
  <c r="M29" i="6" s="1"/>
  <c r="L54" i="6"/>
  <c r="L62" i="6" s="1"/>
  <c r="L64" i="6" s="1"/>
  <c r="L65" i="6" s="1"/>
  <c r="N54" i="6"/>
  <c r="N62" i="6" s="1"/>
  <c r="N64" i="6" s="1"/>
  <c r="N65" i="6" s="1"/>
  <c r="N28" i="6"/>
  <c r="N29" i="6" s="1"/>
  <c r="O29" i="6" s="1"/>
  <c r="AH15" i="6"/>
  <c r="IB15" i="6"/>
  <c r="Z19" i="6"/>
  <c r="AB18" i="6"/>
  <c r="AA19" i="6"/>
  <c r="DA12" i="6"/>
  <c r="CK12" i="6"/>
  <c r="IA43" i="6"/>
  <c r="S43" i="6"/>
  <c r="ID28" i="6"/>
  <c r="AP42" i="6"/>
  <c r="AA48" i="6"/>
  <c r="AA49" i="6" s="1"/>
  <c r="FC12" i="6"/>
  <c r="R57" i="6"/>
  <c r="IA57" i="6" s="1"/>
  <c r="AT43" i="6"/>
  <c r="AH16" i="6"/>
  <c r="IB16" i="6"/>
  <c r="IB46" i="6" s="1"/>
  <c r="G19" i="6"/>
  <c r="AY48" i="6"/>
  <c r="AY49" i="6" s="1"/>
  <c r="BN42" i="6"/>
  <c r="AY13" i="6"/>
  <c r="F50" i="6"/>
  <c r="G49" i="6"/>
  <c r="CY14" i="6"/>
  <c r="AM10" i="6"/>
  <c r="AM39" i="6" s="1"/>
  <c r="U22" i="6"/>
  <c r="Y22" i="6"/>
  <c r="AC22" i="6"/>
  <c r="AA22" i="6"/>
  <c r="W22" i="6"/>
  <c r="AE22" i="6"/>
  <c r="EE15" i="6"/>
  <c r="X18" i="6"/>
  <c r="W19" i="6"/>
  <c r="F54" i="6"/>
  <c r="F28" i="6"/>
  <c r="F29" i="6" s="1"/>
  <c r="G29" i="6" s="1"/>
  <c r="AF18" i="6"/>
  <c r="AE19" i="6"/>
  <c r="EP12" i="6"/>
  <c r="CK39" i="6"/>
  <c r="CZ10" i="6"/>
  <c r="CZ14" i="6" s="1"/>
  <c r="CZ45" i="6" s="1"/>
  <c r="CK15" i="6"/>
  <c r="CK44" i="6" s="1"/>
  <c r="DI6" i="6"/>
  <c r="DD6" i="6"/>
  <c r="IG6" i="6" s="1"/>
  <c r="IB39" i="6"/>
  <c r="M19" i="6"/>
  <c r="IB13" i="6"/>
  <c r="AH13" i="6"/>
  <c r="AR48" i="6"/>
  <c r="AR49" i="6" s="1"/>
  <c r="BG42" i="6"/>
  <c r="AR13" i="6"/>
  <c r="AR18" i="6" s="1"/>
  <c r="BN44" i="6"/>
  <c r="CD62" i="6"/>
  <c r="BV43" i="6"/>
  <c r="AD19" i="6"/>
  <c r="DC14" i="6"/>
  <c r="CU15" i="6"/>
  <c r="S18" i="6"/>
  <c r="R19" i="6"/>
  <c r="IE25" i="6"/>
  <c r="CO25" i="6"/>
  <c r="CC45" i="6"/>
  <c r="I19" i="6"/>
  <c r="DP14" i="6"/>
  <c r="AT46" i="6"/>
  <c r="AT53" i="6"/>
  <c r="BI16" i="6"/>
  <c r="DL14" i="6"/>
  <c r="BG53" i="6"/>
  <c r="BG46" i="6"/>
  <c r="BV16" i="6"/>
  <c r="CU14" i="6"/>
  <c r="AJ50" i="6"/>
  <c r="AK49" i="6"/>
  <c r="DC12" i="6"/>
  <c r="IA42" i="6"/>
  <c r="R48" i="6"/>
  <c r="R49" i="6" s="1"/>
  <c r="BE39" i="6"/>
  <c r="BT10" i="6"/>
  <c r="BE15" i="6"/>
  <c r="BE44" i="6" s="1"/>
  <c r="BE12" i="6"/>
  <c r="BE14" i="6"/>
  <c r="BE45" i="6" s="1"/>
  <c r="BZ7" i="6"/>
  <c r="IE5" i="6"/>
  <c r="AL44" i="6"/>
  <c r="AV44" i="6" s="1"/>
  <c r="IC44" i="6" s="1"/>
  <c r="AV15" i="6"/>
  <c r="IC15" i="6" s="1"/>
  <c r="BA39" i="6"/>
  <c r="BA12" i="6"/>
  <c r="BP10" i="6"/>
  <c r="BA14" i="6"/>
  <c r="BA15" i="6"/>
  <c r="IC10" i="6"/>
  <c r="IC7" i="6"/>
  <c r="P28" i="6"/>
  <c r="P29" i="6" s="1"/>
  <c r="Q29" i="6" s="1"/>
  <c r="P54" i="6"/>
  <c r="P62" i="6" s="1"/>
  <c r="P64" i="6" s="1"/>
  <c r="P65" i="6" s="1"/>
  <c r="AG18" i="6"/>
  <c r="AG19" i="6" s="1"/>
  <c r="IB12" i="6"/>
  <c r="AH12" i="6"/>
  <c r="DC15" i="6"/>
  <c r="IF26" i="6"/>
  <c r="DD26" i="6"/>
  <c r="ER15" i="6"/>
  <c r="BC43" i="6"/>
  <c r="Y50" i="6"/>
  <c r="Z49" i="6"/>
  <c r="DN12" i="6"/>
  <c r="AU10" i="6"/>
  <c r="AU39" i="6" s="1"/>
  <c r="BN52" i="6"/>
  <c r="AQ10" i="6"/>
  <c r="AQ39" i="6" s="1"/>
  <c r="IB14" i="6"/>
  <c r="AH14" i="6"/>
  <c r="R58" i="6"/>
  <c r="IA58" i="6" s="1"/>
  <c r="AD49" i="6"/>
  <c r="AC50" i="6"/>
  <c r="CS53" i="6"/>
  <c r="DH16" i="6"/>
  <c r="BC46" i="6"/>
  <c r="BR16" i="6"/>
  <c r="BC53" i="6"/>
  <c r="BR39" i="6"/>
  <c r="CG10" i="6"/>
  <c r="BR15" i="6"/>
  <c r="BR44" i="6" s="1"/>
  <c r="BR12" i="6"/>
  <c r="BR14" i="6"/>
  <c r="BR45" i="6" s="1"/>
  <c r="ID10" i="6"/>
  <c r="ID7" i="6"/>
  <c r="AG53" i="6"/>
  <c r="IB53" i="6" s="1"/>
  <c r="BK10" i="6"/>
  <c r="BI39" i="6"/>
  <c r="BX10" i="6"/>
  <c r="BI12" i="6"/>
  <c r="BI15" i="6"/>
  <c r="BI44" i="6" s="1"/>
  <c r="BI14" i="6"/>
  <c r="BI45" i="6" s="1"/>
  <c r="IF24" i="6"/>
  <c r="DD24" i="6"/>
  <c r="FE15" i="6"/>
  <c r="IA52" i="6"/>
  <c r="W48" i="6"/>
  <c r="W49" i="6" s="1"/>
  <c r="AL42" i="6"/>
  <c r="AG42" i="6"/>
  <c r="AE48" i="6"/>
  <c r="AE49" i="6" s="1"/>
  <c r="AT42" i="6"/>
  <c r="CO23" i="6"/>
  <c r="IE23" i="6"/>
  <c r="P50" i="6"/>
  <c r="Q49" i="6"/>
  <c r="CS15" i="6"/>
  <c r="CC15" i="6"/>
  <c r="K19" i="6"/>
  <c r="BZ28" i="6"/>
  <c r="CO22" i="6"/>
  <c r="IE22" i="6"/>
  <c r="AN48" i="6"/>
  <c r="AN49" i="6" s="1"/>
  <c r="BC42" i="6"/>
  <c r="AN13" i="6"/>
  <c r="AN18" i="6" s="1"/>
  <c r="IA18" i="6"/>
  <c r="IA19" i="6" s="1"/>
  <c r="CK14" i="6"/>
  <c r="CK45" i="6" s="1"/>
  <c r="AL46" i="6"/>
  <c r="AL53" i="6"/>
  <c r="BA16" i="6"/>
  <c r="AV16" i="6"/>
  <c r="IC16" i="6" s="1"/>
  <c r="IC46" i="6" s="1"/>
  <c r="DD17" i="6"/>
  <c r="DH17" i="6"/>
  <c r="AJ18" i="6"/>
  <c r="Q19" i="6"/>
  <c r="V19" i="6"/>
  <c r="CR5" i="6"/>
  <c r="CO5" i="6"/>
  <c r="AL45" i="6"/>
  <c r="AV45" i="6" s="1"/>
  <c r="IC45" i="6" s="1"/>
  <c r="AV14" i="6"/>
  <c r="IC14" i="6" s="1"/>
  <c r="U25" i="6"/>
  <c r="U57" i="6" s="1"/>
  <c r="AC25" i="6"/>
  <c r="AC57" i="6" s="1"/>
  <c r="Y25" i="6"/>
  <c r="Y57" i="6" s="1"/>
  <c r="AE25" i="6"/>
  <c r="AE57" i="6" s="1"/>
  <c r="AA25" i="6"/>
  <c r="AA57" i="6" s="1"/>
  <c r="W25" i="6"/>
  <c r="W57" i="6" s="1"/>
  <c r="U24" i="6"/>
  <c r="U56" i="6" s="1"/>
  <c r="AC24" i="6"/>
  <c r="AC56" i="6" s="1"/>
  <c r="Y24" i="6"/>
  <c r="Y56" i="6" s="1"/>
  <c r="W24" i="6"/>
  <c r="W56" i="6" s="1"/>
  <c r="AE24" i="6"/>
  <c r="AE56" i="6" s="1"/>
  <c r="AA24" i="6"/>
  <c r="AA56" i="6" s="1"/>
  <c r="CS12" i="6"/>
  <c r="CC12" i="6"/>
  <c r="H28" i="6"/>
  <c r="H29" i="6" s="1"/>
  <c r="I29" i="6" s="1"/>
  <c r="H54" i="6"/>
  <c r="H62" i="6" s="1"/>
  <c r="H64" i="6" s="1"/>
  <c r="H65" i="6" s="1"/>
  <c r="J54" i="6"/>
  <c r="J62" i="6" s="1"/>
  <c r="J64" i="6" s="1"/>
  <c r="J65" i="6" s="1"/>
  <c r="J28" i="6"/>
  <c r="J29" i="6" s="1"/>
  <c r="K29" i="6" s="1"/>
  <c r="E76" i="7" l="1"/>
  <c r="E79" i="7" s="1"/>
  <c r="E90" i="7" s="1"/>
  <c r="E5" i="7" s="1"/>
  <c r="D76" i="7"/>
  <c r="E128" i="7" s="1"/>
  <c r="E129" i="7" s="1"/>
  <c r="E130" i="7" s="1"/>
  <c r="AS139" i="7"/>
  <c r="AS140" i="7" s="1"/>
  <c r="AT140" i="7" s="1"/>
  <c r="CR14" i="6"/>
  <c r="CR45" i="6" s="1"/>
  <c r="DG10" i="6"/>
  <c r="DG14" i="6" s="1"/>
  <c r="CR39" i="6"/>
  <c r="AF76" i="7"/>
  <c r="AF79" i="7" s="1"/>
  <c r="AF90" i="7" s="1"/>
  <c r="AF5" i="7" s="1"/>
  <c r="AC94" i="7"/>
  <c r="AC114" i="7" s="1"/>
  <c r="L178" i="8"/>
  <c r="AO79" i="7"/>
  <c r="AO90" i="7" s="1"/>
  <c r="AO5" i="7" s="1"/>
  <c r="H178" i="8"/>
  <c r="AQ128" i="7"/>
  <c r="AQ129" i="7" s="1"/>
  <c r="AQ130" i="7" s="1"/>
  <c r="AS128" i="7"/>
  <c r="AS129" i="7" s="1"/>
  <c r="AP128" i="7"/>
  <c r="AP129" i="7" s="1"/>
  <c r="AP130" i="7" s="1"/>
  <c r="AT128" i="7"/>
  <c r="AT129" i="7" s="1"/>
  <c r="C178" i="8"/>
  <c r="R53" i="8"/>
  <c r="BM3" i="13"/>
  <c r="P187" i="8"/>
  <c r="P188" i="8" s="1"/>
  <c r="P192" i="8" s="1"/>
  <c r="G76" i="7"/>
  <c r="G79" i="7" s="1"/>
  <c r="G90" i="7" s="1"/>
  <c r="G5" i="7" s="1"/>
  <c r="R176" i="8"/>
  <c r="O178" i="8"/>
  <c r="R26" i="8"/>
  <c r="K178" i="8"/>
  <c r="G178" i="8"/>
  <c r="AV53" i="6"/>
  <c r="IC53" i="6" s="1"/>
  <c r="IB18" i="6"/>
  <c r="IB19" i="6" s="1"/>
  <c r="IB20" i="6" s="1"/>
  <c r="IB9" i="6" s="1"/>
  <c r="IA48" i="6"/>
  <c r="IA49" i="6" s="1"/>
  <c r="IA50" i="6" s="1"/>
  <c r="I119" i="8"/>
  <c r="F120" i="8"/>
  <c r="Q119" i="8"/>
  <c r="N120" i="8"/>
  <c r="O188" i="8"/>
  <c r="O192" i="8" s="1"/>
  <c r="M119" i="8"/>
  <c r="J120" i="8"/>
  <c r="E119" i="8"/>
  <c r="B120" i="8"/>
  <c r="D187" i="8"/>
  <c r="D192" i="8" s="1"/>
  <c r="D178" i="8"/>
  <c r="O76" i="7"/>
  <c r="Q128" i="7" s="1"/>
  <c r="Q129" i="7" s="1"/>
  <c r="Q130" i="7" s="1"/>
  <c r="L76" i="7"/>
  <c r="L79" i="7" s="1"/>
  <c r="L90" i="7" s="1"/>
  <c r="L5" i="7" s="1"/>
  <c r="L37" i="7"/>
  <c r="Z79" i="7"/>
  <c r="Z90" i="7" s="1"/>
  <c r="Z5" i="7" s="1"/>
  <c r="AE128" i="7"/>
  <c r="AE129" i="7" s="1"/>
  <c r="AE130" i="7" s="1"/>
  <c r="AJ128" i="7"/>
  <c r="AJ129" i="7" s="1"/>
  <c r="AJ130" i="7" s="1"/>
  <c r="AE79" i="7"/>
  <c r="AE90" i="7" s="1"/>
  <c r="AE5" i="7" s="1"/>
  <c r="AR94" i="7"/>
  <c r="AL76" i="7"/>
  <c r="AL37" i="7"/>
  <c r="AH37" i="7"/>
  <c r="M76" i="7"/>
  <c r="M79" i="7" s="1"/>
  <c r="M90" i="7" s="1"/>
  <c r="M5" i="7" s="1"/>
  <c r="M37" i="7"/>
  <c r="AB76" i="7"/>
  <c r="K128" i="7"/>
  <c r="K129" i="7" s="1"/>
  <c r="K130" i="7" s="1"/>
  <c r="J79" i="7"/>
  <c r="J90" i="7" s="1"/>
  <c r="J5" i="7" s="1"/>
  <c r="AX37" i="7"/>
  <c r="Z128" i="7"/>
  <c r="N76" i="7"/>
  <c r="N79" i="7" s="1"/>
  <c r="N90" i="7" s="1"/>
  <c r="N5" i="7" s="1"/>
  <c r="N37" i="7"/>
  <c r="AQ37" i="7"/>
  <c r="AL114" i="7"/>
  <c r="AM94" i="7"/>
  <c r="O128" i="7"/>
  <c r="O129" i="7" s="1"/>
  <c r="O130" i="7" s="1"/>
  <c r="L128" i="7"/>
  <c r="L129" i="7" s="1"/>
  <c r="L130" i="7" s="1"/>
  <c r="N128" i="7"/>
  <c r="N129" i="7" s="1"/>
  <c r="N130" i="7" s="1"/>
  <c r="P128" i="7"/>
  <c r="P129" i="7" s="1"/>
  <c r="P130" i="7" s="1"/>
  <c r="M128" i="7"/>
  <c r="M129" i="7" s="1"/>
  <c r="M130" i="7" s="1"/>
  <c r="K79" i="7"/>
  <c r="K90" i="7" s="1"/>
  <c r="K5" i="7" s="1"/>
  <c r="AH114" i="7"/>
  <c r="AI94" i="7"/>
  <c r="AI114" i="7" s="1"/>
  <c r="W76" i="7"/>
  <c r="AV76" i="7"/>
  <c r="I79" i="7"/>
  <c r="I90" i="7" s="1"/>
  <c r="I5" i="7" s="1"/>
  <c r="J128" i="7"/>
  <c r="J129" i="7" s="1"/>
  <c r="J130" i="7" s="1"/>
  <c r="AX94" i="7"/>
  <c r="AX114" i="7" s="1"/>
  <c r="G128" i="7"/>
  <c r="G129" i="7" s="1"/>
  <c r="G130" i="7" s="1"/>
  <c r="F79" i="7"/>
  <c r="F90" i="7" s="1"/>
  <c r="F5" i="7" s="1"/>
  <c r="H79" i="7"/>
  <c r="H90" i="7" s="1"/>
  <c r="H5" i="7" s="1"/>
  <c r="I128" i="7"/>
  <c r="I129" i="7" s="1"/>
  <c r="I130" i="7" s="1"/>
  <c r="E131" i="7"/>
  <c r="D6" i="7"/>
  <c r="AN37" i="7"/>
  <c r="AP37" i="7"/>
  <c r="AP76" i="7"/>
  <c r="AP79" i="7" s="1"/>
  <c r="AP90" i="7" s="1"/>
  <c r="AP5" i="7" s="1"/>
  <c r="AR37" i="7"/>
  <c r="AS37" i="7"/>
  <c r="AO128" i="7"/>
  <c r="AO129" i="7" s="1"/>
  <c r="AO130" i="7" s="1"/>
  <c r="AM128" i="7"/>
  <c r="AM129" i="7" s="1"/>
  <c r="AL128" i="7"/>
  <c r="AL129" i="7" s="1"/>
  <c r="AN128" i="7"/>
  <c r="AN129" i="7" s="1"/>
  <c r="AK128" i="7"/>
  <c r="AK129" i="7" s="1"/>
  <c r="AK130" i="7" s="1"/>
  <c r="AJ79" i="7"/>
  <c r="AJ90" i="7" s="1"/>
  <c r="AJ5" i="7" s="1"/>
  <c r="X114" i="7"/>
  <c r="Y94" i="7"/>
  <c r="Y114" i="7" s="1"/>
  <c r="BA42" i="6"/>
  <c r="AL13" i="6"/>
  <c r="AL48" i="6"/>
  <c r="AL49" i="6" s="1"/>
  <c r="AV42" i="6"/>
  <c r="IG24" i="6"/>
  <c r="DS24" i="6"/>
  <c r="BE43" i="6"/>
  <c r="DS17" i="6"/>
  <c r="DW17" i="6"/>
  <c r="BA45" i="6"/>
  <c r="BK45" i="6" s="1"/>
  <c r="ID45" i="6" s="1"/>
  <c r="BK14" i="6"/>
  <c r="ID14" i="6" s="1"/>
  <c r="AG56" i="6"/>
  <c r="IB56" i="6" s="1"/>
  <c r="IF22" i="6"/>
  <c r="DD22" i="6"/>
  <c r="CO28" i="6"/>
  <c r="EC12" i="6"/>
  <c r="AK18" i="6"/>
  <c r="AJ19" i="6"/>
  <c r="BA46" i="6"/>
  <c r="BA53" i="6"/>
  <c r="BP16" i="6"/>
  <c r="BK16" i="6"/>
  <c r="ID16" i="6" s="1"/>
  <c r="ID46" i="6" s="1"/>
  <c r="IF23" i="6"/>
  <c r="DD23" i="6"/>
  <c r="BI43" i="6"/>
  <c r="CC52" i="6"/>
  <c r="CC41" i="6"/>
  <c r="BR42" i="6"/>
  <c r="BC13" i="6"/>
  <c r="BC18" i="6" s="1"/>
  <c r="BC48" i="6"/>
  <c r="BC49" i="6" s="1"/>
  <c r="FT15" i="6"/>
  <c r="BK39" i="6"/>
  <c r="BL10" i="6"/>
  <c r="AZ10" i="6"/>
  <c r="AZ39" i="6" s="1"/>
  <c r="BH10" i="6"/>
  <c r="BH39" i="6" s="1"/>
  <c r="BL24" i="6"/>
  <c r="BL26" i="6"/>
  <c r="BD10" i="6"/>
  <c r="BD39" i="6" s="1"/>
  <c r="BL22" i="6"/>
  <c r="BL23" i="6"/>
  <c r="BL25" i="6"/>
  <c r="BB10" i="6"/>
  <c r="BB39" i="6" s="1"/>
  <c r="BJ10" i="6"/>
  <c r="BJ39" i="6" s="1"/>
  <c r="BF10" i="6"/>
  <c r="BF39" i="6" s="1"/>
  <c r="DD25" i="6"/>
  <c r="IF25" i="6"/>
  <c r="AS18" i="6"/>
  <c r="AR19" i="6"/>
  <c r="AF19" i="6"/>
  <c r="DN14" i="6"/>
  <c r="CK43" i="6"/>
  <c r="IC12" i="6"/>
  <c r="AT22" i="6"/>
  <c r="AJ22" i="6"/>
  <c r="AR22" i="6"/>
  <c r="AN22" i="6"/>
  <c r="AL22" i="6"/>
  <c r="AP22" i="6"/>
  <c r="AR24" i="6"/>
  <c r="AR56" i="6" s="1"/>
  <c r="AJ24" i="6"/>
  <c r="AJ56" i="6" s="1"/>
  <c r="AN24" i="6"/>
  <c r="AN56" i="6" s="1"/>
  <c r="AL24" i="6"/>
  <c r="AL56" i="6" s="1"/>
  <c r="AP24" i="6"/>
  <c r="AP56" i="6" s="1"/>
  <c r="AT24" i="6"/>
  <c r="AT56" i="6" s="1"/>
  <c r="BV52" i="6"/>
  <c r="BR52" i="6"/>
  <c r="W50" i="6"/>
  <c r="X49" i="6"/>
  <c r="ID39" i="6"/>
  <c r="CR46" i="6"/>
  <c r="DS26" i="6"/>
  <c r="IG26" i="6"/>
  <c r="DR15" i="6"/>
  <c r="BP39" i="6"/>
  <c r="CE10" i="6"/>
  <c r="BP12" i="6"/>
  <c r="BP15" i="6"/>
  <c r="BP14" i="6"/>
  <c r="EA14" i="6"/>
  <c r="DJ15" i="6"/>
  <c r="BV42" i="6"/>
  <c r="BG48" i="6"/>
  <c r="BG49" i="6" s="1"/>
  <c r="BG13" i="6"/>
  <c r="BG18" i="6" s="1"/>
  <c r="AE28" i="6"/>
  <c r="AE29" i="6" s="1"/>
  <c r="AF29" i="6" s="1"/>
  <c r="AE54" i="6"/>
  <c r="AE62" i="6" s="1"/>
  <c r="AE64" i="6" s="1"/>
  <c r="AE65" i="6" s="1"/>
  <c r="Y54" i="6"/>
  <c r="Y62" i="6" s="1"/>
  <c r="Y64" i="6" s="1"/>
  <c r="Y65" i="6" s="1"/>
  <c r="Y28" i="6"/>
  <c r="Y29" i="6" s="1"/>
  <c r="Z29" i="6" s="1"/>
  <c r="FR12" i="6"/>
  <c r="DP12" i="6"/>
  <c r="CZ12" i="6"/>
  <c r="AG58" i="6"/>
  <c r="IB58" i="6" s="1"/>
  <c r="AV43" i="6"/>
  <c r="IC43" i="6" s="1"/>
  <c r="AR25" i="6"/>
  <c r="AR57" i="6" s="1"/>
  <c r="AJ25" i="6"/>
  <c r="AJ57" i="6" s="1"/>
  <c r="AN25" i="6"/>
  <c r="AN57" i="6" s="1"/>
  <c r="AT25" i="6"/>
  <c r="AT57" i="6" s="1"/>
  <c r="AP25" i="6"/>
  <c r="AP57" i="6" s="1"/>
  <c r="AL25" i="6"/>
  <c r="AL57" i="6" s="1"/>
  <c r="BI52" i="6"/>
  <c r="DH12" i="6"/>
  <c r="CR12" i="6"/>
  <c r="AG57" i="6"/>
  <c r="IB57" i="6" s="1"/>
  <c r="IF5" i="6"/>
  <c r="CO7" i="6"/>
  <c r="AV46" i="6"/>
  <c r="IA29" i="6"/>
  <c r="IA20" i="6"/>
  <c r="IA9" i="6" s="1"/>
  <c r="CR15" i="6"/>
  <c r="DH15" i="6"/>
  <c r="AE50" i="6"/>
  <c r="AF49" i="6"/>
  <c r="DH53" i="6"/>
  <c r="DW16" i="6"/>
  <c r="IC39" i="6"/>
  <c r="BA43" i="6"/>
  <c r="BK12" i="6"/>
  <c r="BT39" i="6"/>
  <c r="CI10" i="6"/>
  <c r="BT15" i="6"/>
  <c r="BT44" i="6" s="1"/>
  <c r="BT12" i="6"/>
  <c r="BT14" i="6"/>
  <c r="BT45" i="6" s="1"/>
  <c r="DR12" i="6"/>
  <c r="DJ14" i="6"/>
  <c r="BI53" i="6"/>
  <c r="BI46" i="6"/>
  <c r="BX16" i="6"/>
  <c r="EE14" i="6"/>
  <c r="R29" i="6"/>
  <c r="S29" i="6" s="1"/>
  <c r="S19" i="6"/>
  <c r="AR50" i="6"/>
  <c r="AS49" i="6"/>
  <c r="CZ39" i="6"/>
  <c r="DO10" i="6"/>
  <c r="CZ15" i="6"/>
  <c r="CZ44" i="6" s="1"/>
  <c r="FE12" i="6"/>
  <c r="W54" i="6"/>
  <c r="W62" i="6" s="1"/>
  <c r="W64" i="6" s="1"/>
  <c r="W65" i="6" s="1"/>
  <c r="W28" i="6"/>
  <c r="W29" i="6" s="1"/>
  <c r="X29" i="6" s="1"/>
  <c r="U54" i="6"/>
  <c r="U28" i="6"/>
  <c r="U29" i="6" s="1"/>
  <c r="V29" i="6" s="1"/>
  <c r="AY18" i="6"/>
  <c r="AB19" i="6"/>
  <c r="AG55" i="6"/>
  <c r="IB55" i="6" s="1"/>
  <c r="AR26" i="6"/>
  <c r="AR58" i="6" s="1"/>
  <c r="AJ26" i="6"/>
  <c r="AJ58" i="6" s="1"/>
  <c r="AN26" i="6"/>
  <c r="AN58" i="6" s="1"/>
  <c r="AP26" i="6"/>
  <c r="AP58" i="6" s="1"/>
  <c r="AL26" i="6"/>
  <c r="AL58" i="6" s="1"/>
  <c r="AT26" i="6"/>
  <c r="AT58" i="6" s="1"/>
  <c r="BE53" i="6"/>
  <c r="BT16" i="6"/>
  <c r="BE46" i="6"/>
  <c r="HS14" i="6"/>
  <c r="BV53" i="6"/>
  <c r="BV46" i="6"/>
  <c r="CK16" i="6"/>
  <c r="X19" i="6"/>
  <c r="AC54" i="6"/>
  <c r="AC62" i="6" s="1"/>
  <c r="AC64" i="6" s="1"/>
  <c r="AC65" i="6" s="1"/>
  <c r="AC28" i="6"/>
  <c r="AC29" i="6" s="1"/>
  <c r="AD29" i="6" s="1"/>
  <c r="AY50" i="6"/>
  <c r="AZ49" i="6"/>
  <c r="AP48" i="6"/>
  <c r="AP49" i="6" s="1"/>
  <c r="BE42" i="6"/>
  <c r="AP13" i="6"/>
  <c r="AP18" i="6" s="1"/>
  <c r="BA52" i="6"/>
  <c r="AV52" i="6"/>
  <c r="CC43" i="6"/>
  <c r="AO49" i="6"/>
  <c r="AN50" i="6"/>
  <c r="CC44" i="6"/>
  <c r="BI42" i="6"/>
  <c r="AT48" i="6"/>
  <c r="AT49" i="6" s="1"/>
  <c r="AT13" i="6"/>
  <c r="AT18" i="6" s="1"/>
  <c r="BX39" i="6"/>
  <c r="CM10" i="6"/>
  <c r="BZ10" i="6"/>
  <c r="BQ10" i="6" s="1"/>
  <c r="BQ39" i="6" s="1"/>
  <c r="BX14" i="6"/>
  <c r="BX45" i="6" s="1"/>
  <c r="BX12" i="6"/>
  <c r="BX15" i="6"/>
  <c r="BX44" i="6" s="1"/>
  <c r="CG39" i="6"/>
  <c r="CV10" i="6"/>
  <c r="CG15" i="6"/>
  <c r="CG44" i="6" s="1"/>
  <c r="CG12" i="6"/>
  <c r="CG14" i="6"/>
  <c r="CG45" i="6" s="1"/>
  <c r="AG29" i="6"/>
  <c r="AH19" i="6"/>
  <c r="IE7" i="6"/>
  <c r="IE10" i="6"/>
  <c r="DG5" i="6"/>
  <c r="DD5" i="6"/>
  <c r="AO18" i="6"/>
  <c r="AN19" i="6"/>
  <c r="IE28" i="6"/>
  <c r="AG48" i="6"/>
  <c r="AG49" i="6" s="1"/>
  <c r="IB42" i="6"/>
  <c r="IB48" i="6" s="1"/>
  <c r="IB49" i="6" s="1"/>
  <c r="BR43" i="6"/>
  <c r="CG16" i="6"/>
  <c r="BR53" i="6"/>
  <c r="BR46" i="6"/>
  <c r="CS62" i="6"/>
  <c r="FG15" i="6"/>
  <c r="BA44" i="6"/>
  <c r="BK44" i="6" s="1"/>
  <c r="ID44" i="6" s="1"/>
  <c r="BK15" i="6"/>
  <c r="ID15" i="6" s="1"/>
  <c r="R50" i="6"/>
  <c r="DX6" i="6"/>
  <c r="DS6" i="6"/>
  <c r="IH6" i="6" s="1"/>
  <c r="R54" i="6"/>
  <c r="F62" i="6"/>
  <c r="F64" i="6" s="1"/>
  <c r="F65" i="6" s="1"/>
  <c r="ET15" i="6"/>
  <c r="AA28" i="6"/>
  <c r="AA29" i="6" s="1"/>
  <c r="AB29" i="6" s="1"/>
  <c r="AA54" i="6"/>
  <c r="AA62" i="6" s="1"/>
  <c r="AA64" i="6" s="1"/>
  <c r="AA65" i="6" s="1"/>
  <c r="BN48" i="6"/>
  <c r="BN49" i="6" s="1"/>
  <c r="CC42" i="6"/>
  <c r="BN13" i="6"/>
  <c r="AB49" i="6"/>
  <c r="AA50" i="6"/>
  <c r="AJ23" i="6"/>
  <c r="AJ55" i="6" s="1"/>
  <c r="AR23" i="6"/>
  <c r="AR55" i="6" s="1"/>
  <c r="AN23" i="6"/>
  <c r="AN55" i="6" s="1"/>
  <c r="AL23" i="6"/>
  <c r="AL55" i="6" s="1"/>
  <c r="AP23" i="6"/>
  <c r="AP55" i="6" s="1"/>
  <c r="AT23" i="6"/>
  <c r="AT55" i="6" s="1"/>
  <c r="BE52" i="6"/>
  <c r="IB52" i="6"/>
  <c r="AG76" i="7" l="1"/>
  <c r="AG79" i="7" s="1"/>
  <c r="AG90" i="7" s="1"/>
  <c r="AG5" i="7" s="1"/>
  <c r="F128" i="7"/>
  <c r="F129" i="7" s="1"/>
  <c r="F130" i="7" s="1"/>
  <c r="D79" i="7"/>
  <c r="D90" i="7" s="1"/>
  <c r="D5" i="7" s="1"/>
  <c r="AT139" i="7"/>
  <c r="H128" i="7"/>
  <c r="H129" i="7" s="1"/>
  <c r="H130" i="7" s="1"/>
  <c r="DG39" i="6"/>
  <c r="DG16" i="6"/>
  <c r="DG46" i="6" s="1"/>
  <c r="DV10" i="6"/>
  <c r="EK10" i="6" s="1"/>
  <c r="AD94" i="7"/>
  <c r="AD114" i="7" s="1"/>
  <c r="R119" i="8"/>
  <c r="R120" i="8" s="1"/>
  <c r="R177" i="8" s="1"/>
  <c r="P76" i="7"/>
  <c r="P79" i="7" s="1"/>
  <c r="P90" i="7" s="1"/>
  <c r="P5" i="7" s="1"/>
  <c r="IB29" i="6"/>
  <c r="IB30" i="6" s="1"/>
  <c r="S128" i="7"/>
  <c r="T128" i="7"/>
  <c r="O79" i="7"/>
  <c r="O90" i="7" s="1"/>
  <c r="O5" i="7" s="1"/>
  <c r="R128" i="7"/>
  <c r="N177" i="8"/>
  <c r="N121" i="8"/>
  <c r="Q120" i="8"/>
  <c r="Q121" i="8" s="1"/>
  <c r="B121" i="8"/>
  <c r="E120" i="8"/>
  <c r="E121" i="8" s="1"/>
  <c r="B177" i="8"/>
  <c r="F177" i="8"/>
  <c r="F121" i="8"/>
  <c r="I120" i="8"/>
  <c r="I121" i="8" s="1"/>
  <c r="J121" i="8"/>
  <c r="M120" i="8"/>
  <c r="M121" i="8" s="1"/>
  <c r="J177" i="8"/>
  <c r="AL130" i="7"/>
  <c r="AH76" i="7"/>
  <c r="AH79" i="7" s="1"/>
  <c r="AH90" i="7" s="1"/>
  <c r="AH5" i="7" s="1"/>
  <c r="AM114" i="7"/>
  <c r="AM130" i="7" s="1"/>
  <c r="AN94" i="7"/>
  <c r="AN114" i="7" s="1"/>
  <c r="AN130" i="7" s="1"/>
  <c r="AL79" i="7"/>
  <c r="AL90" i="7" s="1"/>
  <c r="AL5" i="7" s="1"/>
  <c r="AM76" i="7"/>
  <c r="AQ76" i="7"/>
  <c r="AB79" i="7"/>
  <c r="AB90" i="7" s="1"/>
  <c r="AB5" i="7" s="1"/>
  <c r="AC76" i="7"/>
  <c r="E132" i="7"/>
  <c r="AW76" i="7"/>
  <c r="W79" i="7"/>
  <c r="W90" i="7" s="1"/>
  <c r="W5" i="7" s="1"/>
  <c r="X76" i="7"/>
  <c r="AR114" i="7"/>
  <c r="AR130" i="7" s="1"/>
  <c r="AS94" i="7"/>
  <c r="AS114" i="7" s="1"/>
  <c r="AS130" i="7" s="1"/>
  <c r="BU10" i="6"/>
  <c r="BU39" i="6" s="1"/>
  <c r="IB50" i="6"/>
  <c r="AV55" i="6"/>
  <c r="IC55" i="6" s="1"/>
  <c r="AQ18" i="6"/>
  <c r="AP19" i="6"/>
  <c r="DH62" i="6"/>
  <c r="DG45" i="6"/>
  <c r="AV57" i="6"/>
  <c r="IC57" i="6" s="1"/>
  <c r="CZ43" i="6"/>
  <c r="BH18" i="6"/>
  <c r="BG19" i="6"/>
  <c r="BP44" i="6"/>
  <c r="BZ44" i="6" s="1"/>
  <c r="IE44" i="6" s="1"/>
  <c r="BZ15" i="6"/>
  <c r="IE15" i="6" s="1"/>
  <c r="EG15" i="6"/>
  <c r="AR54" i="6"/>
  <c r="AR62" i="6" s="1"/>
  <c r="AR64" i="6" s="1"/>
  <c r="AR65" i="6" s="1"/>
  <c r="AR28" i="6"/>
  <c r="AR29" i="6" s="1"/>
  <c r="AS29" i="6" s="1"/>
  <c r="AY24" i="6"/>
  <c r="AY56" i="6" s="1"/>
  <c r="BG24" i="6"/>
  <c r="BG56" i="6" s="1"/>
  <c r="BC24" i="6"/>
  <c r="BC56" i="6" s="1"/>
  <c r="BE24" i="6"/>
  <c r="BE56" i="6" s="1"/>
  <c r="BI24" i="6"/>
  <c r="BI56" i="6" s="1"/>
  <c r="BA24" i="6"/>
  <c r="BA56" i="6" s="1"/>
  <c r="AK19" i="6"/>
  <c r="DS22" i="6"/>
  <c r="IG22" i="6"/>
  <c r="DD28" i="6"/>
  <c r="BT52" i="6"/>
  <c r="AG50" i="6"/>
  <c r="IE39" i="6"/>
  <c r="CM39" i="6"/>
  <c r="DB10" i="6"/>
  <c r="CO10" i="6"/>
  <c r="CN10" i="6" s="1"/>
  <c r="CN39" i="6" s="1"/>
  <c r="CM14" i="6"/>
  <c r="CM45" i="6" s="1"/>
  <c r="CM12" i="6"/>
  <c r="CM15" i="6"/>
  <c r="CM44" i="6" s="1"/>
  <c r="IC52" i="6"/>
  <c r="ET14" i="6"/>
  <c r="BG50" i="6"/>
  <c r="BH49" i="6"/>
  <c r="EP14" i="6"/>
  <c r="BP43" i="6"/>
  <c r="BZ12" i="6"/>
  <c r="CK52" i="6"/>
  <c r="AP28" i="6"/>
  <c r="AP54" i="6"/>
  <c r="AP62" i="6" s="1"/>
  <c r="AP64" i="6" s="1"/>
  <c r="AP65" i="6" s="1"/>
  <c r="AJ54" i="6"/>
  <c r="AJ28" i="6"/>
  <c r="AJ29" i="6" s="1"/>
  <c r="AK29" i="6" s="1"/>
  <c r="BI22" i="6"/>
  <c r="AY22" i="6"/>
  <c r="BG22" i="6"/>
  <c r="BC22" i="6"/>
  <c r="BA22" i="6"/>
  <c r="BE22" i="6"/>
  <c r="BD18" i="6"/>
  <c r="BC19" i="6"/>
  <c r="BP53" i="6"/>
  <c r="BP46" i="6"/>
  <c r="CE16" i="6"/>
  <c r="BZ16" i="6"/>
  <c r="IE16" i="6" s="1"/>
  <c r="IE46" i="6" s="1"/>
  <c r="ER12" i="6"/>
  <c r="IF28" i="6"/>
  <c r="EH17" i="6"/>
  <c r="EL17" i="6"/>
  <c r="IH24" i="6"/>
  <c r="EH24" i="6"/>
  <c r="AM49" i="6"/>
  <c r="AL50" i="6"/>
  <c r="BO49" i="6"/>
  <c r="BN50" i="6"/>
  <c r="DD7" i="6"/>
  <c r="IG5" i="6"/>
  <c r="CV39" i="6"/>
  <c r="DK10" i="6"/>
  <c r="CV15" i="6"/>
  <c r="CV44" i="6" s="1"/>
  <c r="CV12" i="6"/>
  <c r="CV14" i="6"/>
  <c r="CV45" i="6" s="1"/>
  <c r="AU18" i="6"/>
  <c r="AT19" i="6"/>
  <c r="BP52" i="6"/>
  <c r="BK52" i="6"/>
  <c r="AP50" i="6"/>
  <c r="AQ49" i="6"/>
  <c r="AG54" i="6"/>
  <c r="U62" i="6"/>
  <c r="U64" i="6" s="1"/>
  <c r="U65" i="6" s="1"/>
  <c r="FT12" i="6"/>
  <c r="BX46" i="6"/>
  <c r="BX53" i="6"/>
  <c r="CM16" i="6"/>
  <c r="BT43" i="6"/>
  <c r="DW15" i="6"/>
  <c r="DG15" i="6"/>
  <c r="IF10" i="6"/>
  <c r="IF7" i="6"/>
  <c r="GG12" i="6"/>
  <c r="BV48" i="6"/>
  <c r="BV49" i="6" s="1"/>
  <c r="CK42" i="6"/>
  <c r="BV13" i="6"/>
  <c r="BV18" i="6" s="1"/>
  <c r="CE39" i="6"/>
  <c r="CT10" i="6"/>
  <c r="CE12" i="6"/>
  <c r="CE14" i="6"/>
  <c r="CE15" i="6"/>
  <c r="AL28" i="6"/>
  <c r="AL54" i="6"/>
  <c r="AL62" i="6" s="1"/>
  <c r="AL64" i="6" s="1"/>
  <c r="AL65" i="6" s="1"/>
  <c r="AT28" i="6"/>
  <c r="AT54" i="6"/>
  <c r="AT62" i="6" s="1"/>
  <c r="AT64" i="6" s="1"/>
  <c r="AT65" i="6" s="1"/>
  <c r="GI15" i="6"/>
  <c r="CG42" i="6"/>
  <c r="BR48" i="6"/>
  <c r="BR49" i="6" s="1"/>
  <c r="BR13" i="6"/>
  <c r="BR18" i="6" s="1"/>
  <c r="CR52" i="6"/>
  <c r="DS23" i="6"/>
  <c r="IG23" i="6"/>
  <c r="BK53" i="6"/>
  <c r="ID53" i="6" s="1"/>
  <c r="AV13" i="6"/>
  <c r="AL18" i="6"/>
  <c r="BN18" i="6"/>
  <c r="CV16" i="6"/>
  <c r="CG53" i="6"/>
  <c r="CG46" i="6"/>
  <c r="BI48" i="6"/>
  <c r="BI49" i="6" s="1"/>
  <c r="BX42" i="6"/>
  <c r="BI13" i="6"/>
  <c r="BI18" i="6" s="1"/>
  <c r="CK46" i="6"/>
  <c r="CK53" i="6"/>
  <c r="CZ16" i="6"/>
  <c r="ED10" i="6"/>
  <c r="DO39" i="6"/>
  <c r="DO15" i="6"/>
  <c r="DO44" i="6" s="1"/>
  <c r="DO14" i="6"/>
  <c r="DO45" i="6" s="1"/>
  <c r="CR43" i="6"/>
  <c r="DY15" i="6"/>
  <c r="AY23" i="6"/>
  <c r="AY55" i="6" s="1"/>
  <c r="BG23" i="6"/>
  <c r="BG55" i="6" s="1"/>
  <c r="BC23" i="6"/>
  <c r="BC55" i="6" s="1"/>
  <c r="BA23" i="6"/>
  <c r="BA55" i="6" s="1"/>
  <c r="BI23" i="6"/>
  <c r="BI55" i="6" s="1"/>
  <c r="BE23" i="6"/>
  <c r="BE55" i="6" s="1"/>
  <c r="BD49" i="6"/>
  <c r="BC50" i="6"/>
  <c r="AV48" i="6"/>
  <c r="AV49" i="6" s="1"/>
  <c r="IC42" i="6"/>
  <c r="IC48" i="6" s="1"/>
  <c r="IC49" i="6" s="1"/>
  <c r="CR42" i="6"/>
  <c r="CC13" i="6"/>
  <c r="IA54" i="6"/>
  <c r="IA62" i="6" s="1"/>
  <c r="R62" i="6"/>
  <c r="R64" i="6" s="1"/>
  <c r="R65" i="6" s="1"/>
  <c r="AG31" i="6"/>
  <c r="AH29" i="6"/>
  <c r="AG30" i="6"/>
  <c r="CA10" i="6"/>
  <c r="BZ39" i="6"/>
  <c r="BO10" i="6"/>
  <c r="BO39" i="6" s="1"/>
  <c r="CA26" i="6"/>
  <c r="BW10" i="6"/>
  <c r="BW39" i="6" s="1"/>
  <c r="CA24" i="6"/>
  <c r="CA25" i="6"/>
  <c r="CA23" i="6"/>
  <c r="CA22" i="6"/>
  <c r="BS10" i="6"/>
  <c r="BS39" i="6" s="1"/>
  <c r="BE48" i="6"/>
  <c r="BE49" i="6" s="1"/>
  <c r="BT42" i="6"/>
  <c r="BE13" i="6"/>
  <c r="BE18" i="6" s="1"/>
  <c r="AV58" i="6"/>
  <c r="IC58" i="6" s="1"/>
  <c r="DY14" i="6"/>
  <c r="CJ10" i="6"/>
  <c r="CJ39" i="6" s="1"/>
  <c r="CI39" i="6"/>
  <c r="CX10" i="6"/>
  <c r="CI15" i="6"/>
  <c r="CI44" i="6" s="1"/>
  <c r="CI12" i="6"/>
  <c r="CI14" i="6"/>
  <c r="CI45" i="6" s="1"/>
  <c r="ID12" i="6"/>
  <c r="IA30" i="6"/>
  <c r="IA34" i="6"/>
  <c r="DW12" i="6"/>
  <c r="DG12" i="6"/>
  <c r="EE12" i="6"/>
  <c r="DO12" i="6"/>
  <c r="FI15" i="6"/>
  <c r="EM6" i="6"/>
  <c r="EH6" i="6"/>
  <c r="II6" i="6" s="1"/>
  <c r="FV15" i="6"/>
  <c r="AO19" i="6"/>
  <c r="DS5" i="6"/>
  <c r="DV5" i="6"/>
  <c r="CG43" i="6"/>
  <c r="BX43" i="6"/>
  <c r="BY10" i="6"/>
  <c r="BY39" i="6" s="1"/>
  <c r="AU49" i="6"/>
  <c r="AT50" i="6"/>
  <c r="BT46" i="6"/>
  <c r="BT53" i="6"/>
  <c r="CI16" i="6"/>
  <c r="AZ18" i="6"/>
  <c r="AY19" i="6"/>
  <c r="EG12" i="6"/>
  <c r="BK43" i="6"/>
  <c r="ID43" i="6" s="1"/>
  <c r="DW53" i="6"/>
  <c r="EL16" i="6"/>
  <c r="CR44" i="6"/>
  <c r="BX52" i="6"/>
  <c r="BP45" i="6"/>
  <c r="BZ45" i="6" s="1"/>
  <c r="IE45" i="6" s="1"/>
  <c r="BZ14" i="6"/>
  <c r="IE14" i="6" s="1"/>
  <c r="EH26" i="6"/>
  <c r="IH26" i="6"/>
  <c r="CG52" i="6"/>
  <c r="AV56" i="6"/>
  <c r="IC56" i="6" s="1"/>
  <c r="AN54" i="6"/>
  <c r="AN62" i="6" s="1"/>
  <c r="AN64" i="6" s="1"/>
  <c r="AN65" i="6" s="1"/>
  <c r="AN28" i="6"/>
  <c r="AN29" i="6" s="1"/>
  <c r="AO29" i="6" s="1"/>
  <c r="EC14" i="6"/>
  <c r="AS19" i="6"/>
  <c r="IG25" i="6"/>
  <c r="DS25" i="6"/>
  <c r="AY25" i="6"/>
  <c r="AY57" i="6" s="1"/>
  <c r="BG25" i="6"/>
  <c r="BG57" i="6" s="1"/>
  <c r="BC25" i="6"/>
  <c r="BC57" i="6" s="1"/>
  <c r="BE25" i="6"/>
  <c r="BE57" i="6" s="1"/>
  <c r="BI25" i="6"/>
  <c r="BI57" i="6" s="1"/>
  <c r="BA25" i="6"/>
  <c r="BA57" i="6" s="1"/>
  <c r="AY26" i="6"/>
  <c r="AY58" i="6" s="1"/>
  <c r="BG26" i="6"/>
  <c r="BG58" i="6" s="1"/>
  <c r="BC26" i="6"/>
  <c r="BC58" i="6" s="1"/>
  <c r="BI26" i="6"/>
  <c r="BI58" i="6" s="1"/>
  <c r="BE26" i="6"/>
  <c r="BE58" i="6" s="1"/>
  <c r="BA26" i="6"/>
  <c r="BA58" i="6" s="1"/>
  <c r="CC48" i="6"/>
  <c r="CC49" i="6" s="1"/>
  <c r="BK46" i="6"/>
  <c r="BA48" i="6"/>
  <c r="BA49" i="6" s="1"/>
  <c r="BP42" i="6"/>
  <c r="BA13" i="6"/>
  <c r="BK42" i="6"/>
  <c r="U128" i="7" l="1"/>
  <c r="CF10" i="6"/>
  <c r="CF39" i="6" s="1"/>
  <c r="DV39" i="6"/>
  <c r="DV14" i="6"/>
  <c r="DV45" i="6" s="1"/>
  <c r="DV16" i="6"/>
  <c r="DV46" i="6" s="1"/>
  <c r="R121" i="8"/>
  <c r="IB34" i="6"/>
  <c r="IG28" i="6"/>
  <c r="BZ46" i="6"/>
  <c r="J187" i="8"/>
  <c r="J192" i="8" s="1"/>
  <c r="M192" i="8" s="1"/>
  <c r="J178" i="8"/>
  <c r="M178" i="8" s="1"/>
  <c r="M177" i="8"/>
  <c r="M187" i="8" s="1"/>
  <c r="B187" i="8"/>
  <c r="B192" i="8" s="1"/>
  <c r="E192" i="8" s="1"/>
  <c r="B178" i="8"/>
  <c r="E178" i="8" s="1"/>
  <c r="E177" i="8"/>
  <c r="E187" i="8" s="1"/>
  <c r="R187" i="8"/>
  <c r="R178" i="8"/>
  <c r="F187" i="8"/>
  <c r="F192" i="8" s="1"/>
  <c r="I192" i="8" s="1"/>
  <c r="F178" i="8"/>
  <c r="I178" i="8" s="1"/>
  <c r="I177" i="8"/>
  <c r="I187" i="8" s="1"/>
  <c r="N187" i="8"/>
  <c r="N178" i="8"/>
  <c r="Q178" i="8" s="1"/>
  <c r="Q177" i="8"/>
  <c r="Q187" i="8" s="1"/>
  <c r="AI76" i="7"/>
  <c r="AI79" i="7" s="1"/>
  <c r="AI90" i="7" s="1"/>
  <c r="AI5" i="7" s="1"/>
  <c r="AM79" i="7"/>
  <c r="AM90" i="7" s="1"/>
  <c r="AM5" i="7" s="1"/>
  <c r="AN76" i="7"/>
  <c r="AN79" i="7" s="1"/>
  <c r="AN90" i="7" s="1"/>
  <c r="AN5" i="7" s="1"/>
  <c r="AX76" i="7"/>
  <c r="F131" i="7"/>
  <c r="F132" i="7" s="1"/>
  <c r="E6" i="7"/>
  <c r="AQ79" i="7"/>
  <c r="AQ90" i="7" s="1"/>
  <c r="AQ5" i="7" s="1"/>
  <c r="AR76" i="7"/>
  <c r="X79" i="7"/>
  <c r="X90" i="7" s="1"/>
  <c r="X5" i="7" s="1"/>
  <c r="Y76" i="7"/>
  <c r="AC79" i="7"/>
  <c r="AC90" i="7" s="1"/>
  <c r="AC5" i="7" s="1"/>
  <c r="AD76" i="7"/>
  <c r="IC50" i="6"/>
  <c r="BB49" i="6"/>
  <c r="BA50" i="6"/>
  <c r="EK39" i="6"/>
  <c r="EZ10" i="6"/>
  <c r="EK14" i="6"/>
  <c r="EV12" i="6"/>
  <c r="EK5" i="6"/>
  <c r="EH5" i="6"/>
  <c r="CR48" i="6"/>
  <c r="CR49" i="6" s="1"/>
  <c r="DG42" i="6"/>
  <c r="CR13" i="6"/>
  <c r="BJ49" i="6"/>
  <c r="BI50" i="6"/>
  <c r="BO18" i="6"/>
  <c r="BN19" i="6"/>
  <c r="DG52" i="6"/>
  <c r="CE43" i="6"/>
  <c r="CO12" i="6"/>
  <c r="BW49" i="6"/>
  <c r="BV50" i="6"/>
  <c r="GI12" i="6"/>
  <c r="BG54" i="6"/>
  <c r="BG62" i="6" s="1"/>
  <c r="BG64" i="6" s="1"/>
  <c r="BG65" i="6" s="1"/>
  <c r="BG28" i="6"/>
  <c r="BG29" i="6" s="1"/>
  <c r="BH29" i="6" s="1"/>
  <c r="AV54" i="6"/>
  <c r="AJ62" i="6"/>
  <c r="AJ64" i="6" s="1"/>
  <c r="AJ65" i="6" s="1"/>
  <c r="CM43" i="6"/>
  <c r="ID42" i="6"/>
  <c r="ID48" i="6" s="1"/>
  <c r="ID49" i="6" s="1"/>
  <c r="BK48" i="6"/>
  <c r="BK49" i="6" s="1"/>
  <c r="BK58" i="6"/>
  <c r="ID58" i="6" s="1"/>
  <c r="EL53" i="6"/>
  <c r="FA16" i="6"/>
  <c r="EK16" i="6"/>
  <c r="GK15" i="6"/>
  <c r="DV12" i="6"/>
  <c r="EL12" i="6"/>
  <c r="IA66" i="6"/>
  <c r="IA63" i="6"/>
  <c r="IA64" i="6" s="1"/>
  <c r="CG48" i="6"/>
  <c r="CG49" i="6" s="1"/>
  <c r="CG13" i="6"/>
  <c r="CG18" i="6" s="1"/>
  <c r="CV42" i="6"/>
  <c r="DK39" i="6"/>
  <c r="DZ10" i="6"/>
  <c r="DK15" i="6"/>
  <c r="DK44" i="6" s="1"/>
  <c r="DK12" i="6"/>
  <c r="DK14" i="6"/>
  <c r="DK45" i="6" s="1"/>
  <c r="IG10" i="6"/>
  <c r="IG7" i="6"/>
  <c r="EW17" i="6"/>
  <c r="FA17" i="6"/>
  <c r="FG12" i="6"/>
  <c r="BZ53" i="6"/>
  <c r="IE53" i="6" s="1"/>
  <c r="BE54" i="6"/>
  <c r="BE62" i="6" s="1"/>
  <c r="BE64" i="6" s="1"/>
  <c r="BE65" i="6" s="1"/>
  <c r="BE28" i="6"/>
  <c r="AY54" i="6"/>
  <c r="AY28" i="6"/>
  <c r="AY29" i="6" s="1"/>
  <c r="AZ29" i="6" s="1"/>
  <c r="IE12" i="6"/>
  <c r="FE14" i="6"/>
  <c r="BH19" i="6"/>
  <c r="BK13" i="6"/>
  <c r="BA18" i="6"/>
  <c r="CM52" i="6"/>
  <c r="DW62" i="6"/>
  <c r="AZ19" i="6"/>
  <c r="DO43" i="6"/>
  <c r="EN14" i="6"/>
  <c r="BT48" i="6"/>
  <c r="BT49" i="6" s="1"/>
  <c r="CI42" i="6"/>
  <c r="BT13" i="6"/>
  <c r="BT18" i="6" s="1"/>
  <c r="BX22" i="6"/>
  <c r="BN22" i="6"/>
  <c r="BV22" i="6"/>
  <c r="BR22" i="6"/>
  <c r="BP22" i="6"/>
  <c r="BT22" i="6"/>
  <c r="AV50" i="6"/>
  <c r="EN15" i="6"/>
  <c r="CZ53" i="6"/>
  <c r="CZ46" i="6"/>
  <c r="DO16" i="6"/>
  <c r="BJ18" i="6"/>
  <c r="BI19" i="6"/>
  <c r="AM18" i="6"/>
  <c r="AL19" i="6"/>
  <c r="CE44" i="6"/>
  <c r="CO44" i="6" s="1"/>
  <c r="IF44" i="6" s="1"/>
  <c r="CO15" i="6"/>
  <c r="IF15" i="6" s="1"/>
  <c r="BW18" i="6"/>
  <c r="BV19" i="6"/>
  <c r="GV12" i="6"/>
  <c r="DG44" i="6"/>
  <c r="IB54" i="6"/>
  <c r="IB62" i="6" s="1"/>
  <c r="AG62" i="6"/>
  <c r="AG64" i="6" s="1"/>
  <c r="ID52" i="6"/>
  <c r="AT29" i="6"/>
  <c r="AU29" i="6" s="1"/>
  <c r="AU19" i="6"/>
  <c r="CV43" i="6"/>
  <c r="II24" i="6"/>
  <c r="EW24" i="6"/>
  <c r="BD19" i="6"/>
  <c r="BA28" i="6"/>
  <c r="BA54" i="6"/>
  <c r="BA62" i="6" s="1"/>
  <c r="BA64" i="6" s="1"/>
  <c r="BA65" i="6" s="1"/>
  <c r="BI54" i="6"/>
  <c r="BI62" i="6" s="1"/>
  <c r="BI64" i="6" s="1"/>
  <c r="BI65" i="6" s="1"/>
  <c r="BI28" i="6"/>
  <c r="BZ43" i="6"/>
  <c r="IE43" i="6" s="1"/>
  <c r="CO39" i="6"/>
  <c r="CP10" i="6"/>
  <c r="CD10" i="6"/>
  <c r="CD39" i="6" s="1"/>
  <c r="CP24" i="6"/>
  <c r="CP26" i="6"/>
  <c r="CL10" i="6"/>
  <c r="CL39" i="6" s="1"/>
  <c r="CP22" i="6"/>
  <c r="CP25" i="6"/>
  <c r="CP23" i="6"/>
  <c r="CH10" i="6"/>
  <c r="CH39" i="6" s="1"/>
  <c r="EH22" i="6"/>
  <c r="IH22" i="6"/>
  <c r="DS28" i="6"/>
  <c r="BK56" i="6"/>
  <c r="ID56" i="6" s="1"/>
  <c r="EV15" i="6"/>
  <c r="CV52" i="6"/>
  <c r="CI46" i="6"/>
  <c r="CI53" i="6"/>
  <c r="CX16" i="6"/>
  <c r="DG43" i="6"/>
  <c r="BN25" i="6"/>
  <c r="BN57" i="6" s="1"/>
  <c r="BV25" i="6"/>
  <c r="BV57" i="6" s="1"/>
  <c r="BR25" i="6"/>
  <c r="BR57" i="6" s="1"/>
  <c r="BT25" i="6"/>
  <c r="BT57" i="6" s="1"/>
  <c r="BX25" i="6"/>
  <c r="BX57" i="6" s="1"/>
  <c r="BP25" i="6"/>
  <c r="BP57" i="6" s="1"/>
  <c r="BS49" i="6"/>
  <c r="BR50" i="6"/>
  <c r="IF39" i="6"/>
  <c r="CM53" i="6"/>
  <c r="CM46" i="6"/>
  <c r="DB16" i="6"/>
  <c r="FI14" i="6"/>
  <c r="IH25" i="6"/>
  <c r="EH25" i="6"/>
  <c r="ER14" i="6"/>
  <c r="IH5" i="6"/>
  <c r="DS7" i="6"/>
  <c r="FX15" i="6"/>
  <c r="CX39" i="6"/>
  <c r="DM10" i="6"/>
  <c r="CX15" i="6"/>
  <c r="CX44" i="6" s="1"/>
  <c r="CX12" i="6"/>
  <c r="CX14" i="6"/>
  <c r="CX45" i="6" s="1"/>
  <c r="BF18" i="6"/>
  <c r="BE19" i="6"/>
  <c r="BN24" i="6"/>
  <c r="BN56" i="6" s="1"/>
  <c r="BV24" i="6"/>
  <c r="BV56" i="6" s="1"/>
  <c r="BR24" i="6"/>
  <c r="BR56" i="6" s="1"/>
  <c r="BX24" i="6"/>
  <c r="BX56" i="6" s="1"/>
  <c r="BP24" i="6"/>
  <c r="BP56" i="6" s="1"/>
  <c r="BT24" i="6"/>
  <c r="BT56" i="6" s="1"/>
  <c r="BP48" i="6"/>
  <c r="BP49" i="6" s="1"/>
  <c r="BP13" i="6"/>
  <c r="CE42" i="6"/>
  <c r="BZ42" i="6"/>
  <c r="CC50" i="6"/>
  <c r="CD49" i="6"/>
  <c r="BK57" i="6"/>
  <c r="ID57" i="6" s="1"/>
  <c r="II26" i="6"/>
  <c r="EW26" i="6"/>
  <c r="FB6" i="6"/>
  <c r="EW6" i="6"/>
  <c r="IJ6" i="6" s="1"/>
  <c r="ED12" i="6"/>
  <c r="ET12" i="6"/>
  <c r="CI43" i="6"/>
  <c r="BE50" i="6"/>
  <c r="BF49" i="6"/>
  <c r="BN23" i="6"/>
  <c r="BN55" i="6" s="1"/>
  <c r="BV23" i="6"/>
  <c r="BV55" i="6" s="1"/>
  <c r="BR23" i="6"/>
  <c r="BR55" i="6" s="1"/>
  <c r="BP23" i="6"/>
  <c r="BP55" i="6" s="1"/>
  <c r="BX23" i="6"/>
  <c r="BX55" i="6" s="1"/>
  <c r="BT23" i="6"/>
  <c r="BT55" i="6" s="1"/>
  <c r="BN26" i="6"/>
  <c r="BN58" i="6" s="1"/>
  <c r="BV26" i="6"/>
  <c r="BV58" i="6" s="1"/>
  <c r="BR26" i="6"/>
  <c r="BR58" i="6" s="1"/>
  <c r="BT26" i="6"/>
  <c r="BT58" i="6" s="1"/>
  <c r="BP26" i="6"/>
  <c r="BP58" i="6" s="1"/>
  <c r="BX26" i="6"/>
  <c r="BX58" i="6" s="1"/>
  <c r="CC18" i="6"/>
  <c r="BK55" i="6"/>
  <c r="ID55" i="6" s="1"/>
  <c r="ED39" i="6"/>
  <c r="ES10" i="6"/>
  <c r="ED15" i="6"/>
  <c r="ED44" i="6" s="1"/>
  <c r="BX48" i="6"/>
  <c r="BX49" i="6" s="1"/>
  <c r="CM42" i="6"/>
  <c r="BX13" i="6"/>
  <c r="BX18" i="6" s="1"/>
  <c r="CV46" i="6"/>
  <c r="DK16" i="6"/>
  <c r="CV53" i="6"/>
  <c r="IC13" i="6"/>
  <c r="IC18" i="6" s="1"/>
  <c r="IC19" i="6" s="1"/>
  <c r="AV18" i="6"/>
  <c r="AV19" i="6" s="1"/>
  <c r="EH23" i="6"/>
  <c r="IH23" i="6"/>
  <c r="BS18" i="6"/>
  <c r="BR19" i="6"/>
  <c r="GX15" i="6"/>
  <c r="CE45" i="6"/>
  <c r="CO45" i="6" s="1"/>
  <c r="IF45" i="6" s="1"/>
  <c r="CO14" i="6"/>
  <c r="IF14" i="6" s="1"/>
  <c r="CT39" i="6"/>
  <c r="DI10" i="6"/>
  <c r="CT12" i="6"/>
  <c r="CT15" i="6"/>
  <c r="CT14" i="6"/>
  <c r="CZ42" i="6"/>
  <c r="CK13" i="6"/>
  <c r="CK18" i="6" s="1"/>
  <c r="CK48" i="6"/>
  <c r="CK49" i="6" s="1"/>
  <c r="EL15" i="6"/>
  <c r="DV15" i="6"/>
  <c r="CE52" i="6"/>
  <c r="BZ52" i="6"/>
  <c r="CE53" i="6"/>
  <c r="CE46" i="6"/>
  <c r="CT16" i="6"/>
  <c r="CO16" i="6"/>
  <c r="IF16" i="6" s="1"/>
  <c r="IF46" i="6" s="1"/>
  <c r="BC54" i="6"/>
  <c r="BC62" i="6" s="1"/>
  <c r="BC64" i="6" s="1"/>
  <c r="BC65" i="6" s="1"/>
  <c r="BC28" i="6"/>
  <c r="BC29" i="6" s="1"/>
  <c r="BD29" i="6" s="1"/>
  <c r="CZ52" i="6"/>
  <c r="ED14" i="6"/>
  <c r="ED45" i="6" s="1"/>
  <c r="DD10" i="6"/>
  <c r="DC10" i="6" s="1"/>
  <c r="DC39" i="6" s="1"/>
  <c r="DB39" i="6"/>
  <c r="DQ10" i="6"/>
  <c r="DB15" i="6"/>
  <c r="DB44" i="6" s="1"/>
  <c r="DB12" i="6"/>
  <c r="DB14" i="6"/>
  <c r="DB45" i="6" s="1"/>
  <c r="CI52" i="6"/>
  <c r="AP29" i="6"/>
  <c r="AQ29" i="6" s="1"/>
  <c r="AQ19" i="6"/>
  <c r="CO46" i="6" l="1"/>
  <c r="BZ55" i="6"/>
  <c r="IE55" i="6" s="1"/>
  <c r="N188" i="8"/>
  <c r="Q188" i="8" s="1"/>
  <c r="R188" i="8" s="1"/>
  <c r="R192" i="8" s="1"/>
  <c r="AD128" i="7"/>
  <c r="AD129" i="7" s="1"/>
  <c r="AD130" i="7" s="1"/>
  <c r="AC128" i="7"/>
  <c r="AC129" i="7" s="1"/>
  <c r="AC130" i="7" s="1"/>
  <c r="AB128" i="7"/>
  <c r="AB129" i="7" s="1"/>
  <c r="AB130" i="7" s="1"/>
  <c r="Y79" i="7"/>
  <c r="Y90" i="7" s="1"/>
  <c r="Y5" i="7" s="1"/>
  <c r="AA128" i="7"/>
  <c r="AA129" i="7" s="1"/>
  <c r="AA130" i="7" s="1"/>
  <c r="G131" i="7"/>
  <c r="G132" i="7" s="1"/>
  <c r="F6" i="7"/>
  <c r="AR79" i="7"/>
  <c r="AR90" i="7" s="1"/>
  <c r="AR5" i="7" s="1"/>
  <c r="AS76" i="7"/>
  <c r="AI128" i="7"/>
  <c r="AI129" i="7" s="1"/>
  <c r="AI130" i="7" s="1"/>
  <c r="AF128" i="7"/>
  <c r="AF129" i="7" s="1"/>
  <c r="AF130" i="7" s="1"/>
  <c r="AD79" i="7"/>
  <c r="AD90" i="7" s="1"/>
  <c r="AD5" i="7" s="1"/>
  <c r="AG128" i="7"/>
  <c r="AG129" i="7" s="1"/>
  <c r="AG130" i="7" s="1"/>
  <c r="AH128" i="7"/>
  <c r="AH129" i="7" s="1"/>
  <c r="AH130" i="7" s="1"/>
  <c r="AY76" i="7"/>
  <c r="BZ57" i="6"/>
  <c r="IE57" i="6" s="1"/>
  <c r="CL18" i="6"/>
  <c r="CK19" i="6"/>
  <c r="CT43" i="6"/>
  <c r="DD12" i="6"/>
  <c r="BY18" i="6"/>
  <c r="BX19" i="6"/>
  <c r="IJ26" i="6"/>
  <c r="FL26" i="6"/>
  <c r="BP18" i="6"/>
  <c r="BZ13" i="6"/>
  <c r="CX53" i="6"/>
  <c r="CX46" i="6"/>
  <c r="DM16" i="6"/>
  <c r="IB66" i="6"/>
  <c r="IB63" i="6"/>
  <c r="IB64" i="6" s="1"/>
  <c r="HK12" i="6"/>
  <c r="BV28" i="6"/>
  <c r="BV29" i="6" s="1"/>
  <c r="BW29" i="6" s="1"/>
  <c r="BV54" i="6"/>
  <c r="BV62" i="6" s="1"/>
  <c r="BV64" i="6" s="1"/>
  <c r="BV65" i="6" s="1"/>
  <c r="EK46" i="6"/>
  <c r="CO43" i="6"/>
  <c r="IF43" i="6" s="1"/>
  <c r="BO19" i="6"/>
  <c r="CR50" i="6"/>
  <c r="CS49" i="6"/>
  <c r="FK12" i="6"/>
  <c r="CO53" i="6"/>
  <c r="IF53" i="6" s="1"/>
  <c r="DI39" i="6"/>
  <c r="DX10" i="6"/>
  <c r="DI12" i="6"/>
  <c r="DI14" i="6"/>
  <c r="DI15" i="6"/>
  <c r="DM39" i="6"/>
  <c r="EB10" i="6"/>
  <c r="DM15" i="6"/>
  <c r="DM44" i="6" s="1"/>
  <c r="DM12" i="6"/>
  <c r="DM14" i="6"/>
  <c r="DM45" i="6" s="1"/>
  <c r="II25" i="6"/>
  <c r="EW25" i="6"/>
  <c r="CC26" i="6"/>
  <c r="CC58" i="6" s="1"/>
  <c r="CK26" i="6"/>
  <c r="CK58" i="6" s="1"/>
  <c r="CG26" i="6"/>
  <c r="CG58" i="6" s="1"/>
  <c r="CI26" i="6"/>
  <c r="CI58" i="6" s="1"/>
  <c r="CM26" i="6"/>
  <c r="CM58" i="6" s="1"/>
  <c r="CE26" i="6"/>
  <c r="CE58" i="6" s="1"/>
  <c r="BW19" i="6"/>
  <c r="AL29" i="6"/>
  <c r="AM29" i="6" s="1"/>
  <c r="AM19" i="6"/>
  <c r="DO53" i="6"/>
  <c r="DO46" i="6"/>
  <c r="ED16" i="6"/>
  <c r="FC15" i="6"/>
  <c r="BT54" i="6"/>
  <c r="BT62" i="6" s="1"/>
  <c r="BT64" i="6" s="1"/>
  <c r="BT65" i="6" s="1"/>
  <c r="BT28" i="6"/>
  <c r="BN28" i="6"/>
  <c r="BN29" i="6" s="1"/>
  <c r="BO29" i="6" s="1"/>
  <c r="BN54" i="6"/>
  <c r="BU49" i="6"/>
  <c r="BT50" i="6"/>
  <c r="BK54" i="6"/>
  <c r="AY62" i="6"/>
  <c r="AY64" i="6" s="1"/>
  <c r="AY65" i="6" s="1"/>
  <c r="DK43" i="6"/>
  <c r="DZ39" i="6"/>
  <c r="EO10" i="6"/>
  <c r="DZ15" i="6"/>
  <c r="DZ44" i="6" s="1"/>
  <c r="DZ12" i="6"/>
  <c r="DZ14" i="6"/>
  <c r="DZ45" i="6" s="1"/>
  <c r="CV48" i="6"/>
  <c r="CV49" i="6" s="1"/>
  <c r="DK42" i="6"/>
  <c r="CV13" i="6"/>
  <c r="CV18" i="6" s="1"/>
  <c r="DV43" i="6"/>
  <c r="FA53" i="6"/>
  <c r="FP16" i="6"/>
  <c r="EZ16" i="6"/>
  <c r="ID50" i="6"/>
  <c r="GX12" i="6"/>
  <c r="CR18" i="6"/>
  <c r="II5" i="6"/>
  <c r="EH7" i="6"/>
  <c r="EK45" i="6"/>
  <c r="DB43" i="6"/>
  <c r="DQ14" i="6"/>
  <c r="DQ45" i="6" s="1"/>
  <c r="DQ39" i="6"/>
  <c r="DS10" i="6"/>
  <c r="DN10" i="6" s="1"/>
  <c r="DN39" i="6" s="1"/>
  <c r="EF10" i="6"/>
  <c r="DQ12" i="6"/>
  <c r="DQ15" i="6"/>
  <c r="DQ44" i="6" s="1"/>
  <c r="DD39" i="6"/>
  <c r="DE10" i="6"/>
  <c r="CS10" i="6"/>
  <c r="CS39" i="6" s="1"/>
  <c r="DA10" i="6"/>
  <c r="DA39" i="6" s="1"/>
  <c r="DE24" i="6"/>
  <c r="DE26" i="6"/>
  <c r="CW10" i="6"/>
  <c r="CW39" i="6" s="1"/>
  <c r="DE23" i="6"/>
  <c r="DE22" i="6"/>
  <c r="DE25" i="6"/>
  <c r="DO52" i="6"/>
  <c r="IE52" i="6"/>
  <c r="EK15" i="6"/>
  <c r="FA15" i="6"/>
  <c r="CT45" i="6"/>
  <c r="DD45" i="6" s="1"/>
  <c r="IG45" i="6" s="1"/>
  <c r="DD14" i="6"/>
  <c r="IG14" i="6" s="1"/>
  <c r="CU10" i="6"/>
  <c r="CU39" i="6" s="1"/>
  <c r="BS19" i="6"/>
  <c r="EW23" i="6"/>
  <c r="II23" i="6"/>
  <c r="DK46" i="6"/>
  <c r="DZ16" i="6"/>
  <c r="DK53" i="6"/>
  <c r="BX50" i="6"/>
  <c r="BY49" i="6"/>
  <c r="BZ58" i="6"/>
  <c r="IE58" i="6" s="1"/>
  <c r="FQ6" i="6"/>
  <c r="FL6" i="6"/>
  <c r="IK6" i="6" s="1"/>
  <c r="IE42" i="6"/>
  <c r="IE48" i="6" s="1"/>
  <c r="IE49" i="6" s="1"/>
  <c r="BZ48" i="6"/>
  <c r="BZ49" i="6" s="1"/>
  <c r="CY10" i="6"/>
  <c r="CY39" i="6" s="1"/>
  <c r="GM15" i="6"/>
  <c r="FG14" i="6"/>
  <c r="DB46" i="6"/>
  <c r="DB53" i="6"/>
  <c r="DQ16" i="6"/>
  <c r="IH28" i="6"/>
  <c r="CC25" i="6"/>
  <c r="CC57" i="6" s="1"/>
  <c r="CK25" i="6"/>
  <c r="CK57" i="6" s="1"/>
  <c r="CG25" i="6"/>
  <c r="CG57" i="6" s="1"/>
  <c r="CM25" i="6"/>
  <c r="CM57" i="6" s="1"/>
  <c r="CE25" i="6"/>
  <c r="CE57" i="6" s="1"/>
  <c r="CI25" i="6"/>
  <c r="CI57" i="6" s="1"/>
  <c r="CC24" i="6"/>
  <c r="CC56" i="6" s="1"/>
  <c r="CK24" i="6"/>
  <c r="CK56" i="6" s="1"/>
  <c r="CG24" i="6"/>
  <c r="CG56" i="6" s="1"/>
  <c r="CM24" i="6"/>
  <c r="CM56" i="6" s="1"/>
  <c r="CI24" i="6"/>
  <c r="CI56" i="6" s="1"/>
  <c r="CE24" i="6"/>
  <c r="CE56" i="6" s="1"/>
  <c r="IJ24" i="6"/>
  <c r="FL24" i="6"/>
  <c r="BP54" i="6"/>
  <c r="BP62" i="6" s="1"/>
  <c r="BP64" i="6" s="1"/>
  <c r="BP65" i="6" s="1"/>
  <c r="BP28" i="6"/>
  <c r="BX54" i="6"/>
  <c r="BX62" i="6" s="1"/>
  <c r="BX64" i="6" s="1"/>
  <c r="BX65" i="6" s="1"/>
  <c r="BX28" i="6"/>
  <c r="FC14" i="6"/>
  <c r="BB18" i="6"/>
  <c r="BA19" i="6"/>
  <c r="FV12" i="6"/>
  <c r="CH18" i="6"/>
  <c r="CG19" i="6"/>
  <c r="GZ15" i="6"/>
  <c r="EL62" i="6"/>
  <c r="IC54" i="6"/>
  <c r="IC62" i="6" s="1"/>
  <c r="AV62" i="6"/>
  <c r="AV64" i="6" s="1"/>
  <c r="IF12" i="6"/>
  <c r="DV52" i="6"/>
  <c r="DG48" i="6"/>
  <c r="DG49" i="6" s="1"/>
  <c r="DV42" i="6"/>
  <c r="DG13" i="6"/>
  <c r="EW5" i="6"/>
  <c r="EZ5" i="6"/>
  <c r="CX52" i="6"/>
  <c r="IC29" i="6"/>
  <c r="IC20" i="6"/>
  <c r="IC9" i="6" s="1"/>
  <c r="ED43" i="6"/>
  <c r="BE29" i="6"/>
  <c r="BF29" i="6" s="1"/>
  <c r="BF19" i="6"/>
  <c r="FX14" i="6"/>
  <c r="CX42" i="6"/>
  <c r="CI48" i="6"/>
  <c r="CI49" i="6" s="1"/>
  <c r="CI13" i="6"/>
  <c r="CI18" i="6" s="1"/>
  <c r="DB52" i="6"/>
  <c r="EK12" i="6"/>
  <c r="FA12" i="6"/>
  <c r="BK50" i="6"/>
  <c r="DV44" i="6"/>
  <c r="CZ48" i="6"/>
  <c r="CZ49" i="6" s="1"/>
  <c r="DO42" i="6"/>
  <c r="CZ13" i="6"/>
  <c r="CZ18" i="6" s="1"/>
  <c r="HM15" i="6"/>
  <c r="CM48" i="6"/>
  <c r="CM49" i="6" s="1"/>
  <c r="CM13" i="6"/>
  <c r="CM18" i="6" s="1"/>
  <c r="DB42" i="6"/>
  <c r="BP50" i="6"/>
  <c r="BQ49" i="6"/>
  <c r="IH7" i="6"/>
  <c r="IH10" i="6"/>
  <c r="FK15" i="6"/>
  <c r="CC23" i="6"/>
  <c r="CC55" i="6" s="1"/>
  <c r="CK23" i="6"/>
  <c r="CK55" i="6" s="1"/>
  <c r="CG23" i="6"/>
  <c r="CG55" i="6" s="1"/>
  <c r="CE23" i="6"/>
  <c r="CE55" i="6" s="1"/>
  <c r="CI23" i="6"/>
  <c r="CI55" i="6" s="1"/>
  <c r="CM23" i="6"/>
  <c r="CM55" i="6" s="1"/>
  <c r="FT14" i="6"/>
  <c r="CT46" i="6"/>
  <c r="CT53" i="6"/>
  <c r="DI16" i="6"/>
  <c r="DD16" i="6"/>
  <c r="IG16" i="6" s="1"/>
  <c r="IG46" i="6" s="1"/>
  <c r="CT52" i="6"/>
  <c r="CO52" i="6"/>
  <c r="CL49" i="6"/>
  <c r="CK50" i="6"/>
  <c r="CT44" i="6"/>
  <c r="DD44" i="6" s="1"/>
  <c r="IG44" i="6" s="1"/>
  <c r="DD15" i="6"/>
  <c r="IG15" i="6" s="1"/>
  <c r="AW19" i="6"/>
  <c r="AV29" i="6"/>
  <c r="AW29" i="6" s="1"/>
  <c r="ES39" i="6"/>
  <c r="FH10" i="6"/>
  <c r="FH14" i="6" s="1"/>
  <c r="FH45" i="6" s="1"/>
  <c r="ES15" i="6"/>
  <c r="ES44" i="6" s="1"/>
  <c r="CD18" i="6"/>
  <c r="CC19" i="6"/>
  <c r="ES12" i="6"/>
  <c r="FI12" i="6"/>
  <c r="CT42" i="6"/>
  <c r="CE48" i="6"/>
  <c r="CE49" i="6" s="1"/>
  <c r="CE13" i="6"/>
  <c r="CO42" i="6"/>
  <c r="BZ56" i="6"/>
  <c r="IE56" i="6" s="1"/>
  <c r="CX43" i="6"/>
  <c r="ES14" i="6"/>
  <c r="ES45" i="6" s="1"/>
  <c r="DK52" i="6"/>
  <c r="EH28" i="6"/>
  <c r="EW22" i="6"/>
  <c r="II22" i="6"/>
  <c r="CM22" i="6"/>
  <c r="CC22" i="6"/>
  <c r="CK22" i="6"/>
  <c r="CG22" i="6"/>
  <c r="CE22" i="6"/>
  <c r="CI22" i="6"/>
  <c r="AG67" i="6"/>
  <c r="AG65" i="6"/>
  <c r="AG32" i="6"/>
  <c r="BI29" i="6"/>
  <c r="BJ29" i="6" s="1"/>
  <c r="BJ19" i="6"/>
  <c r="BR28" i="6"/>
  <c r="BR29" i="6" s="1"/>
  <c r="BS29" i="6" s="1"/>
  <c r="BR54" i="6"/>
  <c r="BR62" i="6" s="1"/>
  <c r="BR64" i="6" s="1"/>
  <c r="BR65" i="6" s="1"/>
  <c r="BU18" i="6"/>
  <c r="BT19" i="6"/>
  <c r="ID13" i="6"/>
  <c r="ID18" i="6" s="1"/>
  <c r="ID19" i="6" s="1"/>
  <c r="BK18" i="6"/>
  <c r="BK19" i="6" s="1"/>
  <c r="FL17" i="6"/>
  <c r="FP17" i="6"/>
  <c r="IG39" i="6"/>
  <c r="CG50" i="6"/>
  <c r="CH49" i="6"/>
  <c r="EZ39" i="6"/>
  <c r="EZ14" i="6"/>
  <c r="FO10" i="6"/>
  <c r="N192" i="8" l="1"/>
  <c r="Q192" i="8" s="1"/>
  <c r="II28" i="6"/>
  <c r="DD53" i="6"/>
  <c r="IG53" i="6" s="1"/>
  <c r="AT76" i="7"/>
  <c r="AS79" i="7"/>
  <c r="AS90" i="7" s="1"/>
  <c r="AS5" i="7" s="1"/>
  <c r="H131" i="7"/>
  <c r="H132" i="7" s="1"/>
  <c r="G6" i="7"/>
  <c r="DD43" i="6"/>
  <c r="IG43" i="6" s="1"/>
  <c r="CO56" i="6"/>
  <c r="IF56" i="6" s="1"/>
  <c r="BK29" i="6"/>
  <c r="BL29" i="6" s="1"/>
  <c r="BL19" i="6"/>
  <c r="CE54" i="6"/>
  <c r="CE62" i="6" s="1"/>
  <c r="CE64" i="6" s="1"/>
  <c r="CE65" i="6" s="1"/>
  <c r="CE28" i="6"/>
  <c r="DA18" i="6"/>
  <c r="CZ19" i="6"/>
  <c r="CI50" i="6"/>
  <c r="CJ49" i="6"/>
  <c r="AV67" i="6"/>
  <c r="AV65" i="6"/>
  <c r="GK12" i="6"/>
  <c r="IK24" i="6"/>
  <c r="GA24" i="6"/>
  <c r="DB22" i="6"/>
  <c r="CR22" i="6"/>
  <c r="CZ22" i="6"/>
  <c r="CV22" i="6"/>
  <c r="CT22" i="6"/>
  <c r="CX22" i="6"/>
  <c r="EF39" i="6"/>
  <c r="EU10" i="6"/>
  <c r="EH10" i="6"/>
  <c r="DY10" i="6" s="1"/>
  <c r="DY39" i="6" s="1"/>
  <c r="EF14" i="6"/>
  <c r="EF45" i="6" s="1"/>
  <c r="EF12" i="6"/>
  <c r="EF15" i="6"/>
  <c r="EF44" i="6" s="1"/>
  <c r="CS18" i="6"/>
  <c r="CR19" i="6"/>
  <c r="CW18" i="6"/>
  <c r="CV19" i="6"/>
  <c r="FL25" i="6"/>
  <c r="IJ25" i="6"/>
  <c r="DI43" i="6"/>
  <c r="DS12" i="6"/>
  <c r="IE13" i="6"/>
  <c r="IE18" i="6" s="1"/>
  <c r="IE19" i="6" s="1"/>
  <c r="BZ18" i="6"/>
  <c r="BZ19" i="6" s="1"/>
  <c r="IF42" i="6"/>
  <c r="IF48" i="6" s="1"/>
  <c r="IF49" i="6" s="1"/>
  <c r="CO48" i="6"/>
  <c r="CO49" i="6" s="1"/>
  <c r="CO55" i="6"/>
  <c r="IF55" i="6" s="1"/>
  <c r="DO48" i="6"/>
  <c r="DO49" i="6" s="1"/>
  <c r="ED42" i="6"/>
  <c r="DO13" i="6"/>
  <c r="DO18" i="6" s="1"/>
  <c r="DQ52" i="6"/>
  <c r="CX48" i="6"/>
  <c r="CX49" i="6" s="1"/>
  <c r="DM42" i="6"/>
  <c r="CX13" i="6"/>
  <c r="CX18" i="6" s="1"/>
  <c r="FL5" i="6"/>
  <c r="FO5" i="6"/>
  <c r="IC66" i="6"/>
  <c r="IC63" i="6"/>
  <c r="IC64" i="6" s="1"/>
  <c r="DR10" i="6"/>
  <c r="DR39" i="6" s="1"/>
  <c r="DX39" i="6"/>
  <c r="EM10" i="6"/>
  <c r="DX12" i="6"/>
  <c r="DX14" i="6"/>
  <c r="DX15" i="6"/>
  <c r="BQ18" i="6"/>
  <c r="BP19" i="6"/>
  <c r="BX29" i="6"/>
  <c r="BY29" i="6" s="1"/>
  <c r="BY19" i="6"/>
  <c r="FO39" i="6"/>
  <c r="GD10" i="6"/>
  <c r="FO14" i="6"/>
  <c r="GA17" i="6"/>
  <c r="GE17" i="6"/>
  <c r="GP17" i="6" s="1"/>
  <c r="BT29" i="6"/>
  <c r="BU29" i="6" s="1"/>
  <c r="BU19" i="6"/>
  <c r="CK54" i="6"/>
  <c r="CK62" i="6" s="1"/>
  <c r="CK64" i="6" s="1"/>
  <c r="CK65" i="6" s="1"/>
  <c r="CK28" i="6"/>
  <c r="CK29" i="6" s="1"/>
  <c r="CL29" i="6" s="1"/>
  <c r="CE18" i="6"/>
  <c r="CO13" i="6"/>
  <c r="ES43" i="6"/>
  <c r="GI14" i="6"/>
  <c r="FZ15" i="6"/>
  <c r="CZ50" i="6"/>
  <c r="DA49" i="6"/>
  <c r="IC34" i="6"/>
  <c r="IC30" i="6"/>
  <c r="EW7" i="6"/>
  <c r="IJ5" i="6"/>
  <c r="DG50" i="6"/>
  <c r="DH49" i="6"/>
  <c r="CH19" i="6"/>
  <c r="CO57" i="6"/>
  <c r="IF57" i="6" s="1"/>
  <c r="DQ46" i="6"/>
  <c r="DQ53" i="6"/>
  <c r="EF16" i="6"/>
  <c r="FV14" i="6"/>
  <c r="BZ50" i="6"/>
  <c r="EK44" i="6"/>
  <c r="ED52" i="6"/>
  <c r="HM12" i="6"/>
  <c r="EZ46" i="6"/>
  <c r="CW49" i="6"/>
  <c r="CV50" i="6"/>
  <c r="EO39" i="6"/>
  <c r="FD10" i="6"/>
  <c r="EO15" i="6"/>
  <c r="EO44" i="6" s="1"/>
  <c r="EO12" i="6"/>
  <c r="EO14" i="6"/>
  <c r="EO45" i="6" s="1"/>
  <c r="ID54" i="6"/>
  <c r="ID62" i="6" s="1"/>
  <c r="BK62" i="6"/>
  <c r="BK64" i="6" s="1"/>
  <c r="BZ54" i="6"/>
  <c r="BN62" i="6"/>
  <c r="BN64" i="6" s="1"/>
  <c r="BN65" i="6" s="1"/>
  <c r="FR15" i="6"/>
  <c r="CO58" i="6"/>
  <c r="IF58" i="6" s="1"/>
  <c r="EB39" i="6"/>
  <c r="EQ10" i="6"/>
  <c r="EB15" i="6"/>
  <c r="EB44" i="6" s="1"/>
  <c r="EB12" i="6"/>
  <c r="EB14" i="6"/>
  <c r="EB45" i="6" s="1"/>
  <c r="DI44" i="6"/>
  <c r="DS44" i="6" s="1"/>
  <c r="IH44" i="6" s="1"/>
  <c r="DS15" i="6"/>
  <c r="IH15" i="6" s="1"/>
  <c r="FZ12" i="6"/>
  <c r="CL19" i="6"/>
  <c r="EZ45" i="6"/>
  <c r="CM54" i="6"/>
  <c r="CM62" i="6" s="1"/>
  <c r="CM64" i="6" s="1"/>
  <c r="CM65" i="6" s="1"/>
  <c r="CM28" i="6"/>
  <c r="DI42" i="6"/>
  <c r="CT13" i="6"/>
  <c r="CT48" i="6"/>
  <c r="CT49" i="6" s="1"/>
  <c r="DD42" i="6"/>
  <c r="DI52" i="6"/>
  <c r="DD52" i="6"/>
  <c r="IH39" i="6"/>
  <c r="CN18" i="6"/>
  <c r="CM19" i="6"/>
  <c r="EK43" i="6"/>
  <c r="HO15" i="6"/>
  <c r="CR24" i="6"/>
  <c r="CR56" i="6" s="1"/>
  <c r="CZ24" i="6"/>
  <c r="CZ56" i="6" s="1"/>
  <c r="CV24" i="6"/>
  <c r="CV56" i="6" s="1"/>
  <c r="CT24" i="6"/>
  <c r="CT56" i="6" s="1"/>
  <c r="DB24" i="6"/>
  <c r="DB56" i="6" s="1"/>
  <c r="CX24" i="6"/>
  <c r="CX56" i="6" s="1"/>
  <c r="FA62" i="6"/>
  <c r="DZ43" i="6"/>
  <c r="ED46" i="6"/>
  <c r="ED53" i="6"/>
  <c r="ES16" i="6"/>
  <c r="ID20" i="6"/>
  <c r="ID9" i="6" s="1"/>
  <c r="ID29" i="6"/>
  <c r="CG54" i="6"/>
  <c r="CG62" i="6" s="1"/>
  <c r="CG64" i="6" s="1"/>
  <c r="CG65" i="6" s="1"/>
  <c r="CG28" i="6"/>
  <c r="CG29" i="6" s="1"/>
  <c r="CH29" i="6" s="1"/>
  <c r="DZ52" i="6"/>
  <c r="FX12" i="6"/>
  <c r="FH12" i="6"/>
  <c r="DD46" i="6"/>
  <c r="CM50" i="6"/>
  <c r="CN49" i="6"/>
  <c r="DV48" i="6"/>
  <c r="DV49" i="6" s="1"/>
  <c r="EK42" i="6"/>
  <c r="DV13" i="6"/>
  <c r="EK52" i="6"/>
  <c r="FR14" i="6"/>
  <c r="GF6" i="6"/>
  <c r="GA6" i="6"/>
  <c r="IL6" i="6" s="1"/>
  <c r="EZ15" i="6"/>
  <c r="FP15" i="6"/>
  <c r="CR23" i="6"/>
  <c r="CR55" i="6" s="1"/>
  <c r="CZ23" i="6"/>
  <c r="CZ55" i="6" s="1"/>
  <c r="CV23" i="6"/>
  <c r="CV55" i="6" s="1"/>
  <c r="DB23" i="6"/>
  <c r="DB55" i="6" s="1"/>
  <c r="CT23" i="6"/>
  <c r="CT55" i="6" s="1"/>
  <c r="CX23" i="6"/>
  <c r="CX55" i="6" s="1"/>
  <c r="DS39" i="6"/>
  <c r="DT10" i="6"/>
  <c r="DH10" i="6"/>
  <c r="DH39" i="6" s="1"/>
  <c r="DP10" i="6"/>
  <c r="DP39" i="6" s="1"/>
  <c r="DT24" i="6"/>
  <c r="DT26" i="6"/>
  <c r="DL10" i="6"/>
  <c r="DL39" i="6" s="1"/>
  <c r="DT22" i="6"/>
  <c r="DT23" i="6"/>
  <c r="DT25" i="6"/>
  <c r="DZ42" i="6"/>
  <c r="DK13" i="6"/>
  <c r="DK18" i="6" s="1"/>
  <c r="DK48" i="6"/>
  <c r="DK49" i="6" s="1"/>
  <c r="DM53" i="6"/>
  <c r="DM46" i="6"/>
  <c r="EB16" i="6"/>
  <c r="CI54" i="6"/>
  <c r="CI62" i="6" s="1"/>
  <c r="CI64" i="6" s="1"/>
  <c r="CI65" i="6" s="1"/>
  <c r="CI28" i="6"/>
  <c r="CC54" i="6"/>
  <c r="CC28" i="6"/>
  <c r="CC29" i="6" s="1"/>
  <c r="CD29" i="6" s="1"/>
  <c r="EW28" i="6"/>
  <c r="IJ22" i="6"/>
  <c r="FL22" i="6"/>
  <c r="CF49" i="6"/>
  <c r="CE50" i="6"/>
  <c r="CD19" i="6"/>
  <c r="FH39" i="6"/>
  <c r="FW10" i="6"/>
  <c r="FW14" i="6" s="1"/>
  <c r="FW45" i="6" s="1"/>
  <c r="FH15" i="6"/>
  <c r="FH44" i="6" s="1"/>
  <c r="IF52" i="6"/>
  <c r="DI53" i="6"/>
  <c r="DI46" i="6"/>
  <c r="DX16" i="6"/>
  <c r="DS16" i="6"/>
  <c r="IH16" i="6" s="1"/>
  <c r="IH46" i="6" s="1"/>
  <c r="DQ42" i="6"/>
  <c r="DB13" i="6"/>
  <c r="DB18" i="6" s="1"/>
  <c r="DB48" i="6"/>
  <c r="DB49" i="6" s="1"/>
  <c r="FP12" i="6"/>
  <c r="EZ12" i="6"/>
  <c r="CJ18" i="6"/>
  <c r="CI19" i="6"/>
  <c r="GM14" i="6"/>
  <c r="DM52" i="6"/>
  <c r="DG18" i="6"/>
  <c r="BA29" i="6"/>
  <c r="BB29" i="6" s="1"/>
  <c r="BB19" i="6"/>
  <c r="HB15" i="6"/>
  <c r="IE50" i="6"/>
  <c r="EO16" i="6"/>
  <c r="DZ53" i="6"/>
  <c r="DZ46" i="6"/>
  <c r="IJ23" i="6"/>
  <c r="FL23" i="6"/>
  <c r="CR25" i="6"/>
  <c r="CR57" i="6" s="1"/>
  <c r="CZ25" i="6"/>
  <c r="CZ57" i="6" s="1"/>
  <c r="CV25" i="6"/>
  <c r="CV57" i="6" s="1"/>
  <c r="DB25" i="6"/>
  <c r="DB57" i="6" s="1"/>
  <c r="CX25" i="6"/>
  <c r="CX57" i="6" s="1"/>
  <c r="CT25" i="6"/>
  <c r="CT57" i="6" s="1"/>
  <c r="CR26" i="6"/>
  <c r="CR58" i="6" s="1"/>
  <c r="CZ26" i="6"/>
  <c r="CZ58" i="6" s="1"/>
  <c r="CV26" i="6"/>
  <c r="CV58" i="6" s="1"/>
  <c r="CX26" i="6"/>
  <c r="CX58" i="6" s="1"/>
  <c r="CT26" i="6"/>
  <c r="CT58" i="6" s="1"/>
  <c r="DB26" i="6"/>
  <c r="DB58" i="6" s="1"/>
  <c r="DQ43" i="6"/>
  <c r="II10" i="6"/>
  <c r="II7" i="6"/>
  <c r="FP53" i="6"/>
  <c r="GE16" i="6"/>
  <c r="FO16" i="6"/>
  <c r="DM43" i="6"/>
  <c r="DI45" i="6"/>
  <c r="DS45" i="6" s="1"/>
  <c r="IH45" i="6" s="1"/>
  <c r="DS14" i="6"/>
  <c r="IH14" i="6" s="1"/>
  <c r="DJ10" i="6"/>
  <c r="DJ39" i="6" s="1"/>
  <c r="GA26" i="6"/>
  <c r="IK26" i="6"/>
  <c r="IG12" i="6"/>
  <c r="DS46" i="6" l="1"/>
  <c r="AT79" i="7"/>
  <c r="AT90" i="7" s="1"/>
  <c r="AT5" i="7" s="1"/>
  <c r="I131" i="7"/>
  <c r="I132" i="7" s="1"/>
  <c r="H6" i="7"/>
  <c r="DS43" i="6"/>
  <c r="IH43" i="6" s="1"/>
  <c r="DD56" i="6"/>
  <c r="IG56" i="6" s="1"/>
  <c r="FO46" i="6"/>
  <c r="DC49" i="6"/>
  <c r="DB50" i="6"/>
  <c r="DG25" i="6"/>
  <c r="DG57" i="6" s="1"/>
  <c r="DO25" i="6"/>
  <c r="DO57" i="6" s="1"/>
  <c r="DK25" i="6"/>
  <c r="DK57" i="6" s="1"/>
  <c r="DI25" i="6"/>
  <c r="DI57" i="6" s="1"/>
  <c r="DM25" i="6"/>
  <c r="DM57" i="6" s="1"/>
  <c r="DQ25" i="6"/>
  <c r="DQ57" i="6" s="1"/>
  <c r="DG26" i="6"/>
  <c r="DG58" i="6" s="1"/>
  <c r="DO26" i="6"/>
  <c r="DO58" i="6" s="1"/>
  <c r="DK26" i="6"/>
  <c r="DK58" i="6" s="1"/>
  <c r="DI26" i="6"/>
  <c r="DI58" i="6" s="1"/>
  <c r="DQ26" i="6"/>
  <c r="DQ58" i="6" s="1"/>
  <c r="DM26" i="6"/>
  <c r="DM58" i="6" s="1"/>
  <c r="GU6" i="6"/>
  <c r="GP6" i="6"/>
  <c r="IM6" i="6" s="1"/>
  <c r="DW49" i="6"/>
  <c r="DV50" i="6"/>
  <c r="FW12" i="6"/>
  <c r="GM12" i="6"/>
  <c r="CM29" i="6"/>
  <c r="CN29" i="6" s="1"/>
  <c r="CN19" i="6"/>
  <c r="IG52" i="6"/>
  <c r="CF18" i="6"/>
  <c r="CE19" i="6"/>
  <c r="DX43" i="6"/>
  <c r="EH12" i="6"/>
  <c r="FL7" i="6"/>
  <c r="IK5" i="6"/>
  <c r="IK25" i="6"/>
  <c r="GA25" i="6"/>
  <c r="CS19" i="6"/>
  <c r="CV54" i="6"/>
  <c r="CV62" i="6" s="1"/>
  <c r="CV64" i="6" s="1"/>
  <c r="CV65" i="6" s="1"/>
  <c r="CV28" i="6"/>
  <c r="CV29" i="6" s="1"/>
  <c r="CW29" i="6" s="1"/>
  <c r="GP24" i="6"/>
  <c r="IL24" i="6"/>
  <c r="II39" i="6"/>
  <c r="GA23" i="6"/>
  <c r="IK23" i="6"/>
  <c r="DH18" i="6"/>
  <c r="DG19" i="6"/>
  <c r="DC18" i="6"/>
  <c r="DB19" i="6"/>
  <c r="GA22" i="6"/>
  <c r="IK22" i="6"/>
  <c r="FL28" i="6"/>
  <c r="DL18" i="6"/>
  <c r="DK19" i="6"/>
  <c r="DG23" i="6"/>
  <c r="DG55" i="6" s="1"/>
  <c r="DO23" i="6"/>
  <c r="DO55" i="6" s="1"/>
  <c r="DK23" i="6"/>
  <c r="DK55" i="6" s="1"/>
  <c r="DQ23" i="6"/>
  <c r="DQ55" i="6" s="1"/>
  <c r="DI23" i="6"/>
  <c r="DI55" i="6" s="1"/>
  <c r="DM23" i="6"/>
  <c r="DM55" i="6" s="1"/>
  <c r="FO15" i="6"/>
  <c r="GE15" i="6"/>
  <c r="EZ52" i="6"/>
  <c r="GG15" i="6"/>
  <c r="EF53" i="6"/>
  <c r="EF46" i="6"/>
  <c r="EU16" i="6"/>
  <c r="GS10" i="6"/>
  <c r="GD39" i="6"/>
  <c r="GD14" i="6"/>
  <c r="CY18" i="6"/>
  <c r="CX19" i="6"/>
  <c r="EF52" i="6"/>
  <c r="BZ29" i="6"/>
  <c r="CA29" i="6" s="1"/>
  <c r="CA19" i="6"/>
  <c r="EH39" i="6"/>
  <c r="EI10" i="6"/>
  <c r="DW10" i="6"/>
  <c r="DW39" i="6" s="1"/>
  <c r="EI26" i="6"/>
  <c r="EE10" i="6"/>
  <c r="EE39" i="6" s="1"/>
  <c r="EI24" i="6"/>
  <c r="EI25" i="6"/>
  <c r="EI23" i="6"/>
  <c r="EA10" i="6"/>
  <c r="EA39" i="6" s="1"/>
  <c r="EI22" i="6"/>
  <c r="EG10" i="6"/>
  <c r="EG39" i="6" s="1"/>
  <c r="CZ28" i="6"/>
  <c r="CZ29" i="6" s="1"/>
  <c r="DA29" i="6" s="1"/>
  <c r="CZ54" i="6"/>
  <c r="CZ62" i="6" s="1"/>
  <c r="CZ64" i="6" s="1"/>
  <c r="CZ65" i="6" s="1"/>
  <c r="FP62" i="6"/>
  <c r="GE12" i="6"/>
  <c r="FO12" i="6"/>
  <c r="DQ48" i="6"/>
  <c r="DQ49" i="6" s="1"/>
  <c r="EF42" i="6"/>
  <c r="DQ13" i="6"/>
  <c r="DQ18" i="6" s="1"/>
  <c r="DS53" i="6"/>
  <c r="IH53" i="6" s="1"/>
  <c r="FW39" i="6"/>
  <c r="GL10" i="6"/>
  <c r="GL14" i="6" s="1"/>
  <c r="GL45" i="6" s="1"/>
  <c r="FW15" i="6"/>
  <c r="FW44" i="6" s="1"/>
  <c r="IJ28" i="6"/>
  <c r="DZ48" i="6"/>
  <c r="DZ49" i="6" s="1"/>
  <c r="EO42" i="6"/>
  <c r="DZ13" i="6"/>
  <c r="DZ18" i="6" s="1"/>
  <c r="DQ22" i="6"/>
  <c r="DG22" i="6"/>
  <c r="DO22" i="6"/>
  <c r="DK22" i="6"/>
  <c r="DM22" i="6"/>
  <c r="DI22" i="6"/>
  <c r="EZ44" i="6"/>
  <c r="GG14" i="6"/>
  <c r="DV18" i="6"/>
  <c r="EO52" i="6"/>
  <c r="DX52" i="6"/>
  <c r="DS52" i="6"/>
  <c r="DI48" i="6"/>
  <c r="DI49" i="6" s="1"/>
  <c r="DI13" i="6"/>
  <c r="DX42" i="6"/>
  <c r="DS42" i="6"/>
  <c r="EQ39" i="6"/>
  <c r="FF10" i="6"/>
  <c r="EQ15" i="6"/>
  <c r="EQ44" i="6" s="1"/>
  <c r="EQ12" i="6"/>
  <c r="EQ14" i="6"/>
  <c r="EQ45" i="6" s="1"/>
  <c r="ES52" i="6"/>
  <c r="IJ7" i="6"/>
  <c r="IJ10" i="6"/>
  <c r="GO15" i="6"/>
  <c r="DX44" i="6"/>
  <c r="EH44" i="6" s="1"/>
  <c r="II44" i="6" s="1"/>
  <c r="EH15" i="6"/>
  <c r="II15" i="6" s="1"/>
  <c r="EB42" i="6"/>
  <c r="DM48" i="6"/>
  <c r="DM49" i="6" s="1"/>
  <c r="DM13" i="6"/>
  <c r="DM18" i="6" s="1"/>
  <c r="DP18" i="6"/>
  <c r="DO19" i="6"/>
  <c r="CO50" i="6"/>
  <c r="IE29" i="6"/>
  <c r="IE20" i="6"/>
  <c r="IE9" i="6" s="1"/>
  <c r="CW19" i="6"/>
  <c r="CX54" i="6"/>
  <c r="CX62" i="6" s="1"/>
  <c r="CX64" i="6" s="1"/>
  <c r="CX65" i="6" s="1"/>
  <c r="CX28" i="6"/>
  <c r="CR54" i="6"/>
  <c r="CR28" i="6"/>
  <c r="CR29" i="6" s="1"/>
  <c r="CS29" i="6" s="1"/>
  <c r="DA19" i="6"/>
  <c r="EB52" i="6"/>
  <c r="DX53" i="6"/>
  <c r="DX46" i="6"/>
  <c r="EM16" i="6"/>
  <c r="EH16" i="6"/>
  <c r="II16" i="6" s="1"/>
  <c r="II46" i="6" s="1"/>
  <c r="DK50" i="6"/>
  <c r="DL49" i="6"/>
  <c r="DD55" i="6"/>
  <c r="IG55" i="6" s="1"/>
  <c r="CU49" i="6"/>
  <c r="CT50" i="6"/>
  <c r="EB43" i="6"/>
  <c r="BK65" i="6"/>
  <c r="BK67" i="6"/>
  <c r="DO50" i="6"/>
  <c r="DP49" i="6"/>
  <c r="GP26" i="6"/>
  <c r="IL26" i="6"/>
  <c r="GE53" i="6"/>
  <c r="GT16" i="6"/>
  <c r="GD16" i="6"/>
  <c r="DD58" i="6"/>
  <c r="IG58" i="6" s="1"/>
  <c r="EO46" i="6"/>
  <c r="FD16" i="6"/>
  <c r="EO53" i="6"/>
  <c r="HQ15" i="6"/>
  <c r="HB14" i="6"/>
  <c r="EZ43" i="6"/>
  <c r="CO54" i="6"/>
  <c r="CC62" i="6"/>
  <c r="CC64" i="6" s="1"/>
  <c r="CC65" i="6" s="1"/>
  <c r="EB46" i="6"/>
  <c r="EB53" i="6"/>
  <c r="EQ16" i="6"/>
  <c r="DG24" i="6"/>
  <c r="DG56" i="6" s="1"/>
  <c r="DO24" i="6"/>
  <c r="DO56" i="6" s="1"/>
  <c r="DK24" i="6"/>
  <c r="DK56" i="6" s="1"/>
  <c r="DM24" i="6"/>
  <c r="DM56" i="6" s="1"/>
  <c r="DI24" i="6"/>
  <c r="DI56" i="6" s="1"/>
  <c r="DQ24" i="6"/>
  <c r="DQ56" i="6" s="1"/>
  <c r="ID30" i="6"/>
  <c r="ID34" i="6"/>
  <c r="DD13" i="6"/>
  <c r="CT18" i="6"/>
  <c r="ID66" i="6"/>
  <c r="ID63" i="6"/>
  <c r="ID64" i="6" s="1"/>
  <c r="DD57" i="6"/>
  <c r="IG57" i="6" s="1"/>
  <c r="CI29" i="6"/>
  <c r="CJ29" i="6" s="1"/>
  <c r="CJ19" i="6"/>
  <c r="EZ42" i="6"/>
  <c r="EK13" i="6"/>
  <c r="EK48" i="6"/>
  <c r="EK49" i="6" s="1"/>
  <c r="FH43" i="6"/>
  <c r="ES46" i="6"/>
  <c r="ES53" i="6"/>
  <c r="FH16" i="6"/>
  <c r="DD48" i="6"/>
  <c r="DD49" i="6" s="1"/>
  <c r="IG42" i="6"/>
  <c r="IG48" i="6" s="1"/>
  <c r="IG49" i="6" s="1"/>
  <c r="GO12" i="6"/>
  <c r="EC10" i="6"/>
  <c r="EC39" i="6" s="1"/>
  <c r="IE54" i="6"/>
  <c r="IE62" i="6" s="1"/>
  <c r="BZ62" i="6"/>
  <c r="BZ64" i="6" s="1"/>
  <c r="EO43" i="6"/>
  <c r="FD39" i="6"/>
  <c r="FS10" i="6"/>
  <c r="FD15" i="6"/>
  <c r="FD44" i="6" s="1"/>
  <c r="FD12" i="6"/>
  <c r="FD14" i="6"/>
  <c r="FD45" i="6" s="1"/>
  <c r="GK14" i="6"/>
  <c r="GX14" i="6"/>
  <c r="IF13" i="6"/>
  <c r="IF18" i="6" s="1"/>
  <c r="IF19" i="6" s="1"/>
  <c r="CO18" i="6"/>
  <c r="CO19" i="6" s="1"/>
  <c r="FO45" i="6"/>
  <c r="BP29" i="6"/>
  <c r="BQ29" i="6" s="1"/>
  <c r="BQ19" i="6"/>
  <c r="DX45" i="6"/>
  <c r="EH45" i="6" s="1"/>
  <c r="II45" i="6" s="1"/>
  <c r="EH14" i="6"/>
  <c r="II14" i="6" s="1"/>
  <c r="EM39" i="6"/>
  <c r="FB10" i="6"/>
  <c r="EM12" i="6"/>
  <c r="EM15" i="6"/>
  <c r="EM14" i="6"/>
  <c r="GA5" i="6"/>
  <c r="GD5" i="6"/>
  <c r="CX50" i="6"/>
  <c r="CY49" i="6"/>
  <c r="ES42" i="6"/>
  <c r="ED48" i="6"/>
  <c r="ED49" i="6" s="1"/>
  <c r="ED13" i="6"/>
  <c r="ED18" i="6" s="1"/>
  <c r="IF50" i="6"/>
  <c r="IH12" i="6"/>
  <c r="EF43" i="6"/>
  <c r="EU39" i="6"/>
  <c r="FJ10" i="6"/>
  <c r="EW10" i="6"/>
  <c r="ER10" i="6" s="1"/>
  <c r="ER39" i="6" s="1"/>
  <c r="EU14" i="6"/>
  <c r="EU45" i="6" s="1"/>
  <c r="EU15" i="6"/>
  <c r="EU44" i="6" s="1"/>
  <c r="EU12" i="6"/>
  <c r="CT54" i="6"/>
  <c r="CT62" i="6" s="1"/>
  <c r="CT64" i="6" s="1"/>
  <c r="CT65" i="6" s="1"/>
  <c r="CT28" i="6"/>
  <c r="DB54" i="6"/>
  <c r="DB62" i="6" s="1"/>
  <c r="DB64" i="6" s="1"/>
  <c r="DB65" i="6" s="1"/>
  <c r="DB28" i="6"/>
  <c r="GZ12" i="6"/>
  <c r="IK28" i="6" l="1"/>
  <c r="J131" i="7"/>
  <c r="J132" i="7" s="1"/>
  <c r="I6" i="7"/>
  <c r="GS5" i="6"/>
  <c r="GP5" i="6"/>
  <c r="IE66" i="6"/>
  <c r="IE63" i="6"/>
  <c r="IE64" i="6" s="1"/>
  <c r="EK50" i="6"/>
  <c r="EL49" i="6"/>
  <c r="EQ53" i="6"/>
  <c r="EQ46" i="6"/>
  <c r="FF16" i="6"/>
  <c r="GD46" i="6"/>
  <c r="EQ52" i="6"/>
  <c r="DN18" i="6"/>
  <c r="DM19" i="6"/>
  <c r="EM52" i="6"/>
  <c r="EH52" i="6"/>
  <c r="DI54" i="6"/>
  <c r="DI62" i="6" s="1"/>
  <c r="DI64" i="6" s="1"/>
  <c r="DI65" i="6" s="1"/>
  <c r="DI28" i="6"/>
  <c r="DG54" i="6"/>
  <c r="DG28" i="6"/>
  <c r="DG29" i="6" s="1"/>
  <c r="DH29" i="6" s="1"/>
  <c r="GL39" i="6"/>
  <c r="HA10" i="6"/>
  <c r="GL15" i="6"/>
  <c r="GL44" i="6" s="1"/>
  <c r="DR49" i="6"/>
  <c r="DQ50" i="6"/>
  <c r="DV26" i="6"/>
  <c r="DV58" i="6" s="1"/>
  <c r="ED26" i="6"/>
  <c r="ED58" i="6" s="1"/>
  <c r="DZ26" i="6"/>
  <c r="DZ58" i="6" s="1"/>
  <c r="DX26" i="6"/>
  <c r="DX58" i="6" s="1"/>
  <c r="EF26" i="6"/>
  <c r="EF58" i="6" s="1"/>
  <c r="EB26" i="6"/>
  <c r="EB58" i="6" s="1"/>
  <c r="FO52" i="6"/>
  <c r="DH19" i="6"/>
  <c r="GP23" i="6"/>
  <c r="IL23" i="6"/>
  <c r="IM24" i="6"/>
  <c r="HE24" i="6"/>
  <c r="GL12" i="6"/>
  <c r="HB12" i="6"/>
  <c r="DS58" i="6"/>
  <c r="IH58" i="6" s="1"/>
  <c r="FJ39" i="6"/>
  <c r="FL10" i="6"/>
  <c r="FY10" i="6"/>
  <c r="FJ14" i="6"/>
  <c r="FJ45" i="6" s="1"/>
  <c r="FJ15" i="6"/>
  <c r="FJ44" i="6" s="1"/>
  <c r="FJ12" i="6"/>
  <c r="IL5" i="6"/>
  <c r="GA7" i="6"/>
  <c r="HQ14" i="6"/>
  <c r="GT53" i="6"/>
  <c r="HI16" i="6"/>
  <c r="GS16" i="6"/>
  <c r="DD54" i="6"/>
  <c r="CR62" i="6"/>
  <c r="CR64" i="6" s="1"/>
  <c r="CR65" i="6" s="1"/>
  <c r="DN49" i="6"/>
  <c r="DM50" i="6"/>
  <c r="HD15" i="6"/>
  <c r="DS13" i="6"/>
  <c r="DI18" i="6"/>
  <c r="GV14" i="6"/>
  <c r="DM28" i="6"/>
  <c r="DM54" i="6"/>
  <c r="DM62" i="6" s="1"/>
  <c r="DM64" i="6" s="1"/>
  <c r="DM65" i="6" s="1"/>
  <c r="DQ54" i="6"/>
  <c r="DQ62" i="6" s="1"/>
  <c r="DQ64" i="6" s="1"/>
  <c r="DQ65" i="6" s="1"/>
  <c r="DQ28" i="6"/>
  <c r="FO43" i="6"/>
  <c r="CX29" i="6"/>
  <c r="CY29" i="6" s="1"/>
  <c r="CY19" i="6"/>
  <c r="GS39" i="6"/>
  <c r="HH10" i="6"/>
  <c r="GS14" i="6"/>
  <c r="GP22" i="6"/>
  <c r="GA28" i="6"/>
  <c r="IL22" i="6"/>
  <c r="IK10" i="6"/>
  <c r="IK7" i="6"/>
  <c r="EH43" i="6"/>
  <c r="II43" i="6" s="1"/>
  <c r="FW43" i="6"/>
  <c r="EE18" i="6"/>
  <c r="ED19" i="6"/>
  <c r="EM45" i="6"/>
  <c r="EW45" i="6" s="1"/>
  <c r="IJ45" i="6" s="1"/>
  <c r="EW14" i="6"/>
  <c r="IJ14" i="6" s="1"/>
  <c r="IF20" i="6"/>
  <c r="IF9" i="6" s="1"/>
  <c r="IF29" i="6"/>
  <c r="GZ14" i="6"/>
  <c r="FD43" i="6"/>
  <c r="CU18" i="6"/>
  <c r="CT19" i="6"/>
  <c r="GE62" i="6"/>
  <c r="EH46" i="6"/>
  <c r="DP19" i="6"/>
  <c r="EB48" i="6"/>
  <c r="EB49" i="6" s="1"/>
  <c r="EQ42" i="6"/>
  <c r="EB13" i="6"/>
  <c r="EB18" i="6" s="1"/>
  <c r="FF39" i="6"/>
  <c r="FU10" i="6"/>
  <c r="FF15" i="6"/>
  <c r="FF44" i="6" s="1"/>
  <c r="FF12" i="6"/>
  <c r="FF14" i="6"/>
  <c r="FF45" i="6" s="1"/>
  <c r="DJ49" i="6"/>
  <c r="DI50" i="6"/>
  <c r="DW18" i="6"/>
  <c r="DV19" i="6"/>
  <c r="DK54" i="6"/>
  <c r="DK62" i="6" s="1"/>
  <c r="DK64" i="6" s="1"/>
  <c r="DK65" i="6" s="1"/>
  <c r="DK28" i="6"/>
  <c r="DK29" i="6" s="1"/>
  <c r="DL29" i="6" s="1"/>
  <c r="EA18" i="6"/>
  <c r="DZ19" i="6"/>
  <c r="DR18" i="6"/>
  <c r="DQ19" i="6"/>
  <c r="GD12" i="6"/>
  <c r="GT12" i="6"/>
  <c r="EF22" i="6"/>
  <c r="DV22" i="6"/>
  <c r="ED22" i="6"/>
  <c r="DZ22" i="6"/>
  <c r="EB22" i="6"/>
  <c r="DX22" i="6"/>
  <c r="DV24" i="6"/>
  <c r="DV56" i="6" s="1"/>
  <c r="ED24" i="6"/>
  <c r="ED56" i="6" s="1"/>
  <c r="DZ24" i="6"/>
  <c r="DZ56" i="6" s="1"/>
  <c r="EF24" i="6"/>
  <c r="EF56" i="6" s="1"/>
  <c r="DX24" i="6"/>
  <c r="DX56" i="6" s="1"/>
  <c r="EB24" i="6"/>
  <c r="EB56" i="6" s="1"/>
  <c r="EU53" i="6"/>
  <c r="EU46" i="6"/>
  <c r="FJ16" i="6"/>
  <c r="DB29" i="6"/>
  <c r="DC29" i="6" s="1"/>
  <c r="DC19" i="6"/>
  <c r="CF19" i="6"/>
  <c r="CE29" i="6"/>
  <c r="CF29" i="6" s="1"/>
  <c r="HE6" i="6"/>
  <c r="IN6" i="6" s="1"/>
  <c r="HJ6" i="6"/>
  <c r="HT6" i="6" s="1"/>
  <c r="IO6" i="6" s="1"/>
  <c r="DS57" i="6"/>
  <c r="IH57" i="6" s="1"/>
  <c r="EU43" i="6"/>
  <c r="FH42" i="6"/>
  <c r="ES13" i="6"/>
  <c r="ES18" i="6" s="1"/>
  <c r="ES48" i="6"/>
  <c r="ES49" i="6" s="1"/>
  <c r="EM43" i="6"/>
  <c r="EW12" i="6"/>
  <c r="IG50" i="6"/>
  <c r="IF54" i="6"/>
  <c r="IF62" i="6" s="1"/>
  <c r="CO62" i="6"/>
  <c r="CO64" i="6" s="1"/>
  <c r="DX48" i="6"/>
  <c r="DX49" i="6" s="1"/>
  <c r="EM42" i="6"/>
  <c r="DX13" i="6"/>
  <c r="EH42" i="6"/>
  <c r="FD52" i="6"/>
  <c r="EA49" i="6"/>
  <c r="DZ50" i="6"/>
  <c r="DV23" i="6"/>
  <c r="DV55" i="6" s="1"/>
  <c r="ED23" i="6"/>
  <c r="ED55" i="6" s="1"/>
  <c r="DZ23" i="6"/>
  <c r="DZ55" i="6" s="1"/>
  <c r="DX23" i="6"/>
  <c r="DX55" i="6" s="1"/>
  <c r="EB23" i="6"/>
  <c r="EB55" i="6" s="1"/>
  <c r="EF23" i="6"/>
  <c r="EF55" i="6" s="1"/>
  <c r="GD45" i="6"/>
  <c r="FO44" i="6"/>
  <c r="DL19" i="6"/>
  <c r="FB39" i="6"/>
  <c r="FQ10" i="6"/>
  <c r="FB12" i="6"/>
  <c r="FB14" i="6"/>
  <c r="FB15" i="6"/>
  <c r="CP19" i="6"/>
  <c r="CO29" i="6"/>
  <c r="CP29" i="6" s="1"/>
  <c r="FS39" i="6"/>
  <c r="GH10" i="6"/>
  <c r="FS15" i="6"/>
  <c r="FS44" i="6" s="1"/>
  <c r="FS12" i="6"/>
  <c r="FS14" i="6"/>
  <c r="FS45" i="6" s="1"/>
  <c r="DD50" i="6"/>
  <c r="EK18" i="6"/>
  <c r="FS16" i="6"/>
  <c r="FD53" i="6"/>
  <c r="FD46" i="6"/>
  <c r="IM26" i="6"/>
  <c r="HE26" i="6"/>
  <c r="EM53" i="6"/>
  <c r="EM46" i="6"/>
  <c r="FB16" i="6"/>
  <c r="EW16" i="6"/>
  <c r="IJ16" i="6" s="1"/>
  <c r="IJ46" i="6" s="1"/>
  <c r="DV25" i="6"/>
  <c r="DV57" i="6" s="1"/>
  <c r="ED25" i="6"/>
  <c r="ED57" i="6" s="1"/>
  <c r="DZ25" i="6"/>
  <c r="DZ57" i="6" s="1"/>
  <c r="EF25" i="6"/>
  <c r="EF57" i="6" s="1"/>
  <c r="DX25" i="6"/>
  <c r="DX57" i="6" s="1"/>
  <c r="EB25" i="6"/>
  <c r="EB57" i="6" s="1"/>
  <c r="HO12" i="6"/>
  <c r="EW39" i="6"/>
  <c r="EX10" i="6"/>
  <c r="EL10" i="6"/>
  <c r="EL39" i="6" s="1"/>
  <c r="EX26" i="6"/>
  <c r="EX24" i="6"/>
  <c r="ET10" i="6"/>
  <c r="ET39" i="6" s="1"/>
  <c r="EX25" i="6"/>
  <c r="EP10" i="6"/>
  <c r="EP39" i="6" s="1"/>
  <c r="EX22" i="6"/>
  <c r="EX23" i="6"/>
  <c r="EV10" i="6"/>
  <c r="EV39" i="6" s="1"/>
  <c r="EE49" i="6"/>
  <c r="ED50" i="6"/>
  <c r="EM44" i="6"/>
  <c r="EW44" i="6" s="1"/>
  <c r="IJ44" i="6" s="1"/>
  <c r="EW15" i="6"/>
  <c r="IJ15" i="6" s="1"/>
  <c r="EN10" i="6"/>
  <c r="EN39" i="6" s="1"/>
  <c r="HM14" i="6"/>
  <c r="BZ67" i="6"/>
  <c r="BZ65" i="6"/>
  <c r="HD12" i="6"/>
  <c r="FH53" i="6"/>
  <c r="FH46" i="6"/>
  <c r="FW16" i="6"/>
  <c r="EZ48" i="6"/>
  <c r="EZ49" i="6" s="1"/>
  <c r="FO42" i="6"/>
  <c r="EZ13" i="6"/>
  <c r="IG13" i="6"/>
  <c r="IG18" i="6" s="1"/>
  <c r="IG19" i="6" s="1"/>
  <c r="DD18" i="6"/>
  <c r="DD19" i="6" s="1"/>
  <c r="DS56" i="6"/>
  <c r="IH56" i="6" s="1"/>
  <c r="EH53" i="6"/>
  <c r="II53" i="6" s="1"/>
  <c r="IE34" i="6"/>
  <c r="IE30" i="6"/>
  <c r="IJ39" i="6"/>
  <c r="FH52" i="6"/>
  <c r="EQ43" i="6"/>
  <c r="DS48" i="6"/>
  <c r="DS49" i="6" s="1"/>
  <c r="IH42" i="6"/>
  <c r="IH48" i="6" s="1"/>
  <c r="IH49" i="6" s="1"/>
  <c r="IH52" i="6"/>
  <c r="DO54" i="6"/>
  <c r="DO62" i="6" s="1"/>
  <c r="DO64" i="6" s="1"/>
  <c r="DO65" i="6" s="1"/>
  <c r="DO28" i="6"/>
  <c r="DO29" i="6" s="1"/>
  <c r="DP29" i="6" s="1"/>
  <c r="EO48" i="6"/>
  <c r="EO49" i="6" s="1"/>
  <c r="FD42" i="6"/>
  <c r="EO13" i="6"/>
  <c r="EO18" i="6" s="1"/>
  <c r="EF48" i="6"/>
  <c r="EF49" i="6" s="1"/>
  <c r="EU42" i="6"/>
  <c r="EF13" i="6"/>
  <c r="EF18" i="6" s="1"/>
  <c r="EU52" i="6"/>
  <c r="GV15" i="6"/>
  <c r="GT15" i="6"/>
  <c r="GD15" i="6"/>
  <c r="DS55" i="6"/>
  <c r="IH55" i="6" s="1"/>
  <c r="IL25" i="6"/>
  <c r="GP25" i="6"/>
  <c r="II12" i="6"/>
  <c r="IL28" i="6" l="1"/>
  <c r="EW46" i="6"/>
  <c r="K131" i="7"/>
  <c r="K132" i="7" s="1"/>
  <c r="J6" i="7"/>
  <c r="EU48" i="6"/>
  <c r="EU49" i="6" s="1"/>
  <c r="FJ42" i="6"/>
  <c r="EU13" i="6"/>
  <c r="EU18" i="6" s="1"/>
  <c r="FD48" i="6"/>
  <c r="FD49" i="6" s="1"/>
  <c r="FD13" i="6"/>
  <c r="FD18" i="6" s="1"/>
  <c r="FS42" i="6"/>
  <c r="EK23" i="6"/>
  <c r="EK55" i="6" s="1"/>
  <c r="ES23" i="6"/>
  <c r="ES55" i="6" s="1"/>
  <c r="EO23" i="6"/>
  <c r="EO55" i="6" s="1"/>
  <c r="EQ23" i="6"/>
  <c r="EQ55" i="6" s="1"/>
  <c r="EM23" i="6"/>
  <c r="EM55" i="6" s="1"/>
  <c r="EU23" i="6"/>
  <c r="EU55" i="6" s="1"/>
  <c r="FB46" i="6"/>
  <c r="FB53" i="6"/>
  <c r="FQ16" i="6"/>
  <c r="FL16" i="6"/>
  <c r="IK16" i="6" s="1"/>
  <c r="IK46" i="6" s="1"/>
  <c r="FS46" i="6"/>
  <c r="GH16" i="6"/>
  <c r="FS53" i="6"/>
  <c r="FB45" i="6"/>
  <c r="FL45" i="6" s="1"/>
  <c r="IK45" i="6" s="1"/>
  <c r="FL14" i="6"/>
  <c r="IK14" i="6" s="1"/>
  <c r="DX50" i="6"/>
  <c r="DY49" i="6"/>
  <c r="ES50" i="6"/>
  <c r="ET49" i="6"/>
  <c r="DX28" i="6"/>
  <c r="DX54" i="6"/>
  <c r="DX62" i="6" s="1"/>
  <c r="DX64" i="6" s="1"/>
  <c r="DX65" i="6" s="1"/>
  <c r="DQ29" i="6"/>
  <c r="DR29" i="6" s="1"/>
  <c r="DR19" i="6"/>
  <c r="FU39" i="6"/>
  <c r="GJ10" i="6"/>
  <c r="FU15" i="6"/>
  <c r="FU44" i="6" s="1"/>
  <c r="FU12" i="6"/>
  <c r="FU14" i="6"/>
  <c r="FU45" i="6" s="1"/>
  <c r="EQ48" i="6"/>
  <c r="EQ49" i="6" s="1"/>
  <c r="FF42" i="6"/>
  <c r="EQ13" i="6"/>
  <c r="EQ18" i="6" s="1"/>
  <c r="HK14" i="6"/>
  <c r="HS15" i="6"/>
  <c r="HI53" i="6"/>
  <c r="HH16" i="6"/>
  <c r="FL39" i="6"/>
  <c r="FM10" i="6"/>
  <c r="FA10" i="6"/>
  <c r="FA39" i="6" s="1"/>
  <c r="FI10" i="6"/>
  <c r="FI39" i="6" s="1"/>
  <c r="FM24" i="6"/>
  <c r="FM26" i="6"/>
  <c r="FM23" i="6"/>
  <c r="FM22" i="6"/>
  <c r="FE10" i="6"/>
  <c r="FE39" i="6" s="1"/>
  <c r="FM25" i="6"/>
  <c r="GL43" i="6"/>
  <c r="HA39" i="6"/>
  <c r="HP10" i="6"/>
  <c r="HP14" i="6" s="1"/>
  <c r="HP45" i="6" s="1"/>
  <c r="HA15" i="6"/>
  <c r="HA44" i="6" s="1"/>
  <c r="II52" i="6"/>
  <c r="FJ52" i="6"/>
  <c r="EO50" i="6"/>
  <c r="EP49" i="6"/>
  <c r="DD29" i="6"/>
  <c r="DE29" i="6" s="1"/>
  <c r="DE19" i="6"/>
  <c r="EK24" i="6"/>
  <c r="EK56" i="6" s="1"/>
  <c r="ES24" i="6"/>
  <c r="ES56" i="6" s="1"/>
  <c r="EO24" i="6"/>
  <c r="EO56" i="6" s="1"/>
  <c r="EM24" i="6"/>
  <c r="EM56" i="6" s="1"/>
  <c r="EU24" i="6"/>
  <c r="EU56" i="6" s="1"/>
  <c r="EQ24" i="6"/>
  <c r="EQ56" i="6" s="1"/>
  <c r="EL18" i="6"/>
  <c r="EK19" i="6"/>
  <c r="GH39" i="6"/>
  <c r="GW10" i="6"/>
  <c r="GH15" i="6"/>
  <c r="GH44" i="6" s="1"/>
  <c r="GH12" i="6"/>
  <c r="GH14" i="6"/>
  <c r="GH45" i="6" s="1"/>
  <c r="FB43" i="6"/>
  <c r="FL12" i="6"/>
  <c r="CO67" i="6"/>
  <c r="CO65" i="6"/>
  <c r="ET18" i="6"/>
  <c r="ES19" i="6"/>
  <c r="EC49" i="6"/>
  <c r="EB50" i="6"/>
  <c r="HH39" i="6"/>
  <c r="HH14" i="6"/>
  <c r="DJ18" i="6"/>
  <c r="DI19" i="6"/>
  <c r="GT62" i="6"/>
  <c r="IL10" i="6"/>
  <c r="IL7" i="6"/>
  <c r="FY39" i="6"/>
  <c r="GA10" i="6"/>
  <c r="FV10" i="6" s="1"/>
  <c r="FV39" i="6" s="1"/>
  <c r="GN10" i="6"/>
  <c r="FY14" i="6"/>
  <c r="FY45" i="6" s="1"/>
  <c r="FY15" i="6"/>
  <c r="FY44" i="6" s="1"/>
  <c r="FY12" i="6"/>
  <c r="DS54" i="6"/>
  <c r="DG62" i="6"/>
  <c r="DG64" i="6" s="1"/>
  <c r="DG65" i="6" s="1"/>
  <c r="FB52" i="6"/>
  <c r="EW52" i="6"/>
  <c r="FF52" i="6"/>
  <c r="FF53" i="6"/>
  <c r="FF46" i="6"/>
  <c r="FU16" i="6"/>
  <c r="IM25" i="6"/>
  <c r="HE25" i="6"/>
  <c r="GS15" i="6"/>
  <c r="HI15" i="6"/>
  <c r="HH15" i="6" s="1"/>
  <c r="IG29" i="6"/>
  <c r="IG20" i="6"/>
  <c r="IG9" i="6" s="1"/>
  <c r="EZ50" i="6"/>
  <c r="FA49" i="6"/>
  <c r="EK26" i="6"/>
  <c r="EK58" i="6" s="1"/>
  <c r="ES26" i="6"/>
  <c r="ES58" i="6" s="1"/>
  <c r="EO26" i="6"/>
  <c r="EO58" i="6" s="1"/>
  <c r="EQ26" i="6"/>
  <c r="EQ58" i="6" s="1"/>
  <c r="EU26" i="6"/>
  <c r="EU58" i="6" s="1"/>
  <c r="EM26" i="6"/>
  <c r="EM58" i="6" s="1"/>
  <c r="EH57" i="6"/>
  <c r="II57" i="6" s="1"/>
  <c r="EW53" i="6"/>
  <c r="IJ53" i="6" s="1"/>
  <c r="FS43" i="6"/>
  <c r="FC10" i="6"/>
  <c r="FC39" i="6" s="1"/>
  <c r="EH13" i="6"/>
  <c r="DX18" i="6"/>
  <c r="IF66" i="6"/>
  <c r="IF63" i="6"/>
  <c r="IF64" i="6" s="1"/>
  <c r="FH48" i="6"/>
  <c r="FH49" i="6" s="1"/>
  <c r="FW42" i="6"/>
  <c r="FH13" i="6"/>
  <c r="FH18" i="6" s="1"/>
  <c r="FJ46" i="6"/>
  <c r="FJ53" i="6"/>
  <c r="FY16" i="6"/>
  <c r="DZ54" i="6"/>
  <c r="DZ62" i="6" s="1"/>
  <c r="DZ64" i="6" s="1"/>
  <c r="DZ65" i="6" s="1"/>
  <c r="DZ28" i="6"/>
  <c r="DZ29" i="6" s="1"/>
  <c r="EA29" i="6" s="1"/>
  <c r="HI12" i="6"/>
  <c r="HH12" i="6" s="1"/>
  <c r="GS12" i="6"/>
  <c r="EA19" i="6"/>
  <c r="DW19" i="6"/>
  <c r="FG10" i="6"/>
  <c r="FG39" i="6" s="1"/>
  <c r="EE19" i="6"/>
  <c r="IH13" i="6"/>
  <c r="IH18" i="6" s="1"/>
  <c r="IH19" i="6" s="1"/>
  <c r="DS18" i="6"/>
  <c r="DS19" i="6" s="1"/>
  <c r="IG54" i="6"/>
  <c r="IG62" i="6" s="1"/>
  <c r="DD62" i="6"/>
  <c r="DD64" i="6" s="1"/>
  <c r="HA14" i="6"/>
  <c r="HA45" i="6" s="1"/>
  <c r="FJ43" i="6"/>
  <c r="HT24" i="6"/>
  <c r="IN24" i="6"/>
  <c r="EH58" i="6"/>
  <c r="II58" i="6" s="1"/>
  <c r="GP7" i="6"/>
  <c r="IM5" i="6"/>
  <c r="DS50" i="6"/>
  <c r="IN26" i="6"/>
  <c r="HT26" i="6"/>
  <c r="DV54" i="6"/>
  <c r="DV28" i="6"/>
  <c r="DV29" i="6" s="1"/>
  <c r="DW29" i="6" s="1"/>
  <c r="FF43" i="6"/>
  <c r="GS45" i="6"/>
  <c r="GD44" i="6"/>
  <c r="EF50" i="6"/>
  <c r="EG49" i="6"/>
  <c r="FO48" i="6"/>
  <c r="FO49" i="6" s="1"/>
  <c r="GD42" i="6"/>
  <c r="FO13" i="6"/>
  <c r="EU22" i="6"/>
  <c r="EK22" i="6"/>
  <c r="ES22" i="6"/>
  <c r="EO22" i="6"/>
  <c r="EM22" i="6"/>
  <c r="EQ22" i="6"/>
  <c r="II42" i="6"/>
  <c r="II48" i="6" s="1"/>
  <c r="II49" i="6" s="1"/>
  <c r="EH48" i="6"/>
  <c r="EH49" i="6" s="1"/>
  <c r="IJ12" i="6"/>
  <c r="EB54" i="6"/>
  <c r="EB62" i="6" s="1"/>
  <c r="EB64" i="6" s="1"/>
  <c r="EB65" i="6" s="1"/>
  <c r="EB28" i="6"/>
  <c r="EF54" i="6"/>
  <c r="EF62" i="6" s="1"/>
  <c r="EF64" i="6" s="1"/>
  <c r="EF65" i="6" s="1"/>
  <c r="EF28" i="6"/>
  <c r="IF30" i="6"/>
  <c r="IF34" i="6"/>
  <c r="HK15" i="6"/>
  <c r="EG18" i="6"/>
  <c r="EF19" i="6"/>
  <c r="EP18" i="6"/>
  <c r="EO19" i="6"/>
  <c r="IH50" i="6"/>
  <c r="FW52" i="6"/>
  <c r="EZ18" i="6"/>
  <c r="FW46" i="6"/>
  <c r="FW53" i="6"/>
  <c r="GL16" i="6"/>
  <c r="HS12" i="6"/>
  <c r="EK25" i="6"/>
  <c r="EK57" i="6" s="1"/>
  <c r="ES25" i="6"/>
  <c r="ES57" i="6" s="1"/>
  <c r="EO25" i="6"/>
  <c r="EO57" i="6" s="1"/>
  <c r="EU25" i="6"/>
  <c r="EU57" i="6" s="1"/>
  <c r="EQ25" i="6"/>
  <c r="EQ57" i="6" s="1"/>
  <c r="EM25" i="6"/>
  <c r="EM57" i="6" s="1"/>
  <c r="FB44" i="6"/>
  <c r="FL44" i="6" s="1"/>
  <c r="IK44" i="6" s="1"/>
  <c r="FL15" i="6"/>
  <c r="IK15" i="6" s="1"/>
  <c r="FQ39" i="6"/>
  <c r="GF10" i="6"/>
  <c r="FQ12" i="6"/>
  <c r="FQ15" i="6"/>
  <c r="FQ14" i="6"/>
  <c r="EH55" i="6"/>
  <c r="II55" i="6" s="1"/>
  <c r="FS52" i="6"/>
  <c r="EM48" i="6"/>
  <c r="EM49" i="6" s="1"/>
  <c r="FB42" i="6"/>
  <c r="EM13" i="6"/>
  <c r="EW42" i="6"/>
  <c r="EW43" i="6"/>
  <c r="IJ43" i="6" s="1"/>
  <c r="EH56" i="6"/>
  <c r="II56" i="6" s="1"/>
  <c r="ED54" i="6"/>
  <c r="ED62" i="6" s="1"/>
  <c r="ED64" i="6" s="1"/>
  <c r="ED65" i="6" s="1"/>
  <c r="ED28" i="6"/>
  <c r="ED29" i="6" s="1"/>
  <c r="EE29" i="6" s="1"/>
  <c r="GD43" i="6"/>
  <c r="EC18" i="6"/>
  <c r="EB19" i="6"/>
  <c r="CT29" i="6"/>
  <c r="CU29" i="6" s="1"/>
  <c r="CU19" i="6"/>
  <c r="HO14" i="6"/>
  <c r="IK39" i="6"/>
  <c r="GP28" i="6"/>
  <c r="HE22" i="6"/>
  <c r="IM22" i="6"/>
  <c r="GS46" i="6"/>
  <c r="FK10" i="6"/>
  <c r="FK39" i="6" s="1"/>
  <c r="HQ12" i="6"/>
  <c r="HA12" i="6"/>
  <c r="HE23" i="6"/>
  <c r="IM23" i="6"/>
  <c r="GD52" i="6"/>
  <c r="DN19" i="6"/>
  <c r="DM29" i="6"/>
  <c r="DN29" i="6" s="1"/>
  <c r="HH5" i="6"/>
  <c r="HT5" i="6" s="1"/>
  <c r="HE5" i="6"/>
  <c r="FR10" i="6" l="1"/>
  <c r="FR39" i="6" s="1"/>
  <c r="FZ10" i="6"/>
  <c r="FZ39" i="6" s="1"/>
  <c r="FL53" i="6"/>
  <c r="IK53" i="6" s="1"/>
  <c r="IM28" i="6"/>
  <c r="O131" i="7"/>
  <c r="O132" i="7" s="1"/>
  <c r="O6" i="7" s="1"/>
  <c r="N131" i="7"/>
  <c r="N132" i="7" s="1"/>
  <c r="N6" i="7" s="1"/>
  <c r="P131" i="7"/>
  <c r="P132" i="7" s="1"/>
  <c r="M131" i="7"/>
  <c r="M132" i="7" s="1"/>
  <c r="M6" i="7" s="1"/>
  <c r="L131" i="7"/>
  <c r="L132" i="7" s="1"/>
  <c r="L6" i="7" s="1"/>
  <c r="K6" i="7"/>
  <c r="EW56" i="6"/>
  <c r="IJ56" i="6" s="1"/>
  <c r="EW57" i="6"/>
  <c r="IJ57" i="6" s="1"/>
  <c r="IN23" i="6"/>
  <c r="HT23" i="6"/>
  <c r="FQ42" i="6"/>
  <c r="FB48" i="6"/>
  <c r="FB49" i="6" s="1"/>
  <c r="FB13" i="6"/>
  <c r="FL42" i="6"/>
  <c r="GL53" i="6"/>
  <c r="GL46" i="6"/>
  <c r="HA16" i="6"/>
  <c r="EO54" i="6"/>
  <c r="EO62" i="6" s="1"/>
  <c r="EO64" i="6" s="1"/>
  <c r="EO65" i="6" s="1"/>
  <c r="EO28" i="6"/>
  <c r="EO29" i="6" s="1"/>
  <c r="EP29" i="6" s="1"/>
  <c r="FO18" i="6"/>
  <c r="EH54" i="6"/>
  <c r="DV62" i="6"/>
  <c r="DV64" i="6" s="1"/>
  <c r="DV65" i="6" s="1"/>
  <c r="IH20" i="6"/>
  <c r="IH9" i="6" s="1"/>
  <c r="IH29" i="6"/>
  <c r="FU53" i="6"/>
  <c r="GJ16" i="6"/>
  <c r="FU46" i="6"/>
  <c r="FU52" i="6"/>
  <c r="GW39" i="6"/>
  <c r="HL10" i="6"/>
  <c r="GW15" i="6"/>
  <c r="GW44" i="6" s="1"/>
  <c r="GW12" i="6"/>
  <c r="GW14" i="6"/>
  <c r="GW45" i="6" s="1"/>
  <c r="FY52" i="6"/>
  <c r="FQ53" i="6"/>
  <c r="FQ46" i="6"/>
  <c r="GF16" i="6"/>
  <c r="GA16" i="6"/>
  <c r="IL16" i="6" s="1"/>
  <c r="IL46" i="6" s="1"/>
  <c r="HA43" i="6"/>
  <c r="IN22" i="6"/>
  <c r="HT22" i="6"/>
  <c r="HE28" i="6"/>
  <c r="EC19" i="6"/>
  <c r="EB29" i="6"/>
  <c r="EC29" i="6" s="1"/>
  <c r="FQ45" i="6"/>
  <c r="GA45" i="6" s="1"/>
  <c r="IL45" i="6" s="1"/>
  <c r="GA14" i="6"/>
  <c r="IL14" i="6" s="1"/>
  <c r="EP19" i="6"/>
  <c r="ES54" i="6"/>
  <c r="ES62" i="6" s="1"/>
  <c r="ES64" i="6" s="1"/>
  <c r="ES65" i="6" s="1"/>
  <c r="ES28" i="6"/>
  <c r="ES29" i="6" s="1"/>
  <c r="ET29" i="6" s="1"/>
  <c r="FI18" i="6"/>
  <c r="FH19" i="6"/>
  <c r="EW58" i="6"/>
  <c r="IJ58" i="6" s="1"/>
  <c r="HT25" i="6"/>
  <c r="IN25" i="6"/>
  <c r="IJ52" i="6"/>
  <c r="GN39" i="6"/>
  <c r="HC10" i="6"/>
  <c r="GP10" i="6"/>
  <c r="GO10" i="6" s="1"/>
  <c r="GO39" i="6" s="1"/>
  <c r="GN14" i="6"/>
  <c r="GN45" i="6" s="1"/>
  <c r="GN12" i="6"/>
  <c r="GN15" i="6"/>
  <c r="GN44" i="6" s="1"/>
  <c r="EL19" i="6"/>
  <c r="HP39" i="6"/>
  <c r="HP15" i="6"/>
  <c r="HP44" i="6" s="1"/>
  <c r="FJ22" i="6"/>
  <c r="EZ22" i="6"/>
  <c r="FH22" i="6"/>
  <c r="FD22" i="6"/>
  <c r="FF22" i="6"/>
  <c r="FB22" i="6"/>
  <c r="ER18" i="6"/>
  <c r="EQ19" i="6"/>
  <c r="FU43" i="6"/>
  <c r="GH46" i="6"/>
  <c r="GW16" i="6"/>
  <c r="GH53" i="6"/>
  <c r="EW55" i="6"/>
  <c r="IJ55" i="6" s="1"/>
  <c r="EV18" i="6"/>
  <c r="EU19" i="6"/>
  <c r="IN5" i="6"/>
  <c r="HE7" i="6"/>
  <c r="HP12" i="6"/>
  <c r="EW48" i="6"/>
  <c r="EW49" i="6" s="1"/>
  <c r="IJ42" i="6"/>
  <c r="IJ48" i="6" s="1"/>
  <c r="IJ49" i="6" s="1"/>
  <c r="GH52" i="6"/>
  <c r="FQ44" i="6"/>
  <c r="GA44" i="6" s="1"/>
  <c r="IL44" i="6" s="1"/>
  <c r="GA15" i="6"/>
  <c r="IL15" i="6" s="1"/>
  <c r="EQ54" i="6"/>
  <c r="EQ62" i="6" s="1"/>
  <c r="EQ64" i="6" s="1"/>
  <c r="EQ65" i="6" s="1"/>
  <c r="EQ28" i="6"/>
  <c r="EK28" i="6"/>
  <c r="EK29" i="6" s="1"/>
  <c r="EL29" i="6" s="1"/>
  <c r="EK54" i="6"/>
  <c r="GS42" i="6"/>
  <c r="GD48" i="6"/>
  <c r="GD49" i="6" s="1"/>
  <c r="GD13" i="6"/>
  <c r="IG66" i="6"/>
  <c r="IG63" i="6"/>
  <c r="IG64" i="6" s="1"/>
  <c r="GS43" i="6"/>
  <c r="FY53" i="6"/>
  <c r="FY46" i="6"/>
  <c r="GN16" i="6"/>
  <c r="FW48" i="6"/>
  <c r="FW49" i="6" s="1"/>
  <c r="GL42" i="6"/>
  <c r="FW13" i="6"/>
  <c r="FW18" i="6" s="1"/>
  <c r="DY18" i="6"/>
  <c r="DX19" i="6"/>
  <c r="IG34" i="6"/>
  <c r="IG30" i="6"/>
  <c r="FQ52" i="6"/>
  <c r="FL52" i="6"/>
  <c r="FY43" i="6"/>
  <c r="GA39" i="6"/>
  <c r="GB10" i="6"/>
  <c r="FP10" i="6"/>
  <c r="FP39" i="6" s="1"/>
  <c r="GB26" i="6"/>
  <c r="FX10" i="6"/>
  <c r="FX39" i="6" s="1"/>
  <c r="GB24" i="6"/>
  <c r="GB23" i="6"/>
  <c r="GB22" i="6"/>
  <c r="GB25" i="6"/>
  <c r="FT10" i="6"/>
  <c r="FT39" i="6" s="1"/>
  <c r="IK12" i="6"/>
  <c r="GH43" i="6"/>
  <c r="EZ23" i="6"/>
  <c r="EZ55" i="6" s="1"/>
  <c r="FH23" i="6"/>
  <c r="FH55" i="6" s="1"/>
  <c r="FD23" i="6"/>
  <c r="FD55" i="6" s="1"/>
  <c r="FB23" i="6"/>
  <c r="FB55" i="6" s="1"/>
  <c r="FF23" i="6"/>
  <c r="FF55" i="6" s="1"/>
  <c r="FJ23" i="6"/>
  <c r="FJ55" i="6" s="1"/>
  <c r="HH46" i="6"/>
  <c r="FU42" i="6"/>
  <c r="FF48" i="6"/>
  <c r="FF49" i="6" s="1"/>
  <c r="FF13" i="6"/>
  <c r="FF18" i="6" s="1"/>
  <c r="FL46" i="6"/>
  <c r="GH42" i="6"/>
  <c r="FS48" i="6"/>
  <c r="FS49" i="6" s="1"/>
  <c r="FS13" i="6"/>
  <c r="FS18" i="6" s="1"/>
  <c r="FY42" i="6"/>
  <c r="FJ13" i="6"/>
  <c r="FJ18" i="6" s="1"/>
  <c r="FJ48" i="6"/>
  <c r="FJ49" i="6" s="1"/>
  <c r="EH50" i="6"/>
  <c r="IO24" i="6"/>
  <c r="GS44" i="6"/>
  <c r="EZ24" i="6"/>
  <c r="EZ56" i="6" s="1"/>
  <c r="FH24" i="6"/>
  <c r="FH56" i="6" s="1"/>
  <c r="FD24" i="6"/>
  <c r="FD56" i="6" s="1"/>
  <c r="FB24" i="6"/>
  <c r="FB56" i="6" s="1"/>
  <c r="FJ24" i="6"/>
  <c r="FJ56" i="6" s="1"/>
  <c r="FF24" i="6"/>
  <c r="FF56" i="6" s="1"/>
  <c r="FD50" i="6"/>
  <c r="FE49" i="6"/>
  <c r="EN49" i="6"/>
  <c r="EM50" i="6"/>
  <c r="GF39" i="6"/>
  <c r="GU10" i="6"/>
  <c r="GF12" i="6"/>
  <c r="GF14" i="6"/>
  <c r="GF15" i="6"/>
  <c r="GL52" i="6"/>
  <c r="II50" i="6"/>
  <c r="DD67" i="6"/>
  <c r="DD65" i="6"/>
  <c r="IH54" i="6"/>
  <c r="IH62" i="6" s="1"/>
  <c r="DS62" i="6"/>
  <c r="DS64" i="6" s="1"/>
  <c r="HH45" i="6"/>
  <c r="ET19" i="6"/>
  <c r="HT7" i="6"/>
  <c r="IO5" i="6"/>
  <c r="GS52" i="6"/>
  <c r="EM18" i="6"/>
  <c r="EW13" i="6"/>
  <c r="FQ43" i="6"/>
  <c r="GA12" i="6"/>
  <c r="FA18" i="6"/>
  <c r="EZ19" i="6"/>
  <c r="EG19" i="6"/>
  <c r="EF29" i="6"/>
  <c r="EG29" i="6" s="1"/>
  <c r="EM54" i="6"/>
  <c r="EM62" i="6" s="1"/>
  <c r="EM64" i="6" s="1"/>
  <c r="EM65" i="6" s="1"/>
  <c r="EM28" i="6"/>
  <c r="EU54" i="6"/>
  <c r="EU62" i="6" s="1"/>
  <c r="EU64" i="6" s="1"/>
  <c r="EU65" i="6" s="1"/>
  <c r="EU28" i="6"/>
  <c r="FO50" i="6"/>
  <c r="FP49" i="6"/>
  <c r="IO26" i="6"/>
  <c r="IM7" i="6"/>
  <c r="IM10" i="6"/>
  <c r="DS29" i="6"/>
  <c r="DT29" i="6" s="1"/>
  <c r="DT19" i="6"/>
  <c r="HH43" i="6"/>
  <c r="FI49" i="6"/>
  <c r="FH50" i="6"/>
  <c r="II13" i="6"/>
  <c r="II18" i="6" s="1"/>
  <c r="II19" i="6" s="1"/>
  <c r="EH18" i="6"/>
  <c r="EH19" i="6" s="1"/>
  <c r="HH44" i="6"/>
  <c r="IL39" i="6"/>
  <c r="DI29" i="6"/>
  <c r="DJ29" i="6" s="1"/>
  <c r="DJ19" i="6"/>
  <c r="FL43" i="6"/>
  <c r="IK43" i="6" s="1"/>
  <c r="EZ25" i="6"/>
  <c r="EZ57" i="6" s="1"/>
  <c r="FH25" i="6"/>
  <c r="FH57" i="6" s="1"/>
  <c r="FD25" i="6"/>
  <c r="FD57" i="6" s="1"/>
  <c r="FF25" i="6"/>
  <c r="FF57" i="6" s="1"/>
  <c r="FB25" i="6"/>
  <c r="FB57" i="6" s="1"/>
  <c r="FJ25" i="6"/>
  <c r="FJ57" i="6" s="1"/>
  <c r="EZ26" i="6"/>
  <c r="EZ58" i="6" s="1"/>
  <c r="FH26" i="6"/>
  <c r="FH58" i="6" s="1"/>
  <c r="FD26" i="6"/>
  <c r="FD58" i="6" s="1"/>
  <c r="FF26" i="6"/>
  <c r="FF58" i="6" s="1"/>
  <c r="FB26" i="6"/>
  <c r="FB58" i="6" s="1"/>
  <c r="FJ26" i="6"/>
  <c r="FJ58" i="6" s="1"/>
  <c r="HI62" i="6"/>
  <c r="ER49" i="6"/>
  <c r="EQ50" i="6"/>
  <c r="GJ39" i="6"/>
  <c r="GY10" i="6"/>
  <c r="GJ15" i="6"/>
  <c r="GJ44" i="6" s="1"/>
  <c r="GJ12" i="6"/>
  <c r="GJ14" i="6"/>
  <c r="GJ45" i="6" s="1"/>
  <c r="FE18" i="6"/>
  <c r="FD19" i="6"/>
  <c r="EU50" i="6"/>
  <c r="EV49" i="6"/>
  <c r="GG10" i="6" l="1"/>
  <c r="GG39" i="6" s="1"/>
  <c r="GA43" i="6"/>
  <c r="IL43" i="6" s="1"/>
  <c r="IN28" i="6"/>
  <c r="GK10" i="6"/>
  <c r="GK39" i="6" s="1"/>
  <c r="S131" i="7"/>
  <c r="R131" i="7"/>
  <c r="U131" i="7"/>
  <c r="T131" i="7"/>
  <c r="Q131" i="7"/>
  <c r="Q132" i="7" s="1"/>
  <c r="Q6" i="7" s="1"/>
  <c r="P6" i="7"/>
  <c r="II29" i="6"/>
  <c r="II20" i="6"/>
  <c r="II9" i="6" s="1"/>
  <c r="FA19" i="6"/>
  <c r="HH52" i="6"/>
  <c r="HA52" i="6"/>
  <c r="FS50" i="6"/>
  <c r="FT49" i="6"/>
  <c r="GE49" i="6"/>
  <c r="GD50" i="6"/>
  <c r="EW50" i="6"/>
  <c r="IO25" i="6"/>
  <c r="GJ46" i="6"/>
  <c r="GJ53" i="6"/>
  <c r="GY16" i="6"/>
  <c r="GF42" i="6"/>
  <c r="FQ48" i="6"/>
  <c r="FQ49" i="6" s="1"/>
  <c r="FQ13" i="6"/>
  <c r="GA42" i="6"/>
  <c r="FE19" i="6"/>
  <c r="IJ13" i="6"/>
  <c r="IJ18" i="6" s="1"/>
  <c r="IJ19" i="6" s="1"/>
  <c r="EW18" i="6"/>
  <c r="EW19" i="6" s="1"/>
  <c r="GH48" i="6"/>
  <c r="GH49" i="6" s="1"/>
  <c r="GW42" i="6"/>
  <c r="GH13" i="6"/>
  <c r="GH18" i="6" s="1"/>
  <c r="FO25" i="6"/>
  <c r="FO57" i="6" s="1"/>
  <c r="FW25" i="6"/>
  <c r="FW57" i="6" s="1"/>
  <c r="FS25" i="6"/>
  <c r="FS57" i="6" s="1"/>
  <c r="FQ25" i="6"/>
  <c r="FQ57" i="6" s="1"/>
  <c r="FU25" i="6"/>
  <c r="FU57" i="6" s="1"/>
  <c r="FY25" i="6"/>
  <c r="FY57" i="6" s="1"/>
  <c r="GL48" i="6"/>
  <c r="GL49" i="6" s="1"/>
  <c r="HA42" i="6"/>
  <c r="GL13" i="6"/>
  <c r="GL18" i="6" s="1"/>
  <c r="HH42" i="6"/>
  <c r="GS13" i="6"/>
  <c r="GS48" i="6"/>
  <c r="GS49" i="6" s="1"/>
  <c r="GW52" i="6"/>
  <c r="HL16" i="6"/>
  <c r="GW53" i="6"/>
  <c r="GW46" i="6"/>
  <c r="EQ29" i="6"/>
  <c r="ER29" i="6" s="1"/>
  <c r="ER19" i="6"/>
  <c r="FB28" i="6"/>
  <c r="FB54" i="6"/>
  <c r="FB62" i="6" s="1"/>
  <c r="FB64" i="6" s="1"/>
  <c r="FB65" i="6" s="1"/>
  <c r="EZ54" i="6"/>
  <c r="EZ28" i="6"/>
  <c r="EZ29" i="6" s="1"/>
  <c r="FA29" i="6" s="1"/>
  <c r="GN43" i="6"/>
  <c r="GA46" i="6"/>
  <c r="II54" i="6"/>
  <c r="II62" i="6" s="1"/>
  <c r="EH62" i="6"/>
  <c r="EH64" i="6" s="1"/>
  <c r="FL48" i="6"/>
  <c r="FL49" i="6" s="1"/>
  <c r="IK42" i="6"/>
  <c r="IK48" i="6" s="1"/>
  <c r="IK49" i="6" s="1"/>
  <c r="IM39" i="6"/>
  <c r="IL12" i="6"/>
  <c r="EN18" i="6"/>
  <c r="EM19" i="6"/>
  <c r="IO10" i="6"/>
  <c r="IO7" i="6"/>
  <c r="DS65" i="6"/>
  <c r="DS67" i="6"/>
  <c r="GF44" i="6"/>
  <c r="GP44" i="6" s="1"/>
  <c r="IM44" i="6" s="1"/>
  <c r="GP15" i="6"/>
  <c r="IM15" i="6" s="1"/>
  <c r="HJ10" i="6"/>
  <c r="GU39" i="6"/>
  <c r="GU12" i="6"/>
  <c r="GU14" i="6"/>
  <c r="GU15" i="6"/>
  <c r="FY48" i="6"/>
  <c r="FY49" i="6" s="1"/>
  <c r="FY13" i="6"/>
  <c r="FY18" i="6" s="1"/>
  <c r="GN42" i="6"/>
  <c r="FL55" i="6"/>
  <c r="IK55" i="6" s="1"/>
  <c r="FY22" i="6"/>
  <c r="FO22" i="6"/>
  <c r="FW22" i="6"/>
  <c r="FS22" i="6"/>
  <c r="FU22" i="6"/>
  <c r="FQ22" i="6"/>
  <c r="FO26" i="6"/>
  <c r="FO58" i="6" s="1"/>
  <c r="FW26" i="6"/>
  <c r="FW58" i="6" s="1"/>
  <c r="FS26" i="6"/>
  <c r="FS58" i="6" s="1"/>
  <c r="FU26" i="6"/>
  <c r="FU58" i="6" s="1"/>
  <c r="FY26" i="6"/>
  <c r="FY58" i="6" s="1"/>
  <c r="FQ26" i="6"/>
  <c r="FQ58" i="6" s="1"/>
  <c r="DY19" i="6"/>
  <c r="DX29" i="6"/>
  <c r="DY29" i="6" s="1"/>
  <c r="FW50" i="6"/>
  <c r="FX49" i="6"/>
  <c r="HP43" i="6"/>
  <c r="FF28" i="6"/>
  <c r="FF54" i="6"/>
  <c r="FF62" i="6" s="1"/>
  <c r="FF64" i="6" s="1"/>
  <c r="FF65" i="6" s="1"/>
  <c r="FJ28" i="6"/>
  <c r="FJ54" i="6"/>
  <c r="FJ62" i="6" s="1"/>
  <c r="FJ64" i="6" s="1"/>
  <c r="FJ65" i="6" s="1"/>
  <c r="FI19" i="6"/>
  <c r="GA53" i="6"/>
  <c r="IL53" i="6" s="1"/>
  <c r="GW43" i="6"/>
  <c r="HL39" i="6"/>
  <c r="HL15" i="6"/>
  <c r="HL44" i="6" s="1"/>
  <c r="HL12" i="6"/>
  <c r="HL14" i="6"/>
  <c r="HL45" i="6" s="1"/>
  <c r="GJ52" i="6"/>
  <c r="IH30" i="6"/>
  <c r="IH34" i="6"/>
  <c r="FP18" i="6"/>
  <c r="FO19" i="6"/>
  <c r="HA46" i="6"/>
  <c r="HA53" i="6"/>
  <c r="HP16" i="6"/>
  <c r="FB18" i="6"/>
  <c r="FL13" i="6"/>
  <c r="IO23" i="6"/>
  <c r="GJ43" i="6"/>
  <c r="GF43" i="6"/>
  <c r="GP12" i="6"/>
  <c r="FK49" i="6"/>
  <c r="FJ50" i="6"/>
  <c r="FF50" i="6"/>
  <c r="FG49" i="6"/>
  <c r="FO24" i="6"/>
  <c r="FO56" i="6" s="1"/>
  <c r="FW24" i="6"/>
  <c r="FW56" i="6" s="1"/>
  <c r="FS24" i="6"/>
  <c r="FS56" i="6" s="1"/>
  <c r="FU24" i="6"/>
  <c r="FU56" i="6" s="1"/>
  <c r="FY24" i="6"/>
  <c r="FY56" i="6" s="1"/>
  <c r="FQ24" i="6"/>
  <c r="FQ56" i="6" s="1"/>
  <c r="FX18" i="6"/>
  <c r="FW19" i="6"/>
  <c r="IN10" i="6"/>
  <c r="IN7" i="6"/>
  <c r="FH54" i="6"/>
  <c r="FH62" i="6" s="1"/>
  <c r="FH64" i="6" s="1"/>
  <c r="FH65" i="6" s="1"/>
  <c r="FH28" i="6"/>
  <c r="FH29" i="6" s="1"/>
  <c r="FI29" i="6" s="1"/>
  <c r="GF53" i="6"/>
  <c r="GF46" i="6"/>
  <c r="GU16" i="6"/>
  <c r="GP16" i="6"/>
  <c r="IM16" i="6" s="1"/>
  <c r="IM46" i="6" s="1"/>
  <c r="FL58" i="6"/>
  <c r="IK58" i="6" s="1"/>
  <c r="FK18" i="6"/>
  <c r="FJ19" i="6"/>
  <c r="FU48" i="6"/>
  <c r="FU49" i="6" s="1"/>
  <c r="FU13" i="6"/>
  <c r="FU18" i="6" s="1"/>
  <c r="GJ42" i="6"/>
  <c r="IK52" i="6"/>
  <c r="EV19" i="6"/>
  <c r="EU29" i="6"/>
  <c r="EV29" i="6" s="1"/>
  <c r="GY39" i="6"/>
  <c r="HN10" i="6"/>
  <c r="GY15" i="6"/>
  <c r="GY44" i="6" s="1"/>
  <c r="GY12" i="6"/>
  <c r="GY14" i="6"/>
  <c r="GY45" i="6" s="1"/>
  <c r="FL57" i="6"/>
  <c r="IK57" i="6" s="1"/>
  <c r="EH29" i="6"/>
  <c r="EI29" i="6" s="1"/>
  <c r="EI19" i="6"/>
  <c r="IH66" i="6"/>
  <c r="IH63" i="6"/>
  <c r="IH64" i="6" s="1"/>
  <c r="GF45" i="6"/>
  <c r="GP45" i="6" s="1"/>
  <c r="IM45" i="6" s="1"/>
  <c r="GP14" i="6"/>
  <c r="IM14" i="6" s="1"/>
  <c r="FL56" i="6"/>
  <c r="IK56" i="6" s="1"/>
  <c r="FT18" i="6"/>
  <c r="FS19" i="6"/>
  <c r="FG18" i="6"/>
  <c r="FF19" i="6"/>
  <c r="FO23" i="6"/>
  <c r="FO55" i="6" s="1"/>
  <c r="FW23" i="6"/>
  <c r="FW55" i="6" s="1"/>
  <c r="FS23" i="6"/>
  <c r="FS55" i="6" s="1"/>
  <c r="FY23" i="6"/>
  <c r="FY55" i="6" s="1"/>
  <c r="FQ23" i="6"/>
  <c r="FQ55" i="6" s="1"/>
  <c r="FU23" i="6"/>
  <c r="FU55" i="6" s="1"/>
  <c r="GF52" i="6"/>
  <c r="GA52" i="6"/>
  <c r="GN53" i="6"/>
  <c r="GN46" i="6"/>
  <c r="HC16" i="6"/>
  <c r="GD18" i="6"/>
  <c r="EW54" i="6"/>
  <c r="EK62" i="6"/>
  <c r="EK64" i="6" s="1"/>
  <c r="EK65" i="6" s="1"/>
  <c r="IJ50" i="6"/>
  <c r="FD54" i="6"/>
  <c r="FD62" i="6" s="1"/>
  <c r="FD64" i="6" s="1"/>
  <c r="FD65" i="6" s="1"/>
  <c r="FD28" i="6"/>
  <c r="FD29" i="6" s="1"/>
  <c r="FE29" i="6" s="1"/>
  <c r="GQ10" i="6"/>
  <c r="GP39" i="6"/>
  <c r="GE10" i="6"/>
  <c r="GE39" i="6" s="1"/>
  <c r="GQ26" i="6"/>
  <c r="GM10" i="6"/>
  <c r="GM39" i="6" s="1"/>
  <c r="GQ24" i="6"/>
  <c r="GQ22" i="6"/>
  <c r="GQ23" i="6"/>
  <c r="GQ25" i="6"/>
  <c r="GI10" i="6"/>
  <c r="GI39" i="6" s="1"/>
  <c r="HC39" i="6"/>
  <c r="HR10" i="6"/>
  <c r="HE10" i="6"/>
  <c r="HC14" i="6"/>
  <c r="HC45" i="6" s="1"/>
  <c r="HC12" i="6"/>
  <c r="HC15" i="6"/>
  <c r="HC44" i="6" s="1"/>
  <c r="HT28" i="6"/>
  <c r="IO22" i="6"/>
  <c r="GN52" i="6"/>
  <c r="FC49" i="6"/>
  <c r="FB50" i="6"/>
  <c r="IO28" i="6" l="1"/>
  <c r="GP43" i="6"/>
  <c r="IM43" i="6" s="1"/>
  <c r="GP53" i="6"/>
  <c r="IM53" i="6" s="1"/>
  <c r="HE39" i="6"/>
  <c r="HF10" i="6"/>
  <c r="GT10" i="6"/>
  <c r="GT39" i="6" s="1"/>
  <c r="HB10" i="6"/>
  <c r="HB39" i="6" s="1"/>
  <c r="HF26" i="6"/>
  <c r="HF24" i="6"/>
  <c r="HF25" i="6"/>
  <c r="HF22" i="6"/>
  <c r="HF23" i="6"/>
  <c r="GX10" i="6"/>
  <c r="GX39" i="6" s="1"/>
  <c r="GA55" i="6"/>
  <c r="IL55" i="6" s="1"/>
  <c r="FU50" i="6"/>
  <c r="FV49" i="6"/>
  <c r="FX19" i="6"/>
  <c r="FU54" i="6"/>
  <c r="FU62" i="6" s="1"/>
  <c r="FU64" i="6" s="1"/>
  <c r="FU65" i="6" s="1"/>
  <c r="FU28" i="6"/>
  <c r="FZ18" i="6"/>
  <c r="FY19" i="6"/>
  <c r="HJ39" i="6"/>
  <c r="HJ12" i="6"/>
  <c r="HJ14" i="6"/>
  <c r="HJ15" i="6"/>
  <c r="GV10" i="6"/>
  <c r="GV39" i="6" s="1"/>
  <c r="GS50" i="6"/>
  <c r="GT49" i="6"/>
  <c r="GA57" i="6"/>
  <c r="IL57" i="6" s="1"/>
  <c r="FQ50" i="6"/>
  <c r="FR49" i="6"/>
  <c r="HP52" i="6"/>
  <c r="HT10" i="6"/>
  <c r="HS10" i="6" s="1"/>
  <c r="HS39" i="6" s="1"/>
  <c r="HR39" i="6"/>
  <c r="HR14" i="6"/>
  <c r="HR45" i="6" s="1"/>
  <c r="HR15" i="6"/>
  <c r="HR44" i="6" s="1"/>
  <c r="HR12" i="6"/>
  <c r="HD10" i="6"/>
  <c r="HD39" i="6" s="1"/>
  <c r="GD24" i="6"/>
  <c r="GD56" i="6" s="1"/>
  <c r="GL24" i="6"/>
  <c r="GL56" i="6" s="1"/>
  <c r="GH24" i="6"/>
  <c r="GH56" i="6" s="1"/>
  <c r="GF24" i="6"/>
  <c r="GF56" i="6" s="1"/>
  <c r="GJ24" i="6"/>
  <c r="GJ56" i="6" s="1"/>
  <c r="GN24" i="6"/>
  <c r="GN56" i="6" s="1"/>
  <c r="HC53" i="6"/>
  <c r="HC46" i="6"/>
  <c r="HR16" i="6"/>
  <c r="GZ10" i="6"/>
  <c r="GZ39" i="6" s="1"/>
  <c r="FK19" i="6"/>
  <c r="FJ29" i="6"/>
  <c r="FK29" i="6" s="1"/>
  <c r="FZ49" i="6"/>
  <c r="FY50" i="6"/>
  <c r="GU43" i="6"/>
  <c r="HE12" i="6"/>
  <c r="IO39" i="6"/>
  <c r="HL53" i="6"/>
  <c r="HL46" i="6"/>
  <c r="HP42" i="6"/>
  <c r="HA13" i="6"/>
  <c r="HA18" i="6" s="1"/>
  <c r="HA48" i="6"/>
  <c r="HA49" i="6" s="1"/>
  <c r="GI18" i="6"/>
  <c r="GH19" i="6"/>
  <c r="EW29" i="6"/>
  <c r="EX29" i="6" s="1"/>
  <c r="EX19" i="6"/>
  <c r="GF48" i="6"/>
  <c r="GF49" i="6" s="1"/>
  <c r="GU42" i="6"/>
  <c r="GF13" i="6"/>
  <c r="GP42" i="6"/>
  <c r="HC43" i="6"/>
  <c r="GD25" i="6"/>
  <c r="GD57" i="6" s="1"/>
  <c r="GL25" i="6"/>
  <c r="GL57" i="6" s="1"/>
  <c r="GH25" i="6"/>
  <c r="GH57" i="6" s="1"/>
  <c r="GF25" i="6"/>
  <c r="GF57" i="6" s="1"/>
  <c r="GN25" i="6"/>
  <c r="GN57" i="6" s="1"/>
  <c r="GJ25" i="6"/>
  <c r="GJ57" i="6" s="1"/>
  <c r="IJ54" i="6"/>
  <c r="IJ62" i="6" s="1"/>
  <c r="EW62" i="6"/>
  <c r="EW64" i="6" s="1"/>
  <c r="FG19" i="6"/>
  <c r="FF29" i="6"/>
  <c r="FG29" i="6" s="1"/>
  <c r="GJ48" i="6"/>
  <c r="GJ49" i="6" s="1"/>
  <c r="GY42" i="6"/>
  <c r="GJ13" i="6"/>
  <c r="GJ18" i="6" s="1"/>
  <c r="GU46" i="6"/>
  <c r="GU53" i="6"/>
  <c r="HJ16" i="6"/>
  <c r="HE16" i="6"/>
  <c r="IN16" i="6" s="1"/>
  <c r="IN46" i="6" s="1"/>
  <c r="IM12" i="6"/>
  <c r="IK13" i="6"/>
  <c r="IK18" i="6" s="1"/>
  <c r="IK19" i="6" s="1"/>
  <c r="FL18" i="6"/>
  <c r="FL19" i="6" s="1"/>
  <c r="HL43" i="6"/>
  <c r="GA58" i="6"/>
  <c r="IL58" i="6" s="1"/>
  <c r="FW54" i="6"/>
  <c r="FW62" i="6" s="1"/>
  <c r="FW64" i="6" s="1"/>
  <c r="FW65" i="6" s="1"/>
  <c r="FW28" i="6"/>
  <c r="FW29" i="6" s="1"/>
  <c r="FX29" i="6" s="1"/>
  <c r="EN19" i="6"/>
  <c r="EM29" i="6"/>
  <c r="EN29" i="6" s="1"/>
  <c r="IK50" i="6"/>
  <c r="FL54" i="6"/>
  <c r="EZ62" i="6"/>
  <c r="EZ64" i="6" s="1"/>
  <c r="EZ65" i="6" s="1"/>
  <c r="HL52" i="6"/>
  <c r="GS18" i="6"/>
  <c r="GM49" i="6"/>
  <c r="GL50" i="6"/>
  <c r="GW13" i="6"/>
  <c r="GW18" i="6" s="1"/>
  <c r="GW48" i="6"/>
  <c r="GW49" i="6" s="1"/>
  <c r="HL42" i="6"/>
  <c r="IJ20" i="6"/>
  <c r="IJ9" i="6" s="1"/>
  <c r="IJ29" i="6"/>
  <c r="GA48" i="6"/>
  <c r="GA49" i="6" s="1"/>
  <c r="IL42" i="6"/>
  <c r="IL48" i="6" s="1"/>
  <c r="IL49" i="6" s="1"/>
  <c r="GY53" i="6"/>
  <c r="GY46" i="6"/>
  <c r="HN16" i="6"/>
  <c r="GN22" i="6"/>
  <c r="GD22" i="6"/>
  <c r="GL22" i="6"/>
  <c r="GH22" i="6"/>
  <c r="GJ22" i="6"/>
  <c r="GF22" i="6"/>
  <c r="IL52" i="6"/>
  <c r="FT19" i="6"/>
  <c r="HP46" i="6"/>
  <c r="HP53" i="6"/>
  <c r="FY54" i="6"/>
  <c r="FY62" i="6" s="1"/>
  <c r="FY64" i="6" s="1"/>
  <c r="FY65" i="6" s="1"/>
  <c r="FY28" i="6"/>
  <c r="GU45" i="6"/>
  <c r="HE45" i="6" s="1"/>
  <c r="IN45" i="6" s="1"/>
  <c r="HE14" i="6"/>
  <c r="IN14" i="6" s="1"/>
  <c r="EH67" i="6"/>
  <c r="EH65" i="6"/>
  <c r="GM18" i="6"/>
  <c r="GL19" i="6"/>
  <c r="GU52" i="6"/>
  <c r="GP52" i="6"/>
  <c r="HN39" i="6"/>
  <c r="HN15" i="6"/>
  <c r="HN44" i="6" s="1"/>
  <c r="HN12" i="6"/>
  <c r="HN14" i="6"/>
  <c r="HN45" i="6" s="1"/>
  <c r="IN39" i="6"/>
  <c r="FS54" i="6"/>
  <c r="FS62" i="6" s="1"/>
  <c r="FS64" i="6" s="1"/>
  <c r="FS65" i="6" s="1"/>
  <c r="FS28" i="6"/>
  <c r="FS29" i="6" s="1"/>
  <c r="FT29" i="6" s="1"/>
  <c r="II66" i="6"/>
  <c r="II63" i="6"/>
  <c r="II64" i="6" s="1"/>
  <c r="HC52" i="6"/>
  <c r="GD23" i="6"/>
  <c r="GD55" i="6" s="1"/>
  <c r="GL23" i="6"/>
  <c r="GL55" i="6" s="1"/>
  <c r="GH23" i="6"/>
  <c r="GH55" i="6" s="1"/>
  <c r="GN23" i="6"/>
  <c r="GN55" i="6" s="1"/>
  <c r="GF23" i="6"/>
  <c r="GF55" i="6" s="1"/>
  <c r="GJ23" i="6"/>
  <c r="GJ55" i="6" s="1"/>
  <c r="GD26" i="6"/>
  <c r="GD58" i="6" s="1"/>
  <c r="GL26" i="6"/>
  <c r="GL58" i="6" s="1"/>
  <c r="GH26" i="6"/>
  <c r="GH58" i="6" s="1"/>
  <c r="GF26" i="6"/>
  <c r="GF58" i="6" s="1"/>
  <c r="GJ26" i="6"/>
  <c r="GJ58" i="6" s="1"/>
  <c r="GN26" i="6"/>
  <c r="GN58" i="6" s="1"/>
  <c r="GE18" i="6"/>
  <c r="GD19" i="6"/>
  <c r="GY43" i="6"/>
  <c r="FV18" i="6"/>
  <c r="FU19" i="6"/>
  <c r="GP46" i="6"/>
  <c r="GA56" i="6"/>
  <c r="IL56" i="6" s="1"/>
  <c r="FC18" i="6"/>
  <c r="FB19" i="6"/>
  <c r="FP19" i="6"/>
  <c r="GY52" i="6"/>
  <c r="FQ28" i="6"/>
  <c r="FQ54" i="6"/>
  <c r="FQ62" i="6" s="1"/>
  <c r="FQ64" i="6" s="1"/>
  <c r="FQ65" i="6" s="1"/>
  <c r="FO54" i="6"/>
  <c r="FO28" i="6"/>
  <c r="FO29" i="6" s="1"/>
  <c r="FP29" i="6" s="1"/>
  <c r="GN48" i="6"/>
  <c r="GN49" i="6" s="1"/>
  <c r="HC42" i="6"/>
  <c r="GN13" i="6"/>
  <c r="GN18" i="6" s="1"/>
  <c r="GU44" i="6"/>
  <c r="HE44" i="6" s="1"/>
  <c r="IN44" i="6" s="1"/>
  <c r="HE15" i="6"/>
  <c r="IN15" i="6" s="1"/>
  <c r="FL50" i="6"/>
  <c r="HH48" i="6"/>
  <c r="HH49" i="6" s="1"/>
  <c r="HH13" i="6"/>
  <c r="GI49" i="6"/>
  <c r="GH50" i="6"/>
  <c r="GA13" i="6"/>
  <c r="FQ18" i="6"/>
  <c r="II34" i="6"/>
  <c r="II30" i="6"/>
  <c r="HE46" i="6" l="1"/>
  <c r="HO10" i="6"/>
  <c r="HO39" i="6" s="1"/>
  <c r="GP56" i="6"/>
  <c r="IM56" i="6" s="1"/>
  <c r="HI49" i="6"/>
  <c r="HH50" i="6"/>
  <c r="GN50" i="6"/>
  <c r="GO49" i="6"/>
  <c r="HR52" i="6"/>
  <c r="GL28" i="6"/>
  <c r="GL29" i="6" s="1"/>
  <c r="GM29" i="6" s="1"/>
  <c r="GL54" i="6"/>
  <c r="GL62" i="6" s="1"/>
  <c r="GL64" i="6" s="1"/>
  <c r="GL65" i="6" s="1"/>
  <c r="GA50" i="6"/>
  <c r="HJ42" i="6"/>
  <c r="GU48" i="6"/>
  <c r="GU49" i="6" s="1"/>
  <c r="GU13" i="6"/>
  <c r="HE42" i="6"/>
  <c r="HP48" i="6"/>
  <c r="HP49" i="6" s="1"/>
  <c r="HP13" i="6"/>
  <c r="HP18" i="6" s="1"/>
  <c r="HJ44" i="6"/>
  <c r="HT44" i="6" s="1"/>
  <c r="IO44" i="6" s="1"/>
  <c r="HT15" i="6"/>
  <c r="IO15" i="6" s="1"/>
  <c r="GS25" i="6"/>
  <c r="GS57" i="6" s="1"/>
  <c r="HA25" i="6"/>
  <c r="HA57" i="6" s="1"/>
  <c r="GW25" i="6"/>
  <c r="GW57" i="6" s="1"/>
  <c r="GU25" i="6"/>
  <c r="GU57" i="6" s="1"/>
  <c r="GY25" i="6"/>
  <c r="GY57" i="6" s="1"/>
  <c r="HC25" i="6"/>
  <c r="HC57" i="6" s="1"/>
  <c r="FR18" i="6"/>
  <c r="FQ19" i="6"/>
  <c r="HN43" i="6"/>
  <c r="GF54" i="6"/>
  <c r="GF62" i="6" s="1"/>
  <c r="GF64" i="6" s="1"/>
  <c r="GF65" i="6" s="1"/>
  <c r="GF28" i="6"/>
  <c r="IJ34" i="6"/>
  <c r="IJ30" i="6"/>
  <c r="FL29" i="6"/>
  <c r="FM29" i="6" s="1"/>
  <c r="FM19" i="6"/>
  <c r="GK18" i="6"/>
  <c r="GJ19" i="6"/>
  <c r="GP57" i="6"/>
  <c r="IM57" i="6" s="1"/>
  <c r="GF50" i="6"/>
  <c r="GG49" i="6"/>
  <c r="IN12" i="6"/>
  <c r="HT39" i="6"/>
  <c r="HU10" i="6"/>
  <c r="HI10" i="6"/>
  <c r="HI39" i="6" s="1"/>
  <c r="HU24" i="6"/>
  <c r="HQ10" i="6"/>
  <c r="HQ39" i="6" s="1"/>
  <c r="HU26" i="6"/>
  <c r="HU25" i="6"/>
  <c r="HM10" i="6"/>
  <c r="HM39" i="6" s="1"/>
  <c r="HU22" i="6"/>
  <c r="HU23" i="6"/>
  <c r="HJ45" i="6"/>
  <c r="HT45" i="6" s="1"/>
  <c r="IO45" i="6" s="1"/>
  <c r="HT14" i="6"/>
  <c r="IO14" i="6" s="1"/>
  <c r="GS24" i="6"/>
  <c r="GS56" i="6" s="1"/>
  <c r="HA24" i="6"/>
  <c r="HA56" i="6" s="1"/>
  <c r="GW24" i="6"/>
  <c r="GW56" i="6" s="1"/>
  <c r="HC24" i="6"/>
  <c r="HC56" i="6" s="1"/>
  <c r="GY24" i="6"/>
  <c r="GY56" i="6" s="1"/>
  <c r="GU24" i="6"/>
  <c r="GU56" i="6" s="1"/>
  <c r="IL13" i="6"/>
  <c r="IL18" i="6" s="1"/>
  <c r="IL19" i="6" s="1"/>
  <c r="GA18" i="6"/>
  <c r="GA19" i="6" s="1"/>
  <c r="GO18" i="6"/>
  <c r="GN19" i="6"/>
  <c r="GA54" i="6"/>
  <c r="FO62" i="6"/>
  <c r="FO64" i="6" s="1"/>
  <c r="FO65" i="6" s="1"/>
  <c r="HN52" i="6"/>
  <c r="FB29" i="6"/>
  <c r="FC29" i="6" s="1"/>
  <c r="FC19" i="6"/>
  <c r="FU29" i="6"/>
  <c r="FV29" i="6" s="1"/>
  <c r="FV19" i="6"/>
  <c r="GE19" i="6"/>
  <c r="GM19" i="6"/>
  <c r="GJ28" i="6"/>
  <c r="GJ54" i="6"/>
  <c r="GJ62" i="6" s="1"/>
  <c r="GJ64" i="6" s="1"/>
  <c r="GJ65" i="6" s="1"/>
  <c r="GN54" i="6"/>
  <c r="GN62" i="6" s="1"/>
  <c r="GN64" i="6" s="1"/>
  <c r="GN65" i="6" s="1"/>
  <c r="GN28" i="6"/>
  <c r="IK54" i="6"/>
  <c r="IK62" i="6" s="1"/>
  <c r="FL62" i="6"/>
  <c r="FL64" i="6" s="1"/>
  <c r="IK20" i="6"/>
  <c r="IK9" i="6" s="1"/>
  <c r="IK29" i="6"/>
  <c r="HJ46" i="6"/>
  <c r="HJ53" i="6"/>
  <c r="HT16" i="6"/>
  <c r="IO16" i="6" s="1"/>
  <c r="IO46" i="6" s="1"/>
  <c r="HN42" i="6"/>
  <c r="GY48" i="6"/>
  <c r="GY49" i="6" s="1"/>
  <c r="GY13" i="6"/>
  <c r="GY18" i="6" s="1"/>
  <c r="EW67" i="6"/>
  <c r="EW65" i="6"/>
  <c r="IM42" i="6"/>
  <c r="IM48" i="6" s="1"/>
  <c r="IM49" i="6" s="1"/>
  <c r="GP48" i="6"/>
  <c r="GP49" i="6" s="1"/>
  <c r="HB49" i="6"/>
  <c r="HA50" i="6"/>
  <c r="HR43" i="6"/>
  <c r="HJ43" i="6"/>
  <c r="HT12" i="6"/>
  <c r="GS23" i="6"/>
  <c r="GS55" i="6" s="1"/>
  <c r="HA23" i="6"/>
  <c r="HA55" i="6" s="1"/>
  <c r="GW23" i="6"/>
  <c r="GW55" i="6" s="1"/>
  <c r="GU23" i="6"/>
  <c r="GU55" i="6" s="1"/>
  <c r="GY23" i="6"/>
  <c r="GY55" i="6" s="1"/>
  <c r="HC23" i="6"/>
  <c r="HC55" i="6" s="1"/>
  <c r="GS26" i="6"/>
  <c r="GS58" i="6" s="1"/>
  <c r="HA26" i="6"/>
  <c r="HA58" i="6" s="1"/>
  <c r="GW26" i="6"/>
  <c r="GW58" i="6" s="1"/>
  <c r="GY26" i="6"/>
  <c r="GY58" i="6" s="1"/>
  <c r="GU26" i="6"/>
  <c r="GU58" i="6" s="1"/>
  <c r="HC26" i="6"/>
  <c r="HC58" i="6" s="1"/>
  <c r="HJ52" i="6"/>
  <c r="HE52" i="6"/>
  <c r="HN53" i="6"/>
  <c r="HN46" i="6"/>
  <c r="GW50" i="6"/>
  <c r="GX49" i="6"/>
  <c r="GI19" i="6"/>
  <c r="GP58" i="6"/>
  <c r="IM58" i="6" s="1"/>
  <c r="GD28" i="6"/>
  <c r="GD29" i="6" s="1"/>
  <c r="GE29" i="6" s="1"/>
  <c r="GD54" i="6"/>
  <c r="GX18" i="6"/>
  <c r="GW19" i="6"/>
  <c r="GT18" i="6"/>
  <c r="GS19" i="6"/>
  <c r="HH18" i="6"/>
  <c r="HR42" i="6"/>
  <c r="HC48" i="6"/>
  <c r="HC49" i="6" s="1"/>
  <c r="HC13" i="6"/>
  <c r="HC18" i="6" s="1"/>
  <c r="GP55" i="6"/>
  <c r="IM55" i="6" s="1"/>
  <c r="IM52" i="6"/>
  <c r="GH28" i="6"/>
  <c r="GH29" i="6" s="1"/>
  <c r="GI29" i="6" s="1"/>
  <c r="GH54" i="6"/>
  <c r="GH62" i="6" s="1"/>
  <c r="GH64" i="6" s="1"/>
  <c r="GH65" i="6" s="1"/>
  <c r="IL50" i="6"/>
  <c r="HL48" i="6"/>
  <c r="HL49" i="6" s="1"/>
  <c r="HL13" i="6"/>
  <c r="HL18" i="6" s="1"/>
  <c r="HE53" i="6"/>
  <c r="IN53" i="6" s="1"/>
  <c r="GJ50" i="6"/>
  <c r="GK49" i="6"/>
  <c r="IJ66" i="6"/>
  <c r="IJ63" i="6"/>
  <c r="IJ64" i="6" s="1"/>
  <c r="GF18" i="6"/>
  <c r="GP13" i="6"/>
  <c r="HB18" i="6"/>
  <c r="HA19" i="6"/>
  <c r="HE43" i="6"/>
  <c r="IN43" i="6" s="1"/>
  <c r="HR46" i="6"/>
  <c r="HR53" i="6"/>
  <c r="HK10" i="6"/>
  <c r="HK39" i="6" s="1"/>
  <c r="FY29" i="6"/>
  <c r="FZ29" i="6" s="1"/>
  <c r="FZ19" i="6"/>
  <c r="HC22" i="6"/>
  <c r="GS22" i="6"/>
  <c r="HA22" i="6"/>
  <c r="GW22" i="6"/>
  <c r="GU22" i="6"/>
  <c r="GY22" i="6"/>
  <c r="HE55" i="6" l="1"/>
  <c r="IN55" i="6" s="1"/>
  <c r="HA54" i="6"/>
  <c r="HA62" i="6" s="1"/>
  <c r="HA64" i="6" s="1"/>
  <c r="HA65" i="6" s="1"/>
  <c r="HA28" i="6"/>
  <c r="HA29" i="6" s="1"/>
  <c r="HB29" i="6" s="1"/>
  <c r="HD18" i="6"/>
  <c r="HC19" i="6"/>
  <c r="HH25" i="6"/>
  <c r="HH57" i="6" s="1"/>
  <c r="HP25" i="6"/>
  <c r="HP57" i="6" s="1"/>
  <c r="HL25" i="6"/>
  <c r="HL57" i="6" s="1"/>
  <c r="HR25" i="6"/>
  <c r="HR57" i="6" s="1"/>
  <c r="HN25" i="6"/>
  <c r="HN57" i="6" s="1"/>
  <c r="HJ25" i="6"/>
  <c r="HJ57" i="6" s="1"/>
  <c r="IN42" i="6"/>
  <c r="IN48" i="6" s="1"/>
  <c r="IN49" i="6" s="1"/>
  <c r="HE48" i="6"/>
  <c r="HE49" i="6" s="1"/>
  <c r="HB19" i="6"/>
  <c r="HM18" i="6"/>
  <c r="HL19" i="6"/>
  <c r="HC50" i="6"/>
  <c r="HD49" i="6"/>
  <c r="GP54" i="6"/>
  <c r="GD62" i="6"/>
  <c r="GD64" i="6" s="1"/>
  <c r="GD65" i="6" s="1"/>
  <c r="IO12" i="6"/>
  <c r="GP50" i="6"/>
  <c r="HT53" i="6"/>
  <c r="IO53" i="6" s="1"/>
  <c r="HH23" i="6"/>
  <c r="HH55" i="6" s="1"/>
  <c r="HP23" i="6"/>
  <c r="HP55" i="6" s="1"/>
  <c r="HL23" i="6"/>
  <c r="HL55" i="6" s="1"/>
  <c r="HJ23" i="6"/>
  <c r="HJ55" i="6" s="1"/>
  <c r="HR23" i="6"/>
  <c r="HR55" i="6" s="1"/>
  <c r="HN23" i="6"/>
  <c r="HN55" i="6" s="1"/>
  <c r="HH26" i="6"/>
  <c r="HH58" i="6" s="1"/>
  <c r="HP26" i="6"/>
  <c r="HP58" i="6" s="1"/>
  <c r="HL26" i="6"/>
  <c r="HL58" i="6" s="1"/>
  <c r="HJ26" i="6"/>
  <c r="HJ58" i="6" s="1"/>
  <c r="HN26" i="6"/>
  <c r="HN58" i="6" s="1"/>
  <c r="HR26" i="6"/>
  <c r="HR58" i="6" s="1"/>
  <c r="GU18" i="6"/>
  <c r="HE13" i="6"/>
  <c r="GU54" i="6"/>
  <c r="GU62" i="6" s="1"/>
  <c r="GU64" i="6" s="1"/>
  <c r="GU65" i="6" s="1"/>
  <c r="GU28" i="6"/>
  <c r="HC54" i="6"/>
  <c r="HC62" i="6" s="1"/>
  <c r="HC64" i="6" s="1"/>
  <c r="HC65" i="6" s="1"/>
  <c r="HC28" i="6"/>
  <c r="HL50" i="6"/>
  <c r="HM49" i="6"/>
  <c r="HR13" i="6"/>
  <c r="HR18" i="6" s="1"/>
  <c r="HR48" i="6"/>
  <c r="HR49" i="6" s="1"/>
  <c r="IN52" i="6"/>
  <c r="HE58" i="6"/>
  <c r="IN58" i="6" s="1"/>
  <c r="HT43" i="6"/>
  <c r="IO43" i="6" s="1"/>
  <c r="IM50" i="6"/>
  <c r="GY50" i="6"/>
  <c r="GZ49" i="6"/>
  <c r="HT46" i="6"/>
  <c r="IK66" i="6"/>
  <c r="IK63" i="6"/>
  <c r="IK64" i="6" s="1"/>
  <c r="GA29" i="6"/>
  <c r="GB29" i="6" s="1"/>
  <c r="GB19" i="6"/>
  <c r="HR22" i="6"/>
  <c r="HH22" i="6"/>
  <c r="HP22" i="6"/>
  <c r="HL22" i="6"/>
  <c r="HJ22" i="6"/>
  <c r="HN22" i="6"/>
  <c r="GJ29" i="6"/>
  <c r="GK29" i="6" s="1"/>
  <c r="GK19" i="6"/>
  <c r="HQ18" i="6"/>
  <c r="HP19" i="6"/>
  <c r="GV49" i="6"/>
  <c r="GU50" i="6"/>
  <c r="GG18" i="6"/>
  <c r="GF19" i="6"/>
  <c r="GO19" i="6"/>
  <c r="GN29" i="6"/>
  <c r="GO29" i="6" s="1"/>
  <c r="FQ29" i="6"/>
  <c r="FR29" i="6" s="1"/>
  <c r="FR19" i="6"/>
  <c r="GY54" i="6"/>
  <c r="GY62" i="6" s="1"/>
  <c r="GY64" i="6" s="1"/>
  <c r="GY65" i="6" s="1"/>
  <c r="GY28" i="6"/>
  <c r="GS28" i="6"/>
  <c r="GS29" i="6" s="1"/>
  <c r="GT29" i="6" s="1"/>
  <c r="GS54" i="6"/>
  <c r="GT19" i="6"/>
  <c r="GZ18" i="6"/>
  <c r="GY19" i="6"/>
  <c r="FL67" i="6"/>
  <c r="FL65" i="6"/>
  <c r="HE56" i="6"/>
  <c r="IN56" i="6" s="1"/>
  <c r="GW54" i="6"/>
  <c r="GW62" i="6" s="1"/>
  <c r="GW64" i="6" s="1"/>
  <c r="GW65" i="6" s="1"/>
  <c r="GW28" i="6"/>
  <c r="GW29" i="6" s="1"/>
  <c r="GX29" i="6" s="1"/>
  <c r="IM13" i="6"/>
  <c r="IM18" i="6" s="1"/>
  <c r="IM19" i="6" s="1"/>
  <c r="GP18" i="6"/>
  <c r="GP19" i="6" s="1"/>
  <c r="HI18" i="6"/>
  <c r="HH19" i="6"/>
  <c r="GX19" i="6"/>
  <c r="HT52" i="6"/>
  <c r="HN48" i="6"/>
  <c r="HN49" i="6" s="1"/>
  <c r="HN13" i="6"/>
  <c r="HN18" i="6" s="1"/>
  <c r="IK34" i="6"/>
  <c r="IK30" i="6"/>
  <c r="IL54" i="6"/>
  <c r="IL62" i="6" s="1"/>
  <c r="GA62" i="6"/>
  <c r="GA64" i="6" s="1"/>
  <c r="IL29" i="6"/>
  <c r="IL20" i="6"/>
  <c r="IL9" i="6" s="1"/>
  <c r="HH24" i="6"/>
  <c r="HH56" i="6" s="1"/>
  <c r="HP24" i="6"/>
  <c r="HP56" i="6" s="1"/>
  <c r="HL24" i="6"/>
  <c r="HL56" i="6" s="1"/>
  <c r="HJ24" i="6"/>
  <c r="HJ56" i="6" s="1"/>
  <c r="HR24" i="6"/>
  <c r="HR56" i="6" s="1"/>
  <c r="HN24" i="6"/>
  <c r="HN56" i="6" s="1"/>
  <c r="HE57" i="6"/>
  <c r="IN57" i="6" s="1"/>
  <c r="HQ49" i="6"/>
  <c r="HP50" i="6"/>
  <c r="HJ13" i="6"/>
  <c r="HJ48" i="6"/>
  <c r="HJ49" i="6" s="1"/>
  <c r="HT42" i="6"/>
  <c r="HT55" i="6" l="1"/>
  <c r="IO55" i="6" s="1"/>
  <c r="HT56" i="6"/>
  <c r="IO56" i="6" s="1"/>
  <c r="HN50" i="6"/>
  <c r="HO49" i="6"/>
  <c r="GG19" i="6"/>
  <c r="GF29" i="6"/>
  <c r="GG29" i="6" s="1"/>
  <c r="HP54" i="6"/>
  <c r="HP62" i="6" s="1"/>
  <c r="HP64" i="6" s="1"/>
  <c r="HP65" i="6" s="1"/>
  <c r="HP28" i="6"/>
  <c r="HP29" i="6" s="1"/>
  <c r="HQ29" i="6" s="1"/>
  <c r="HJ18" i="6"/>
  <c r="HT13" i="6"/>
  <c r="IO52" i="6"/>
  <c r="HQ19" i="6"/>
  <c r="HS49" i="6"/>
  <c r="HR50" i="6"/>
  <c r="IL30" i="6"/>
  <c r="IL34" i="6"/>
  <c r="GY29" i="6"/>
  <c r="GZ29" i="6" s="1"/>
  <c r="GZ19" i="6"/>
  <c r="HE54" i="6"/>
  <c r="GS62" i="6"/>
  <c r="GS64" i="6" s="1"/>
  <c r="GS65" i="6" s="1"/>
  <c r="HJ28" i="6"/>
  <c r="HJ54" i="6"/>
  <c r="HJ62" i="6" s="1"/>
  <c r="HJ64" i="6" s="1"/>
  <c r="HJ65" i="6" s="1"/>
  <c r="HR28" i="6"/>
  <c r="HR54" i="6"/>
  <c r="HR62" i="6" s="1"/>
  <c r="HR64" i="6" s="1"/>
  <c r="HR65" i="6" s="1"/>
  <c r="HS18" i="6"/>
  <c r="HR19" i="6"/>
  <c r="IN13" i="6"/>
  <c r="IN18" i="6" s="1"/>
  <c r="IN19" i="6" s="1"/>
  <c r="HE18" i="6"/>
  <c r="HE19" i="6" s="1"/>
  <c r="HT58" i="6"/>
  <c r="IO58" i="6" s="1"/>
  <c r="HT57" i="6"/>
  <c r="IO57" i="6" s="1"/>
  <c r="HK49" i="6"/>
  <c r="HJ50" i="6"/>
  <c r="IL66" i="6"/>
  <c r="IL63" i="6"/>
  <c r="IL64" i="6" s="1"/>
  <c r="IM29" i="6"/>
  <c r="IM20" i="6"/>
  <c r="IM9" i="6" s="1"/>
  <c r="IN50" i="6"/>
  <c r="HD19" i="6"/>
  <c r="HC29" i="6"/>
  <c r="HD29" i="6" s="1"/>
  <c r="HI19" i="6"/>
  <c r="HN28" i="6"/>
  <c r="HN54" i="6"/>
  <c r="HN62" i="6" s="1"/>
  <c r="HN64" i="6" s="1"/>
  <c r="HN65" i="6" s="1"/>
  <c r="HH54" i="6"/>
  <c r="HH28" i="6"/>
  <c r="HH29" i="6" s="1"/>
  <c r="HI29" i="6" s="1"/>
  <c r="HT48" i="6"/>
  <c r="HT49" i="6" s="1"/>
  <c r="IO42" i="6"/>
  <c r="IO48" i="6" s="1"/>
  <c r="IO49" i="6" s="1"/>
  <c r="GA65" i="6"/>
  <c r="GA67" i="6"/>
  <c r="GB64" i="6"/>
  <c r="HO18" i="6"/>
  <c r="HN19" i="6"/>
  <c r="GP29" i="6"/>
  <c r="GQ29" i="6" s="1"/>
  <c r="GQ19" i="6"/>
  <c r="HL54" i="6"/>
  <c r="HL62" i="6" s="1"/>
  <c r="HL64" i="6" s="1"/>
  <c r="HL65" i="6" s="1"/>
  <c r="HL28" i="6"/>
  <c r="HL29" i="6" s="1"/>
  <c r="HM29" i="6" s="1"/>
  <c r="GV18" i="6"/>
  <c r="GU19" i="6"/>
  <c r="IM54" i="6"/>
  <c r="IM62" i="6" s="1"/>
  <c r="GP62" i="6"/>
  <c r="GP64" i="6" s="1"/>
  <c r="HM19" i="6"/>
  <c r="HE50" i="6"/>
  <c r="HT50" i="6" l="1"/>
  <c r="IM34" i="6"/>
  <c r="IM30" i="6"/>
  <c r="HE29" i="6"/>
  <c r="HF29" i="6" s="1"/>
  <c r="HF19" i="6"/>
  <c r="GP67" i="6"/>
  <c r="GP65" i="6"/>
  <c r="IN20" i="6"/>
  <c r="IN9" i="6" s="1"/>
  <c r="IN29" i="6"/>
  <c r="IN54" i="6"/>
  <c r="IN62" i="6" s="1"/>
  <c r="HE62" i="6"/>
  <c r="HE64" i="6" s="1"/>
  <c r="IM66" i="6"/>
  <c r="IM63" i="6"/>
  <c r="IM64" i="6" s="1"/>
  <c r="HN29" i="6"/>
  <c r="HO29" i="6" s="1"/>
  <c r="HO19" i="6"/>
  <c r="HT54" i="6"/>
  <c r="HH62" i="6"/>
  <c r="HH64" i="6" s="1"/>
  <c r="HH65" i="6" s="1"/>
  <c r="HR29" i="6"/>
  <c r="HS29" i="6" s="1"/>
  <c r="HS19" i="6"/>
  <c r="IO13" i="6"/>
  <c r="IO18" i="6" s="1"/>
  <c r="IO19" i="6" s="1"/>
  <c r="HT18" i="6"/>
  <c r="HT19" i="6" s="1"/>
  <c r="GU29" i="6"/>
  <c r="GV29" i="6" s="1"/>
  <c r="GV19" i="6"/>
  <c r="IO50" i="6"/>
  <c r="HK18" i="6"/>
  <c r="HJ19" i="6"/>
  <c r="IN66" i="6" l="1"/>
  <c r="IN63" i="6"/>
  <c r="IN64" i="6" s="1"/>
  <c r="HU19" i="6"/>
  <c r="HT29" i="6"/>
  <c r="HU29" i="6" s="1"/>
  <c r="IO20" i="6"/>
  <c r="IO9" i="6" s="1"/>
  <c r="IO29" i="6"/>
  <c r="IO54" i="6"/>
  <c r="IO62" i="6" s="1"/>
  <c r="HT62" i="6"/>
  <c r="HT64" i="6" s="1"/>
  <c r="IN34" i="6"/>
  <c r="IN30" i="6"/>
  <c r="HJ29" i="6"/>
  <c r="HK29" i="6" s="1"/>
  <c r="HK19" i="6"/>
  <c r="HE65" i="6"/>
  <c r="HE67" i="6"/>
  <c r="IO34" i="6" l="1"/>
  <c r="IO30" i="6"/>
  <c r="HT65" i="6"/>
  <c r="HT67" i="6"/>
  <c r="IO66" i="6"/>
  <c r="IO63" i="6"/>
  <c r="IO64" i="6" s="1"/>
  <c r="BK162" i="1" l="1"/>
  <c r="BK8" i="1" l="1"/>
  <c r="Q191" i="4"/>
  <c r="M191" i="4"/>
  <c r="I191" i="4"/>
  <c r="E191" i="4"/>
  <c r="Q190" i="4"/>
  <c r="M190" i="4"/>
  <c r="I190" i="4"/>
  <c r="E190" i="4"/>
  <c r="Q189" i="4"/>
  <c r="M189" i="4"/>
  <c r="I189" i="4"/>
  <c r="E189" i="4"/>
  <c r="M188" i="4"/>
  <c r="I188" i="4"/>
  <c r="E188" i="4"/>
  <c r="P185" i="4"/>
  <c r="O185" i="4"/>
  <c r="N185" i="4"/>
  <c r="L185" i="4"/>
  <c r="K185" i="4"/>
  <c r="J185" i="4"/>
  <c r="H185" i="4"/>
  <c r="G185" i="4"/>
  <c r="F185" i="4"/>
  <c r="D185" i="4"/>
  <c r="C185" i="4"/>
  <c r="B185" i="4"/>
  <c r="P184" i="4"/>
  <c r="O184" i="4"/>
  <c r="N184" i="4"/>
  <c r="L184" i="4"/>
  <c r="K184" i="4"/>
  <c r="J184" i="4"/>
  <c r="H184" i="4"/>
  <c r="G184" i="4"/>
  <c r="F184" i="4"/>
  <c r="D184" i="4"/>
  <c r="C184" i="4"/>
  <c r="B184" i="4"/>
  <c r="P183" i="4"/>
  <c r="O183" i="4"/>
  <c r="N183" i="4"/>
  <c r="L183" i="4"/>
  <c r="K183" i="4"/>
  <c r="J183" i="4"/>
  <c r="H183" i="4"/>
  <c r="G183" i="4"/>
  <c r="F183" i="4"/>
  <c r="D183" i="4"/>
  <c r="C183" i="4"/>
  <c r="B183" i="4"/>
  <c r="P182" i="4"/>
  <c r="O182" i="4"/>
  <c r="N182" i="4"/>
  <c r="L182" i="4"/>
  <c r="K182" i="4"/>
  <c r="J182" i="4"/>
  <c r="H182" i="4"/>
  <c r="G182" i="4"/>
  <c r="F182" i="4"/>
  <c r="D182" i="4"/>
  <c r="C182" i="4"/>
  <c r="B182" i="4"/>
  <c r="P181" i="4"/>
  <c r="O181" i="4"/>
  <c r="N181" i="4"/>
  <c r="L181" i="4"/>
  <c r="K181" i="4"/>
  <c r="J181" i="4"/>
  <c r="H181" i="4"/>
  <c r="G181" i="4"/>
  <c r="F181" i="4"/>
  <c r="D181" i="4"/>
  <c r="C181" i="4"/>
  <c r="B181" i="4"/>
  <c r="P180" i="4"/>
  <c r="O180" i="4"/>
  <c r="N180" i="4"/>
  <c r="L180" i="4"/>
  <c r="K180" i="4"/>
  <c r="J180" i="4"/>
  <c r="H180" i="4"/>
  <c r="G180" i="4"/>
  <c r="F180" i="4"/>
  <c r="D180" i="4"/>
  <c r="C180" i="4"/>
  <c r="B180" i="4"/>
  <c r="P175" i="4"/>
  <c r="O175" i="4"/>
  <c r="N175" i="4"/>
  <c r="L175" i="4"/>
  <c r="K175" i="4"/>
  <c r="J175" i="4"/>
  <c r="H175" i="4"/>
  <c r="G175" i="4"/>
  <c r="F175" i="4"/>
  <c r="D175" i="4"/>
  <c r="C175" i="4"/>
  <c r="B175" i="4"/>
  <c r="P174" i="4"/>
  <c r="O174" i="4"/>
  <c r="N174" i="4"/>
  <c r="L174" i="4"/>
  <c r="K174" i="4"/>
  <c r="J174" i="4"/>
  <c r="H174" i="4"/>
  <c r="G174" i="4"/>
  <c r="F174" i="4"/>
  <c r="D174" i="4"/>
  <c r="C174" i="4"/>
  <c r="B174" i="4"/>
  <c r="P173" i="4"/>
  <c r="O173" i="4"/>
  <c r="N173" i="4"/>
  <c r="L173" i="4"/>
  <c r="K173" i="4"/>
  <c r="J173" i="4"/>
  <c r="H173" i="4"/>
  <c r="G173" i="4"/>
  <c r="F173" i="4"/>
  <c r="D173" i="4"/>
  <c r="C173" i="4"/>
  <c r="B173" i="4"/>
  <c r="P172" i="4"/>
  <c r="O172" i="4"/>
  <c r="O171" i="4" s="1"/>
  <c r="N172" i="4"/>
  <c r="L172" i="4"/>
  <c r="K172" i="4"/>
  <c r="J172" i="4"/>
  <c r="H172" i="4"/>
  <c r="G172" i="4"/>
  <c r="F172" i="4"/>
  <c r="D172" i="4"/>
  <c r="C172" i="4"/>
  <c r="B172" i="4"/>
  <c r="P170" i="4"/>
  <c r="O170" i="4"/>
  <c r="N170" i="4"/>
  <c r="L170" i="4"/>
  <c r="K170" i="4"/>
  <c r="J170" i="4"/>
  <c r="H170" i="4"/>
  <c r="G170" i="4"/>
  <c r="F170" i="4"/>
  <c r="D170" i="4"/>
  <c r="C170" i="4"/>
  <c r="B170" i="4"/>
  <c r="P169" i="4"/>
  <c r="O169" i="4"/>
  <c r="N169" i="4"/>
  <c r="L169" i="4"/>
  <c r="K169" i="4"/>
  <c r="J169" i="4"/>
  <c r="H169" i="4"/>
  <c r="G169" i="4"/>
  <c r="F169" i="4"/>
  <c r="D169" i="4"/>
  <c r="C169" i="4"/>
  <c r="B169" i="4"/>
  <c r="P168" i="4"/>
  <c r="O168" i="4"/>
  <c r="N168" i="4"/>
  <c r="L168" i="4"/>
  <c r="K168" i="4"/>
  <c r="J168" i="4"/>
  <c r="H168" i="4"/>
  <c r="G168" i="4"/>
  <c r="F168" i="4"/>
  <c r="D168" i="4"/>
  <c r="C168" i="4"/>
  <c r="B168" i="4"/>
  <c r="P166" i="4"/>
  <c r="O166" i="4"/>
  <c r="N166" i="4"/>
  <c r="L166" i="4"/>
  <c r="K166" i="4"/>
  <c r="J166" i="4"/>
  <c r="H166" i="4"/>
  <c r="G166" i="4"/>
  <c r="F166" i="4"/>
  <c r="D166" i="4"/>
  <c r="C166" i="4"/>
  <c r="B166" i="4"/>
  <c r="P165" i="4"/>
  <c r="O165" i="4"/>
  <c r="N165" i="4"/>
  <c r="L165" i="4"/>
  <c r="K165" i="4"/>
  <c r="J165" i="4"/>
  <c r="H165" i="4"/>
  <c r="G165" i="4"/>
  <c r="F165" i="4"/>
  <c r="D165" i="4"/>
  <c r="C165" i="4"/>
  <c r="B165" i="4"/>
  <c r="P164" i="4"/>
  <c r="O164" i="4"/>
  <c r="N164" i="4"/>
  <c r="L164" i="4"/>
  <c r="K164" i="4"/>
  <c r="J164" i="4"/>
  <c r="H164" i="4"/>
  <c r="G164" i="4"/>
  <c r="F164" i="4"/>
  <c r="D164" i="4"/>
  <c r="C164" i="4"/>
  <c r="B164" i="4"/>
  <c r="P162" i="4"/>
  <c r="O162" i="4"/>
  <c r="N162" i="4"/>
  <c r="L162" i="4"/>
  <c r="K162" i="4"/>
  <c r="J162" i="4"/>
  <c r="H162" i="4"/>
  <c r="G162" i="4"/>
  <c r="F162" i="4"/>
  <c r="D162" i="4"/>
  <c r="C162" i="4"/>
  <c r="B162" i="4"/>
  <c r="P161" i="4"/>
  <c r="O161" i="4"/>
  <c r="N161" i="4"/>
  <c r="L161" i="4"/>
  <c r="K161" i="4"/>
  <c r="J161" i="4"/>
  <c r="H161" i="4"/>
  <c r="G161" i="4"/>
  <c r="F161" i="4"/>
  <c r="D161" i="4"/>
  <c r="C161" i="4"/>
  <c r="B161" i="4"/>
  <c r="P160" i="4"/>
  <c r="O160" i="4"/>
  <c r="N160" i="4"/>
  <c r="L160" i="4"/>
  <c r="K160" i="4"/>
  <c r="J160" i="4"/>
  <c r="J159" i="4" s="1"/>
  <c r="H160" i="4"/>
  <c r="G160" i="4"/>
  <c r="F160" i="4"/>
  <c r="D160" i="4"/>
  <c r="C160" i="4"/>
  <c r="B160" i="4"/>
  <c r="P157" i="4"/>
  <c r="O157" i="4"/>
  <c r="N157" i="4"/>
  <c r="L157" i="4"/>
  <c r="K157" i="4"/>
  <c r="J157" i="4"/>
  <c r="H157" i="4"/>
  <c r="G157" i="4"/>
  <c r="F157" i="4"/>
  <c r="D157" i="4"/>
  <c r="C157" i="4"/>
  <c r="B157" i="4"/>
  <c r="P156" i="4"/>
  <c r="O156" i="4"/>
  <c r="N156" i="4"/>
  <c r="L156" i="4"/>
  <c r="K156" i="4"/>
  <c r="J156" i="4"/>
  <c r="H156" i="4"/>
  <c r="G156" i="4"/>
  <c r="F156" i="4"/>
  <c r="D156" i="4"/>
  <c r="C156" i="4"/>
  <c r="B156" i="4"/>
  <c r="P155" i="4"/>
  <c r="O155" i="4"/>
  <c r="N155" i="4"/>
  <c r="L155" i="4"/>
  <c r="K155" i="4"/>
  <c r="J155" i="4"/>
  <c r="H155" i="4"/>
  <c r="G155" i="4"/>
  <c r="F155" i="4"/>
  <c r="D155" i="4"/>
  <c r="C155" i="4"/>
  <c r="B155" i="4"/>
  <c r="P153" i="4"/>
  <c r="O153" i="4"/>
  <c r="N153" i="4"/>
  <c r="L153" i="4"/>
  <c r="K153" i="4"/>
  <c r="J153" i="4"/>
  <c r="H153" i="4"/>
  <c r="G153" i="4"/>
  <c r="F153" i="4"/>
  <c r="D153" i="4"/>
  <c r="C153" i="4"/>
  <c r="B153" i="4"/>
  <c r="P152" i="4"/>
  <c r="O152" i="4"/>
  <c r="N152" i="4"/>
  <c r="L152" i="4"/>
  <c r="K152" i="4"/>
  <c r="J152" i="4"/>
  <c r="H152" i="4"/>
  <c r="G152" i="4"/>
  <c r="F152" i="4"/>
  <c r="D152" i="4"/>
  <c r="C152" i="4"/>
  <c r="B152" i="4"/>
  <c r="P151" i="4"/>
  <c r="O151" i="4"/>
  <c r="N151" i="4"/>
  <c r="L151" i="4"/>
  <c r="K151" i="4"/>
  <c r="J151" i="4"/>
  <c r="H151" i="4"/>
  <c r="G151" i="4"/>
  <c r="F151" i="4"/>
  <c r="D151" i="4"/>
  <c r="C151" i="4"/>
  <c r="B151" i="4"/>
  <c r="P149" i="4"/>
  <c r="O149" i="4"/>
  <c r="N149" i="4"/>
  <c r="L149" i="4"/>
  <c r="K149" i="4"/>
  <c r="J149" i="4"/>
  <c r="H149" i="4"/>
  <c r="G149" i="4"/>
  <c r="F149" i="4"/>
  <c r="D149" i="4"/>
  <c r="C149" i="4"/>
  <c r="B149" i="4"/>
  <c r="P148" i="4"/>
  <c r="O148" i="4"/>
  <c r="N148" i="4"/>
  <c r="L148" i="4"/>
  <c r="K148" i="4"/>
  <c r="J148" i="4"/>
  <c r="H148" i="4"/>
  <c r="G148" i="4"/>
  <c r="F148" i="4"/>
  <c r="D148" i="4"/>
  <c r="C148" i="4"/>
  <c r="B148" i="4"/>
  <c r="P147" i="4"/>
  <c r="O147" i="4"/>
  <c r="N147" i="4"/>
  <c r="L147" i="4"/>
  <c r="K147" i="4"/>
  <c r="J147" i="4"/>
  <c r="H147" i="4"/>
  <c r="G147" i="4"/>
  <c r="F147" i="4"/>
  <c r="D147" i="4"/>
  <c r="C147" i="4"/>
  <c r="B147" i="4"/>
  <c r="Q144" i="4"/>
  <c r="M144" i="4"/>
  <c r="I144" i="4"/>
  <c r="E144" i="4"/>
  <c r="P143" i="4"/>
  <c r="O143" i="4"/>
  <c r="N143" i="4"/>
  <c r="L143" i="4"/>
  <c r="K143" i="4"/>
  <c r="J143" i="4"/>
  <c r="H143" i="4"/>
  <c r="G143" i="4"/>
  <c r="F143" i="4"/>
  <c r="D143" i="4"/>
  <c r="C143" i="4"/>
  <c r="B143" i="4"/>
  <c r="P142" i="4"/>
  <c r="O142" i="4"/>
  <c r="N142" i="4"/>
  <c r="L142" i="4"/>
  <c r="K142" i="4"/>
  <c r="J142" i="4"/>
  <c r="H142" i="4"/>
  <c r="G142" i="4"/>
  <c r="F142" i="4"/>
  <c r="D142" i="4"/>
  <c r="C142" i="4"/>
  <c r="B142" i="4"/>
  <c r="P141" i="4"/>
  <c r="O141" i="4"/>
  <c r="N141" i="4"/>
  <c r="L141" i="4"/>
  <c r="K141" i="4"/>
  <c r="J141" i="4"/>
  <c r="H141" i="4"/>
  <c r="G141" i="4"/>
  <c r="F141" i="4"/>
  <c r="D141" i="4"/>
  <c r="C141" i="4"/>
  <c r="B141" i="4"/>
  <c r="P139" i="4"/>
  <c r="O139" i="4"/>
  <c r="N139" i="4"/>
  <c r="L139" i="4"/>
  <c r="K139" i="4"/>
  <c r="J139" i="4"/>
  <c r="H139" i="4"/>
  <c r="G139" i="4"/>
  <c r="F139" i="4"/>
  <c r="D139" i="4"/>
  <c r="C139" i="4"/>
  <c r="B139" i="4"/>
  <c r="P138" i="4"/>
  <c r="O138" i="4"/>
  <c r="N138" i="4"/>
  <c r="L138" i="4"/>
  <c r="K138" i="4"/>
  <c r="J138" i="4"/>
  <c r="H138" i="4"/>
  <c r="G138" i="4"/>
  <c r="F138" i="4"/>
  <c r="D138" i="4"/>
  <c r="C138" i="4"/>
  <c r="B138" i="4"/>
  <c r="P137" i="4"/>
  <c r="O137" i="4"/>
  <c r="N137" i="4"/>
  <c r="L137" i="4"/>
  <c r="K137" i="4"/>
  <c r="J137" i="4"/>
  <c r="H137" i="4"/>
  <c r="G137" i="4"/>
  <c r="F137" i="4"/>
  <c r="D137" i="4"/>
  <c r="C137" i="4"/>
  <c r="B137" i="4"/>
  <c r="P135" i="4"/>
  <c r="O135" i="4"/>
  <c r="N135" i="4"/>
  <c r="L135" i="4"/>
  <c r="K135" i="4"/>
  <c r="J135" i="4"/>
  <c r="H135" i="4"/>
  <c r="G135" i="4"/>
  <c r="F135" i="4"/>
  <c r="D135" i="4"/>
  <c r="C135" i="4"/>
  <c r="B135" i="4"/>
  <c r="P134" i="4"/>
  <c r="O134" i="4"/>
  <c r="N134" i="4"/>
  <c r="L134" i="4"/>
  <c r="K134" i="4"/>
  <c r="J134" i="4"/>
  <c r="H134" i="4"/>
  <c r="G134" i="4"/>
  <c r="F134" i="4"/>
  <c r="D134" i="4"/>
  <c r="C134" i="4"/>
  <c r="B134" i="4"/>
  <c r="P133" i="4"/>
  <c r="O133" i="4"/>
  <c r="N133" i="4"/>
  <c r="L133" i="4"/>
  <c r="K133" i="4"/>
  <c r="J133" i="4"/>
  <c r="H133" i="4"/>
  <c r="G133" i="4"/>
  <c r="F133" i="4"/>
  <c r="D133" i="4"/>
  <c r="C133" i="4"/>
  <c r="B133" i="4"/>
  <c r="P131" i="4"/>
  <c r="O131" i="4"/>
  <c r="N131" i="4"/>
  <c r="L131" i="4"/>
  <c r="K131" i="4"/>
  <c r="J131" i="4"/>
  <c r="H131" i="4"/>
  <c r="G131" i="4"/>
  <c r="F131" i="4"/>
  <c r="D131" i="4"/>
  <c r="C131" i="4"/>
  <c r="B131" i="4"/>
  <c r="P130" i="4"/>
  <c r="O130" i="4"/>
  <c r="N130" i="4"/>
  <c r="L130" i="4"/>
  <c r="K130" i="4"/>
  <c r="J130" i="4"/>
  <c r="H130" i="4"/>
  <c r="G130" i="4"/>
  <c r="F130" i="4"/>
  <c r="D130" i="4"/>
  <c r="C130" i="4"/>
  <c r="B130" i="4"/>
  <c r="P129" i="4"/>
  <c r="O129" i="4"/>
  <c r="N129" i="4"/>
  <c r="L129" i="4"/>
  <c r="K129" i="4"/>
  <c r="J129" i="4"/>
  <c r="H129" i="4"/>
  <c r="G129" i="4"/>
  <c r="F129" i="4"/>
  <c r="D129" i="4"/>
  <c r="C129" i="4"/>
  <c r="B129" i="4"/>
  <c r="P127" i="4"/>
  <c r="O127" i="4"/>
  <c r="N127" i="4"/>
  <c r="L127" i="4"/>
  <c r="K127" i="4"/>
  <c r="J127" i="4"/>
  <c r="H127" i="4"/>
  <c r="G127" i="4"/>
  <c r="F127" i="4"/>
  <c r="D127" i="4"/>
  <c r="C127" i="4"/>
  <c r="B127" i="4"/>
  <c r="P126" i="4"/>
  <c r="O126" i="4"/>
  <c r="N126" i="4"/>
  <c r="L126" i="4"/>
  <c r="K126" i="4"/>
  <c r="J126" i="4"/>
  <c r="H126" i="4"/>
  <c r="G126" i="4"/>
  <c r="F126" i="4"/>
  <c r="D126" i="4"/>
  <c r="C126" i="4"/>
  <c r="B126" i="4"/>
  <c r="P125" i="4"/>
  <c r="O125" i="4"/>
  <c r="N125" i="4"/>
  <c r="L125" i="4"/>
  <c r="K125" i="4"/>
  <c r="J125" i="4"/>
  <c r="H125" i="4"/>
  <c r="G125" i="4"/>
  <c r="F125" i="4"/>
  <c r="D125" i="4"/>
  <c r="C125" i="4"/>
  <c r="B125" i="4"/>
  <c r="A122" i="4"/>
  <c r="P118" i="4"/>
  <c r="O118" i="4"/>
  <c r="N118" i="4"/>
  <c r="L118" i="4"/>
  <c r="K118" i="4"/>
  <c r="J118" i="4"/>
  <c r="H118" i="4"/>
  <c r="G118" i="4"/>
  <c r="F118" i="4"/>
  <c r="D118" i="4"/>
  <c r="C118" i="4"/>
  <c r="B118" i="4"/>
  <c r="P117" i="4"/>
  <c r="O117" i="4"/>
  <c r="N117" i="4"/>
  <c r="L117" i="4"/>
  <c r="K117" i="4"/>
  <c r="J117" i="4"/>
  <c r="H117" i="4"/>
  <c r="G117" i="4"/>
  <c r="F117" i="4"/>
  <c r="D117" i="4"/>
  <c r="C117" i="4"/>
  <c r="B117" i="4"/>
  <c r="P116" i="4"/>
  <c r="O116" i="4"/>
  <c r="N116" i="4"/>
  <c r="L116" i="4"/>
  <c r="K116" i="4"/>
  <c r="J116" i="4"/>
  <c r="H116" i="4"/>
  <c r="G116" i="4"/>
  <c r="F116" i="4"/>
  <c r="D116" i="4"/>
  <c r="C116" i="4"/>
  <c r="B116" i="4"/>
  <c r="P115" i="4"/>
  <c r="O115" i="4"/>
  <c r="N115" i="4"/>
  <c r="L115" i="4"/>
  <c r="K115" i="4"/>
  <c r="J115" i="4"/>
  <c r="H115" i="4"/>
  <c r="G115" i="4"/>
  <c r="F115" i="4"/>
  <c r="D115" i="4"/>
  <c r="C115" i="4"/>
  <c r="B115" i="4"/>
  <c r="P114" i="4"/>
  <c r="O114" i="4"/>
  <c r="N114" i="4"/>
  <c r="L114" i="4"/>
  <c r="K114" i="4"/>
  <c r="J114" i="4"/>
  <c r="H114" i="4"/>
  <c r="G114" i="4"/>
  <c r="F114" i="4"/>
  <c r="D114" i="4"/>
  <c r="C114" i="4"/>
  <c r="B114" i="4"/>
  <c r="P113" i="4"/>
  <c r="O113" i="4"/>
  <c r="N113" i="4"/>
  <c r="L113" i="4"/>
  <c r="K113" i="4"/>
  <c r="J113" i="4"/>
  <c r="H113" i="4"/>
  <c r="G113" i="4"/>
  <c r="F113" i="4"/>
  <c r="D113" i="4"/>
  <c r="C113" i="4"/>
  <c r="B113" i="4"/>
  <c r="P112" i="4"/>
  <c r="O112" i="4"/>
  <c r="N112" i="4"/>
  <c r="L112" i="4"/>
  <c r="K112" i="4"/>
  <c r="J112" i="4"/>
  <c r="H112" i="4"/>
  <c r="G112" i="4"/>
  <c r="F112" i="4"/>
  <c r="D112" i="4"/>
  <c r="C112" i="4"/>
  <c r="B112" i="4"/>
  <c r="P111" i="4"/>
  <c r="O111" i="4"/>
  <c r="N111" i="4"/>
  <c r="L111" i="4"/>
  <c r="K111" i="4"/>
  <c r="J111" i="4"/>
  <c r="H111" i="4"/>
  <c r="G111" i="4"/>
  <c r="F111" i="4"/>
  <c r="D111" i="4"/>
  <c r="C111" i="4"/>
  <c r="B111" i="4"/>
  <c r="P109" i="4"/>
  <c r="O109" i="4"/>
  <c r="N109" i="4"/>
  <c r="L109" i="4"/>
  <c r="K109" i="4"/>
  <c r="J109" i="4"/>
  <c r="H109" i="4"/>
  <c r="G109" i="4"/>
  <c r="F109" i="4"/>
  <c r="D109" i="4"/>
  <c r="C109" i="4"/>
  <c r="B109" i="4"/>
  <c r="P108" i="4"/>
  <c r="O108" i="4"/>
  <c r="N108" i="4"/>
  <c r="L108" i="4"/>
  <c r="K108" i="4"/>
  <c r="J108" i="4"/>
  <c r="H108" i="4"/>
  <c r="G108" i="4"/>
  <c r="F108" i="4"/>
  <c r="D108" i="4"/>
  <c r="C108" i="4"/>
  <c r="B108" i="4"/>
  <c r="P105" i="4"/>
  <c r="O105" i="4"/>
  <c r="N105" i="4"/>
  <c r="L105" i="4"/>
  <c r="K105" i="4"/>
  <c r="J105" i="4"/>
  <c r="H105" i="4"/>
  <c r="G105" i="4"/>
  <c r="F105" i="4"/>
  <c r="D105" i="4"/>
  <c r="C105" i="4"/>
  <c r="B105" i="4"/>
  <c r="P104" i="4"/>
  <c r="O104" i="4"/>
  <c r="N104" i="4"/>
  <c r="L104" i="4"/>
  <c r="K104" i="4"/>
  <c r="J104" i="4"/>
  <c r="H104" i="4"/>
  <c r="G104" i="4"/>
  <c r="F104" i="4"/>
  <c r="D104" i="4"/>
  <c r="C104" i="4"/>
  <c r="B104" i="4"/>
  <c r="P103" i="4"/>
  <c r="O103" i="4"/>
  <c r="N103" i="4"/>
  <c r="L103" i="4"/>
  <c r="K103" i="4"/>
  <c r="J103" i="4"/>
  <c r="H103" i="4"/>
  <c r="G103" i="4"/>
  <c r="F103" i="4"/>
  <c r="D103" i="4"/>
  <c r="C103" i="4"/>
  <c r="B103" i="4"/>
  <c r="P102" i="4"/>
  <c r="O102" i="4"/>
  <c r="N102" i="4"/>
  <c r="L102" i="4"/>
  <c r="K102" i="4"/>
  <c r="J102" i="4"/>
  <c r="H102" i="4"/>
  <c r="G102" i="4"/>
  <c r="F102" i="4"/>
  <c r="D102" i="4"/>
  <c r="C102" i="4"/>
  <c r="B102" i="4"/>
  <c r="P101" i="4"/>
  <c r="O101" i="4"/>
  <c r="N101" i="4"/>
  <c r="L101" i="4"/>
  <c r="K101" i="4"/>
  <c r="J101" i="4"/>
  <c r="H101" i="4"/>
  <c r="G101" i="4"/>
  <c r="F101" i="4"/>
  <c r="D101" i="4"/>
  <c r="C101" i="4"/>
  <c r="B101" i="4"/>
  <c r="P100" i="4"/>
  <c r="O100" i="4"/>
  <c r="N100" i="4"/>
  <c r="L100" i="4"/>
  <c r="K100" i="4"/>
  <c r="J100" i="4"/>
  <c r="H100" i="4"/>
  <c r="G100" i="4"/>
  <c r="F100" i="4"/>
  <c r="D100" i="4"/>
  <c r="C100" i="4"/>
  <c r="B100" i="4"/>
  <c r="P99" i="4"/>
  <c r="O99" i="4"/>
  <c r="N99" i="4"/>
  <c r="L99" i="4"/>
  <c r="K99" i="4"/>
  <c r="J99" i="4"/>
  <c r="H99" i="4"/>
  <c r="G99" i="4"/>
  <c r="F99" i="4"/>
  <c r="D99" i="4"/>
  <c r="C99" i="4"/>
  <c r="B99" i="4"/>
  <c r="P98" i="4"/>
  <c r="O98" i="4"/>
  <c r="N98" i="4"/>
  <c r="L98" i="4"/>
  <c r="K98" i="4"/>
  <c r="J98" i="4"/>
  <c r="H98" i="4"/>
  <c r="G98" i="4"/>
  <c r="F98" i="4"/>
  <c r="D98" i="4"/>
  <c r="C98" i="4"/>
  <c r="B98" i="4"/>
  <c r="P96" i="4"/>
  <c r="O96" i="4"/>
  <c r="N96" i="4"/>
  <c r="L96" i="4"/>
  <c r="K96" i="4"/>
  <c r="J96" i="4"/>
  <c r="H96" i="4"/>
  <c r="G96" i="4"/>
  <c r="F96" i="4"/>
  <c r="D96" i="4"/>
  <c r="C96" i="4"/>
  <c r="B96" i="4"/>
  <c r="P95" i="4"/>
  <c r="P94" i="4" s="1"/>
  <c r="O95" i="4"/>
  <c r="N95" i="4"/>
  <c r="L95" i="4"/>
  <c r="K95" i="4"/>
  <c r="K94" i="4" s="1"/>
  <c r="J95" i="4"/>
  <c r="H95" i="4"/>
  <c r="G95" i="4"/>
  <c r="F95" i="4"/>
  <c r="D95" i="4"/>
  <c r="C95" i="4"/>
  <c r="B95" i="4"/>
  <c r="P92" i="4"/>
  <c r="O92" i="4"/>
  <c r="N92" i="4"/>
  <c r="L92" i="4"/>
  <c r="K92" i="4"/>
  <c r="J92" i="4"/>
  <c r="H92" i="4"/>
  <c r="G92" i="4"/>
  <c r="F92" i="4"/>
  <c r="D92" i="4"/>
  <c r="C92" i="4"/>
  <c r="B92" i="4"/>
  <c r="P91" i="4"/>
  <c r="O91" i="4"/>
  <c r="N91" i="4"/>
  <c r="L91" i="4"/>
  <c r="K91" i="4"/>
  <c r="J91" i="4"/>
  <c r="H91" i="4"/>
  <c r="G91" i="4"/>
  <c r="F91" i="4"/>
  <c r="D91" i="4"/>
  <c r="C91" i="4"/>
  <c r="B91" i="4"/>
  <c r="P90" i="4"/>
  <c r="O90" i="4"/>
  <c r="N90" i="4"/>
  <c r="L90" i="4"/>
  <c r="K90" i="4"/>
  <c r="J90" i="4"/>
  <c r="H90" i="4"/>
  <c r="G90" i="4"/>
  <c r="F90" i="4"/>
  <c r="D90" i="4"/>
  <c r="C90" i="4"/>
  <c r="B90" i="4"/>
  <c r="P89" i="4"/>
  <c r="O89" i="4"/>
  <c r="N89" i="4"/>
  <c r="L89" i="4"/>
  <c r="K89" i="4"/>
  <c r="J89" i="4"/>
  <c r="H89" i="4"/>
  <c r="G89" i="4"/>
  <c r="F89" i="4"/>
  <c r="D89" i="4"/>
  <c r="C89" i="4"/>
  <c r="B89" i="4"/>
  <c r="P88" i="4"/>
  <c r="O88" i="4"/>
  <c r="N88" i="4"/>
  <c r="L88" i="4"/>
  <c r="K88" i="4"/>
  <c r="J88" i="4"/>
  <c r="H88" i="4"/>
  <c r="G88" i="4"/>
  <c r="F88" i="4"/>
  <c r="D88" i="4"/>
  <c r="C88" i="4"/>
  <c r="B88" i="4"/>
  <c r="P87" i="4"/>
  <c r="O87" i="4"/>
  <c r="N87" i="4"/>
  <c r="L87" i="4"/>
  <c r="K87" i="4"/>
  <c r="J87" i="4"/>
  <c r="H87" i="4"/>
  <c r="G87" i="4"/>
  <c r="F87" i="4"/>
  <c r="D87" i="4"/>
  <c r="C87" i="4"/>
  <c r="B87" i="4"/>
  <c r="P86" i="4"/>
  <c r="O86" i="4"/>
  <c r="N86" i="4"/>
  <c r="L86" i="4"/>
  <c r="K86" i="4"/>
  <c r="J86" i="4"/>
  <c r="H86" i="4"/>
  <c r="G86" i="4"/>
  <c r="F86" i="4"/>
  <c r="D86" i="4"/>
  <c r="C86" i="4"/>
  <c r="B86" i="4"/>
  <c r="P85" i="4"/>
  <c r="O85" i="4"/>
  <c r="N85" i="4"/>
  <c r="L85" i="4"/>
  <c r="K85" i="4"/>
  <c r="J85" i="4"/>
  <c r="H85" i="4"/>
  <c r="G85" i="4"/>
  <c r="F85" i="4"/>
  <c r="D85" i="4"/>
  <c r="C85" i="4"/>
  <c r="B85" i="4"/>
  <c r="P83" i="4"/>
  <c r="O83" i="4"/>
  <c r="N83" i="4"/>
  <c r="L83" i="4"/>
  <c r="K83" i="4"/>
  <c r="J83" i="4"/>
  <c r="H83" i="4"/>
  <c r="G83" i="4"/>
  <c r="F83" i="4"/>
  <c r="D83" i="4"/>
  <c r="C83" i="4"/>
  <c r="B83" i="4"/>
  <c r="P82" i="4"/>
  <c r="O82" i="4"/>
  <c r="N82" i="4"/>
  <c r="L82" i="4"/>
  <c r="K82" i="4"/>
  <c r="J82" i="4"/>
  <c r="H82" i="4"/>
  <c r="G82" i="4"/>
  <c r="F82" i="4"/>
  <c r="D82" i="4"/>
  <c r="C82" i="4"/>
  <c r="B82" i="4"/>
  <c r="P79" i="4"/>
  <c r="O79" i="4"/>
  <c r="N79" i="4"/>
  <c r="L79" i="4"/>
  <c r="K79" i="4"/>
  <c r="J79" i="4"/>
  <c r="H79" i="4"/>
  <c r="G79" i="4"/>
  <c r="F79" i="4"/>
  <c r="D79" i="4"/>
  <c r="C79" i="4"/>
  <c r="B79" i="4"/>
  <c r="P78" i="4"/>
  <c r="O78" i="4"/>
  <c r="N78" i="4"/>
  <c r="L78" i="4"/>
  <c r="K78" i="4"/>
  <c r="J78" i="4"/>
  <c r="H78" i="4"/>
  <c r="G78" i="4"/>
  <c r="F78" i="4"/>
  <c r="D78" i="4"/>
  <c r="C78" i="4"/>
  <c r="B78" i="4"/>
  <c r="P77" i="4"/>
  <c r="O77" i="4"/>
  <c r="N77" i="4"/>
  <c r="L77" i="4"/>
  <c r="K77" i="4"/>
  <c r="J77" i="4"/>
  <c r="H77" i="4"/>
  <c r="G77" i="4"/>
  <c r="F77" i="4"/>
  <c r="D77" i="4"/>
  <c r="C77" i="4"/>
  <c r="B77" i="4"/>
  <c r="P76" i="4"/>
  <c r="O76" i="4"/>
  <c r="N76" i="4"/>
  <c r="L76" i="4"/>
  <c r="K76" i="4"/>
  <c r="J76" i="4"/>
  <c r="H76" i="4"/>
  <c r="G76" i="4"/>
  <c r="F76" i="4"/>
  <c r="D76" i="4"/>
  <c r="C76" i="4"/>
  <c r="B76" i="4"/>
  <c r="P75" i="4"/>
  <c r="O75" i="4"/>
  <c r="N75" i="4"/>
  <c r="L75" i="4"/>
  <c r="K75" i="4"/>
  <c r="J75" i="4"/>
  <c r="H75" i="4"/>
  <c r="G75" i="4"/>
  <c r="F75" i="4"/>
  <c r="D75" i="4"/>
  <c r="C75" i="4"/>
  <c r="B75" i="4"/>
  <c r="P74" i="4"/>
  <c r="O74" i="4"/>
  <c r="N74" i="4"/>
  <c r="L74" i="4"/>
  <c r="K74" i="4"/>
  <c r="J74" i="4"/>
  <c r="H74" i="4"/>
  <c r="G74" i="4"/>
  <c r="F74" i="4"/>
  <c r="D74" i="4"/>
  <c r="C74" i="4"/>
  <c r="B74" i="4"/>
  <c r="P73" i="4"/>
  <c r="O73" i="4"/>
  <c r="N73" i="4"/>
  <c r="L73" i="4"/>
  <c r="K73" i="4"/>
  <c r="J73" i="4"/>
  <c r="H73" i="4"/>
  <c r="G73" i="4"/>
  <c r="F73" i="4"/>
  <c r="D73" i="4"/>
  <c r="C73" i="4"/>
  <c r="B73" i="4"/>
  <c r="P72" i="4"/>
  <c r="O72" i="4"/>
  <c r="N72" i="4"/>
  <c r="L72" i="4"/>
  <c r="K72" i="4"/>
  <c r="J72" i="4"/>
  <c r="H72" i="4"/>
  <c r="G72" i="4"/>
  <c r="F72" i="4"/>
  <c r="D72" i="4"/>
  <c r="C72" i="4"/>
  <c r="B72" i="4"/>
  <c r="P70" i="4"/>
  <c r="O70" i="4"/>
  <c r="N70" i="4"/>
  <c r="L70" i="4"/>
  <c r="K70" i="4"/>
  <c r="J70" i="4"/>
  <c r="H70" i="4"/>
  <c r="G70" i="4"/>
  <c r="F70" i="4"/>
  <c r="D70" i="4"/>
  <c r="C70" i="4"/>
  <c r="B70" i="4"/>
  <c r="P69" i="4"/>
  <c r="O69" i="4"/>
  <c r="N69" i="4"/>
  <c r="L69" i="4"/>
  <c r="K69" i="4"/>
  <c r="J69" i="4"/>
  <c r="H69" i="4"/>
  <c r="G69" i="4"/>
  <c r="F69" i="4"/>
  <c r="D69" i="4"/>
  <c r="C69" i="4"/>
  <c r="B69" i="4"/>
  <c r="P66" i="4"/>
  <c r="O66" i="4"/>
  <c r="N66" i="4"/>
  <c r="L66" i="4"/>
  <c r="K66" i="4"/>
  <c r="J66" i="4"/>
  <c r="H66" i="4"/>
  <c r="G66" i="4"/>
  <c r="F66" i="4"/>
  <c r="D66" i="4"/>
  <c r="C66" i="4"/>
  <c r="B66" i="4"/>
  <c r="P65" i="4"/>
  <c r="O65" i="4"/>
  <c r="N65" i="4"/>
  <c r="L65" i="4"/>
  <c r="K65" i="4"/>
  <c r="J65" i="4"/>
  <c r="H65" i="4"/>
  <c r="G65" i="4"/>
  <c r="F65" i="4"/>
  <c r="D65" i="4"/>
  <c r="C65" i="4"/>
  <c r="B65" i="4"/>
  <c r="P64" i="4"/>
  <c r="O64" i="4"/>
  <c r="N64" i="4"/>
  <c r="L64" i="4"/>
  <c r="K64" i="4"/>
  <c r="J64" i="4"/>
  <c r="H64" i="4"/>
  <c r="G64" i="4"/>
  <c r="F64" i="4"/>
  <c r="D64" i="4"/>
  <c r="C64" i="4"/>
  <c r="B64" i="4"/>
  <c r="P63" i="4"/>
  <c r="O63" i="4"/>
  <c r="N63" i="4"/>
  <c r="L63" i="4"/>
  <c r="K63" i="4"/>
  <c r="J63" i="4"/>
  <c r="H63" i="4"/>
  <c r="G63" i="4"/>
  <c r="F63" i="4"/>
  <c r="D63" i="4"/>
  <c r="C63" i="4"/>
  <c r="B63" i="4"/>
  <c r="P62" i="4"/>
  <c r="O62" i="4"/>
  <c r="N62" i="4"/>
  <c r="L62" i="4"/>
  <c r="K62" i="4"/>
  <c r="J62" i="4"/>
  <c r="H62" i="4"/>
  <c r="G62" i="4"/>
  <c r="F62" i="4"/>
  <c r="D62" i="4"/>
  <c r="C62" i="4"/>
  <c r="B62" i="4"/>
  <c r="P61" i="4"/>
  <c r="O61" i="4"/>
  <c r="N61" i="4"/>
  <c r="L61" i="4"/>
  <c r="K61" i="4"/>
  <c r="J61" i="4"/>
  <c r="H61" i="4"/>
  <c r="G61" i="4"/>
  <c r="F61" i="4"/>
  <c r="D61" i="4"/>
  <c r="C61" i="4"/>
  <c r="B61" i="4"/>
  <c r="P60" i="4"/>
  <c r="O60" i="4"/>
  <c r="N60" i="4"/>
  <c r="L60" i="4"/>
  <c r="K60" i="4"/>
  <c r="J60" i="4"/>
  <c r="H60" i="4"/>
  <c r="G60" i="4"/>
  <c r="F60" i="4"/>
  <c r="D60" i="4"/>
  <c r="C60" i="4"/>
  <c r="B60" i="4"/>
  <c r="P59" i="4"/>
  <c r="O59" i="4"/>
  <c r="N59" i="4"/>
  <c r="L59" i="4"/>
  <c r="K59" i="4"/>
  <c r="J59" i="4"/>
  <c r="H59" i="4"/>
  <c r="G59" i="4"/>
  <c r="F59" i="4"/>
  <c r="D59" i="4"/>
  <c r="C59" i="4"/>
  <c r="B59" i="4"/>
  <c r="P57" i="4"/>
  <c r="O57" i="4"/>
  <c r="N57" i="4"/>
  <c r="L57" i="4"/>
  <c r="K57" i="4"/>
  <c r="J57" i="4"/>
  <c r="H57" i="4"/>
  <c r="G57" i="4"/>
  <c r="F57" i="4"/>
  <c r="D57" i="4"/>
  <c r="C57" i="4"/>
  <c r="B57" i="4"/>
  <c r="P56" i="4"/>
  <c r="O56" i="4"/>
  <c r="N56" i="4"/>
  <c r="L56" i="4"/>
  <c r="K56" i="4"/>
  <c r="J56" i="4"/>
  <c r="H56" i="4"/>
  <c r="G56" i="4"/>
  <c r="F56" i="4"/>
  <c r="D56" i="4"/>
  <c r="C56" i="4"/>
  <c r="B56" i="4"/>
  <c r="P52" i="4"/>
  <c r="O52" i="4"/>
  <c r="N52" i="4"/>
  <c r="L52" i="4"/>
  <c r="K52" i="4"/>
  <c r="J52" i="4"/>
  <c r="H52" i="4"/>
  <c r="G52" i="4"/>
  <c r="F52" i="4"/>
  <c r="D52" i="4"/>
  <c r="C52" i="4"/>
  <c r="B52" i="4"/>
  <c r="P51" i="4"/>
  <c r="O51" i="4"/>
  <c r="N51" i="4"/>
  <c r="L51" i="4"/>
  <c r="K51" i="4"/>
  <c r="J51" i="4"/>
  <c r="H51" i="4"/>
  <c r="G51" i="4"/>
  <c r="F51" i="4"/>
  <c r="D51" i="4"/>
  <c r="C51" i="4"/>
  <c r="B51" i="4"/>
  <c r="P50" i="4"/>
  <c r="O50" i="4"/>
  <c r="N50" i="4"/>
  <c r="L50" i="4"/>
  <c r="K50" i="4"/>
  <c r="J50" i="4"/>
  <c r="H50" i="4"/>
  <c r="G50" i="4"/>
  <c r="F50" i="4"/>
  <c r="D50" i="4"/>
  <c r="C50" i="4"/>
  <c r="B50" i="4"/>
  <c r="P49" i="4"/>
  <c r="O49" i="4"/>
  <c r="N49" i="4"/>
  <c r="L49" i="4"/>
  <c r="K49" i="4"/>
  <c r="J49" i="4"/>
  <c r="H49" i="4"/>
  <c r="G49" i="4"/>
  <c r="F49" i="4"/>
  <c r="D49" i="4"/>
  <c r="C49" i="4"/>
  <c r="B49" i="4"/>
  <c r="P48" i="4"/>
  <c r="O48" i="4"/>
  <c r="N48" i="4"/>
  <c r="L48" i="4"/>
  <c r="K48" i="4"/>
  <c r="J48" i="4"/>
  <c r="H48" i="4"/>
  <c r="G48" i="4"/>
  <c r="F48" i="4"/>
  <c r="D48" i="4"/>
  <c r="C48" i="4"/>
  <c r="B48" i="4"/>
  <c r="P47" i="4"/>
  <c r="O47" i="4"/>
  <c r="N47" i="4"/>
  <c r="L47" i="4"/>
  <c r="K47" i="4"/>
  <c r="J47" i="4"/>
  <c r="H47" i="4"/>
  <c r="G47" i="4"/>
  <c r="F47" i="4"/>
  <c r="D47" i="4"/>
  <c r="C47" i="4"/>
  <c r="B47" i="4"/>
  <c r="P46" i="4"/>
  <c r="O46" i="4"/>
  <c r="N46" i="4"/>
  <c r="L46" i="4"/>
  <c r="K46" i="4"/>
  <c r="J46" i="4"/>
  <c r="H46" i="4"/>
  <c r="G46" i="4"/>
  <c r="F46" i="4"/>
  <c r="D46" i="4"/>
  <c r="C46" i="4"/>
  <c r="B46" i="4"/>
  <c r="P45" i="4"/>
  <c r="O45" i="4"/>
  <c r="N45" i="4"/>
  <c r="L45" i="4"/>
  <c r="K45" i="4"/>
  <c r="J45" i="4"/>
  <c r="H45" i="4"/>
  <c r="G45" i="4"/>
  <c r="F45" i="4"/>
  <c r="D45" i="4"/>
  <c r="C45" i="4"/>
  <c r="B45" i="4"/>
  <c r="P43" i="4"/>
  <c r="O43" i="4"/>
  <c r="N43" i="4"/>
  <c r="L43" i="4"/>
  <c r="K43" i="4"/>
  <c r="J43" i="4"/>
  <c r="H43" i="4"/>
  <c r="G43" i="4"/>
  <c r="F43" i="4"/>
  <c r="D43" i="4"/>
  <c r="C43" i="4"/>
  <c r="B43" i="4"/>
  <c r="P42" i="4"/>
  <c r="O42" i="4"/>
  <c r="N42" i="4"/>
  <c r="L42" i="4"/>
  <c r="K42" i="4"/>
  <c r="J42" i="4"/>
  <c r="H42" i="4"/>
  <c r="G42" i="4"/>
  <c r="F42" i="4"/>
  <c r="D42" i="4"/>
  <c r="C42" i="4"/>
  <c r="B42" i="4"/>
  <c r="P39" i="4"/>
  <c r="O39" i="4"/>
  <c r="N39" i="4"/>
  <c r="L39" i="4"/>
  <c r="K39" i="4"/>
  <c r="J39" i="4"/>
  <c r="H39" i="4"/>
  <c r="G39" i="4"/>
  <c r="F39" i="4"/>
  <c r="D39" i="4"/>
  <c r="C39" i="4"/>
  <c r="B39" i="4"/>
  <c r="P38" i="4"/>
  <c r="O38" i="4"/>
  <c r="N38" i="4"/>
  <c r="L38" i="4"/>
  <c r="K38" i="4"/>
  <c r="J38" i="4"/>
  <c r="H38" i="4"/>
  <c r="G38" i="4"/>
  <c r="F38" i="4"/>
  <c r="D38" i="4"/>
  <c r="C38" i="4"/>
  <c r="B38" i="4"/>
  <c r="P37" i="4"/>
  <c r="O37" i="4"/>
  <c r="N37" i="4"/>
  <c r="L37" i="4"/>
  <c r="K37" i="4"/>
  <c r="J37" i="4"/>
  <c r="H37" i="4"/>
  <c r="G37" i="4"/>
  <c r="F37" i="4"/>
  <c r="D37" i="4"/>
  <c r="C37" i="4"/>
  <c r="B37" i="4"/>
  <c r="P36" i="4"/>
  <c r="O36" i="4"/>
  <c r="N36" i="4"/>
  <c r="L36" i="4"/>
  <c r="K36" i="4"/>
  <c r="J36" i="4"/>
  <c r="H36" i="4"/>
  <c r="G36" i="4"/>
  <c r="F36" i="4"/>
  <c r="D36" i="4"/>
  <c r="C36" i="4"/>
  <c r="B36" i="4"/>
  <c r="P35" i="4"/>
  <c r="O35" i="4"/>
  <c r="N35" i="4"/>
  <c r="L35" i="4"/>
  <c r="K35" i="4"/>
  <c r="J35" i="4"/>
  <c r="H35" i="4"/>
  <c r="G35" i="4"/>
  <c r="F35" i="4"/>
  <c r="D35" i="4"/>
  <c r="C35" i="4"/>
  <c r="B35" i="4"/>
  <c r="P34" i="4"/>
  <c r="O34" i="4"/>
  <c r="N34" i="4"/>
  <c r="L34" i="4"/>
  <c r="K34" i="4"/>
  <c r="J34" i="4"/>
  <c r="H34" i="4"/>
  <c r="G34" i="4"/>
  <c r="F34" i="4"/>
  <c r="D34" i="4"/>
  <c r="C34" i="4"/>
  <c r="B34" i="4"/>
  <c r="P33" i="4"/>
  <c r="O33" i="4"/>
  <c r="N33" i="4"/>
  <c r="L33" i="4"/>
  <c r="K33" i="4"/>
  <c r="J33" i="4"/>
  <c r="H33" i="4"/>
  <c r="G33" i="4"/>
  <c r="F33" i="4"/>
  <c r="D33" i="4"/>
  <c r="C33" i="4"/>
  <c r="B33" i="4"/>
  <c r="P32" i="4"/>
  <c r="O32" i="4"/>
  <c r="N32" i="4"/>
  <c r="L32" i="4"/>
  <c r="K32" i="4"/>
  <c r="J32" i="4"/>
  <c r="H32" i="4"/>
  <c r="G32" i="4"/>
  <c r="F32" i="4"/>
  <c r="D32" i="4"/>
  <c r="C32" i="4"/>
  <c r="B32" i="4"/>
  <c r="P30" i="4"/>
  <c r="O30" i="4"/>
  <c r="N30" i="4"/>
  <c r="L30" i="4"/>
  <c r="K30" i="4"/>
  <c r="J30" i="4"/>
  <c r="H30" i="4"/>
  <c r="G30" i="4"/>
  <c r="F30" i="4"/>
  <c r="D30" i="4"/>
  <c r="C30" i="4"/>
  <c r="B30" i="4"/>
  <c r="P29" i="4"/>
  <c r="O29" i="4"/>
  <c r="N29" i="4"/>
  <c r="L29" i="4"/>
  <c r="K29" i="4"/>
  <c r="J29" i="4"/>
  <c r="H29" i="4"/>
  <c r="G29" i="4"/>
  <c r="F29" i="4"/>
  <c r="D29" i="4"/>
  <c r="C29" i="4"/>
  <c r="B29" i="4"/>
  <c r="P25" i="4"/>
  <c r="O25" i="4"/>
  <c r="N25" i="4"/>
  <c r="L25" i="4"/>
  <c r="K25" i="4"/>
  <c r="J25" i="4"/>
  <c r="H25" i="4"/>
  <c r="G25" i="4"/>
  <c r="F25" i="4"/>
  <c r="D25" i="4"/>
  <c r="C25" i="4"/>
  <c r="B25" i="4"/>
  <c r="P24" i="4"/>
  <c r="O24" i="4"/>
  <c r="N24" i="4"/>
  <c r="L24" i="4"/>
  <c r="K24" i="4"/>
  <c r="J24" i="4"/>
  <c r="H24" i="4"/>
  <c r="G24" i="4"/>
  <c r="F24" i="4"/>
  <c r="D24" i="4"/>
  <c r="C24" i="4"/>
  <c r="B24" i="4"/>
  <c r="P23" i="4"/>
  <c r="O23" i="4"/>
  <c r="N23" i="4"/>
  <c r="L23" i="4"/>
  <c r="K23" i="4"/>
  <c r="J23" i="4"/>
  <c r="H23" i="4"/>
  <c r="G23" i="4"/>
  <c r="F23" i="4"/>
  <c r="D23" i="4"/>
  <c r="C23" i="4"/>
  <c r="B23" i="4"/>
  <c r="P22" i="4"/>
  <c r="O22" i="4"/>
  <c r="N22" i="4"/>
  <c r="L22" i="4"/>
  <c r="K22" i="4"/>
  <c r="J22" i="4"/>
  <c r="H22" i="4"/>
  <c r="G22" i="4"/>
  <c r="F22" i="4"/>
  <c r="D22" i="4"/>
  <c r="C22" i="4"/>
  <c r="B22" i="4"/>
  <c r="P21" i="4"/>
  <c r="O21" i="4"/>
  <c r="N21" i="4"/>
  <c r="L21" i="4"/>
  <c r="K21" i="4"/>
  <c r="J21" i="4"/>
  <c r="H21" i="4"/>
  <c r="G21" i="4"/>
  <c r="F21" i="4"/>
  <c r="D21" i="4"/>
  <c r="C21" i="4"/>
  <c r="B21" i="4"/>
  <c r="P20" i="4"/>
  <c r="O20" i="4"/>
  <c r="N20" i="4"/>
  <c r="L20" i="4"/>
  <c r="K20" i="4"/>
  <c r="J20" i="4"/>
  <c r="H20" i="4"/>
  <c r="G20" i="4"/>
  <c r="F20" i="4"/>
  <c r="D20" i="4"/>
  <c r="C20" i="4"/>
  <c r="B20" i="4"/>
  <c r="P19" i="4"/>
  <c r="O19" i="4"/>
  <c r="N19" i="4"/>
  <c r="L19" i="4"/>
  <c r="K19" i="4"/>
  <c r="J19" i="4"/>
  <c r="H19" i="4"/>
  <c r="G19" i="4"/>
  <c r="F19" i="4"/>
  <c r="D19" i="4"/>
  <c r="C19" i="4"/>
  <c r="B19" i="4"/>
  <c r="P18" i="4"/>
  <c r="O18" i="4"/>
  <c r="N18" i="4"/>
  <c r="L18" i="4"/>
  <c r="K18" i="4"/>
  <c r="J18" i="4"/>
  <c r="H18" i="4"/>
  <c r="G18" i="4"/>
  <c r="F18" i="4"/>
  <c r="D18" i="4"/>
  <c r="C18" i="4"/>
  <c r="B18" i="4"/>
  <c r="P16" i="4"/>
  <c r="O16" i="4"/>
  <c r="N16" i="4"/>
  <c r="L16" i="4"/>
  <c r="K16" i="4"/>
  <c r="J16" i="4"/>
  <c r="H16" i="4"/>
  <c r="G16" i="4"/>
  <c r="F16" i="4"/>
  <c r="D16" i="4"/>
  <c r="C16" i="4"/>
  <c r="B16" i="4"/>
  <c r="P15" i="4"/>
  <c r="O15" i="4"/>
  <c r="N15" i="4"/>
  <c r="L15" i="4"/>
  <c r="K15" i="4"/>
  <c r="J15" i="4"/>
  <c r="H15" i="4"/>
  <c r="G15" i="4"/>
  <c r="F15" i="4"/>
  <c r="D15" i="4"/>
  <c r="C15" i="4"/>
  <c r="B15" i="4"/>
  <c r="P10" i="4"/>
  <c r="O10" i="4"/>
  <c r="N10" i="4"/>
  <c r="L10" i="4"/>
  <c r="K10" i="4"/>
  <c r="J10" i="4"/>
  <c r="H10" i="4"/>
  <c r="G10" i="4"/>
  <c r="F10" i="4"/>
  <c r="D10" i="4"/>
  <c r="C10" i="4"/>
  <c r="B10" i="4"/>
  <c r="P9" i="4"/>
  <c r="O9" i="4"/>
  <c r="N9" i="4"/>
  <c r="L9" i="4"/>
  <c r="K9" i="4"/>
  <c r="J9" i="4"/>
  <c r="H9" i="4"/>
  <c r="G9" i="4"/>
  <c r="F9" i="4"/>
  <c r="D9" i="4"/>
  <c r="C9" i="4"/>
  <c r="B9" i="4"/>
  <c r="P8" i="4"/>
  <c r="P12" i="4" s="1"/>
  <c r="O8" i="4"/>
  <c r="O12" i="4" s="1"/>
  <c r="N8" i="4"/>
  <c r="L8" i="4"/>
  <c r="L12" i="4" s="1"/>
  <c r="K8" i="4"/>
  <c r="J8" i="4"/>
  <c r="H8" i="4"/>
  <c r="G8" i="4"/>
  <c r="F8" i="4"/>
  <c r="D8" i="4"/>
  <c r="C8" i="4"/>
  <c r="B8" i="4"/>
  <c r="P7" i="4"/>
  <c r="O7" i="4"/>
  <c r="N7" i="4"/>
  <c r="N11" i="4" s="1"/>
  <c r="L7" i="4"/>
  <c r="K7" i="4"/>
  <c r="K11" i="4" s="1"/>
  <c r="J7" i="4"/>
  <c r="J11" i="4" s="1"/>
  <c r="H7" i="4"/>
  <c r="G7" i="4"/>
  <c r="F7" i="4"/>
  <c r="D7" i="4"/>
  <c r="C7" i="4"/>
  <c r="B7" i="4"/>
  <c r="P5" i="4"/>
  <c r="O5" i="4"/>
  <c r="N5" i="4"/>
  <c r="L5" i="4"/>
  <c r="K5" i="4"/>
  <c r="J5" i="4"/>
  <c r="H5" i="4"/>
  <c r="G5" i="4"/>
  <c r="F5" i="4"/>
  <c r="D5" i="4"/>
  <c r="C5" i="4"/>
  <c r="B5" i="4"/>
  <c r="P4" i="4"/>
  <c r="O4" i="4"/>
  <c r="N4" i="4"/>
  <c r="L4" i="4"/>
  <c r="K4" i="4"/>
  <c r="J4" i="4"/>
  <c r="H4" i="4"/>
  <c r="G4" i="4"/>
  <c r="F4" i="4"/>
  <c r="D4" i="4"/>
  <c r="C4" i="4"/>
  <c r="B4" i="4"/>
  <c r="N94" i="4" l="1"/>
  <c r="O94" i="4"/>
  <c r="D107" i="4"/>
  <c r="P11" i="4"/>
  <c r="C12" i="4"/>
  <c r="G97" i="4"/>
  <c r="B11" i="4"/>
  <c r="D94" i="4"/>
  <c r="G12" i="4"/>
  <c r="K97" i="4"/>
  <c r="G94" i="4"/>
  <c r="G93" i="4" s="1"/>
  <c r="P154" i="4"/>
  <c r="J167" i="4"/>
  <c r="D12" i="4"/>
  <c r="D11" i="4"/>
  <c r="F11" i="4"/>
  <c r="H11" i="4"/>
  <c r="K12" i="4"/>
  <c r="C146" i="4"/>
  <c r="C28" i="4"/>
  <c r="F159" i="4"/>
  <c r="O154" i="4"/>
  <c r="C163" i="4"/>
  <c r="N171" i="4"/>
  <c r="C186" i="4"/>
  <c r="J81" i="4"/>
  <c r="L128" i="4"/>
  <c r="G132" i="4"/>
  <c r="G140" i="4"/>
  <c r="G154" i="4"/>
  <c r="F171" i="4"/>
  <c r="J94" i="4"/>
  <c r="K146" i="4"/>
  <c r="O128" i="4"/>
  <c r="O132" i="4"/>
  <c r="D140" i="4"/>
  <c r="L6" i="4"/>
  <c r="L41" i="4"/>
  <c r="L44" i="4"/>
  <c r="L55" i="4"/>
  <c r="B81" i="4"/>
  <c r="J107" i="4"/>
  <c r="B107" i="4"/>
  <c r="L107" i="4"/>
  <c r="B110" i="4"/>
  <c r="P6" i="4"/>
  <c r="P28" i="4"/>
  <c r="F31" i="4"/>
  <c r="P41" i="4"/>
  <c r="F68" i="4"/>
  <c r="H107" i="4"/>
  <c r="C110" i="4"/>
  <c r="N110" i="4"/>
  <c r="K154" i="4"/>
  <c r="O41" i="4"/>
  <c r="D55" i="4"/>
  <c r="H6" i="4"/>
  <c r="O55" i="4"/>
  <c r="J17" i="4"/>
  <c r="P31" i="4"/>
  <c r="J31" i="4"/>
  <c r="L94" i="4"/>
  <c r="K28" i="4"/>
  <c r="B68" i="4"/>
  <c r="K31" i="4"/>
  <c r="H14" i="4"/>
  <c r="H17" i="4"/>
  <c r="H13" i="4" s="1"/>
  <c r="P17" i="4"/>
  <c r="D28" i="4"/>
  <c r="O28" i="4"/>
  <c r="C41" i="4"/>
  <c r="C55" i="4"/>
  <c r="N58" i="4"/>
  <c r="C68" i="4"/>
  <c r="N68" i="4"/>
  <c r="C81" i="4"/>
  <c r="C84" i="4"/>
  <c r="N84" i="4"/>
  <c r="H94" i="4"/>
  <c r="H97" i="4"/>
  <c r="D58" i="4"/>
  <c r="D81" i="4"/>
  <c r="O81" i="4"/>
  <c r="H28" i="4"/>
  <c r="G44" i="4"/>
  <c r="G55" i="4"/>
  <c r="G68" i="4"/>
  <c r="G81" i="4"/>
  <c r="G84" i="4"/>
  <c r="P107" i="4"/>
  <c r="C128" i="4"/>
  <c r="C136" i="4"/>
  <c r="H140" i="4"/>
  <c r="C150" i="4"/>
  <c r="B159" i="4"/>
  <c r="G163" i="4"/>
  <c r="B167" i="4"/>
  <c r="D128" i="4"/>
  <c r="J132" i="4"/>
  <c r="L124" i="4"/>
  <c r="P128" i="4"/>
  <c r="K132" i="4"/>
  <c r="P136" i="4"/>
  <c r="J171" i="4"/>
  <c r="D6" i="4"/>
  <c r="O6" i="4"/>
  <c r="D14" i="4"/>
  <c r="C17" i="4"/>
  <c r="K41" i="4"/>
  <c r="K55" i="4"/>
  <c r="K68" i="4"/>
  <c r="C124" i="4"/>
  <c r="F167" i="4"/>
  <c r="F28" i="4"/>
  <c r="D31" i="4"/>
  <c r="C44" i="4"/>
  <c r="C40" i="4" s="1"/>
  <c r="B171" i="4"/>
  <c r="C6" i="4"/>
  <c r="C14" i="4"/>
  <c r="J28" i="4"/>
  <c r="H31" i="4"/>
  <c r="H44" i="4"/>
  <c r="H58" i="4"/>
  <c r="H81" i="4"/>
  <c r="F110" i="4"/>
  <c r="D124" i="4"/>
  <c r="O124" i="4"/>
  <c r="B132" i="4"/>
  <c r="L140" i="4"/>
  <c r="F150" i="4"/>
  <c r="C167" i="4"/>
  <c r="N167" i="4"/>
  <c r="H128" i="4"/>
  <c r="C132" i="4"/>
  <c r="N132" i="4"/>
  <c r="H136" i="4"/>
  <c r="C140" i="4"/>
  <c r="B146" i="4"/>
  <c r="D17" i="4"/>
  <c r="N28" i="4"/>
  <c r="Q28" i="4" s="1"/>
  <c r="L31" i="4"/>
  <c r="L81" i="4"/>
  <c r="C94" i="4"/>
  <c r="H124" i="4"/>
  <c r="K128" i="4"/>
  <c r="F132" i="4"/>
  <c r="C154" i="4"/>
  <c r="N154" i="4"/>
  <c r="G167" i="4"/>
  <c r="R190" i="4"/>
  <c r="R189" i="4"/>
  <c r="R191" i="4"/>
  <c r="G41" i="4"/>
  <c r="Q88" i="4"/>
  <c r="E130" i="4"/>
  <c r="M148" i="4"/>
  <c r="Q60" i="4"/>
  <c r="Q64" i="4"/>
  <c r="Q65" i="4"/>
  <c r="Q66" i="4"/>
  <c r="I89" i="4"/>
  <c r="M36" i="4"/>
  <c r="Q61" i="4"/>
  <c r="M69" i="4"/>
  <c r="E16" i="4"/>
  <c r="I172" i="4"/>
  <c r="I16" i="4"/>
  <c r="M16" i="4"/>
  <c r="Q36" i="4"/>
  <c r="E39" i="4"/>
  <c r="Q152" i="4"/>
  <c r="I8" i="4"/>
  <c r="I10" i="4"/>
  <c r="Q16" i="4"/>
  <c r="M42" i="4"/>
  <c r="M46" i="4"/>
  <c r="M51" i="4"/>
  <c r="I72" i="4"/>
  <c r="M72" i="4"/>
  <c r="Q103" i="4"/>
  <c r="M155" i="4"/>
  <c r="M156" i="4"/>
  <c r="P14" i="4"/>
  <c r="E70" i="4"/>
  <c r="D71" i="4"/>
  <c r="O71" i="4"/>
  <c r="E131" i="4"/>
  <c r="M152" i="4"/>
  <c r="Q160" i="4"/>
  <c r="I21" i="4"/>
  <c r="Q42" i="4"/>
  <c r="Q46" i="4"/>
  <c r="Q49" i="4"/>
  <c r="Q50" i="4"/>
  <c r="Q51" i="4"/>
  <c r="M61" i="4"/>
  <c r="M66" i="4"/>
  <c r="Q72" i="4"/>
  <c r="I73" i="4"/>
  <c r="I75" i="4"/>
  <c r="I76" i="4"/>
  <c r="I127" i="4"/>
  <c r="Q142" i="4"/>
  <c r="Q156" i="4"/>
  <c r="M9" i="4"/>
  <c r="M92" i="4"/>
  <c r="E104" i="4"/>
  <c r="I115" i="4"/>
  <c r="E149" i="4"/>
  <c r="O150" i="4"/>
  <c r="M160" i="4"/>
  <c r="Q181" i="4"/>
  <c r="Q185" i="4"/>
  <c r="Q4" i="4"/>
  <c r="Q5" i="4"/>
  <c r="G14" i="4"/>
  <c r="L14" i="4"/>
  <c r="M19" i="4"/>
  <c r="M20" i="4"/>
  <c r="M21" i="4"/>
  <c r="M23" i="4"/>
  <c r="M25" i="4"/>
  <c r="Q30" i="4"/>
  <c r="E35" i="4"/>
  <c r="E36" i="4"/>
  <c r="E46" i="4"/>
  <c r="M47" i="4"/>
  <c r="I48" i="4"/>
  <c r="E50" i="4"/>
  <c r="E51" i="4"/>
  <c r="M52" i="4"/>
  <c r="E60" i="4"/>
  <c r="E61" i="4"/>
  <c r="M62" i="4"/>
  <c r="I63" i="4"/>
  <c r="E65" i="4"/>
  <c r="E66" i="4"/>
  <c r="K71" i="4"/>
  <c r="E85" i="4"/>
  <c r="E86" i="4"/>
  <c r="M95" i="4"/>
  <c r="M96" i="4"/>
  <c r="E102" i="4"/>
  <c r="E103" i="4"/>
  <c r="I103" i="4"/>
  <c r="M143" i="4"/>
  <c r="E152" i="4"/>
  <c r="E155" i="4"/>
  <c r="E156" i="4"/>
  <c r="E160" i="4"/>
  <c r="N159" i="4"/>
  <c r="Q164" i="4"/>
  <c r="Q165" i="4"/>
  <c r="O14" i="4"/>
  <c r="Q63" i="4"/>
  <c r="E72" i="4"/>
  <c r="Q74" i="4"/>
  <c r="M82" i="4"/>
  <c r="M134" i="4"/>
  <c r="M135" i="4"/>
  <c r="E143" i="4"/>
  <c r="E172" i="4"/>
  <c r="Q173" i="4"/>
  <c r="Q175" i="4"/>
  <c r="E5" i="4"/>
  <c r="E10" i="4"/>
  <c r="K14" i="4"/>
  <c r="Q19" i="4"/>
  <c r="Q20" i="4"/>
  <c r="Q21" i="4"/>
  <c r="E24" i="4"/>
  <c r="M33" i="4"/>
  <c r="I35" i="4"/>
  <c r="I36" i="4"/>
  <c r="Q37" i="4"/>
  <c r="I38" i="4"/>
  <c r="M39" i="4"/>
  <c r="I42" i="4"/>
  <c r="I46" i="4"/>
  <c r="I51" i="4"/>
  <c r="I66" i="4"/>
  <c r="E76" i="4"/>
  <c r="I90" i="4"/>
  <c r="I92" i="4"/>
  <c r="Q96" i="4"/>
  <c r="M99" i="4"/>
  <c r="M101" i="4"/>
  <c r="M103" i="4"/>
  <c r="M105" i="4"/>
  <c r="E112" i="4"/>
  <c r="M113" i="4"/>
  <c r="M117" i="4"/>
  <c r="E126" i="4"/>
  <c r="E127" i="4"/>
  <c r="Q130" i="4"/>
  <c r="Q131" i="4"/>
  <c r="Q138" i="4"/>
  <c r="I152" i="4"/>
  <c r="I155" i="4"/>
  <c r="I156" i="4"/>
  <c r="I160" i="4"/>
  <c r="E165" i="4"/>
  <c r="I166" i="4"/>
  <c r="E168" i="4"/>
  <c r="BK19" i="1"/>
  <c r="BL19" i="1" s="1"/>
  <c r="BK3" i="1"/>
  <c r="E21" i="4"/>
  <c r="E57" i="4"/>
  <c r="O68" i="4"/>
  <c r="M74" i="4"/>
  <c r="I78" i="4"/>
  <c r="Q85" i="4"/>
  <c r="Q90" i="4"/>
  <c r="I91" i="4"/>
  <c r="Q92" i="4"/>
  <c r="M115" i="4"/>
  <c r="M127" i="4"/>
  <c r="I131" i="4"/>
  <c r="Q135" i="4"/>
  <c r="I138" i="4"/>
  <c r="I143" i="4"/>
  <c r="I149" i="4"/>
  <c r="G150" i="4"/>
  <c r="B154" i="4"/>
  <c r="I164" i="4"/>
  <c r="I168" i="4"/>
  <c r="E174" i="4"/>
  <c r="E181" i="4"/>
  <c r="E183" i="4"/>
  <c r="Q184" i="4"/>
  <c r="E185" i="4"/>
  <c r="I22" i="4"/>
  <c r="Q25" i="4"/>
  <c r="F27" i="4"/>
  <c r="Q48" i="4"/>
  <c r="Q57" i="4"/>
  <c r="I74" i="4"/>
  <c r="E82" i="4"/>
  <c r="I82" i="4"/>
  <c r="Q82" i="4"/>
  <c r="I83" i="4"/>
  <c r="P81" i="4"/>
  <c r="M85" i="4"/>
  <c r="M88" i="4"/>
  <c r="M90" i="4"/>
  <c r="G136" i="4"/>
  <c r="E42" i="4"/>
  <c r="M57" i="4"/>
  <c r="F58" i="4"/>
  <c r="E74" i="4"/>
  <c r="E77" i="4"/>
  <c r="Q78" i="4"/>
  <c r="I85" i="4"/>
  <c r="I88" i="4"/>
  <c r="K93" i="4"/>
  <c r="E115" i="4"/>
  <c r="E116" i="4"/>
  <c r="Q118" i="4"/>
  <c r="M142" i="4"/>
  <c r="Q149" i="4"/>
  <c r="F154" i="4"/>
  <c r="Q155" i="4"/>
  <c r="Q168" i="4"/>
  <c r="Q172" i="4"/>
  <c r="M175" i="4"/>
  <c r="M181" i="4"/>
  <c r="M185" i="4"/>
  <c r="M24" i="4"/>
  <c r="I57" i="4"/>
  <c r="P71" i="4"/>
  <c r="J84" i="4"/>
  <c r="O84" i="4"/>
  <c r="E88" i="4"/>
  <c r="E90" i="4"/>
  <c r="E92" i="4"/>
  <c r="Q111" i="4"/>
  <c r="I113" i="4"/>
  <c r="Q115" i="4"/>
  <c r="I117" i="4"/>
  <c r="Q126" i="4"/>
  <c r="Q127" i="4"/>
  <c r="M131" i="4"/>
  <c r="M138" i="4"/>
  <c r="M149" i="4"/>
  <c r="K150" i="4"/>
  <c r="J154" i="4"/>
  <c r="L154" i="4"/>
  <c r="O159" i="4"/>
  <c r="K159" i="4"/>
  <c r="M162" i="4"/>
  <c r="M165" i="4"/>
  <c r="M168" i="4"/>
  <c r="M172" i="4"/>
  <c r="I173" i="4"/>
  <c r="I175" i="4"/>
  <c r="I181" i="4"/>
  <c r="I185" i="4"/>
  <c r="D41" i="4"/>
  <c r="L58" i="4"/>
  <c r="M173" i="4"/>
  <c r="K171" i="4"/>
  <c r="I5" i="4"/>
  <c r="M8" i="4"/>
  <c r="O11" i="4"/>
  <c r="Q11" i="4" s="1"/>
  <c r="M10" i="4"/>
  <c r="G17" i="4"/>
  <c r="E20" i="4"/>
  <c r="M22" i="4"/>
  <c r="I24" i="4"/>
  <c r="E25" i="4"/>
  <c r="E30" i="4"/>
  <c r="L28" i="4"/>
  <c r="O31" i="4"/>
  <c r="M34" i="4"/>
  <c r="M35" i="4"/>
  <c r="E37" i="4"/>
  <c r="M38" i="4"/>
  <c r="Q39" i="4"/>
  <c r="F41" i="4"/>
  <c r="N41" i="4"/>
  <c r="I43" i="4"/>
  <c r="P44" i="4"/>
  <c r="M48" i="4"/>
  <c r="I50" i="4"/>
  <c r="Q52" i="4"/>
  <c r="H55" i="4"/>
  <c r="I61" i="4"/>
  <c r="Q62" i="4"/>
  <c r="M63" i="4"/>
  <c r="I65" i="4"/>
  <c r="J68" i="4"/>
  <c r="I70" i="4"/>
  <c r="M76" i="4"/>
  <c r="P97" i="4"/>
  <c r="P93" i="4" s="1"/>
  <c r="M111" i="4"/>
  <c r="O110" i="4"/>
  <c r="E138" i="4"/>
  <c r="D146" i="4"/>
  <c r="E157" i="4"/>
  <c r="D154" i="4"/>
  <c r="M157" i="4"/>
  <c r="E164" i="4"/>
  <c r="Q143" i="4"/>
  <c r="O140" i="4"/>
  <c r="M7" i="4"/>
  <c r="I9" i="4"/>
  <c r="O17" i="4"/>
  <c r="E22" i="4"/>
  <c r="Q24" i="4"/>
  <c r="I33" i="4"/>
  <c r="M37" i="4"/>
  <c r="I39" i="4"/>
  <c r="B41" i="4"/>
  <c r="Q43" i="4"/>
  <c r="I47" i="4"/>
  <c r="E48" i="4"/>
  <c r="I52" i="4"/>
  <c r="P55" i="4"/>
  <c r="I62" i="4"/>
  <c r="E63" i="4"/>
  <c r="E69" i="4"/>
  <c r="I69" i="4"/>
  <c r="Q69" i="4"/>
  <c r="Q70" i="4"/>
  <c r="E73" i="4"/>
  <c r="M164" i="4"/>
  <c r="E175" i="4"/>
  <c r="G186" i="4"/>
  <c r="M4" i="4"/>
  <c r="M5" i="4"/>
  <c r="E9" i="4"/>
  <c r="H12" i="4"/>
  <c r="Q10" i="4"/>
  <c r="K17" i="4"/>
  <c r="I20" i="4"/>
  <c r="Q22" i="4"/>
  <c r="I23" i="4"/>
  <c r="I25" i="4"/>
  <c r="E33" i="4"/>
  <c r="Q34" i="4"/>
  <c r="Q35" i="4"/>
  <c r="I37" i="4"/>
  <c r="J41" i="4"/>
  <c r="M43" i="4"/>
  <c r="E47" i="4"/>
  <c r="M49" i="4"/>
  <c r="M50" i="4"/>
  <c r="E52" i="4"/>
  <c r="E62" i="4"/>
  <c r="M64" i="4"/>
  <c r="M65" i="4"/>
  <c r="M70" i="4"/>
  <c r="Q76" i="4"/>
  <c r="G128" i="4"/>
  <c r="H154" i="4"/>
  <c r="I157" i="4"/>
  <c r="Q157" i="4"/>
  <c r="I165" i="4"/>
  <c r="F163" i="4"/>
  <c r="E173" i="4"/>
  <c r="C171" i="4"/>
  <c r="H186" i="4"/>
  <c r="I77" i="4"/>
  <c r="E78" i="4"/>
  <c r="Q79" i="4"/>
  <c r="I86" i="4"/>
  <c r="E96" i="4"/>
  <c r="Q99" i="4"/>
  <c r="M100" i="4"/>
  <c r="Q101" i="4"/>
  <c r="Q105" i="4"/>
  <c r="M109" i="4"/>
  <c r="I112" i="4"/>
  <c r="E114" i="4"/>
  <c r="Q114" i="4"/>
  <c r="I116" i="4"/>
  <c r="E118" i="4"/>
  <c r="I126" i="4"/>
  <c r="K124" i="4"/>
  <c r="Q134" i="4"/>
  <c r="E139" i="4"/>
  <c r="L136" i="4"/>
  <c r="E142" i="4"/>
  <c r="E147" i="4"/>
  <c r="H146" i="4"/>
  <c r="Q148" i="4"/>
  <c r="Q162" i="4"/>
  <c r="M166" i="4"/>
  <c r="E170" i="4"/>
  <c r="M182" i="4"/>
  <c r="I183" i="4"/>
  <c r="E184" i="4"/>
  <c r="Q77" i="4"/>
  <c r="Q86" i="4"/>
  <c r="I99" i="4"/>
  <c r="I101" i="4"/>
  <c r="L97" i="4"/>
  <c r="L93" i="4" s="1"/>
  <c r="M104" i="4"/>
  <c r="I105" i="4"/>
  <c r="E111" i="4"/>
  <c r="I111" i="4"/>
  <c r="Q112" i="4"/>
  <c r="K110" i="4"/>
  <c r="Q116" i="4"/>
  <c r="M118" i="4"/>
  <c r="I133" i="4"/>
  <c r="I134" i="4"/>
  <c r="I135" i="4"/>
  <c r="O136" i="4"/>
  <c r="M147" i="4"/>
  <c r="P146" i="4"/>
  <c r="B163" i="4"/>
  <c r="J163" i="4"/>
  <c r="E166" i="4"/>
  <c r="D171" i="4"/>
  <c r="H171" i="4"/>
  <c r="L171" i="4"/>
  <c r="P171" i="4"/>
  <c r="Q171" i="4" s="1"/>
  <c r="Q174" i="4"/>
  <c r="D186" i="4"/>
  <c r="M184" i="4"/>
  <c r="E75" i="4"/>
  <c r="M77" i="4"/>
  <c r="L71" i="4"/>
  <c r="E79" i="4"/>
  <c r="M86" i="4"/>
  <c r="E87" i="4"/>
  <c r="E89" i="4"/>
  <c r="E91" i="4"/>
  <c r="I95" i="4"/>
  <c r="I96" i="4"/>
  <c r="E99" i="4"/>
  <c r="Q100" i="4"/>
  <c r="E101" i="4"/>
  <c r="Q102" i="4"/>
  <c r="I104" i="4"/>
  <c r="J110" i="4"/>
  <c r="M112" i="4"/>
  <c r="M116" i="4"/>
  <c r="I118" i="4"/>
  <c r="P124" i="4"/>
  <c r="M130" i="4"/>
  <c r="E134" i="4"/>
  <c r="E135" i="4"/>
  <c r="K136" i="4"/>
  <c r="I139" i="4"/>
  <c r="K140" i="4"/>
  <c r="I142" i="4"/>
  <c r="E148" i="4"/>
  <c r="L146" i="4"/>
  <c r="N163" i="4"/>
  <c r="D163" i="4"/>
  <c r="H163" i="4"/>
  <c r="L163" i="4"/>
  <c r="P163" i="4"/>
  <c r="I170" i="4"/>
  <c r="M174" i="4"/>
  <c r="P186" i="4"/>
  <c r="I184" i="4"/>
  <c r="R144" i="4"/>
  <c r="L40" i="4"/>
  <c r="F6" i="4"/>
  <c r="G11" i="4"/>
  <c r="L11" i="4"/>
  <c r="M11" i="4" s="1"/>
  <c r="F12" i="4"/>
  <c r="E15" i="4"/>
  <c r="B14" i="4"/>
  <c r="E45" i="4"/>
  <c r="B44" i="4"/>
  <c r="I56" i="4"/>
  <c r="F55" i="4"/>
  <c r="M94" i="4"/>
  <c r="G107" i="4"/>
  <c r="I108" i="4"/>
  <c r="Q141" i="4"/>
  <c r="N140" i="4"/>
  <c r="L150" i="4"/>
  <c r="M153" i="4"/>
  <c r="B6" i="4"/>
  <c r="E7" i="4"/>
  <c r="I7" i="4"/>
  <c r="Q7" i="4"/>
  <c r="C11" i="4"/>
  <c r="E11" i="4" s="1"/>
  <c r="B12" i="4"/>
  <c r="Q15" i="4"/>
  <c r="N14" i="4"/>
  <c r="F17" i="4"/>
  <c r="L17" i="4"/>
  <c r="G28" i="4"/>
  <c r="B31" i="4"/>
  <c r="G31" i="4"/>
  <c r="E32" i="4"/>
  <c r="I32" i="4"/>
  <c r="M32" i="4"/>
  <c r="Q32" i="4"/>
  <c r="D44" i="4"/>
  <c r="O44" i="4"/>
  <c r="Q45" i="4"/>
  <c r="N44" i="4"/>
  <c r="Q47" i="4"/>
  <c r="E56" i="4"/>
  <c r="B55" i="4"/>
  <c r="J58" i="4"/>
  <c r="P58" i="4"/>
  <c r="C58" i="4"/>
  <c r="C54" i="4" s="1"/>
  <c r="G58" i="4"/>
  <c r="G54" i="4" s="1"/>
  <c r="K58" i="4"/>
  <c r="O58" i="4"/>
  <c r="O54" i="4" s="1"/>
  <c r="F71" i="4"/>
  <c r="F81" i="4"/>
  <c r="B84" i="4"/>
  <c r="Q104" i="4"/>
  <c r="C107" i="4"/>
  <c r="E108" i="4"/>
  <c r="Q109" i="4"/>
  <c r="N107" i="4"/>
  <c r="E133" i="4"/>
  <c r="D132" i="4"/>
  <c r="O146" i="4"/>
  <c r="Q147" i="4"/>
  <c r="I153" i="4"/>
  <c r="H150" i="4"/>
  <c r="K163" i="4"/>
  <c r="B186" i="4"/>
  <c r="E180" i="4"/>
  <c r="Q183" i="4"/>
  <c r="O186" i="4"/>
  <c r="L186" i="4"/>
  <c r="I4" i="4"/>
  <c r="K6" i="4"/>
  <c r="N6" i="4"/>
  <c r="Q6" i="4" s="1"/>
  <c r="E8" i="4"/>
  <c r="Q9" i="4"/>
  <c r="N12" i="4"/>
  <c r="Q12" i="4" s="1"/>
  <c r="M15" i="4"/>
  <c r="J14" i="4"/>
  <c r="B17" i="4"/>
  <c r="E18" i="4"/>
  <c r="I18" i="4"/>
  <c r="M18" i="4"/>
  <c r="Q18" i="4"/>
  <c r="I19" i="4"/>
  <c r="E23" i="4"/>
  <c r="M30" i="4"/>
  <c r="C31" i="4"/>
  <c r="C27" i="4" s="1"/>
  <c r="N31" i="4"/>
  <c r="Q33" i="4"/>
  <c r="I34" i="4"/>
  <c r="E38" i="4"/>
  <c r="H41" i="4"/>
  <c r="H40" i="4" s="1"/>
  <c r="E43" i="4"/>
  <c r="K44" i="4"/>
  <c r="M45" i="4"/>
  <c r="J44" i="4"/>
  <c r="I49" i="4"/>
  <c r="Q56" i="4"/>
  <c r="N55" i="4"/>
  <c r="M60" i="4"/>
  <c r="I64" i="4"/>
  <c r="G71" i="4"/>
  <c r="C71" i="4"/>
  <c r="H71" i="4"/>
  <c r="Q73" i="4"/>
  <c r="N71" i="4"/>
  <c r="M79" i="4"/>
  <c r="K81" i="4"/>
  <c r="Q83" i="4"/>
  <c r="N81" i="4"/>
  <c r="M87" i="4"/>
  <c r="Q89" i="4"/>
  <c r="D97" i="4"/>
  <c r="D93" i="4" s="1"/>
  <c r="M98" i="4"/>
  <c r="J97" i="4"/>
  <c r="O97" i="4"/>
  <c r="O107" i="4"/>
  <c r="Q108" i="4"/>
  <c r="I114" i="4"/>
  <c r="G110" i="4"/>
  <c r="Q125" i="4"/>
  <c r="N124" i="4"/>
  <c r="I148" i="4"/>
  <c r="F146" i="4"/>
  <c r="D150" i="4"/>
  <c r="E153" i="4"/>
  <c r="D167" i="4"/>
  <c r="E169" i="4"/>
  <c r="Q170" i="4"/>
  <c r="O167" i="4"/>
  <c r="N186" i="4"/>
  <c r="Q180" i="4"/>
  <c r="E182" i="4"/>
  <c r="I182" i="4"/>
  <c r="Q182" i="4"/>
  <c r="M183" i="4"/>
  <c r="K186" i="4"/>
  <c r="E4" i="4"/>
  <c r="G6" i="4"/>
  <c r="J6" i="4"/>
  <c r="Q8" i="4"/>
  <c r="J12" i="4"/>
  <c r="M12" i="4" s="1"/>
  <c r="I15" i="4"/>
  <c r="F14" i="4"/>
  <c r="N17" i="4"/>
  <c r="E19" i="4"/>
  <c r="Q23" i="4"/>
  <c r="B28" i="4"/>
  <c r="E29" i="4"/>
  <c r="I29" i="4"/>
  <c r="M29" i="4"/>
  <c r="Q29" i="4"/>
  <c r="I30" i="4"/>
  <c r="E34" i="4"/>
  <c r="Q38" i="4"/>
  <c r="I45" i="4"/>
  <c r="F44" i="4"/>
  <c r="E49" i="4"/>
  <c r="M56" i="4"/>
  <c r="J55" i="4"/>
  <c r="B58" i="4"/>
  <c r="E59" i="4"/>
  <c r="I59" i="4"/>
  <c r="M59" i="4"/>
  <c r="Q59" i="4"/>
  <c r="I60" i="4"/>
  <c r="E64" i="4"/>
  <c r="B71" i="4"/>
  <c r="J71" i="4"/>
  <c r="M73" i="4"/>
  <c r="Q75" i="4"/>
  <c r="M78" i="4"/>
  <c r="M83" i="4"/>
  <c r="F84" i="4"/>
  <c r="I87" i="4"/>
  <c r="K84" i="4"/>
  <c r="M89" i="4"/>
  <c r="Q91" i="4"/>
  <c r="H93" i="4"/>
  <c r="Q94" i="4"/>
  <c r="Q95" i="4"/>
  <c r="C97" i="4"/>
  <c r="C93" i="4" s="1"/>
  <c r="I98" i="4"/>
  <c r="F97" i="4"/>
  <c r="I97" i="4" s="1"/>
  <c r="K107" i="4"/>
  <c r="M108" i="4"/>
  <c r="M125" i="4"/>
  <c r="J124" i="4"/>
  <c r="M126" i="4"/>
  <c r="H132" i="4"/>
  <c r="G146" i="4"/>
  <c r="I147" i="4"/>
  <c r="E151" i="4"/>
  <c r="B150" i="4"/>
  <c r="P150" i="4"/>
  <c r="Q153" i="4"/>
  <c r="P159" i="4"/>
  <c r="Q161" i="4"/>
  <c r="P167" i="4"/>
  <c r="Q169" i="4"/>
  <c r="E98" i="4"/>
  <c r="B97" i="4"/>
  <c r="I100" i="4"/>
  <c r="I109" i="4"/>
  <c r="E113" i="4"/>
  <c r="Q129" i="4"/>
  <c r="N128" i="4"/>
  <c r="Q128" i="4" s="1"/>
  <c r="P132" i="4"/>
  <c r="Q133" i="4"/>
  <c r="I137" i="4"/>
  <c r="F136" i="4"/>
  <c r="M139" i="4"/>
  <c r="Q151" i="4"/>
  <c r="N150" i="4"/>
  <c r="L159" i="4"/>
  <c r="M161" i="4"/>
  <c r="I162" i="4"/>
  <c r="G159" i="4"/>
  <c r="L167" i="4"/>
  <c r="M169" i="4"/>
  <c r="D68" i="4"/>
  <c r="H68" i="4"/>
  <c r="L68" i="4"/>
  <c r="P68" i="4"/>
  <c r="M75" i="4"/>
  <c r="I79" i="4"/>
  <c r="E83" i="4"/>
  <c r="D84" i="4"/>
  <c r="H84" i="4"/>
  <c r="L84" i="4"/>
  <c r="L80" i="4" s="1"/>
  <c r="P84" i="4"/>
  <c r="Q87" i="4"/>
  <c r="M91" i="4"/>
  <c r="F94" i="4"/>
  <c r="E95" i="4"/>
  <c r="B94" i="4"/>
  <c r="E100" i="4"/>
  <c r="I102" i="4"/>
  <c r="E105" i="4"/>
  <c r="F107" i="4"/>
  <c r="E125" i="4"/>
  <c r="B124" i="4"/>
  <c r="G124" i="4"/>
  <c r="M129" i="4"/>
  <c r="J128" i="4"/>
  <c r="M133" i="4"/>
  <c r="L132" i="4"/>
  <c r="E137" i="4"/>
  <c r="B136" i="4"/>
  <c r="E141" i="4"/>
  <c r="B140" i="4"/>
  <c r="J146" i="4"/>
  <c r="N146" i="4"/>
  <c r="Q166" i="4"/>
  <c r="O163" i="4"/>
  <c r="H167" i="4"/>
  <c r="I169" i="4"/>
  <c r="F186" i="4"/>
  <c r="I180" i="4"/>
  <c r="Q98" i="4"/>
  <c r="N97" i="4"/>
  <c r="M102" i="4"/>
  <c r="E109" i="4"/>
  <c r="D110" i="4"/>
  <c r="D106" i="4" s="1"/>
  <c r="H110" i="4"/>
  <c r="L110" i="4"/>
  <c r="P110" i="4"/>
  <c r="Q113" i="4"/>
  <c r="M114" i="4"/>
  <c r="E117" i="4"/>
  <c r="I129" i="4"/>
  <c r="F128" i="4"/>
  <c r="I130" i="4"/>
  <c r="D136" i="4"/>
  <c r="M137" i="4"/>
  <c r="J136" i="4"/>
  <c r="Q139" i="4"/>
  <c r="I141" i="4"/>
  <c r="F140" i="4"/>
  <c r="I140" i="4" s="1"/>
  <c r="P140" i="4"/>
  <c r="M151" i="4"/>
  <c r="J150" i="4"/>
  <c r="H159" i="4"/>
  <c r="I161" i="4"/>
  <c r="E162" i="4"/>
  <c r="C159" i="4"/>
  <c r="M170" i="4"/>
  <c r="K167" i="4"/>
  <c r="I174" i="4"/>
  <c r="G171" i="4"/>
  <c r="J186" i="4"/>
  <c r="M180" i="4"/>
  <c r="Q117" i="4"/>
  <c r="I125" i="4"/>
  <c r="F124" i="4"/>
  <c r="E129" i="4"/>
  <c r="B128" i="4"/>
  <c r="Q137" i="4"/>
  <c r="N136" i="4"/>
  <c r="M141" i="4"/>
  <c r="J140" i="4"/>
  <c r="I151" i="4"/>
  <c r="D159" i="4"/>
  <c r="E161" i="4"/>
  <c r="V187" i="3"/>
  <c r="C13" i="4" l="1"/>
  <c r="E12" i="4"/>
  <c r="O40" i="4"/>
  <c r="J158" i="4"/>
  <c r="Q154" i="4"/>
  <c r="O27" i="4"/>
  <c r="O26" i="4" s="1"/>
  <c r="L54" i="4"/>
  <c r="K145" i="4"/>
  <c r="J80" i="4"/>
  <c r="F67" i="4"/>
  <c r="K54" i="4"/>
  <c r="J106" i="4"/>
  <c r="E146" i="4"/>
  <c r="C67" i="4"/>
  <c r="C53" i="4" s="1"/>
  <c r="I11" i="4"/>
  <c r="D80" i="4"/>
  <c r="O93" i="4"/>
  <c r="G67" i="4"/>
  <c r="B106" i="4"/>
  <c r="H106" i="4"/>
  <c r="P27" i="4"/>
  <c r="P26" i="4" s="1"/>
  <c r="K67" i="4"/>
  <c r="I132" i="4"/>
  <c r="C106" i="4"/>
  <c r="E106" i="4" s="1"/>
  <c r="H80" i="4"/>
  <c r="L106" i="4"/>
  <c r="P13" i="4"/>
  <c r="D27" i="4"/>
  <c r="J27" i="4"/>
  <c r="I44" i="4"/>
  <c r="K40" i="4"/>
  <c r="E17" i="4"/>
  <c r="G80" i="4"/>
  <c r="D54" i="4"/>
  <c r="L27" i="4"/>
  <c r="L26" i="4" s="1"/>
  <c r="M41" i="4"/>
  <c r="C145" i="4"/>
  <c r="M31" i="4"/>
  <c r="E81" i="4"/>
  <c r="B158" i="4"/>
  <c r="E6" i="4"/>
  <c r="P40" i="4"/>
  <c r="I167" i="4"/>
  <c r="Q41" i="4"/>
  <c r="F158" i="4"/>
  <c r="G40" i="4"/>
  <c r="K27" i="4"/>
  <c r="C80" i="4"/>
  <c r="D13" i="4"/>
  <c r="H27" i="4"/>
  <c r="H26" i="4" s="1"/>
  <c r="C123" i="4"/>
  <c r="M132" i="4"/>
  <c r="E167" i="4"/>
  <c r="E128" i="4"/>
  <c r="H54" i="4"/>
  <c r="O80" i="4"/>
  <c r="M128" i="4"/>
  <c r="I31" i="4"/>
  <c r="E140" i="4"/>
  <c r="Q17" i="4"/>
  <c r="R152" i="4"/>
  <c r="N158" i="4"/>
  <c r="R70" i="4"/>
  <c r="R22" i="4"/>
  <c r="I128" i="4"/>
  <c r="E41" i="4"/>
  <c r="G13" i="4"/>
  <c r="M154" i="4"/>
  <c r="O123" i="4"/>
  <c r="K13" i="4"/>
  <c r="R181" i="4"/>
  <c r="O145" i="4"/>
  <c r="R173" i="4"/>
  <c r="R30" i="4"/>
  <c r="M97" i="4"/>
  <c r="R36" i="4"/>
  <c r="R170" i="4"/>
  <c r="R24" i="4"/>
  <c r="D67" i="4"/>
  <c r="R104" i="4"/>
  <c r="L13" i="4"/>
  <c r="M171" i="4"/>
  <c r="R88" i="4"/>
  <c r="R74" i="4"/>
  <c r="R42" i="4"/>
  <c r="R160" i="4"/>
  <c r="R46" i="4"/>
  <c r="R78" i="4"/>
  <c r="R19" i="4"/>
  <c r="R115" i="4"/>
  <c r="R21" i="4"/>
  <c r="R72" i="4"/>
  <c r="R16" i="4"/>
  <c r="R99" i="4"/>
  <c r="R126" i="4"/>
  <c r="K106" i="4"/>
  <c r="M106" i="4" s="1"/>
  <c r="M28" i="4"/>
  <c r="R184" i="4"/>
  <c r="O13" i="4"/>
  <c r="E154" i="4"/>
  <c r="R142" i="4"/>
  <c r="R57" i="4"/>
  <c r="R51" i="4"/>
  <c r="R103" i="4"/>
  <c r="R65" i="4"/>
  <c r="R48" i="4"/>
  <c r="R149" i="4"/>
  <c r="G123" i="4"/>
  <c r="R105" i="4"/>
  <c r="Q84" i="4"/>
  <c r="L67" i="4"/>
  <c r="L53" i="4" s="1"/>
  <c r="I136" i="4"/>
  <c r="R76" i="4"/>
  <c r="R62" i="4"/>
  <c r="R10" i="4"/>
  <c r="R143" i="4"/>
  <c r="G145" i="4"/>
  <c r="R168" i="4"/>
  <c r="R39" i="4"/>
  <c r="R5" i="4"/>
  <c r="R156" i="4"/>
  <c r="R66" i="4"/>
  <c r="R35" i="4"/>
  <c r="Q31" i="4"/>
  <c r="R155" i="4"/>
  <c r="M150" i="4"/>
  <c r="R117" i="4"/>
  <c r="R102" i="4"/>
  <c r="R166" i="4"/>
  <c r="R83" i="4"/>
  <c r="I150" i="4"/>
  <c r="R11" i="4"/>
  <c r="R138" i="4"/>
  <c r="R185" i="4"/>
  <c r="R172" i="4"/>
  <c r="R116" i="4"/>
  <c r="R85" i="4"/>
  <c r="R127" i="4"/>
  <c r="O67" i="4"/>
  <c r="O53" i="4" s="1"/>
  <c r="I171" i="4"/>
  <c r="M159" i="4"/>
  <c r="H158" i="4"/>
  <c r="M186" i="4"/>
  <c r="M167" i="4"/>
  <c r="C158" i="4"/>
  <c r="Q110" i="4"/>
  <c r="O158" i="4"/>
  <c r="P67" i="4"/>
  <c r="M71" i="4"/>
  <c r="R47" i="4"/>
  <c r="D40" i="4"/>
  <c r="R165" i="4"/>
  <c r="R90" i="4"/>
  <c r="D145" i="4"/>
  <c r="K123" i="4"/>
  <c r="R52" i="4"/>
  <c r="M140" i="4"/>
  <c r="R174" i="4"/>
  <c r="E163" i="4"/>
  <c r="M136" i="4"/>
  <c r="R100" i="4"/>
  <c r="R91" i="4"/>
  <c r="R75" i="4"/>
  <c r="R89" i="4"/>
  <c r="R183" i="4"/>
  <c r="O106" i="4"/>
  <c r="Q71" i="4"/>
  <c r="R9" i="4"/>
  <c r="R101" i="4"/>
  <c r="I154" i="4"/>
  <c r="R50" i="4"/>
  <c r="R175" i="4"/>
  <c r="R61" i="4"/>
  <c r="R92" i="4"/>
  <c r="R82" i="4"/>
  <c r="I110" i="4"/>
  <c r="R23" i="4"/>
  <c r="R147" i="4"/>
  <c r="R86" i="4"/>
  <c r="R33" i="4"/>
  <c r="R63" i="4"/>
  <c r="R25" i="4"/>
  <c r="R87" i="4"/>
  <c r="R111" i="4"/>
  <c r="R118" i="4"/>
  <c r="R112" i="4"/>
  <c r="E159" i="4"/>
  <c r="R79" i="4"/>
  <c r="C26" i="4"/>
  <c r="G53" i="4"/>
  <c r="I6" i="4"/>
  <c r="R148" i="4"/>
  <c r="P80" i="4"/>
  <c r="R96" i="4"/>
  <c r="R77" i="4"/>
  <c r="E171" i="4"/>
  <c r="R164" i="4"/>
  <c r="Q136" i="4"/>
  <c r="R162" i="4"/>
  <c r="R113" i="4"/>
  <c r="P158" i="4"/>
  <c r="P145" i="4"/>
  <c r="R64" i="4"/>
  <c r="Q167" i="4"/>
  <c r="M44" i="4"/>
  <c r="Q163" i="4"/>
  <c r="R130" i="4"/>
  <c r="Q97" i="4"/>
  <c r="P123" i="4"/>
  <c r="M84" i="4"/>
  <c r="R73" i="4"/>
  <c r="R60" i="4"/>
  <c r="R49" i="4"/>
  <c r="F40" i="4"/>
  <c r="F26" i="4" s="1"/>
  <c r="R8" i="4"/>
  <c r="M68" i="4"/>
  <c r="N27" i="4"/>
  <c r="Q27" i="4" s="1"/>
  <c r="L145" i="4"/>
  <c r="N67" i="4"/>
  <c r="M17" i="4"/>
  <c r="R157" i="4"/>
  <c r="R20" i="4"/>
  <c r="E71" i="4"/>
  <c r="P106" i="4"/>
  <c r="R43" i="4"/>
  <c r="I12" i="4"/>
  <c r="R12" i="4" s="1"/>
  <c r="I163" i="4"/>
  <c r="R69" i="4"/>
  <c r="R37" i="4"/>
  <c r="R95" i="4"/>
  <c r="R98" i="4"/>
  <c r="R29" i="4"/>
  <c r="R153" i="4"/>
  <c r="H145" i="4"/>
  <c r="P54" i="4"/>
  <c r="I17" i="4"/>
  <c r="Q68" i="4"/>
  <c r="R139" i="4"/>
  <c r="D123" i="4"/>
  <c r="R4" i="4"/>
  <c r="R7" i="4"/>
  <c r="J145" i="4"/>
  <c r="M146" i="4"/>
  <c r="R137" i="4"/>
  <c r="R125" i="4"/>
  <c r="G158" i="4"/>
  <c r="Q132" i="4"/>
  <c r="K80" i="4"/>
  <c r="M81" i="4"/>
  <c r="Q55" i="4"/>
  <c r="N54" i="4"/>
  <c r="E55" i="4"/>
  <c r="B54" i="4"/>
  <c r="Q44" i="4"/>
  <c r="N40" i="4"/>
  <c r="G27" i="4"/>
  <c r="I28" i="4"/>
  <c r="E14" i="4"/>
  <c r="B13" i="4"/>
  <c r="M107" i="4"/>
  <c r="J40" i="4"/>
  <c r="I58" i="4"/>
  <c r="L123" i="4"/>
  <c r="I107" i="4"/>
  <c r="F106" i="4"/>
  <c r="E94" i="4"/>
  <c r="B93" i="4"/>
  <c r="E93" i="4" s="1"/>
  <c r="Q150" i="4"/>
  <c r="E132" i="4"/>
  <c r="E150" i="4"/>
  <c r="B145" i="4"/>
  <c r="M124" i="4"/>
  <c r="J123" i="4"/>
  <c r="R59" i="4"/>
  <c r="E28" i="4"/>
  <c r="B27" i="4"/>
  <c r="R182" i="4"/>
  <c r="Q124" i="4"/>
  <c r="N123" i="4"/>
  <c r="Q81" i="4"/>
  <c r="N80" i="4"/>
  <c r="M14" i="4"/>
  <c r="J13" i="4"/>
  <c r="E186" i="4"/>
  <c r="R180" i="4"/>
  <c r="K158" i="4"/>
  <c r="M163" i="4"/>
  <c r="Q107" i="4"/>
  <c r="N106" i="4"/>
  <c r="I71" i="4"/>
  <c r="R56" i="4"/>
  <c r="R32" i="4"/>
  <c r="J93" i="4"/>
  <c r="M93" i="4" s="1"/>
  <c r="J67" i="4"/>
  <c r="I41" i="4"/>
  <c r="R15" i="4"/>
  <c r="R161" i="4"/>
  <c r="R129" i="4"/>
  <c r="I159" i="4"/>
  <c r="R141" i="4"/>
  <c r="R151" i="4"/>
  <c r="E107" i="4"/>
  <c r="I84" i="4"/>
  <c r="E58" i="4"/>
  <c r="I14" i="4"/>
  <c r="F13" i="4"/>
  <c r="M6" i="4"/>
  <c r="Q186" i="4"/>
  <c r="Q159" i="4"/>
  <c r="F145" i="4"/>
  <c r="I146" i="4"/>
  <c r="E84" i="4"/>
  <c r="B80" i="4"/>
  <c r="G106" i="4"/>
  <c r="E44" i="4"/>
  <c r="B40" i="4"/>
  <c r="E68" i="4"/>
  <c r="M110" i="4"/>
  <c r="Q58" i="4"/>
  <c r="D158" i="4"/>
  <c r="I124" i="4"/>
  <c r="F123" i="4"/>
  <c r="R109" i="4"/>
  <c r="I186" i="4"/>
  <c r="Q146" i="4"/>
  <c r="N145" i="4"/>
  <c r="E136" i="4"/>
  <c r="B123" i="4"/>
  <c r="E124" i="4"/>
  <c r="I94" i="4"/>
  <c r="F93" i="4"/>
  <c r="I93" i="4" s="1"/>
  <c r="H67" i="4"/>
  <c r="L158" i="4"/>
  <c r="E97" i="4"/>
  <c r="N93" i="4"/>
  <c r="I68" i="4"/>
  <c r="M55" i="4"/>
  <c r="J54" i="4"/>
  <c r="R34" i="4"/>
  <c r="R169" i="4"/>
  <c r="H123" i="4"/>
  <c r="R114" i="4"/>
  <c r="R38" i="4"/>
  <c r="R18" i="4"/>
  <c r="R108" i="4"/>
  <c r="I81" i="4"/>
  <c r="F80" i="4"/>
  <c r="M58" i="4"/>
  <c r="E31" i="4"/>
  <c r="Q14" i="4"/>
  <c r="N13" i="4"/>
  <c r="Q140" i="4"/>
  <c r="I55" i="4"/>
  <c r="F54" i="4"/>
  <c r="R45" i="4"/>
  <c r="B67" i="4"/>
  <c r="E110" i="4"/>
  <c r="D53" i="4" l="1"/>
  <c r="K53" i="4"/>
  <c r="Q40" i="4"/>
  <c r="Q93" i="4"/>
  <c r="E80" i="4"/>
  <c r="C176" i="4"/>
  <c r="I80" i="4"/>
  <c r="K26" i="4"/>
  <c r="K119" i="4" s="1"/>
  <c r="K120" i="4" s="1"/>
  <c r="M40" i="4"/>
  <c r="D26" i="4"/>
  <c r="D119" i="4" s="1"/>
  <c r="D120" i="4" s="1"/>
  <c r="D121" i="4" s="1"/>
  <c r="H53" i="4"/>
  <c r="H119" i="4" s="1"/>
  <c r="H120" i="4" s="1"/>
  <c r="M27" i="4"/>
  <c r="R128" i="4"/>
  <c r="R41" i="4"/>
  <c r="O176" i="4"/>
  <c r="R68" i="4"/>
  <c r="I40" i="4"/>
  <c r="M67" i="4"/>
  <c r="R28" i="4"/>
  <c r="R14" i="4"/>
  <c r="Q158" i="4"/>
  <c r="E67" i="4"/>
  <c r="R17" i="4"/>
  <c r="C119" i="4"/>
  <c r="C120" i="4" s="1"/>
  <c r="R167" i="4"/>
  <c r="R154" i="4"/>
  <c r="L119" i="4"/>
  <c r="L120" i="4" s="1"/>
  <c r="L121" i="4" s="1"/>
  <c r="R44" i="4"/>
  <c r="Q80" i="4"/>
  <c r="P53" i="4"/>
  <c r="P119" i="4" s="1"/>
  <c r="P120" i="4" s="1"/>
  <c r="P121" i="4" s="1"/>
  <c r="R97" i="4"/>
  <c r="M158" i="4"/>
  <c r="J26" i="4"/>
  <c r="R55" i="4"/>
  <c r="O119" i="4"/>
  <c r="O120" i="4" s="1"/>
  <c r="O121" i="4" s="1"/>
  <c r="I158" i="4"/>
  <c r="H176" i="4"/>
  <c r="R84" i="4"/>
  <c r="R81" i="4"/>
  <c r="R140" i="4"/>
  <c r="R163" i="4"/>
  <c r="Q67" i="4"/>
  <c r="R171" i="4"/>
  <c r="E40" i="4"/>
  <c r="R186" i="4"/>
  <c r="R136" i="4"/>
  <c r="E158" i="4"/>
  <c r="R159" i="4"/>
  <c r="R107" i="4"/>
  <c r="R110" i="4"/>
  <c r="R6" i="4"/>
  <c r="K176" i="4"/>
  <c r="R94" i="4"/>
  <c r="R93" i="4" s="1"/>
  <c r="R71" i="4"/>
  <c r="R67" i="4" s="1"/>
  <c r="S67" i="4" s="1"/>
  <c r="R146" i="4"/>
  <c r="R31" i="4"/>
  <c r="N26" i="4"/>
  <c r="Q26" i="4" s="1"/>
  <c r="Q123" i="4"/>
  <c r="E123" i="4"/>
  <c r="Q106" i="4"/>
  <c r="P176" i="4"/>
  <c r="R58" i="4"/>
  <c r="M80" i="4"/>
  <c r="L176" i="4"/>
  <c r="I67" i="4"/>
  <c r="R124" i="4"/>
  <c r="R132" i="4"/>
  <c r="H121" i="4"/>
  <c r="I123" i="4"/>
  <c r="E27" i="4"/>
  <c r="B26" i="4"/>
  <c r="G26" i="4"/>
  <c r="G119" i="4" s="1"/>
  <c r="G120" i="4" s="1"/>
  <c r="I27" i="4"/>
  <c r="M145" i="4"/>
  <c r="J176" i="4"/>
  <c r="B176" i="4"/>
  <c r="E145" i="4"/>
  <c r="E13" i="4"/>
  <c r="G176" i="4"/>
  <c r="M13" i="4"/>
  <c r="D176" i="4"/>
  <c r="M123" i="4"/>
  <c r="R150" i="4"/>
  <c r="N53" i="4"/>
  <c r="Q54" i="4"/>
  <c r="F53" i="4"/>
  <c r="I53" i="4" s="1"/>
  <c r="I54" i="4"/>
  <c r="Q13" i="4"/>
  <c r="M54" i="4"/>
  <c r="J53" i="4"/>
  <c r="M53" i="4" s="1"/>
  <c r="Q145" i="4"/>
  <c r="N176" i="4"/>
  <c r="I145" i="4"/>
  <c r="F176" i="4"/>
  <c r="I13" i="4"/>
  <c r="I106" i="4"/>
  <c r="B53" i="4"/>
  <c r="E53" i="4" s="1"/>
  <c r="E54" i="4"/>
  <c r="Q191" i="3"/>
  <c r="M191" i="3"/>
  <c r="I191" i="3"/>
  <c r="E191" i="3"/>
  <c r="Q190" i="3"/>
  <c r="M190" i="3"/>
  <c r="I190" i="3"/>
  <c r="E190" i="3"/>
  <c r="Q189" i="3"/>
  <c r="M189" i="3"/>
  <c r="I189" i="3"/>
  <c r="E189" i="3"/>
  <c r="M188" i="3"/>
  <c r="I188" i="3"/>
  <c r="E188" i="3"/>
  <c r="P185" i="3"/>
  <c r="O185" i="3"/>
  <c r="N185" i="3"/>
  <c r="L185" i="3"/>
  <c r="K185" i="3"/>
  <c r="J185" i="3"/>
  <c r="H185" i="3"/>
  <c r="G185" i="3"/>
  <c r="F185" i="3"/>
  <c r="D185" i="3"/>
  <c r="C185" i="3"/>
  <c r="B185" i="3"/>
  <c r="P184" i="3"/>
  <c r="O184" i="3"/>
  <c r="N184" i="3"/>
  <c r="L184" i="3"/>
  <c r="K184" i="3"/>
  <c r="J184" i="3"/>
  <c r="H184" i="3"/>
  <c r="G184" i="3"/>
  <c r="F184" i="3"/>
  <c r="D184" i="3"/>
  <c r="C184" i="3"/>
  <c r="B184" i="3"/>
  <c r="P183" i="3"/>
  <c r="O183" i="3"/>
  <c r="N183" i="3"/>
  <c r="L183" i="3"/>
  <c r="K183" i="3"/>
  <c r="J183" i="3"/>
  <c r="H183" i="3"/>
  <c r="G183" i="3"/>
  <c r="F183" i="3"/>
  <c r="D183" i="3"/>
  <c r="C183" i="3"/>
  <c r="B183" i="3"/>
  <c r="P182" i="3"/>
  <c r="O182" i="3"/>
  <c r="N182" i="3"/>
  <c r="L182" i="3"/>
  <c r="K182" i="3"/>
  <c r="J182" i="3"/>
  <c r="H182" i="3"/>
  <c r="G182" i="3"/>
  <c r="F182" i="3"/>
  <c r="D182" i="3"/>
  <c r="C182" i="3"/>
  <c r="B182" i="3"/>
  <c r="P181" i="3"/>
  <c r="O181" i="3"/>
  <c r="N181" i="3"/>
  <c r="L181" i="3"/>
  <c r="K181" i="3"/>
  <c r="J181" i="3"/>
  <c r="H181" i="3"/>
  <c r="G181" i="3"/>
  <c r="F181" i="3"/>
  <c r="D181" i="3"/>
  <c r="C181" i="3"/>
  <c r="B181" i="3"/>
  <c r="P180" i="3"/>
  <c r="O180" i="3"/>
  <c r="N180" i="3"/>
  <c r="L180" i="3"/>
  <c r="K180" i="3"/>
  <c r="J180" i="3"/>
  <c r="H180" i="3"/>
  <c r="G180" i="3"/>
  <c r="F180" i="3"/>
  <c r="D180" i="3"/>
  <c r="C180" i="3"/>
  <c r="B180" i="3"/>
  <c r="P175" i="3"/>
  <c r="O175" i="3"/>
  <c r="N175" i="3"/>
  <c r="L175" i="3"/>
  <c r="K175" i="3"/>
  <c r="J175" i="3"/>
  <c r="H175" i="3"/>
  <c r="G175" i="3"/>
  <c r="F175" i="3"/>
  <c r="D175" i="3"/>
  <c r="C175" i="3"/>
  <c r="B175" i="3"/>
  <c r="P174" i="3"/>
  <c r="O174" i="3"/>
  <c r="N174" i="3"/>
  <c r="L174" i="3"/>
  <c r="K174" i="3"/>
  <c r="J174" i="3"/>
  <c r="H174" i="3"/>
  <c r="G174" i="3"/>
  <c r="F174" i="3"/>
  <c r="D174" i="3"/>
  <c r="C174" i="3"/>
  <c r="B174" i="3"/>
  <c r="P173" i="3"/>
  <c r="O173" i="3"/>
  <c r="N173" i="3"/>
  <c r="L173" i="3"/>
  <c r="K173" i="3"/>
  <c r="J173" i="3"/>
  <c r="H173" i="3"/>
  <c r="G173" i="3"/>
  <c r="F173" i="3"/>
  <c r="D173" i="3"/>
  <c r="C173" i="3"/>
  <c r="B173" i="3"/>
  <c r="P172" i="3"/>
  <c r="O172" i="3"/>
  <c r="N172" i="3"/>
  <c r="L172" i="3"/>
  <c r="K172" i="3"/>
  <c r="J172" i="3"/>
  <c r="H172" i="3"/>
  <c r="G172" i="3"/>
  <c r="F172" i="3"/>
  <c r="D172" i="3"/>
  <c r="C172" i="3"/>
  <c r="B172" i="3"/>
  <c r="P170" i="3"/>
  <c r="O170" i="3"/>
  <c r="N170" i="3"/>
  <c r="L170" i="3"/>
  <c r="K170" i="3"/>
  <c r="J170" i="3"/>
  <c r="H170" i="3"/>
  <c r="G170" i="3"/>
  <c r="F170" i="3"/>
  <c r="D170" i="3"/>
  <c r="C170" i="3"/>
  <c r="B170" i="3"/>
  <c r="P169" i="3"/>
  <c r="O169" i="3"/>
  <c r="N169" i="3"/>
  <c r="L169" i="3"/>
  <c r="K169" i="3"/>
  <c r="J169" i="3"/>
  <c r="H169" i="3"/>
  <c r="G169" i="3"/>
  <c r="F169" i="3"/>
  <c r="D169" i="3"/>
  <c r="C169" i="3"/>
  <c r="B169" i="3"/>
  <c r="P168" i="3"/>
  <c r="O168" i="3"/>
  <c r="N168" i="3"/>
  <c r="L168" i="3"/>
  <c r="K168" i="3"/>
  <c r="J168" i="3"/>
  <c r="H168" i="3"/>
  <c r="G168" i="3"/>
  <c r="F168" i="3"/>
  <c r="D168" i="3"/>
  <c r="C168" i="3"/>
  <c r="B168" i="3"/>
  <c r="P166" i="3"/>
  <c r="O166" i="3"/>
  <c r="N166" i="3"/>
  <c r="L166" i="3"/>
  <c r="K166" i="3"/>
  <c r="J166" i="3"/>
  <c r="H166" i="3"/>
  <c r="G166" i="3"/>
  <c r="F166" i="3"/>
  <c r="D166" i="3"/>
  <c r="C166" i="3"/>
  <c r="B166" i="3"/>
  <c r="P165" i="3"/>
  <c r="O165" i="3"/>
  <c r="N165" i="3"/>
  <c r="L165" i="3"/>
  <c r="K165" i="3"/>
  <c r="J165" i="3"/>
  <c r="H165" i="3"/>
  <c r="G165" i="3"/>
  <c r="F165" i="3"/>
  <c r="D165" i="3"/>
  <c r="C165" i="3"/>
  <c r="B165" i="3"/>
  <c r="P164" i="3"/>
  <c r="O164" i="3"/>
  <c r="N164" i="3"/>
  <c r="L164" i="3"/>
  <c r="K164" i="3"/>
  <c r="J164" i="3"/>
  <c r="H164" i="3"/>
  <c r="G164" i="3"/>
  <c r="F164" i="3"/>
  <c r="D164" i="3"/>
  <c r="C164" i="3"/>
  <c r="B164" i="3"/>
  <c r="P162" i="3"/>
  <c r="O162" i="3"/>
  <c r="N162" i="3"/>
  <c r="L162" i="3"/>
  <c r="K162" i="3"/>
  <c r="J162" i="3"/>
  <c r="H162" i="3"/>
  <c r="G162" i="3"/>
  <c r="F162" i="3"/>
  <c r="D162" i="3"/>
  <c r="C162" i="3"/>
  <c r="B162" i="3"/>
  <c r="P161" i="3"/>
  <c r="O161" i="3"/>
  <c r="N161" i="3"/>
  <c r="L161" i="3"/>
  <c r="K161" i="3"/>
  <c r="J161" i="3"/>
  <c r="H161" i="3"/>
  <c r="G161" i="3"/>
  <c r="F161" i="3"/>
  <c r="D161" i="3"/>
  <c r="C161" i="3"/>
  <c r="B161" i="3"/>
  <c r="P160" i="3"/>
  <c r="O160" i="3"/>
  <c r="N160" i="3"/>
  <c r="L160" i="3"/>
  <c r="K160" i="3"/>
  <c r="J160" i="3"/>
  <c r="H160" i="3"/>
  <c r="G160" i="3"/>
  <c r="F160" i="3"/>
  <c r="D160" i="3"/>
  <c r="C160" i="3"/>
  <c r="B160" i="3"/>
  <c r="P157" i="3"/>
  <c r="O157" i="3"/>
  <c r="N157" i="3"/>
  <c r="L157" i="3"/>
  <c r="K157" i="3"/>
  <c r="J157" i="3"/>
  <c r="H157" i="3"/>
  <c r="G157" i="3"/>
  <c r="F157" i="3"/>
  <c r="D157" i="3"/>
  <c r="C157" i="3"/>
  <c r="B157" i="3"/>
  <c r="P156" i="3"/>
  <c r="O156" i="3"/>
  <c r="N156" i="3"/>
  <c r="L156" i="3"/>
  <c r="K156" i="3"/>
  <c r="J156" i="3"/>
  <c r="H156" i="3"/>
  <c r="G156" i="3"/>
  <c r="F156" i="3"/>
  <c r="D156" i="3"/>
  <c r="C156" i="3"/>
  <c r="B156" i="3"/>
  <c r="P155" i="3"/>
  <c r="O155" i="3"/>
  <c r="N155" i="3"/>
  <c r="L155" i="3"/>
  <c r="K155" i="3"/>
  <c r="J155" i="3"/>
  <c r="H155" i="3"/>
  <c r="G155" i="3"/>
  <c r="F155" i="3"/>
  <c r="D155" i="3"/>
  <c r="C155" i="3"/>
  <c r="B155" i="3"/>
  <c r="P153" i="3"/>
  <c r="O153" i="3"/>
  <c r="N153" i="3"/>
  <c r="L153" i="3"/>
  <c r="K153" i="3"/>
  <c r="J153" i="3"/>
  <c r="H153" i="3"/>
  <c r="G153" i="3"/>
  <c r="F153" i="3"/>
  <c r="D153" i="3"/>
  <c r="C153" i="3"/>
  <c r="B153" i="3"/>
  <c r="P152" i="3"/>
  <c r="O152" i="3"/>
  <c r="N152" i="3"/>
  <c r="L152" i="3"/>
  <c r="K152" i="3"/>
  <c r="J152" i="3"/>
  <c r="H152" i="3"/>
  <c r="G152" i="3"/>
  <c r="F152" i="3"/>
  <c r="D152" i="3"/>
  <c r="C152" i="3"/>
  <c r="B152" i="3"/>
  <c r="P151" i="3"/>
  <c r="O151" i="3"/>
  <c r="N151" i="3"/>
  <c r="L151" i="3"/>
  <c r="K151" i="3"/>
  <c r="J151" i="3"/>
  <c r="H151" i="3"/>
  <c r="G151" i="3"/>
  <c r="F151" i="3"/>
  <c r="D151" i="3"/>
  <c r="C151" i="3"/>
  <c r="B151" i="3"/>
  <c r="P149" i="3"/>
  <c r="O149" i="3"/>
  <c r="N149" i="3"/>
  <c r="L149" i="3"/>
  <c r="K149" i="3"/>
  <c r="J149" i="3"/>
  <c r="H149" i="3"/>
  <c r="G149" i="3"/>
  <c r="F149" i="3"/>
  <c r="D149" i="3"/>
  <c r="C149" i="3"/>
  <c r="B149" i="3"/>
  <c r="P148" i="3"/>
  <c r="O148" i="3"/>
  <c r="N148" i="3"/>
  <c r="L148" i="3"/>
  <c r="K148" i="3"/>
  <c r="J148" i="3"/>
  <c r="H148" i="3"/>
  <c r="G148" i="3"/>
  <c r="F148" i="3"/>
  <c r="D148" i="3"/>
  <c r="C148" i="3"/>
  <c r="B148" i="3"/>
  <c r="P147" i="3"/>
  <c r="O147" i="3"/>
  <c r="N147" i="3"/>
  <c r="L147" i="3"/>
  <c r="K147" i="3"/>
  <c r="J147" i="3"/>
  <c r="H147" i="3"/>
  <c r="G147" i="3"/>
  <c r="F147" i="3"/>
  <c r="D147" i="3"/>
  <c r="C147" i="3"/>
  <c r="B147" i="3"/>
  <c r="Q144" i="3"/>
  <c r="M144" i="3"/>
  <c r="I144" i="3"/>
  <c r="E144" i="3"/>
  <c r="P143" i="3"/>
  <c r="O143" i="3"/>
  <c r="N143" i="3"/>
  <c r="L143" i="3"/>
  <c r="K143" i="3"/>
  <c r="J143" i="3"/>
  <c r="H143" i="3"/>
  <c r="G143" i="3"/>
  <c r="F143" i="3"/>
  <c r="D143" i="3"/>
  <c r="C143" i="3"/>
  <c r="B143" i="3"/>
  <c r="P142" i="3"/>
  <c r="O142" i="3"/>
  <c r="N142" i="3"/>
  <c r="L142" i="3"/>
  <c r="K142" i="3"/>
  <c r="J142" i="3"/>
  <c r="H142" i="3"/>
  <c r="G142" i="3"/>
  <c r="F142" i="3"/>
  <c r="D142" i="3"/>
  <c r="C142" i="3"/>
  <c r="B142" i="3"/>
  <c r="P141" i="3"/>
  <c r="O141" i="3"/>
  <c r="N141" i="3"/>
  <c r="L141" i="3"/>
  <c r="K141" i="3"/>
  <c r="J141" i="3"/>
  <c r="H141" i="3"/>
  <c r="G141" i="3"/>
  <c r="F141" i="3"/>
  <c r="D141" i="3"/>
  <c r="C141" i="3"/>
  <c r="B141" i="3"/>
  <c r="P139" i="3"/>
  <c r="O139" i="3"/>
  <c r="N139" i="3"/>
  <c r="L139" i="3"/>
  <c r="K139" i="3"/>
  <c r="J139" i="3"/>
  <c r="H139" i="3"/>
  <c r="G139" i="3"/>
  <c r="F139" i="3"/>
  <c r="D139" i="3"/>
  <c r="C139" i="3"/>
  <c r="B139" i="3"/>
  <c r="P138" i="3"/>
  <c r="O138" i="3"/>
  <c r="N138" i="3"/>
  <c r="L138" i="3"/>
  <c r="K138" i="3"/>
  <c r="J138" i="3"/>
  <c r="H138" i="3"/>
  <c r="G138" i="3"/>
  <c r="F138" i="3"/>
  <c r="D138" i="3"/>
  <c r="C138" i="3"/>
  <c r="B138" i="3"/>
  <c r="P137" i="3"/>
  <c r="O137" i="3"/>
  <c r="N137" i="3"/>
  <c r="L137" i="3"/>
  <c r="K137" i="3"/>
  <c r="J137" i="3"/>
  <c r="H137" i="3"/>
  <c r="G137" i="3"/>
  <c r="F137" i="3"/>
  <c r="D137" i="3"/>
  <c r="C137" i="3"/>
  <c r="B137" i="3"/>
  <c r="P135" i="3"/>
  <c r="O135" i="3"/>
  <c r="N135" i="3"/>
  <c r="L135" i="3"/>
  <c r="K135" i="3"/>
  <c r="J135" i="3"/>
  <c r="H135" i="3"/>
  <c r="G135" i="3"/>
  <c r="F135" i="3"/>
  <c r="D135" i="3"/>
  <c r="C135" i="3"/>
  <c r="B135" i="3"/>
  <c r="P134" i="3"/>
  <c r="O134" i="3"/>
  <c r="N134" i="3"/>
  <c r="L134" i="3"/>
  <c r="K134" i="3"/>
  <c r="J134" i="3"/>
  <c r="H134" i="3"/>
  <c r="G134" i="3"/>
  <c r="F134" i="3"/>
  <c r="D134" i="3"/>
  <c r="C134" i="3"/>
  <c r="B134" i="3"/>
  <c r="P133" i="3"/>
  <c r="O133" i="3"/>
  <c r="N133" i="3"/>
  <c r="L133" i="3"/>
  <c r="K133" i="3"/>
  <c r="J133" i="3"/>
  <c r="H133" i="3"/>
  <c r="G133" i="3"/>
  <c r="F133" i="3"/>
  <c r="D133" i="3"/>
  <c r="D132" i="3" s="1"/>
  <c r="C133" i="3"/>
  <c r="B133" i="3"/>
  <c r="P131" i="3"/>
  <c r="O131" i="3"/>
  <c r="N131" i="3"/>
  <c r="L131" i="3"/>
  <c r="K131" i="3"/>
  <c r="J131" i="3"/>
  <c r="H131" i="3"/>
  <c r="G131" i="3"/>
  <c r="F131" i="3"/>
  <c r="D131" i="3"/>
  <c r="C131" i="3"/>
  <c r="B131" i="3"/>
  <c r="P130" i="3"/>
  <c r="O130" i="3"/>
  <c r="N130" i="3"/>
  <c r="L130" i="3"/>
  <c r="K130" i="3"/>
  <c r="J130" i="3"/>
  <c r="H130" i="3"/>
  <c r="G130" i="3"/>
  <c r="F130" i="3"/>
  <c r="D130" i="3"/>
  <c r="C130" i="3"/>
  <c r="B130" i="3"/>
  <c r="P129" i="3"/>
  <c r="O129" i="3"/>
  <c r="N129" i="3"/>
  <c r="L129" i="3"/>
  <c r="K129" i="3"/>
  <c r="J129" i="3"/>
  <c r="H129" i="3"/>
  <c r="G129" i="3"/>
  <c r="F129" i="3"/>
  <c r="D129" i="3"/>
  <c r="C129" i="3"/>
  <c r="B129" i="3"/>
  <c r="P127" i="3"/>
  <c r="O127" i="3"/>
  <c r="N127" i="3"/>
  <c r="L127" i="3"/>
  <c r="K127" i="3"/>
  <c r="J127" i="3"/>
  <c r="H127" i="3"/>
  <c r="G127" i="3"/>
  <c r="F127" i="3"/>
  <c r="D127" i="3"/>
  <c r="C127" i="3"/>
  <c r="B127" i="3"/>
  <c r="P126" i="3"/>
  <c r="O126" i="3"/>
  <c r="N126" i="3"/>
  <c r="L126" i="3"/>
  <c r="K126" i="3"/>
  <c r="J126" i="3"/>
  <c r="H126" i="3"/>
  <c r="G126" i="3"/>
  <c r="F126" i="3"/>
  <c r="D126" i="3"/>
  <c r="C126" i="3"/>
  <c r="B126" i="3"/>
  <c r="P125" i="3"/>
  <c r="O125" i="3"/>
  <c r="O124" i="3" s="1"/>
  <c r="N125" i="3"/>
  <c r="L125" i="3"/>
  <c r="K125" i="3"/>
  <c r="J125" i="3"/>
  <c r="H125" i="3"/>
  <c r="G125" i="3"/>
  <c r="F125" i="3"/>
  <c r="D125" i="3"/>
  <c r="C125" i="3"/>
  <c r="B125" i="3"/>
  <c r="A122" i="3"/>
  <c r="P118" i="3"/>
  <c r="O118" i="3"/>
  <c r="N118" i="3"/>
  <c r="L118" i="3"/>
  <c r="K118" i="3"/>
  <c r="J118" i="3"/>
  <c r="H118" i="3"/>
  <c r="G118" i="3"/>
  <c r="F118" i="3"/>
  <c r="D118" i="3"/>
  <c r="C118" i="3"/>
  <c r="B118" i="3"/>
  <c r="P117" i="3"/>
  <c r="O117" i="3"/>
  <c r="N117" i="3"/>
  <c r="L117" i="3"/>
  <c r="K117" i="3"/>
  <c r="J117" i="3"/>
  <c r="H117" i="3"/>
  <c r="G117" i="3"/>
  <c r="F117" i="3"/>
  <c r="D117" i="3"/>
  <c r="C117" i="3"/>
  <c r="B117" i="3"/>
  <c r="P116" i="3"/>
  <c r="O116" i="3"/>
  <c r="N116" i="3"/>
  <c r="L116" i="3"/>
  <c r="K116" i="3"/>
  <c r="J116" i="3"/>
  <c r="H116" i="3"/>
  <c r="G116" i="3"/>
  <c r="F116" i="3"/>
  <c r="D116" i="3"/>
  <c r="C116" i="3"/>
  <c r="B116" i="3"/>
  <c r="P115" i="3"/>
  <c r="O115" i="3"/>
  <c r="N115" i="3"/>
  <c r="L115" i="3"/>
  <c r="K115" i="3"/>
  <c r="J115" i="3"/>
  <c r="H115" i="3"/>
  <c r="G115" i="3"/>
  <c r="F115" i="3"/>
  <c r="D115" i="3"/>
  <c r="C115" i="3"/>
  <c r="B115" i="3"/>
  <c r="P114" i="3"/>
  <c r="O114" i="3"/>
  <c r="N114" i="3"/>
  <c r="L114" i="3"/>
  <c r="K114" i="3"/>
  <c r="J114" i="3"/>
  <c r="H114" i="3"/>
  <c r="G114" i="3"/>
  <c r="F114" i="3"/>
  <c r="D114" i="3"/>
  <c r="C114" i="3"/>
  <c r="B114" i="3"/>
  <c r="P113" i="3"/>
  <c r="O113" i="3"/>
  <c r="N113" i="3"/>
  <c r="L113" i="3"/>
  <c r="K113" i="3"/>
  <c r="J113" i="3"/>
  <c r="H113" i="3"/>
  <c r="G113" i="3"/>
  <c r="F113" i="3"/>
  <c r="D113" i="3"/>
  <c r="C113" i="3"/>
  <c r="B113" i="3"/>
  <c r="P112" i="3"/>
  <c r="O112" i="3"/>
  <c r="N112" i="3"/>
  <c r="L112" i="3"/>
  <c r="K112" i="3"/>
  <c r="J112" i="3"/>
  <c r="H112" i="3"/>
  <c r="G112" i="3"/>
  <c r="F112" i="3"/>
  <c r="D112" i="3"/>
  <c r="C112" i="3"/>
  <c r="B112" i="3"/>
  <c r="P111" i="3"/>
  <c r="O111" i="3"/>
  <c r="N111" i="3"/>
  <c r="L111" i="3"/>
  <c r="K111" i="3"/>
  <c r="J111" i="3"/>
  <c r="H111" i="3"/>
  <c r="G111" i="3"/>
  <c r="F111" i="3"/>
  <c r="D111" i="3"/>
  <c r="C111" i="3"/>
  <c r="B111" i="3"/>
  <c r="P109" i="3"/>
  <c r="O109" i="3"/>
  <c r="N109" i="3"/>
  <c r="L109" i="3"/>
  <c r="K109" i="3"/>
  <c r="J109" i="3"/>
  <c r="H109" i="3"/>
  <c r="G109" i="3"/>
  <c r="F109" i="3"/>
  <c r="D109" i="3"/>
  <c r="C109" i="3"/>
  <c r="B109" i="3"/>
  <c r="P108" i="3"/>
  <c r="O108" i="3"/>
  <c r="N108" i="3"/>
  <c r="L108" i="3"/>
  <c r="K108" i="3"/>
  <c r="J108" i="3"/>
  <c r="H108" i="3"/>
  <c r="G108" i="3"/>
  <c r="F108" i="3"/>
  <c r="D108" i="3"/>
  <c r="C108" i="3"/>
  <c r="B108" i="3"/>
  <c r="P105" i="3"/>
  <c r="O105" i="3"/>
  <c r="N105" i="3"/>
  <c r="L105" i="3"/>
  <c r="K105" i="3"/>
  <c r="J105" i="3"/>
  <c r="H105" i="3"/>
  <c r="G105" i="3"/>
  <c r="F105" i="3"/>
  <c r="D105" i="3"/>
  <c r="C105" i="3"/>
  <c r="B105" i="3"/>
  <c r="P104" i="3"/>
  <c r="O104" i="3"/>
  <c r="N104" i="3"/>
  <c r="L104" i="3"/>
  <c r="K104" i="3"/>
  <c r="J104" i="3"/>
  <c r="H104" i="3"/>
  <c r="G104" i="3"/>
  <c r="F104" i="3"/>
  <c r="D104" i="3"/>
  <c r="C104" i="3"/>
  <c r="B104" i="3"/>
  <c r="P103" i="3"/>
  <c r="O103" i="3"/>
  <c r="N103" i="3"/>
  <c r="L103" i="3"/>
  <c r="K103" i="3"/>
  <c r="J103" i="3"/>
  <c r="H103" i="3"/>
  <c r="G103" i="3"/>
  <c r="F103" i="3"/>
  <c r="D103" i="3"/>
  <c r="C103" i="3"/>
  <c r="B103" i="3"/>
  <c r="P102" i="3"/>
  <c r="O102" i="3"/>
  <c r="N102" i="3"/>
  <c r="L102" i="3"/>
  <c r="K102" i="3"/>
  <c r="J102" i="3"/>
  <c r="H102" i="3"/>
  <c r="G102" i="3"/>
  <c r="F102" i="3"/>
  <c r="D102" i="3"/>
  <c r="C102" i="3"/>
  <c r="B102" i="3"/>
  <c r="P101" i="3"/>
  <c r="O101" i="3"/>
  <c r="N101" i="3"/>
  <c r="L101" i="3"/>
  <c r="K101" i="3"/>
  <c r="J101" i="3"/>
  <c r="H101" i="3"/>
  <c r="G101" i="3"/>
  <c r="F101" i="3"/>
  <c r="D101" i="3"/>
  <c r="C101" i="3"/>
  <c r="B101" i="3"/>
  <c r="P100" i="3"/>
  <c r="O100" i="3"/>
  <c r="N100" i="3"/>
  <c r="L100" i="3"/>
  <c r="K100" i="3"/>
  <c r="J100" i="3"/>
  <c r="H100" i="3"/>
  <c r="G100" i="3"/>
  <c r="F100" i="3"/>
  <c r="D100" i="3"/>
  <c r="C100" i="3"/>
  <c r="B100" i="3"/>
  <c r="P99" i="3"/>
  <c r="O99" i="3"/>
  <c r="N99" i="3"/>
  <c r="L99" i="3"/>
  <c r="K99" i="3"/>
  <c r="J99" i="3"/>
  <c r="H99" i="3"/>
  <c r="G99" i="3"/>
  <c r="F99" i="3"/>
  <c r="D99" i="3"/>
  <c r="C99" i="3"/>
  <c r="B99" i="3"/>
  <c r="P98" i="3"/>
  <c r="O98" i="3"/>
  <c r="N98" i="3"/>
  <c r="L98" i="3"/>
  <c r="K98" i="3"/>
  <c r="J98" i="3"/>
  <c r="H98" i="3"/>
  <c r="G98" i="3"/>
  <c r="F98" i="3"/>
  <c r="D98" i="3"/>
  <c r="C98" i="3"/>
  <c r="B98" i="3"/>
  <c r="P96" i="3"/>
  <c r="O96" i="3"/>
  <c r="N96" i="3"/>
  <c r="L96" i="3"/>
  <c r="K96" i="3"/>
  <c r="J96" i="3"/>
  <c r="H96" i="3"/>
  <c r="G96" i="3"/>
  <c r="F96" i="3"/>
  <c r="D96" i="3"/>
  <c r="C96" i="3"/>
  <c r="B96" i="3"/>
  <c r="P95" i="3"/>
  <c r="O95" i="3"/>
  <c r="N95" i="3"/>
  <c r="L95" i="3"/>
  <c r="K95" i="3"/>
  <c r="J95" i="3"/>
  <c r="H95" i="3"/>
  <c r="G95" i="3"/>
  <c r="F95" i="3"/>
  <c r="D95" i="3"/>
  <c r="C95" i="3"/>
  <c r="B95" i="3"/>
  <c r="P92" i="3"/>
  <c r="O92" i="3"/>
  <c r="N92" i="3"/>
  <c r="L92" i="3"/>
  <c r="K92" i="3"/>
  <c r="J92" i="3"/>
  <c r="H92" i="3"/>
  <c r="G92" i="3"/>
  <c r="F92" i="3"/>
  <c r="D92" i="3"/>
  <c r="C92" i="3"/>
  <c r="B92" i="3"/>
  <c r="P91" i="3"/>
  <c r="O91" i="3"/>
  <c r="N91" i="3"/>
  <c r="L91" i="3"/>
  <c r="K91" i="3"/>
  <c r="J91" i="3"/>
  <c r="H91" i="3"/>
  <c r="G91" i="3"/>
  <c r="F91" i="3"/>
  <c r="D91" i="3"/>
  <c r="C91" i="3"/>
  <c r="B91" i="3"/>
  <c r="P90" i="3"/>
  <c r="O90" i="3"/>
  <c r="N90" i="3"/>
  <c r="L90" i="3"/>
  <c r="K90" i="3"/>
  <c r="J90" i="3"/>
  <c r="H90" i="3"/>
  <c r="G90" i="3"/>
  <c r="F90" i="3"/>
  <c r="D90" i="3"/>
  <c r="C90" i="3"/>
  <c r="B90" i="3"/>
  <c r="P89" i="3"/>
  <c r="O89" i="3"/>
  <c r="N89" i="3"/>
  <c r="L89" i="3"/>
  <c r="K89" i="3"/>
  <c r="J89" i="3"/>
  <c r="H89" i="3"/>
  <c r="G89" i="3"/>
  <c r="F89" i="3"/>
  <c r="D89" i="3"/>
  <c r="C89" i="3"/>
  <c r="B89" i="3"/>
  <c r="P88" i="3"/>
  <c r="O88" i="3"/>
  <c r="N88" i="3"/>
  <c r="L88" i="3"/>
  <c r="K88" i="3"/>
  <c r="J88" i="3"/>
  <c r="H88" i="3"/>
  <c r="G88" i="3"/>
  <c r="F88" i="3"/>
  <c r="D88" i="3"/>
  <c r="C88" i="3"/>
  <c r="B88" i="3"/>
  <c r="P87" i="3"/>
  <c r="O87" i="3"/>
  <c r="N87" i="3"/>
  <c r="L87" i="3"/>
  <c r="K87" i="3"/>
  <c r="J87" i="3"/>
  <c r="H87" i="3"/>
  <c r="G87" i="3"/>
  <c r="F87" i="3"/>
  <c r="D87" i="3"/>
  <c r="C87" i="3"/>
  <c r="B87" i="3"/>
  <c r="P86" i="3"/>
  <c r="O86" i="3"/>
  <c r="N86" i="3"/>
  <c r="L86" i="3"/>
  <c r="K86" i="3"/>
  <c r="J86" i="3"/>
  <c r="H86" i="3"/>
  <c r="G86" i="3"/>
  <c r="F86" i="3"/>
  <c r="D86" i="3"/>
  <c r="C86" i="3"/>
  <c r="B86" i="3"/>
  <c r="P85" i="3"/>
  <c r="O85" i="3"/>
  <c r="N85" i="3"/>
  <c r="L85" i="3"/>
  <c r="K85" i="3"/>
  <c r="J85" i="3"/>
  <c r="H85" i="3"/>
  <c r="G85" i="3"/>
  <c r="F85" i="3"/>
  <c r="D85" i="3"/>
  <c r="C85" i="3"/>
  <c r="B85" i="3"/>
  <c r="P83" i="3"/>
  <c r="O83" i="3"/>
  <c r="N83" i="3"/>
  <c r="L83" i="3"/>
  <c r="K83" i="3"/>
  <c r="J83" i="3"/>
  <c r="H83" i="3"/>
  <c r="G83" i="3"/>
  <c r="F83" i="3"/>
  <c r="D83" i="3"/>
  <c r="C83" i="3"/>
  <c r="B83" i="3"/>
  <c r="P82" i="3"/>
  <c r="O82" i="3"/>
  <c r="N82" i="3"/>
  <c r="L82" i="3"/>
  <c r="K82" i="3"/>
  <c r="J82" i="3"/>
  <c r="H82" i="3"/>
  <c r="G82" i="3"/>
  <c r="F82" i="3"/>
  <c r="D82" i="3"/>
  <c r="D81" i="3" s="1"/>
  <c r="C82" i="3"/>
  <c r="B82" i="3"/>
  <c r="P79" i="3"/>
  <c r="O79" i="3"/>
  <c r="N79" i="3"/>
  <c r="L79" i="3"/>
  <c r="K79" i="3"/>
  <c r="J79" i="3"/>
  <c r="H79" i="3"/>
  <c r="G79" i="3"/>
  <c r="F79" i="3"/>
  <c r="D79" i="3"/>
  <c r="C79" i="3"/>
  <c r="B79" i="3"/>
  <c r="P78" i="3"/>
  <c r="O78" i="3"/>
  <c r="N78" i="3"/>
  <c r="L78" i="3"/>
  <c r="K78" i="3"/>
  <c r="J78" i="3"/>
  <c r="H78" i="3"/>
  <c r="G78" i="3"/>
  <c r="F78" i="3"/>
  <c r="D78" i="3"/>
  <c r="C78" i="3"/>
  <c r="B78" i="3"/>
  <c r="P77" i="3"/>
  <c r="O77" i="3"/>
  <c r="N77" i="3"/>
  <c r="L77" i="3"/>
  <c r="K77" i="3"/>
  <c r="J77" i="3"/>
  <c r="H77" i="3"/>
  <c r="G77" i="3"/>
  <c r="F77" i="3"/>
  <c r="D77" i="3"/>
  <c r="C77" i="3"/>
  <c r="B77" i="3"/>
  <c r="P76" i="3"/>
  <c r="O76" i="3"/>
  <c r="N76" i="3"/>
  <c r="L76" i="3"/>
  <c r="K76" i="3"/>
  <c r="J76" i="3"/>
  <c r="H76" i="3"/>
  <c r="G76" i="3"/>
  <c r="F76" i="3"/>
  <c r="D76" i="3"/>
  <c r="C76" i="3"/>
  <c r="B76" i="3"/>
  <c r="P75" i="3"/>
  <c r="O75" i="3"/>
  <c r="N75" i="3"/>
  <c r="L75" i="3"/>
  <c r="K75" i="3"/>
  <c r="J75" i="3"/>
  <c r="H75" i="3"/>
  <c r="G75" i="3"/>
  <c r="F75" i="3"/>
  <c r="D75" i="3"/>
  <c r="C75" i="3"/>
  <c r="B75" i="3"/>
  <c r="P74" i="3"/>
  <c r="O74" i="3"/>
  <c r="N74" i="3"/>
  <c r="L74" i="3"/>
  <c r="K74" i="3"/>
  <c r="J74" i="3"/>
  <c r="H74" i="3"/>
  <c r="G74" i="3"/>
  <c r="F74" i="3"/>
  <c r="D74" i="3"/>
  <c r="C74" i="3"/>
  <c r="B74" i="3"/>
  <c r="P73" i="3"/>
  <c r="O73" i="3"/>
  <c r="N73" i="3"/>
  <c r="L73" i="3"/>
  <c r="K73" i="3"/>
  <c r="J73" i="3"/>
  <c r="H73" i="3"/>
  <c r="G73" i="3"/>
  <c r="F73" i="3"/>
  <c r="D73" i="3"/>
  <c r="C73" i="3"/>
  <c r="B73" i="3"/>
  <c r="P72" i="3"/>
  <c r="O72" i="3"/>
  <c r="N72" i="3"/>
  <c r="L72" i="3"/>
  <c r="K72" i="3"/>
  <c r="J72" i="3"/>
  <c r="H72" i="3"/>
  <c r="G72" i="3"/>
  <c r="F72" i="3"/>
  <c r="D72" i="3"/>
  <c r="C72" i="3"/>
  <c r="B72" i="3"/>
  <c r="P70" i="3"/>
  <c r="O70" i="3"/>
  <c r="N70" i="3"/>
  <c r="L70" i="3"/>
  <c r="K70" i="3"/>
  <c r="J70" i="3"/>
  <c r="H70" i="3"/>
  <c r="G70" i="3"/>
  <c r="F70" i="3"/>
  <c r="D70" i="3"/>
  <c r="C70" i="3"/>
  <c r="B70" i="3"/>
  <c r="P69" i="3"/>
  <c r="O69" i="3"/>
  <c r="O68" i="3" s="1"/>
  <c r="N69" i="3"/>
  <c r="L69" i="3"/>
  <c r="K69" i="3"/>
  <c r="J69" i="3"/>
  <c r="H69" i="3"/>
  <c r="G69" i="3"/>
  <c r="F69" i="3"/>
  <c r="D69" i="3"/>
  <c r="D68" i="3" s="1"/>
  <c r="C69" i="3"/>
  <c r="B69" i="3"/>
  <c r="P66" i="3"/>
  <c r="O66" i="3"/>
  <c r="N66" i="3"/>
  <c r="L66" i="3"/>
  <c r="K66" i="3"/>
  <c r="J66" i="3"/>
  <c r="H66" i="3"/>
  <c r="G66" i="3"/>
  <c r="F66" i="3"/>
  <c r="D66" i="3"/>
  <c r="C66" i="3"/>
  <c r="B66" i="3"/>
  <c r="P65" i="3"/>
  <c r="O65" i="3"/>
  <c r="N65" i="3"/>
  <c r="L65" i="3"/>
  <c r="K65" i="3"/>
  <c r="J65" i="3"/>
  <c r="H65" i="3"/>
  <c r="G65" i="3"/>
  <c r="F65" i="3"/>
  <c r="D65" i="3"/>
  <c r="C65" i="3"/>
  <c r="B65" i="3"/>
  <c r="P64" i="3"/>
  <c r="O64" i="3"/>
  <c r="N64" i="3"/>
  <c r="L64" i="3"/>
  <c r="K64" i="3"/>
  <c r="J64" i="3"/>
  <c r="H64" i="3"/>
  <c r="G64" i="3"/>
  <c r="F64" i="3"/>
  <c r="D64" i="3"/>
  <c r="C64" i="3"/>
  <c r="B64" i="3"/>
  <c r="P63" i="3"/>
  <c r="O63" i="3"/>
  <c r="N63" i="3"/>
  <c r="L63" i="3"/>
  <c r="K63" i="3"/>
  <c r="J63" i="3"/>
  <c r="H63" i="3"/>
  <c r="G63" i="3"/>
  <c r="F63" i="3"/>
  <c r="D63" i="3"/>
  <c r="C63" i="3"/>
  <c r="B63" i="3"/>
  <c r="P62" i="3"/>
  <c r="O62" i="3"/>
  <c r="N62" i="3"/>
  <c r="L62" i="3"/>
  <c r="K62" i="3"/>
  <c r="J62" i="3"/>
  <c r="H62" i="3"/>
  <c r="G62" i="3"/>
  <c r="F62" i="3"/>
  <c r="D62" i="3"/>
  <c r="C62" i="3"/>
  <c r="B62" i="3"/>
  <c r="P61" i="3"/>
  <c r="O61" i="3"/>
  <c r="N61" i="3"/>
  <c r="L61" i="3"/>
  <c r="K61" i="3"/>
  <c r="J61" i="3"/>
  <c r="H61" i="3"/>
  <c r="G61" i="3"/>
  <c r="F61" i="3"/>
  <c r="D61" i="3"/>
  <c r="C61" i="3"/>
  <c r="B61" i="3"/>
  <c r="P60" i="3"/>
  <c r="O60" i="3"/>
  <c r="N60" i="3"/>
  <c r="L60" i="3"/>
  <c r="K60" i="3"/>
  <c r="J60" i="3"/>
  <c r="H60" i="3"/>
  <c r="G60" i="3"/>
  <c r="F60" i="3"/>
  <c r="D60" i="3"/>
  <c r="C60" i="3"/>
  <c r="B60" i="3"/>
  <c r="P59" i="3"/>
  <c r="O59" i="3"/>
  <c r="N59" i="3"/>
  <c r="L59" i="3"/>
  <c r="K59" i="3"/>
  <c r="J59" i="3"/>
  <c r="H59" i="3"/>
  <c r="G59" i="3"/>
  <c r="F59" i="3"/>
  <c r="D59" i="3"/>
  <c r="C59" i="3"/>
  <c r="B59" i="3"/>
  <c r="P57" i="3"/>
  <c r="O57" i="3"/>
  <c r="N57" i="3"/>
  <c r="L57" i="3"/>
  <c r="K57" i="3"/>
  <c r="J57" i="3"/>
  <c r="H57" i="3"/>
  <c r="G57" i="3"/>
  <c r="F57" i="3"/>
  <c r="D57" i="3"/>
  <c r="C57" i="3"/>
  <c r="B57" i="3"/>
  <c r="P56" i="3"/>
  <c r="O56" i="3"/>
  <c r="O55" i="3" s="1"/>
  <c r="N56" i="3"/>
  <c r="L56" i="3"/>
  <c r="K56" i="3"/>
  <c r="J56" i="3"/>
  <c r="H56" i="3"/>
  <c r="G56" i="3"/>
  <c r="F56" i="3"/>
  <c r="D56" i="3"/>
  <c r="C56" i="3"/>
  <c r="B56" i="3"/>
  <c r="P52" i="3"/>
  <c r="O52" i="3"/>
  <c r="N52" i="3"/>
  <c r="L52" i="3"/>
  <c r="K52" i="3"/>
  <c r="J52" i="3"/>
  <c r="H52" i="3"/>
  <c r="G52" i="3"/>
  <c r="F52" i="3"/>
  <c r="D52" i="3"/>
  <c r="C52" i="3"/>
  <c r="B52" i="3"/>
  <c r="P51" i="3"/>
  <c r="O51" i="3"/>
  <c r="N51" i="3"/>
  <c r="L51" i="3"/>
  <c r="K51" i="3"/>
  <c r="J51" i="3"/>
  <c r="H51" i="3"/>
  <c r="G51" i="3"/>
  <c r="F51" i="3"/>
  <c r="D51" i="3"/>
  <c r="C51" i="3"/>
  <c r="B51" i="3"/>
  <c r="P50" i="3"/>
  <c r="O50" i="3"/>
  <c r="N50" i="3"/>
  <c r="L50" i="3"/>
  <c r="K50" i="3"/>
  <c r="J50" i="3"/>
  <c r="H50" i="3"/>
  <c r="G50" i="3"/>
  <c r="F50" i="3"/>
  <c r="D50" i="3"/>
  <c r="C50" i="3"/>
  <c r="B50" i="3"/>
  <c r="P49" i="3"/>
  <c r="O49" i="3"/>
  <c r="N49" i="3"/>
  <c r="L49" i="3"/>
  <c r="K49" i="3"/>
  <c r="J49" i="3"/>
  <c r="H49" i="3"/>
  <c r="G49" i="3"/>
  <c r="F49" i="3"/>
  <c r="D49" i="3"/>
  <c r="C49" i="3"/>
  <c r="B49" i="3"/>
  <c r="P48" i="3"/>
  <c r="O48" i="3"/>
  <c r="N48" i="3"/>
  <c r="L48" i="3"/>
  <c r="K48" i="3"/>
  <c r="J48" i="3"/>
  <c r="H48" i="3"/>
  <c r="G48" i="3"/>
  <c r="F48" i="3"/>
  <c r="D48" i="3"/>
  <c r="C48" i="3"/>
  <c r="B48" i="3"/>
  <c r="P47" i="3"/>
  <c r="O47" i="3"/>
  <c r="N47" i="3"/>
  <c r="L47" i="3"/>
  <c r="K47" i="3"/>
  <c r="J47" i="3"/>
  <c r="H47" i="3"/>
  <c r="G47" i="3"/>
  <c r="F47" i="3"/>
  <c r="D47" i="3"/>
  <c r="C47" i="3"/>
  <c r="B47" i="3"/>
  <c r="P46" i="3"/>
  <c r="O46" i="3"/>
  <c r="N46" i="3"/>
  <c r="L46" i="3"/>
  <c r="K46" i="3"/>
  <c r="J46" i="3"/>
  <c r="H46" i="3"/>
  <c r="G46" i="3"/>
  <c r="F46" i="3"/>
  <c r="D46" i="3"/>
  <c r="C46" i="3"/>
  <c r="B46" i="3"/>
  <c r="P45" i="3"/>
  <c r="O45" i="3"/>
  <c r="N45" i="3"/>
  <c r="L45" i="3"/>
  <c r="K45" i="3"/>
  <c r="J45" i="3"/>
  <c r="H45" i="3"/>
  <c r="G45" i="3"/>
  <c r="F45" i="3"/>
  <c r="D45" i="3"/>
  <c r="C45" i="3"/>
  <c r="B45" i="3"/>
  <c r="P43" i="3"/>
  <c r="O43" i="3"/>
  <c r="N43" i="3"/>
  <c r="L43" i="3"/>
  <c r="K43" i="3"/>
  <c r="J43" i="3"/>
  <c r="H43" i="3"/>
  <c r="G43" i="3"/>
  <c r="F43" i="3"/>
  <c r="D43" i="3"/>
  <c r="C43" i="3"/>
  <c r="B43" i="3"/>
  <c r="P42" i="3"/>
  <c r="O42" i="3"/>
  <c r="N42" i="3"/>
  <c r="L42" i="3"/>
  <c r="K42" i="3"/>
  <c r="J42" i="3"/>
  <c r="H42" i="3"/>
  <c r="G42" i="3"/>
  <c r="F42" i="3"/>
  <c r="D42" i="3"/>
  <c r="C42" i="3"/>
  <c r="B42" i="3"/>
  <c r="P39" i="3"/>
  <c r="O39" i="3"/>
  <c r="N39" i="3"/>
  <c r="L39" i="3"/>
  <c r="K39" i="3"/>
  <c r="J39" i="3"/>
  <c r="H39" i="3"/>
  <c r="G39" i="3"/>
  <c r="F39" i="3"/>
  <c r="D39" i="3"/>
  <c r="C39" i="3"/>
  <c r="B39" i="3"/>
  <c r="P38" i="3"/>
  <c r="O38" i="3"/>
  <c r="N38" i="3"/>
  <c r="L38" i="3"/>
  <c r="K38" i="3"/>
  <c r="J38" i="3"/>
  <c r="H38" i="3"/>
  <c r="G38" i="3"/>
  <c r="F38" i="3"/>
  <c r="D38" i="3"/>
  <c r="C38" i="3"/>
  <c r="B38" i="3"/>
  <c r="P37" i="3"/>
  <c r="O37" i="3"/>
  <c r="N37" i="3"/>
  <c r="L37" i="3"/>
  <c r="K37" i="3"/>
  <c r="J37" i="3"/>
  <c r="H37" i="3"/>
  <c r="G37" i="3"/>
  <c r="F37" i="3"/>
  <c r="D37" i="3"/>
  <c r="C37" i="3"/>
  <c r="B37" i="3"/>
  <c r="P36" i="3"/>
  <c r="O36" i="3"/>
  <c r="N36" i="3"/>
  <c r="L36" i="3"/>
  <c r="K36" i="3"/>
  <c r="J36" i="3"/>
  <c r="H36" i="3"/>
  <c r="G36" i="3"/>
  <c r="F36" i="3"/>
  <c r="D36" i="3"/>
  <c r="C36" i="3"/>
  <c r="B36" i="3"/>
  <c r="P35" i="3"/>
  <c r="O35" i="3"/>
  <c r="N35" i="3"/>
  <c r="L35" i="3"/>
  <c r="K35" i="3"/>
  <c r="J35" i="3"/>
  <c r="H35" i="3"/>
  <c r="G35" i="3"/>
  <c r="F35" i="3"/>
  <c r="D35" i="3"/>
  <c r="C35" i="3"/>
  <c r="B35" i="3"/>
  <c r="P34" i="3"/>
  <c r="O34" i="3"/>
  <c r="N34" i="3"/>
  <c r="L34" i="3"/>
  <c r="K34" i="3"/>
  <c r="J34" i="3"/>
  <c r="H34" i="3"/>
  <c r="G34" i="3"/>
  <c r="F34" i="3"/>
  <c r="D34" i="3"/>
  <c r="C34" i="3"/>
  <c r="B34" i="3"/>
  <c r="P33" i="3"/>
  <c r="O33" i="3"/>
  <c r="N33" i="3"/>
  <c r="L33" i="3"/>
  <c r="K33" i="3"/>
  <c r="J33" i="3"/>
  <c r="H33" i="3"/>
  <c r="G33" i="3"/>
  <c r="F33" i="3"/>
  <c r="D33" i="3"/>
  <c r="C33" i="3"/>
  <c r="B33" i="3"/>
  <c r="P32" i="3"/>
  <c r="O32" i="3"/>
  <c r="N32" i="3"/>
  <c r="L32" i="3"/>
  <c r="K32" i="3"/>
  <c r="J32" i="3"/>
  <c r="H32" i="3"/>
  <c r="G32" i="3"/>
  <c r="F32" i="3"/>
  <c r="D32" i="3"/>
  <c r="C32" i="3"/>
  <c r="B32" i="3"/>
  <c r="P30" i="3"/>
  <c r="O30" i="3"/>
  <c r="N30" i="3"/>
  <c r="L30" i="3"/>
  <c r="K30" i="3"/>
  <c r="J30" i="3"/>
  <c r="H30" i="3"/>
  <c r="G30" i="3"/>
  <c r="F30" i="3"/>
  <c r="D30" i="3"/>
  <c r="C30" i="3"/>
  <c r="B30" i="3"/>
  <c r="P29" i="3"/>
  <c r="O29" i="3"/>
  <c r="N29" i="3"/>
  <c r="L29" i="3"/>
  <c r="K29" i="3"/>
  <c r="J29" i="3"/>
  <c r="H29" i="3"/>
  <c r="G29" i="3"/>
  <c r="F29" i="3"/>
  <c r="D29" i="3"/>
  <c r="C29" i="3"/>
  <c r="B29" i="3"/>
  <c r="P25" i="3"/>
  <c r="O25" i="3"/>
  <c r="N25" i="3"/>
  <c r="L25" i="3"/>
  <c r="K25" i="3"/>
  <c r="J25" i="3"/>
  <c r="H25" i="3"/>
  <c r="G25" i="3"/>
  <c r="F25" i="3"/>
  <c r="D25" i="3"/>
  <c r="C25" i="3"/>
  <c r="B25" i="3"/>
  <c r="P24" i="3"/>
  <c r="O24" i="3"/>
  <c r="N24" i="3"/>
  <c r="L24" i="3"/>
  <c r="K24" i="3"/>
  <c r="J24" i="3"/>
  <c r="H24" i="3"/>
  <c r="G24" i="3"/>
  <c r="F24" i="3"/>
  <c r="D24" i="3"/>
  <c r="C24" i="3"/>
  <c r="B24" i="3"/>
  <c r="P23" i="3"/>
  <c r="O23" i="3"/>
  <c r="N23" i="3"/>
  <c r="L23" i="3"/>
  <c r="K23" i="3"/>
  <c r="J23" i="3"/>
  <c r="H23" i="3"/>
  <c r="G23" i="3"/>
  <c r="F23" i="3"/>
  <c r="D23" i="3"/>
  <c r="C23" i="3"/>
  <c r="B23" i="3"/>
  <c r="P22" i="3"/>
  <c r="O22" i="3"/>
  <c r="N22" i="3"/>
  <c r="L22" i="3"/>
  <c r="K22" i="3"/>
  <c r="J22" i="3"/>
  <c r="H22" i="3"/>
  <c r="G22" i="3"/>
  <c r="F22" i="3"/>
  <c r="D22" i="3"/>
  <c r="C22" i="3"/>
  <c r="B22" i="3"/>
  <c r="P21" i="3"/>
  <c r="O21" i="3"/>
  <c r="N21" i="3"/>
  <c r="L21" i="3"/>
  <c r="K21" i="3"/>
  <c r="J21" i="3"/>
  <c r="H21" i="3"/>
  <c r="G21" i="3"/>
  <c r="F21" i="3"/>
  <c r="D21" i="3"/>
  <c r="C21" i="3"/>
  <c r="B21" i="3"/>
  <c r="P20" i="3"/>
  <c r="O20" i="3"/>
  <c r="N20" i="3"/>
  <c r="L20" i="3"/>
  <c r="K20" i="3"/>
  <c r="J20" i="3"/>
  <c r="H20" i="3"/>
  <c r="G20" i="3"/>
  <c r="F20" i="3"/>
  <c r="D20" i="3"/>
  <c r="C20" i="3"/>
  <c r="B20" i="3"/>
  <c r="P19" i="3"/>
  <c r="O19" i="3"/>
  <c r="N19" i="3"/>
  <c r="L19" i="3"/>
  <c r="K19" i="3"/>
  <c r="J19" i="3"/>
  <c r="H19" i="3"/>
  <c r="G19" i="3"/>
  <c r="F19" i="3"/>
  <c r="D19" i="3"/>
  <c r="C19" i="3"/>
  <c r="B19" i="3"/>
  <c r="P18" i="3"/>
  <c r="O18" i="3"/>
  <c r="N18" i="3"/>
  <c r="L18" i="3"/>
  <c r="K18" i="3"/>
  <c r="J18" i="3"/>
  <c r="H18" i="3"/>
  <c r="G18" i="3"/>
  <c r="F18" i="3"/>
  <c r="D18" i="3"/>
  <c r="C18" i="3"/>
  <c r="B18" i="3"/>
  <c r="P16" i="3"/>
  <c r="O16" i="3"/>
  <c r="N16" i="3"/>
  <c r="L16" i="3"/>
  <c r="K16" i="3"/>
  <c r="J16" i="3"/>
  <c r="H16" i="3"/>
  <c r="G16" i="3"/>
  <c r="F16" i="3"/>
  <c r="D16" i="3"/>
  <c r="C16" i="3"/>
  <c r="B16" i="3"/>
  <c r="P15" i="3"/>
  <c r="O15" i="3"/>
  <c r="N15" i="3"/>
  <c r="L15" i="3"/>
  <c r="K15" i="3"/>
  <c r="J15" i="3"/>
  <c r="H15" i="3"/>
  <c r="G15" i="3"/>
  <c r="F15" i="3"/>
  <c r="D15" i="3"/>
  <c r="C15" i="3"/>
  <c r="B15" i="3"/>
  <c r="P10" i="3"/>
  <c r="O10" i="3"/>
  <c r="N10" i="3"/>
  <c r="L10" i="3"/>
  <c r="K10" i="3"/>
  <c r="J10" i="3"/>
  <c r="H10" i="3"/>
  <c r="G10" i="3"/>
  <c r="F10" i="3"/>
  <c r="D10" i="3"/>
  <c r="C10" i="3"/>
  <c r="B10" i="3"/>
  <c r="P9" i="3"/>
  <c r="O9" i="3"/>
  <c r="N9" i="3"/>
  <c r="L9" i="3"/>
  <c r="K9" i="3"/>
  <c r="J9" i="3"/>
  <c r="H9" i="3"/>
  <c r="G9" i="3"/>
  <c r="F9" i="3"/>
  <c r="D9" i="3"/>
  <c r="C9" i="3"/>
  <c r="B9" i="3"/>
  <c r="P8" i="3"/>
  <c r="O8" i="3"/>
  <c r="O12" i="3" s="1"/>
  <c r="N8" i="3"/>
  <c r="L8" i="3"/>
  <c r="L12" i="3" s="1"/>
  <c r="K8" i="3"/>
  <c r="K12" i="3" s="1"/>
  <c r="J8" i="3"/>
  <c r="H8" i="3"/>
  <c r="G8" i="3"/>
  <c r="F8" i="3"/>
  <c r="D8" i="3"/>
  <c r="C8" i="3"/>
  <c r="C12" i="3" s="1"/>
  <c r="B8" i="3"/>
  <c r="P7" i="3"/>
  <c r="P11" i="3" s="1"/>
  <c r="O7" i="3"/>
  <c r="N7" i="3"/>
  <c r="L7" i="3"/>
  <c r="L11" i="3" s="1"/>
  <c r="K7" i="3"/>
  <c r="J7" i="3"/>
  <c r="J11" i="3" s="1"/>
  <c r="H7" i="3"/>
  <c r="H11" i="3" s="1"/>
  <c r="G7" i="3"/>
  <c r="F7" i="3"/>
  <c r="D7" i="3"/>
  <c r="C7" i="3"/>
  <c r="B7" i="3"/>
  <c r="B11" i="3" s="1"/>
  <c r="P5" i="3"/>
  <c r="O5" i="3"/>
  <c r="N5" i="3"/>
  <c r="L5" i="3"/>
  <c r="K5" i="3"/>
  <c r="J5" i="3"/>
  <c r="H5" i="3"/>
  <c r="G5" i="3"/>
  <c r="F5" i="3"/>
  <c r="D5" i="3"/>
  <c r="C5" i="3"/>
  <c r="B5" i="3"/>
  <c r="P4" i="3"/>
  <c r="O4" i="3"/>
  <c r="N4" i="3"/>
  <c r="L4" i="3"/>
  <c r="K4" i="3"/>
  <c r="J4" i="3"/>
  <c r="H4" i="3"/>
  <c r="G4" i="3"/>
  <c r="F4" i="3"/>
  <c r="D4" i="3"/>
  <c r="C4" i="3"/>
  <c r="B4" i="3"/>
  <c r="P97" i="3" l="1"/>
  <c r="D140" i="3"/>
  <c r="D14" i="3"/>
  <c r="O58" i="3"/>
  <c r="O54" i="3" s="1"/>
  <c r="D71" i="3"/>
  <c r="G81" i="3"/>
  <c r="D107" i="3"/>
  <c r="N11" i="3"/>
  <c r="D41" i="3"/>
  <c r="D97" i="3"/>
  <c r="H177" i="4"/>
  <c r="H187" i="4" s="1"/>
  <c r="H192" i="4" s="1"/>
  <c r="D58" i="3"/>
  <c r="O81" i="3"/>
  <c r="M26" i="4"/>
  <c r="P6" i="3"/>
  <c r="O140" i="3"/>
  <c r="D11" i="3"/>
  <c r="G12" i="3"/>
  <c r="O14" i="3"/>
  <c r="D28" i="3"/>
  <c r="O71" i="3"/>
  <c r="D84" i="3"/>
  <c r="F11" i="3"/>
  <c r="H12" i="3"/>
  <c r="D124" i="3"/>
  <c r="D55" i="3"/>
  <c r="D54" i="3" s="1"/>
  <c r="C177" i="4"/>
  <c r="C187" i="4" s="1"/>
  <c r="C192" i="4" s="1"/>
  <c r="D154" i="3"/>
  <c r="O163" i="3"/>
  <c r="D171" i="3"/>
  <c r="P14" i="3"/>
  <c r="L6" i="3"/>
  <c r="K14" i="3"/>
  <c r="K41" i="3"/>
  <c r="K44" i="3"/>
  <c r="K68" i="3"/>
  <c r="K81" i="3"/>
  <c r="L97" i="3"/>
  <c r="K124" i="3"/>
  <c r="P128" i="3"/>
  <c r="P136" i="3"/>
  <c r="K140" i="3"/>
  <c r="P150" i="3"/>
  <c r="K163" i="3"/>
  <c r="B6" i="3"/>
  <c r="C94" i="3"/>
  <c r="G14" i="3"/>
  <c r="G31" i="3"/>
  <c r="G41" i="3"/>
  <c r="G44" i="3"/>
  <c r="G55" i="3"/>
  <c r="G58" i="3"/>
  <c r="G71" i="3"/>
  <c r="G84" i="3"/>
  <c r="G80" i="3" s="1"/>
  <c r="H124" i="3"/>
  <c r="C128" i="3"/>
  <c r="H132" i="3"/>
  <c r="C136" i="3"/>
  <c r="H140" i="3"/>
  <c r="R40" i="4"/>
  <c r="S40" i="4" s="1"/>
  <c r="C68" i="3"/>
  <c r="G159" i="3"/>
  <c r="G167" i="3"/>
  <c r="D6" i="3"/>
  <c r="O6" i="3"/>
  <c r="C14" i="3"/>
  <c r="C17" i="3"/>
  <c r="C44" i="3"/>
  <c r="C55" i="3"/>
  <c r="C58" i="3"/>
  <c r="K94" i="3"/>
  <c r="P146" i="3"/>
  <c r="D17" i="3"/>
  <c r="D13" i="3" s="1"/>
  <c r="O31" i="3"/>
  <c r="O41" i="3"/>
  <c r="H97" i="3"/>
  <c r="G124" i="3"/>
  <c r="L128" i="3"/>
  <c r="L136" i="3"/>
  <c r="G140" i="3"/>
  <c r="G146" i="3"/>
  <c r="K150" i="3"/>
  <c r="P154" i="3"/>
  <c r="K159" i="3"/>
  <c r="L154" i="3"/>
  <c r="H81" i="3"/>
  <c r="H84" i="3"/>
  <c r="G94" i="3"/>
  <c r="K146" i="3"/>
  <c r="P81" i="3"/>
  <c r="N6" i="3"/>
  <c r="L14" i="3"/>
  <c r="L55" i="3"/>
  <c r="L58" i="3"/>
  <c r="B68" i="3"/>
  <c r="L81" i="3"/>
  <c r="L84" i="3"/>
  <c r="C150" i="3"/>
  <c r="O159" i="3"/>
  <c r="G150" i="3"/>
  <c r="H6" i="3"/>
  <c r="F28" i="3"/>
  <c r="P41" i="3"/>
  <c r="F44" i="3"/>
  <c r="F68" i="3"/>
  <c r="C81" i="3"/>
  <c r="C84" i="3"/>
  <c r="D128" i="3"/>
  <c r="O128" i="3"/>
  <c r="J132" i="3"/>
  <c r="D136" i="3"/>
  <c r="O136" i="3"/>
  <c r="H146" i="3"/>
  <c r="L150" i="3"/>
  <c r="C163" i="3"/>
  <c r="C171" i="3"/>
  <c r="H14" i="3"/>
  <c r="H17" i="3"/>
  <c r="H58" i="3"/>
  <c r="O94" i="3"/>
  <c r="C110" i="3"/>
  <c r="L124" i="3"/>
  <c r="G128" i="3"/>
  <c r="B132" i="3"/>
  <c r="L132" i="3"/>
  <c r="G136" i="3"/>
  <c r="L140" i="3"/>
  <c r="D150" i="3"/>
  <c r="O150" i="3"/>
  <c r="F186" i="3"/>
  <c r="H41" i="3"/>
  <c r="H55" i="3"/>
  <c r="J28" i="3"/>
  <c r="J68" i="3"/>
  <c r="C124" i="3"/>
  <c r="H128" i="3"/>
  <c r="N132" i="3"/>
  <c r="H136" i="3"/>
  <c r="C140" i="3"/>
  <c r="L146" i="3"/>
  <c r="H154" i="3"/>
  <c r="C159" i="3"/>
  <c r="G163" i="3"/>
  <c r="B28" i="3"/>
  <c r="L41" i="3"/>
  <c r="P124" i="3"/>
  <c r="K128" i="3"/>
  <c r="F132" i="3"/>
  <c r="P132" i="3"/>
  <c r="P140" i="3"/>
  <c r="D146" i="3"/>
  <c r="O146" i="3"/>
  <c r="D167" i="3"/>
  <c r="O167" i="3"/>
  <c r="C121" i="4"/>
  <c r="H150" i="3"/>
  <c r="O171" i="3"/>
  <c r="R190" i="3"/>
  <c r="R189" i="3"/>
  <c r="R13" i="4"/>
  <c r="S13" i="4" s="1"/>
  <c r="R191" i="3"/>
  <c r="R158" i="4"/>
  <c r="P177" i="4"/>
  <c r="P187" i="4" s="1"/>
  <c r="K177" i="4"/>
  <c r="K178" i="4" s="1"/>
  <c r="R27" i="4"/>
  <c r="R26" i="4" s="1"/>
  <c r="K121" i="4"/>
  <c r="R80" i="4"/>
  <c r="D177" i="4"/>
  <c r="D187" i="4" s="1"/>
  <c r="D192" i="4" s="1"/>
  <c r="L177" i="4"/>
  <c r="L178" i="4" s="1"/>
  <c r="M176" i="4"/>
  <c r="O177" i="4"/>
  <c r="O178" i="4" s="1"/>
  <c r="Q53" i="4"/>
  <c r="R54" i="4"/>
  <c r="S54" i="4" s="1"/>
  <c r="R106" i="4"/>
  <c r="S106" i="4" s="1"/>
  <c r="I176" i="4"/>
  <c r="R123" i="4"/>
  <c r="M61" i="3"/>
  <c r="M65" i="3"/>
  <c r="E73" i="3"/>
  <c r="E77" i="3"/>
  <c r="E100" i="3"/>
  <c r="E104" i="3"/>
  <c r="M173" i="3"/>
  <c r="M181" i="3"/>
  <c r="M185" i="3"/>
  <c r="Q176" i="4"/>
  <c r="I26" i="4"/>
  <c r="F119" i="4"/>
  <c r="F120" i="4" s="1"/>
  <c r="F177" i="4" s="1"/>
  <c r="G177" i="4"/>
  <c r="G121" i="4"/>
  <c r="N119" i="4"/>
  <c r="H178" i="4"/>
  <c r="B119" i="4"/>
  <c r="E26" i="4"/>
  <c r="R145" i="4"/>
  <c r="E176" i="4"/>
  <c r="J119" i="4"/>
  <c r="C41" i="3"/>
  <c r="M9" i="3"/>
  <c r="I21" i="3"/>
  <c r="I25" i="3"/>
  <c r="M127" i="3"/>
  <c r="Q130" i="3"/>
  <c r="Q131" i="3"/>
  <c r="M49" i="3"/>
  <c r="I141" i="3"/>
  <c r="E161" i="3"/>
  <c r="M162" i="3"/>
  <c r="E33" i="3"/>
  <c r="E37" i="3"/>
  <c r="I47" i="3"/>
  <c r="I48" i="3"/>
  <c r="I51" i="3"/>
  <c r="I52" i="3"/>
  <c r="M57" i="3"/>
  <c r="L94" i="3"/>
  <c r="Q99" i="3"/>
  <c r="Q102" i="3"/>
  <c r="Q103" i="3"/>
  <c r="Q105" i="3"/>
  <c r="Q109" i="3"/>
  <c r="Q114" i="3"/>
  <c r="Q115" i="3"/>
  <c r="Q118" i="3"/>
  <c r="I157" i="3"/>
  <c r="M161" i="3"/>
  <c r="Q169" i="3"/>
  <c r="Q170" i="3"/>
  <c r="E173" i="3"/>
  <c r="G171" i="3"/>
  <c r="E7" i="3"/>
  <c r="Q8" i="3"/>
  <c r="Q9" i="3"/>
  <c r="M16" i="3"/>
  <c r="M20" i="3"/>
  <c r="M21" i="3"/>
  <c r="M24" i="3"/>
  <c r="M25" i="3"/>
  <c r="Q29" i="3"/>
  <c r="Q33" i="3"/>
  <c r="Q34" i="3"/>
  <c r="Q35" i="3"/>
  <c r="Q36" i="3"/>
  <c r="Q37" i="3"/>
  <c r="Q38" i="3"/>
  <c r="Q39" i="3"/>
  <c r="I57" i="3"/>
  <c r="M88" i="3"/>
  <c r="M92" i="3"/>
  <c r="Q96" i="3"/>
  <c r="E134" i="3"/>
  <c r="E135" i="3"/>
  <c r="I138" i="3"/>
  <c r="I139" i="3"/>
  <c r="M143" i="3"/>
  <c r="E157" i="3"/>
  <c r="H159" i="3"/>
  <c r="I165" i="3"/>
  <c r="Q173" i="3"/>
  <c r="Q174" i="3"/>
  <c r="Q182" i="3"/>
  <c r="Q183" i="3"/>
  <c r="E184" i="3"/>
  <c r="Q185" i="3"/>
  <c r="I61" i="3"/>
  <c r="I65" i="3"/>
  <c r="M76" i="3"/>
  <c r="E108" i="3"/>
  <c r="I116" i="3"/>
  <c r="P159" i="3"/>
  <c r="I173" i="3"/>
  <c r="G107" i="3"/>
  <c r="O11" i="3"/>
  <c r="Q11" i="3" s="1"/>
  <c r="I49" i="3"/>
  <c r="Q77" i="3"/>
  <c r="I88" i="3"/>
  <c r="H94" i="3"/>
  <c r="Q104" i="3"/>
  <c r="Q134" i="3"/>
  <c r="I161" i="3"/>
  <c r="Q161" i="3"/>
  <c r="Q175" i="3"/>
  <c r="I5" i="3"/>
  <c r="E9" i="3"/>
  <c r="Q16" i="3"/>
  <c r="Q18" i="3"/>
  <c r="Q20" i="3"/>
  <c r="Q21" i="3"/>
  <c r="Q22" i="3"/>
  <c r="Q23" i="3"/>
  <c r="Q24" i="3"/>
  <c r="Q25" i="3"/>
  <c r="E29" i="3"/>
  <c r="G28" i="3"/>
  <c r="I33" i="3"/>
  <c r="K31" i="3"/>
  <c r="I37" i="3"/>
  <c r="J44" i="3"/>
  <c r="M48" i="3"/>
  <c r="Q49" i="3"/>
  <c r="M52" i="3"/>
  <c r="Q57" i="3"/>
  <c r="Q60" i="3"/>
  <c r="Q61" i="3"/>
  <c r="Q63" i="3"/>
  <c r="Q64" i="3"/>
  <c r="Q65" i="3"/>
  <c r="Q69" i="3"/>
  <c r="I73" i="3"/>
  <c r="I77" i="3"/>
  <c r="E83" i="3"/>
  <c r="D80" i="3"/>
  <c r="Q88" i="3"/>
  <c r="Q92" i="3"/>
  <c r="P94" i="3"/>
  <c r="P93" i="3" s="1"/>
  <c r="I100" i="3"/>
  <c r="I104" i="3"/>
  <c r="B107" i="3"/>
  <c r="M112" i="3"/>
  <c r="M116" i="3"/>
  <c r="M117" i="3"/>
  <c r="I134" i="3"/>
  <c r="I135" i="3"/>
  <c r="M157" i="3"/>
  <c r="Q162" i="3"/>
  <c r="M165" i="3"/>
  <c r="E169" i="3"/>
  <c r="L167" i="3"/>
  <c r="E174" i="3"/>
  <c r="L171" i="3"/>
  <c r="I175" i="3"/>
  <c r="E182" i="3"/>
  <c r="K136" i="3"/>
  <c r="D159" i="3"/>
  <c r="H167" i="3"/>
  <c r="H171" i="3"/>
  <c r="K55" i="3"/>
  <c r="Q73" i="3"/>
  <c r="I92" i="3"/>
  <c r="E112" i="3"/>
  <c r="E116" i="3"/>
  <c r="E117" i="3"/>
  <c r="Q135" i="3"/>
  <c r="I9" i="3"/>
  <c r="E21" i="3"/>
  <c r="E25" i="3"/>
  <c r="M33" i="3"/>
  <c r="M36" i="3"/>
  <c r="M37" i="3"/>
  <c r="E49" i="3"/>
  <c r="E57" i="3"/>
  <c r="E60" i="3"/>
  <c r="E61" i="3"/>
  <c r="E64" i="3"/>
  <c r="E65" i="3"/>
  <c r="M73" i="3"/>
  <c r="M77" i="3"/>
  <c r="Q85" i="3"/>
  <c r="Q87" i="3"/>
  <c r="E88" i="3"/>
  <c r="Q91" i="3"/>
  <c r="E92" i="3"/>
  <c r="M96" i="3"/>
  <c r="M100" i="3"/>
  <c r="M104" i="3"/>
  <c r="Q116" i="3"/>
  <c r="M134" i="3"/>
  <c r="M135" i="3"/>
  <c r="M149" i="3"/>
  <c r="I151" i="3"/>
  <c r="I153" i="3"/>
  <c r="Q157" i="3"/>
  <c r="L159" i="3"/>
  <c r="P167" i="3"/>
  <c r="I170" i="3"/>
  <c r="K167" i="3"/>
  <c r="K171" i="3"/>
  <c r="I183" i="3"/>
  <c r="O132" i="3"/>
  <c r="Q133" i="3"/>
  <c r="E170" i="3"/>
  <c r="C167" i="3"/>
  <c r="I4" i="3"/>
  <c r="M5" i="3"/>
  <c r="I7" i="3"/>
  <c r="E8" i="3"/>
  <c r="E10" i="3"/>
  <c r="G11" i="3"/>
  <c r="E16" i="3"/>
  <c r="E20" i="3"/>
  <c r="L17" i="3"/>
  <c r="E24" i="3"/>
  <c r="N28" i="3"/>
  <c r="I29" i="3"/>
  <c r="M29" i="3"/>
  <c r="I30" i="3"/>
  <c r="K28" i="3"/>
  <c r="E36" i="3"/>
  <c r="I42" i="3"/>
  <c r="I43" i="3"/>
  <c r="O44" i="3"/>
  <c r="Q46" i="3"/>
  <c r="Q47" i="3"/>
  <c r="Q48" i="3"/>
  <c r="Q50" i="3"/>
  <c r="Q51" i="3"/>
  <c r="Q52" i="3"/>
  <c r="I60" i="3"/>
  <c r="I62" i="3"/>
  <c r="P58" i="3"/>
  <c r="I63" i="3"/>
  <c r="I64" i="3"/>
  <c r="I66" i="3"/>
  <c r="N68" i="3"/>
  <c r="E69" i="3"/>
  <c r="I69" i="3"/>
  <c r="M69" i="3"/>
  <c r="H71" i="3"/>
  <c r="C71" i="3"/>
  <c r="Q74" i="3"/>
  <c r="Q75" i="3"/>
  <c r="Q76" i="3"/>
  <c r="Q79" i="3"/>
  <c r="I83" i="3"/>
  <c r="Q100" i="3"/>
  <c r="O97" i="3"/>
  <c r="O93" i="3" s="1"/>
  <c r="Q108" i="3"/>
  <c r="N107" i="3"/>
  <c r="I112" i="3"/>
  <c r="G110" i="3"/>
  <c r="C132" i="3"/>
  <c r="E133" i="3"/>
  <c r="E183" i="3"/>
  <c r="C31" i="3"/>
  <c r="M95" i="3"/>
  <c r="J94" i="3"/>
  <c r="M108" i="3"/>
  <c r="J107" i="3"/>
  <c r="E5" i="3"/>
  <c r="Q7" i="3"/>
  <c r="D12" i="3"/>
  <c r="N12" i="3"/>
  <c r="O17" i="3"/>
  <c r="O13" i="3" s="1"/>
  <c r="C28" i="3"/>
  <c r="D31" i="3"/>
  <c r="L31" i="3"/>
  <c r="E45" i="3"/>
  <c r="I45" i="3"/>
  <c r="M45" i="3"/>
  <c r="Q45" i="3"/>
  <c r="G68" i="3"/>
  <c r="O67" i="3"/>
  <c r="Q70" i="3"/>
  <c r="I75" i="3"/>
  <c r="I76" i="3"/>
  <c r="I78" i="3"/>
  <c r="K71" i="3"/>
  <c r="K67" i="3" s="1"/>
  <c r="I79" i="3"/>
  <c r="Q83" i="3"/>
  <c r="I96" i="3"/>
  <c r="I108" i="3"/>
  <c r="F107" i="3"/>
  <c r="Q112" i="3"/>
  <c r="O110" i="3"/>
  <c r="K132" i="3"/>
  <c r="M133" i="3"/>
  <c r="I162" i="3"/>
  <c r="E165" i="3"/>
  <c r="M169" i="3"/>
  <c r="M170" i="3"/>
  <c r="M174" i="3"/>
  <c r="M182" i="3"/>
  <c r="M183" i="3"/>
  <c r="D94" i="3"/>
  <c r="M4" i="3"/>
  <c r="Q5" i="3"/>
  <c r="M7" i="3"/>
  <c r="I10" i="3"/>
  <c r="P12" i="3"/>
  <c r="I16" i="3"/>
  <c r="I20" i="3"/>
  <c r="I23" i="3"/>
  <c r="I24" i="3"/>
  <c r="O28" i="3"/>
  <c r="I35" i="3"/>
  <c r="I36" i="3"/>
  <c r="I39" i="3"/>
  <c r="E48" i="3"/>
  <c r="E52" i="3"/>
  <c r="P55" i="3"/>
  <c r="M60" i="3"/>
  <c r="M64" i="3"/>
  <c r="L71" i="3"/>
  <c r="E76" i="3"/>
  <c r="M83" i="3"/>
  <c r="E96" i="3"/>
  <c r="C97" i="3"/>
  <c r="C93" i="3" s="1"/>
  <c r="G132" i="3"/>
  <c r="I133" i="3"/>
  <c r="E162" i="3"/>
  <c r="Q165" i="3"/>
  <c r="I169" i="3"/>
  <c r="I174" i="3"/>
  <c r="P171" i="3"/>
  <c r="I182" i="3"/>
  <c r="M87" i="3"/>
  <c r="M91" i="3"/>
  <c r="M99" i="3"/>
  <c r="M103" i="3"/>
  <c r="C107" i="3"/>
  <c r="D110" i="3"/>
  <c r="D106" i="3" s="1"/>
  <c r="M115" i="3"/>
  <c r="I127" i="3"/>
  <c r="M131" i="3"/>
  <c r="E139" i="3"/>
  <c r="I142" i="3"/>
  <c r="I143" i="3"/>
  <c r="I149" i="3"/>
  <c r="E153" i="3"/>
  <c r="M175" i="3"/>
  <c r="I181" i="3"/>
  <c r="D186" i="3"/>
  <c r="H186" i="3"/>
  <c r="L186" i="3"/>
  <c r="P186" i="3"/>
  <c r="Q184" i="3"/>
  <c r="I87" i="3"/>
  <c r="I89" i="3"/>
  <c r="I90" i="3"/>
  <c r="I91" i="3"/>
  <c r="K97" i="3"/>
  <c r="I99" i="3"/>
  <c r="I101" i="3"/>
  <c r="I102" i="3"/>
  <c r="I103" i="3"/>
  <c r="L107" i="3"/>
  <c r="O107" i="3"/>
  <c r="I113" i="3"/>
  <c r="I114" i="3"/>
  <c r="I115" i="3"/>
  <c r="I118" i="3"/>
  <c r="E127" i="3"/>
  <c r="I129" i="3"/>
  <c r="I130" i="3"/>
  <c r="I131" i="3"/>
  <c r="Q137" i="3"/>
  <c r="Q138" i="3"/>
  <c r="Q139" i="3"/>
  <c r="E143" i="3"/>
  <c r="E149" i="3"/>
  <c r="Q153" i="3"/>
  <c r="M184" i="3"/>
  <c r="I185" i="3"/>
  <c r="E87" i="3"/>
  <c r="E91" i="3"/>
  <c r="G97" i="3"/>
  <c r="E99" i="3"/>
  <c r="E103" i="3"/>
  <c r="K107" i="3"/>
  <c r="E115" i="3"/>
  <c r="Q125" i="3"/>
  <c r="Q127" i="3"/>
  <c r="E131" i="3"/>
  <c r="M139" i="3"/>
  <c r="Q142" i="3"/>
  <c r="Q143" i="3"/>
  <c r="C146" i="3"/>
  <c r="Q148" i="3"/>
  <c r="Q149" i="3"/>
  <c r="M151" i="3"/>
  <c r="M153" i="3"/>
  <c r="E175" i="3"/>
  <c r="Q181" i="3"/>
  <c r="I184" i="3"/>
  <c r="E185" i="3"/>
  <c r="Q19" i="3"/>
  <c r="N17" i="3"/>
  <c r="M32" i="3"/>
  <c r="J31" i="3"/>
  <c r="Q72" i="3"/>
  <c r="N71" i="3"/>
  <c r="Q86" i="3"/>
  <c r="N84" i="3"/>
  <c r="N94" i="3"/>
  <c r="Q95" i="3"/>
  <c r="F6" i="3"/>
  <c r="I15" i="3"/>
  <c r="F14" i="3"/>
  <c r="I32" i="3"/>
  <c r="F31" i="3"/>
  <c r="N44" i="3"/>
  <c r="E56" i="3"/>
  <c r="B55" i="3"/>
  <c r="Q59" i="3"/>
  <c r="N58" i="3"/>
  <c r="M72" i="3"/>
  <c r="J71" i="3"/>
  <c r="M147" i="3"/>
  <c r="J146" i="3"/>
  <c r="E4" i="3"/>
  <c r="G6" i="3"/>
  <c r="M8" i="3"/>
  <c r="Q10" i="3"/>
  <c r="C11" i="3"/>
  <c r="E11" i="3" s="1"/>
  <c r="K11" i="3"/>
  <c r="M11" i="3" s="1"/>
  <c r="B12" i="3"/>
  <c r="J12" i="3"/>
  <c r="M12" i="3" s="1"/>
  <c r="I18" i="3"/>
  <c r="K17" i="3"/>
  <c r="P17" i="3"/>
  <c r="P13" i="3" s="1"/>
  <c r="I19" i="3"/>
  <c r="F17" i="3"/>
  <c r="E32" i="3"/>
  <c r="B31" i="3"/>
  <c r="I34" i="3"/>
  <c r="B44" i="3"/>
  <c r="I46" i="3"/>
  <c r="Q56" i="3"/>
  <c r="N55" i="3"/>
  <c r="Q62" i="3"/>
  <c r="I70" i="3"/>
  <c r="I72" i="3"/>
  <c r="F71" i="3"/>
  <c r="P71" i="3"/>
  <c r="Q78" i="3"/>
  <c r="I82" i="3"/>
  <c r="F81" i="3"/>
  <c r="F94" i="3"/>
  <c r="I95" i="3"/>
  <c r="F12" i="3"/>
  <c r="I56" i="3"/>
  <c r="F55" i="3"/>
  <c r="K6" i="3"/>
  <c r="C6" i="3"/>
  <c r="E6" i="3" s="1"/>
  <c r="Q4" i="3"/>
  <c r="J6" i="3"/>
  <c r="I8" i="3"/>
  <c r="M10" i="3"/>
  <c r="Q15" i="3"/>
  <c r="N14" i="3"/>
  <c r="I22" i="3"/>
  <c r="Q30" i="3"/>
  <c r="Q32" i="3"/>
  <c r="N31" i="3"/>
  <c r="I38" i="3"/>
  <c r="Q42" i="3"/>
  <c r="Q43" i="3"/>
  <c r="N41" i="3"/>
  <c r="I50" i="3"/>
  <c r="M56" i="3"/>
  <c r="J55" i="3"/>
  <c r="I59" i="3"/>
  <c r="F58" i="3"/>
  <c r="K58" i="3"/>
  <c r="Q66" i="3"/>
  <c r="E72" i="3"/>
  <c r="B71" i="3"/>
  <c r="I74" i="3"/>
  <c r="B94" i="3"/>
  <c r="E95" i="3"/>
  <c r="P84" i="3"/>
  <c r="P80" i="3" s="1"/>
  <c r="I98" i="3"/>
  <c r="F97" i="3"/>
  <c r="Q111" i="3"/>
  <c r="N110" i="3"/>
  <c r="C154" i="3"/>
  <c r="E155" i="3"/>
  <c r="Q156" i="3"/>
  <c r="N154" i="3"/>
  <c r="M166" i="3"/>
  <c r="L163" i="3"/>
  <c r="Q172" i="3"/>
  <c r="N171" i="3"/>
  <c r="C186" i="3"/>
  <c r="E180" i="3"/>
  <c r="M15" i="3"/>
  <c r="J14" i="3"/>
  <c r="E18" i="3"/>
  <c r="G17" i="3"/>
  <c r="E19" i="3"/>
  <c r="B17" i="3"/>
  <c r="M22" i="3"/>
  <c r="M23" i="3"/>
  <c r="H28" i="3"/>
  <c r="L28" i="3"/>
  <c r="P28" i="3"/>
  <c r="M30" i="3"/>
  <c r="E34" i="3"/>
  <c r="E35" i="3"/>
  <c r="M38" i="3"/>
  <c r="M39" i="3"/>
  <c r="E42" i="3"/>
  <c r="E43" i="3"/>
  <c r="D44" i="3"/>
  <c r="D40" i="3" s="1"/>
  <c r="H44" i="3"/>
  <c r="L44" i="3"/>
  <c r="P44" i="3"/>
  <c r="M46" i="3"/>
  <c r="M47" i="3"/>
  <c r="E50" i="3"/>
  <c r="E51" i="3"/>
  <c r="E59" i="3"/>
  <c r="B58" i="3"/>
  <c r="M62" i="3"/>
  <c r="M63" i="3"/>
  <c r="E66" i="3"/>
  <c r="D67" i="3"/>
  <c r="H68" i="3"/>
  <c r="L68" i="3"/>
  <c r="P68" i="3"/>
  <c r="M70" i="3"/>
  <c r="E74" i="3"/>
  <c r="E75" i="3"/>
  <c r="M78" i="3"/>
  <c r="M79" i="3"/>
  <c r="E85" i="3"/>
  <c r="E86" i="3"/>
  <c r="B84" i="3"/>
  <c r="M89" i="3"/>
  <c r="M90" i="3"/>
  <c r="E98" i="3"/>
  <c r="B97" i="3"/>
  <c r="Q147" i="3"/>
  <c r="N146" i="3"/>
  <c r="I160" i="3"/>
  <c r="F159" i="3"/>
  <c r="N186" i="3"/>
  <c r="E15" i="3"/>
  <c r="B14" i="3"/>
  <c r="M18" i="3"/>
  <c r="M19" i="3"/>
  <c r="J17" i="3"/>
  <c r="E22" i="3"/>
  <c r="E23" i="3"/>
  <c r="E30" i="3"/>
  <c r="H31" i="3"/>
  <c r="P31" i="3"/>
  <c r="M34" i="3"/>
  <c r="M35" i="3"/>
  <c r="E38" i="3"/>
  <c r="E39" i="3"/>
  <c r="M42" i="3"/>
  <c r="M43" i="3"/>
  <c r="E46" i="3"/>
  <c r="E47" i="3"/>
  <c r="M50" i="3"/>
  <c r="M51" i="3"/>
  <c r="M59" i="3"/>
  <c r="J58" i="3"/>
  <c r="E62" i="3"/>
  <c r="E63" i="3"/>
  <c r="M66" i="3"/>
  <c r="E70" i="3"/>
  <c r="M74" i="3"/>
  <c r="M75" i="3"/>
  <c r="E78" i="3"/>
  <c r="E79" i="3"/>
  <c r="M82" i="3"/>
  <c r="J81" i="3"/>
  <c r="E111" i="3"/>
  <c r="B110" i="3"/>
  <c r="K110" i="3"/>
  <c r="Q126" i="3"/>
  <c r="N124" i="3"/>
  <c r="E164" i="3"/>
  <c r="B163" i="3"/>
  <c r="P163" i="3"/>
  <c r="Q166" i="3"/>
  <c r="B41" i="3"/>
  <c r="F41" i="3"/>
  <c r="J41" i="3"/>
  <c r="E82" i="3"/>
  <c r="B81" i="3"/>
  <c r="M85" i="3"/>
  <c r="O84" i="3"/>
  <c r="M86" i="3"/>
  <c r="J84" i="3"/>
  <c r="E89" i="3"/>
  <c r="E90" i="3"/>
  <c r="Q98" i="3"/>
  <c r="N97" i="3"/>
  <c r="I105" i="3"/>
  <c r="M111" i="3"/>
  <c r="J110" i="3"/>
  <c r="Q113" i="3"/>
  <c r="I125" i="3"/>
  <c r="I126" i="3"/>
  <c r="F124" i="3"/>
  <c r="Q129" i="3"/>
  <c r="I147" i="3"/>
  <c r="F146" i="3"/>
  <c r="M152" i="3"/>
  <c r="J150" i="3"/>
  <c r="H163" i="3"/>
  <c r="I166" i="3"/>
  <c r="Q82" i="3"/>
  <c r="N81" i="3"/>
  <c r="I85" i="3"/>
  <c r="K84" i="3"/>
  <c r="I86" i="3"/>
  <c r="F84" i="3"/>
  <c r="Q89" i="3"/>
  <c r="Q90" i="3"/>
  <c r="Q101" i="3"/>
  <c r="I109" i="3"/>
  <c r="I111" i="3"/>
  <c r="F110" i="3"/>
  <c r="I137" i="3"/>
  <c r="Q141" i="3"/>
  <c r="E147" i="3"/>
  <c r="B146" i="3"/>
  <c r="D163" i="3"/>
  <c r="E166" i="3"/>
  <c r="M168" i="3"/>
  <c r="J167" i="3"/>
  <c r="M101" i="3"/>
  <c r="M102" i="3"/>
  <c r="E105" i="3"/>
  <c r="H107" i="3"/>
  <c r="P107" i="3"/>
  <c r="M109" i="3"/>
  <c r="E113" i="3"/>
  <c r="E114" i="3"/>
  <c r="Q117" i="3"/>
  <c r="M118" i="3"/>
  <c r="M125" i="3"/>
  <c r="M126" i="3"/>
  <c r="J124" i="3"/>
  <c r="E129" i="3"/>
  <c r="E130" i="3"/>
  <c r="M137" i="3"/>
  <c r="M138" i="3"/>
  <c r="E141" i="3"/>
  <c r="E142" i="3"/>
  <c r="I152" i="3"/>
  <c r="F150" i="3"/>
  <c r="Q164" i="3"/>
  <c r="N163" i="3"/>
  <c r="I168" i="3"/>
  <c r="F167" i="3"/>
  <c r="E172" i="3"/>
  <c r="B171" i="3"/>
  <c r="M98" i="3"/>
  <c r="J97" i="3"/>
  <c r="E101" i="3"/>
  <c r="E102" i="3"/>
  <c r="M105" i="3"/>
  <c r="E109" i="3"/>
  <c r="H110" i="3"/>
  <c r="L110" i="3"/>
  <c r="P110" i="3"/>
  <c r="M113" i="3"/>
  <c r="M114" i="3"/>
  <c r="I117" i="3"/>
  <c r="E118" i="3"/>
  <c r="E125" i="3"/>
  <c r="E126" i="3"/>
  <c r="B124" i="3"/>
  <c r="M129" i="3"/>
  <c r="M130" i="3"/>
  <c r="E137" i="3"/>
  <c r="E138" i="3"/>
  <c r="M141" i="3"/>
  <c r="M142" i="3"/>
  <c r="R144" i="3"/>
  <c r="E148" i="3"/>
  <c r="G154" i="3"/>
  <c r="I155" i="3"/>
  <c r="E156" i="3"/>
  <c r="B154" i="3"/>
  <c r="M160" i="3"/>
  <c r="J159" i="3"/>
  <c r="G186" i="3"/>
  <c r="I180" i="3"/>
  <c r="E181" i="3"/>
  <c r="B186" i="3"/>
  <c r="B128" i="3"/>
  <c r="F128" i="3"/>
  <c r="J128" i="3"/>
  <c r="N128" i="3"/>
  <c r="B136" i="3"/>
  <c r="F136" i="3"/>
  <c r="J136" i="3"/>
  <c r="N136" i="3"/>
  <c r="B140" i="3"/>
  <c r="F140" i="3"/>
  <c r="J140" i="3"/>
  <c r="N140" i="3"/>
  <c r="M148" i="3"/>
  <c r="E151" i="3"/>
  <c r="E152" i="3"/>
  <c r="B150" i="3"/>
  <c r="O154" i="3"/>
  <c r="Q155" i="3"/>
  <c r="M156" i="3"/>
  <c r="J154" i="3"/>
  <c r="E160" i="3"/>
  <c r="B159" i="3"/>
  <c r="M164" i="3"/>
  <c r="J163" i="3"/>
  <c r="E168" i="3"/>
  <c r="B167" i="3"/>
  <c r="M172" i="3"/>
  <c r="J171" i="3"/>
  <c r="O186" i="3"/>
  <c r="Q180" i="3"/>
  <c r="I148" i="3"/>
  <c r="Q151" i="3"/>
  <c r="Q152" i="3"/>
  <c r="N150" i="3"/>
  <c r="K154" i="3"/>
  <c r="M155" i="3"/>
  <c r="I156" i="3"/>
  <c r="F154" i="3"/>
  <c r="Q160" i="3"/>
  <c r="N159" i="3"/>
  <c r="I164" i="3"/>
  <c r="F163" i="3"/>
  <c r="Q168" i="3"/>
  <c r="N167" i="3"/>
  <c r="I172" i="3"/>
  <c r="F171" i="3"/>
  <c r="K186" i="3"/>
  <c r="M180" i="3"/>
  <c r="J186" i="3"/>
  <c r="O80" i="3" l="1"/>
  <c r="G67" i="3"/>
  <c r="K80" i="3"/>
  <c r="Q132" i="3"/>
  <c r="I12" i="3"/>
  <c r="C67" i="3"/>
  <c r="C178" i="4"/>
  <c r="D93" i="3"/>
  <c r="D27" i="3"/>
  <c r="D26" i="3" s="1"/>
  <c r="I11" i="3"/>
  <c r="O27" i="3"/>
  <c r="G40" i="3"/>
  <c r="L80" i="3"/>
  <c r="M150" i="3"/>
  <c r="C13" i="3"/>
  <c r="K40" i="3"/>
  <c r="E150" i="3"/>
  <c r="Q136" i="3"/>
  <c r="P145" i="3"/>
  <c r="G93" i="3"/>
  <c r="Q128" i="3"/>
  <c r="K13" i="3"/>
  <c r="K145" i="3"/>
  <c r="C106" i="3"/>
  <c r="E17" i="3"/>
  <c r="H40" i="3"/>
  <c r="E84" i="3"/>
  <c r="O40" i="3"/>
  <c r="Q150" i="3"/>
  <c r="I140" i="3"/>
  <c r="G54" i="3"/>
  <c r="G53" i="3" s="1"/>
  <c r="I58" i="3"/>
  <c r="H80" i="3"/>
  <c r="K93" i="3"/>
  <c r="L93" i="3"/>
  <c r="C80" i="3"/>
  <c r="G13" i="3"/>
  <c r="P123" i="3"/>
  <c r="C54" i="3"/>
  <c r="C53" i="3" s="1"/>
  <c r="G27" i="3"/>
  <c r="G26" i="3" s="1"/>
  <c r="Q6" i="3"/>
  <c r="H93" i="3"/>
  <c r="C40" i="3"/>
  <c r="D145" i="3"/>
  <c r="E58" i="3"/>
  <c r="I136" i="3"/>
  <c r="E68" i="3"/>
  <c r="L123" i="3"/>
  <c r="H13" i="3"/>
  <c r="L54" i="3"/>
  <c r="M140" i="3"/>
  <c r="P40" i="3"/>
  <c r="H145" i="3"/>
  <c r="L145" i="3"/>
  <c r="H54" i="3"/>
  <c r="D123" i="3"/>
  <c r="G158" i="3"/>
  <c r="O158" i="3"/>
  <c r="I84" i="3"/>
  <c r="J27" i="3"/>
  <c r="E136" i="3"/>
  <c r="Q140" i="3"/>
  <c r="L13" i="3"/>
  <c r="G145" i="3"/>
  <c r="E171" i="3"/>
  <c r="H123" i="3"/>
  <c r="I150" i="3"/>
  <c r="M128" i="3"/>
  <c r="I128" i="3"/>
  <c r="E140" i="3"/>
  <c r="B27" i="3"/>
  <c r="I132" i="3"/>
  <c r="C158" i="3"/>
  <c r="E28" i="3"/>
  <c r="O145" i="3"/>
  <c r="E128" i="3"/>
  <c r="F27" i="3"/>
  <c r="M132" i="3"/>
  <c r="E132" i="3"/>
  <c r="O187" i="4"/>
  <c r="O188" i="4" s="1"/>
  <c r="O192" i="4" s="1"/>
  <c r="P178" i="4"/>
  <c r="K187" i="4"/>
  <c r="K192" i="4" s="1"/>
  <c r="S27" i="4"/>
  <c r="L187" i="4"/>
  <c r="L192" i="4" s="1"/>
  <c r="K158" i="3"/>
  <c r="D178" i="4"/>
  <c r="R53" i="4"/>
  <c r="R119" i="4" s="1"/>
  <c r="R120" i="4" s="1"/>
  <c r="R121" i="4" s="1"/>
  <c r="R65" i="3"/>
  <c r="K123" i="3"/>
  <c r="R21" i="3"/>
  <c r="R185" i="3"/>
  <c r="L67" i="3"/>
  <c r="L53" i="3" s="1"/>
  <c r="R9" i="3"/>
  <c r="R63" i="3"/>
  <c r="R181" i="3"/>
  <c r="H67" i="3"/>
  <c r="M44" i="3"/>
  <c r="R176" i="4"/>
  <c r="M171" i="3"/>
  <c r="R149" i="3"/>
  <c r="Q167" i="3"/>
  <c r="M163" i="3"/>
  <c r="M136" i="3"/>
  <c r="R136" i="3" s="1"/>
  <c r="E107" i="3"/>
  <c r="K27" i="3"/>
  <c r="K26" i="3" s="1"/>
  <c r="R61" i="3"/>
  <c r="R100" i="3"/>
  <c r="R57" i="3"/>
  <c r="K106" i="3"/>
  <c r="R127" i="3"/>
  <c r="E154" i="3"/>
  <c r="R118" i="3"/>
  <c r="R79" i="3"/>
  <c r="Q171" i="3"/>
  <c r="K54" i="3"/>
  <c r="K53" i="3" s="1"/>
  <c r="R25" i="3"/>
  <c r="I119" i="4"/>
  <c r="I120" i="4"/>
  <c r="I121" i="4" s="1"/>
  <c r="F121" i="4"/>
  <c r="M119" i="4"/>
  <c r="J120" i="4"/>
  <c r="P188" i="4"/>
  <c r="P192" i="4" s="1"/>
  <c r="G187" i="4"/>
  <c r="G192" i="4" s="1"/>
  <c r="G178" i="4"/>
  <c r="E119" i="4"/>
  <c r="B120" i="4"/>
  <c r="Q119" i="4"/>
  <c r="N120" i="4"/>
  <c r="F178" i="4"/>
  <c r="F187" i="4"/>
  <c r="F192" i="4" s="1"/>
  <c r="I177" i="4"/>
  <c r="I187" i="4" s="1"/>
  <c r="I167" i="3"/>
  <c r="L158" i="3"/>
  <c r="Q58" i="3"/>
  <c r="R143" i="3"/>
  <c r="R157" i="3"/>
  <c r="R92" i="3"/>
  <c r="R49" i="3"/>
  <c r="R104" i="3"/>
  <c r="R33" i="3"/>
  <c r="R77" i="3"/>
  <c r="M94" i="3"/>
  <c r="R117" i="3"/>
  <c r="E110" i="3"/>
  <c r="R47" i="3"/>
  <c r="I71" i="3"/>
  <c r="M71" i="3"/>
  <c r="C145" i="3"/>
  <c r="R91" i="3"/>
  <c r="R108" i="3"/>
  <c r="R29" i="3"/>
  <c r="R73" i="3"/>
  <c r="R37" i="3"/>
  <c r="Q186" i="3"/>
  <c r="L106" i="3"/>
  <c r="O123" i="3"/>
  <c r="I28" i="3"/>
  <c r="H158" i="3"/>
  <c r="P67" i="3"/>
  <c r="N67" i="3"/>
  <c r="R103" i="3"/>
  <c r="R76" i="3"/>
  <c r="P158" i="3"/>
  <c r="R70" i="3"/>
  <c r="R169" i="3"/>
  <c r="R96" i="3"/>
  <c r="D53" i="3"/>
  <c r="E12" i="3"/>
  <c r="R182" i="3"/>
  <c r="R60" i="3"/>
  <c r="R5" i="3"/>
  <c r="R174" i="3"/>
  <c r="O53" i="3"/>
  <c r="C27" i="3"/>
  <c r="I6" i="3"/>
  <c r="I186" i="3"/>
  <c r="G123" i="3"/>
  <c r="R102" i="3"/>
  <c r="D158" i="3"/>
  <c r="E71" i="3"/>
  <c r="E31" i="3"/>
  <c r="R139" i="3"/>
  <c r="R52" i="3"/>
  <c r="R161" i="3"/>
  <c r="R88" i="3"/>
  <c r="G106" i="3"/>
  <c r="R173" i="3"/>
  <c r="J106" i="3"/>
  <c r="R160" i="3"/>
  <c r="R30" i="3"/>
  <c r="E97" i="3"/>
  <c r="C123" i="3"/>
  <c r="R48" i="3"/>
  <c r="Q12" i="3"/>
  <c r="I107" i="3"/>
  <c r="M58" i="3"/>
  <c r="P27" i="3"/>
  <c r="R83" i="3"/>
  <c r="R64" i="3"/>
  <c r="R16" i="3"/>
  <c r="R7" i="3"/>
  <c r="R170" i="3"/>
  <c r="M167" i="3"/>
  <c r="I171" i="3"/>
  <c r="I154" i="3"/>
  <c r="E167" i="3"/>
  <c r="M154" i="3"/>
  <c r="M97" i="3"/>
  <c r="L27" i="3"/>
  <c r="M107" i="3"/>
  <c r="R175" i="3"/>
  <c r="R115" i="3"/>
  <c r="R184" i="3"/>
  <c r="R112" i="3"/>
  <c r="R116" i="3"/>
  <c r="R101" i="3"/>
  <c r="Q163" i="3"/>
  <c r="B106" i="3"/>
  <c r="Q97" i="3"/>
  <c r="R39" i="3"/>
  <c r="I97" i="3"/>
  <c r="F67" i="3"/>
  <c r="R11" i="3"/>
  <c r="Q68" i="3"/>
  <c r="M68" i="3"/>
  <c r="R153" i="3"/>
  <c r="R162" i="3"/>
  <c r="R69" i="3"/>
  <c r="R24" i="3"/>
  <c r="E163" i="3"/>
  <c r="R82" i="3"/>
  <c r="M17" i="3"/>
  <c r="R32" i="3"/>
  <c r="R56" i="3"/>
  <c r="R87" i="3"/>
  <c r="R183" i="3"/>
  <c r="P54" i="3"/>
  <c r="M186" i="3"/>
  <c r="R168" i="3"/>
  <c r="R137" i="3"/>
  <c r="R126" i="3"/>
  <c r="R62" i="3"/>
  <c r="Q31" i="3"/>
  <c r="M28" i="3"/>
  <c r="E44" i="3"/>
  <c r="J93" i="3"/>
  <c r="M93" i="3" s="1"/>
  <c r="Q71" i="3"/>
  <c r="M31" i="3"/>
  <c r="R99" i="3"/>
  <c r="R165" i="3"/>
  <c r="O106" i="3"/>
  <c r="R45" i="3"/>
  <c r="R36" i="3"/>
  <c r="R20" i="3"/>
  <c r="J123" i="3"/>
  <c r="M124" i="3"/>
  <c r="R105" i="3"/>
  <c r="I146" i="3"/>
  <c r="F145" i="3"/>
  <c r="M84" i="3"/>
  <c r="N123" i="3"/>
  <c r="Q124" i="3"/>
  <c r="R74" i="3"/>
  <c r="R50" i="3"/>
  <c r="Q28" i="3"/>
  <c r="I14" i="3"/>
  <c r="F13" i="3"/>
  <c r="Q94" i="3"/>
  <c r="N93" i="3"/>
  <c r="Q93" i="3" s="1"/>
  <c r="Q159" i="3"/>
  <c r="N158" i="3"/>
  <c r="R151" i="3"/>
  <c r="P106" i="3"/>
  <c r="R166" i="3"/>
  <c r="R164" i="3"/>
  <c r="R23" i="3"/>
  <c r="I159" i="3"/>
  <c r="F158" i="3"/>
  <c r="R86" i="3"/>
  <c r="R35" i="3"/>
  <c r="R18" i="3"/>
  <c r="Q110" i="3"/>
  <c r="I44" i="3"/>
  <c r="N27" i="3"/>
  <c r="Q55" i="3"/>
  <c r="N54" i="3"/>
  <c r="R10" i="3"/>
  <c r="R125" i="3"/>
  <c r="R142" i="3"/>
  <c r="R130" i="3"/>
  <c r="R114" i="3"/>
  <c r="R147" i="3"/>
  <c r="I110" i="3"/>
  <c r="Q81" i="3"/>
  <c r="N80" i="3"/>
  <c r="Q80" i="3" s="1"/>
  <c r="N106" i="3"/>
  <c r="R90" i="3"/>
  <c r="M41" i="3"/>
  <c r="J40" i="3"/>
  <c r="M81" i="3"/>
  <c r="J80" i="3"/>
  <c r="R78" i="3"/>
  <c r="R46" i="3"/>
  <c r="R22" i="3"/>
  <c r="E14" i="3"/>
  <c r="B13" i="3"/>
  <c r="Q146" i="3"/>
  <c r="N145" i="3"/>
  <c r="R85" i="3"/>
  <c r="R66" i="3"/>
  <c r="R59" i="3"/>
  <c r="L40" i="3"/>
  <c r="R34" i="3"/>
  <c r="H27" i="3"/>
  <c r="M14" i="3"/>
  <c r="J13" i="3"/>
  <c r="R95" i="3"/>
  <c r="R72" i="3"/>
  <c r="N40" i="3"/>
  <c r="Q41" i="3"/>
  <c r="Q14" i="3"/>
  <c r="N13" i="3"/>
  <c r="I81" i="3"/>
  <c r="F80" i="3"/>
  <c r="B67" i="3"/>
  <c r="R8" i="3"/>
  <c r="I31" i="3"/>
  <c r="Q17" i="3"/>
  <c r="R152" i="3"/>
  <c r="R156" i="3"/>
  <c r="E81" i="3"/>
  <c r="B80" i="3"/>
  <c r="E41" i="3"/>
  <c r="B40" i="3"/>
  <c r="E40" i="3" s="1"/>
  <c r="R111" i="3"/>
  <c r="E55" i="3"/>
  <c r="B54" i="3"/>
  <c r="E146" i="3"/>
  <c r="B145" i="3"/>
  <c r="I124" i="3"/>
  <c r="F123" i="3"/>
  <c r="Q107" i="3"/>
  <c r="R98" i="3"/>
  <c r="R42" i="3"/>
  <c r="R180" i="3"/>
  <c r="E186" i="3"/>
  <c r="R155" i="3"/>
  <c r="M55" i="3"/>
  <c r="J54" i="3"/>
  <c r="R4" i="3"/>
  <c r="I55" i="3"/>
  <c r="F54" i="3"/>
  <c r="I94" i="3"/>
  <c r="F93" i="3"/>
  <c r="M146" i="3"/>
  <c r="J145" i="3"/>
  <c r="I163" i="3"/>
  <c r="E159" i="3"/>
  <c r="B158" i="3"/>
  <c r="M159" i="3"/>
  <c r="J158" i="3"/>
  <c r="R148" i="3"/>
  <c r="R138" i="3"/>
  <c r="E124" i="3"/>
  <c r="B123" i="3"/>
  <c r="R109" i="3"/>
  <c r="R172" i="3"/>
  <c r="R141" i="3"/>
  <c r="R129" i="3"/>
  <c r="R113" i="3"/>
  <c r="H106" i="3"/>
  <c r="M110" i="3"/>
  <c r="R89" i="3"/>
  <c r="F40" i="3"/>
  <c r="I41" i="3"/>
  <c r="R38" i="3"/>
  <c r="R15" i="3"/>
  <c r="F106" i="3"/>
  <c r="R75" i="3"/>
  <c r="R51" i="3"/>
  <c r="R43" i="3"/>
  <c r="R19" i="3"/>
  <c r="Q154" i="3"/>
  <c r="E94" i="3"/>
  <c r="B93" i="3"/>
  <c r="E93" i="3" s="1"/>
  <c r="I68" i="3"/>
  <c r="M6" i="3"/>
  <c r="I17" i="3"/>
  <c r="Q44" i="3"/>
  <c r="Q84" i="3"/>
  <c r="J67" i="3"/>
  <c r="R150" i="3" l="1"/>
  <c r="O26" i="3"/>
  <c r="I40" i="3"/>
  <c r="P176" i="3"/>
  <c r="M80" i="3"/>
  <c r="H26" i="3"/>
  <c r="I93" i="3"/>
  <c r="E67" i="3"/>
  <c r="O176" i="3"/>
  <c r="L176" i="3"/>
  <c r="R128" i="3"/>
  <c r="E106" i="3"/>
  <c r="E80" i="3"/>
  <c r="I80" i="3"/>
  <c r="Q40" i="3"/>
  <c r="C26" i="3"/>
  <c r="C119" i="3" s="1"/>
  <c r="C120" i="3" s="1"/>
  <c r="C121" i="3" s="1"/>
  <c r="H176" i="3"/>
  <c r="J26" i="3"/>
  <c r="P26" i="3"/>
  <c r="R140" i="3"/>
  <c r="H53" i="3"/>
  <c r="H119" i="3" s="1"/>
  <c r="H120" i="3" s="1"/>
  <c r="D176" i="3"/>
  <c r="R132" i="3"/>
  <c r="G176" i="3"/>
  <c r="C176" i="3"/>
  <c r="M123" i="3"/>
  <c r="R68" i="3"/>
  <c r="M158" i="3"/>
  <c r="K176" i="3"/>
  <c r="L26" i="3"/>
  <c r="G119" i="3"/>
  <c r="G120" i="3" s="1"/>
  <c r="R55" i="3"/>
  <c r="Q67" i="3"/>
  <c r="P53" i="3"/>
  <c r="P119" i="3" s="1"/>
  <c r="P120" i="3" s="1"/>
  <c r="P177" i="3" s="1"/>
  <c r="D119" i="3"/>
  <c r="D120" i="3" s="1"/>
  <c r="E158" i="3"/>
  <c r="Q158" i="3"/>
  <c r="M67" i="3"/>
  <c r="R6" i="3"/>
  <c r="M106" i="3"/>
  <c r="R177" i="4"/>
  <c r="R178" i="4" s="1"/>
  <c r="R28" i="3"/>
  <c r="M27" i="3"/>
  <c r="Q123" i="3"/>
  <c r="I67" i="3"/>
  <c r="R12" i="3"/>
  <c r="I158" i="3"/>
  <c r="R163" i="3"/>
  <c r="R107" i="3"/>
  <c r="R171" i="3"/>
  <c r="R154" i="3"/>
  <c r="R167" i="3"/>
  <c r="K119" i="3"/>
  <c r="K120" i="3" s="1"/>
  <c r="K121" i="3" s="1"/>
  <c r="I192" i="4"/>
  <c r="B177" i="4"/>
  <c r="E120" i="4"/>
  <c r="E121" i="4" s="1"/>
  <c r="B121" i="4"/>
  <c r="I178" i="4"/>
  <c r="N177" i="4"/>
  <c r="N121" i="4"/>
  <c r="Q120" i="4"/>
  <c r="Q121" i="4" s="1"/>
  <c r="J177" i="4"/>
  <c r="J121" i="4"/>
  <c r="M120" i="4"/>
  <c r="M121" i="4" s="1"/>
  <c r="R186" i="3"/>
  <c r="I123" i="3"/>
  <c r="E123" i="3"/>
  <c r="R146" i="3"/>
  <c r="E27" i="3"/>
  <c r="R94" i="3"/>
  <c r="O119" i="3"/>
  <c r="O120" i="3" s="1"/>
  <c r="R14" i="3"/>
  <c r="F26" i="3"/>
  <c r="R71" i="3"/>
  <c r="R81" i="3"/>
  <c r="R31" i="3"/>
  <c r="R110" i="3"/>
  <c r="R17" i="3"/>
  <c r="R124" i="3"/>
  <c r="J176" i="3"/>
  <c r="M145" i="3"/>
  <c r="I54" i="3"/>
  <c r="F53" i="3"/>
  <c r="Q13" i="3"/>
  <c r="E13" i="3"/>
  <c r="R159" i="3"/>
  <c r="R41" i="3"/>
  <c r="R84" i="3"/>
  <c r="Q27" i="3"/>
  <c r="N26" i="3"/>
  <c r="R97" i="3"/>
  <c r="E54" i="3"/>
  <c r="B53" i="3"/>
  <c r="E53" i="3" s="1"/>
  <c r="M13" i="3"/>
  <c r="Q145" i="3"/>
  <c r="N176" i="3"/>
  <c r="Q176" i="3" s="1"/>
  <c r="Q106" i="3"/>
  <c r="I145" i="3"/>
  <c r="F176" i="3"/>
  <c r="I106" i="3"/>
  <c r="M54" i="3"/>
  <c r="J53" i="3"/>
  <c r="M53" i="3" s="1"/>
  <c r="B176" i="3"/>
  <c r="E145" i="3"/>
  <c r="I27" i="3"/>
  <c r="R58" i="3"/>
  <c r="R44" i="3"/>
  <c r="M40" i="3"/>
  <c r="Q54" i="3"/>
  <c r="N53" i="3"/>
  <c r="I13" i="3"/>
  <c r="B26" i="3"/>
  <c r="BK29" i="1"/>
  <c r="R187" i="4" l="1"/>
  <c r="I26" i="3"/>
  <c r="I176" i="3"/>
  <c r="O177" i="3"/>
  <c r="O178" i="3" s="1"/>
  <c r="I53" i="3"/>
  <c r="M26" i="3"/>
  <c r="H177" i="3"/>
  <c r="H178" i="3" s="1"/>
  <c r="D177" i="3"/>
  <c r="E176" i="3"/>
  <c r="G177" i="3"/>
  <c r="G178" i="3" s="1"/>
  <c r="R54" i="3"/>
  <c r="R67" i="3"/>
  <c r="M176" i="3"/>
  <c r="Q53" i="3"/>
  <c r="L119" i="3"/>
  <c r="L120" i="3" s="1"/>
  <c r="L177" i="3" s="1"/>
  <c r="L178" i="3" s="1"/>
  <c r="G121" i="3"/>
  <c r="R158" i="3"/>
  <c r="R80" i="3"/>
  <c r="R27" i="3"/>
  <c r="C177" i="3"/>
  <c r="D121" i="3"/>
  <c r="R13" i="3"/>
  <c r="R106" i="3"/>
  <c r="P121" i="3"/>
  <c r="R123" i="3"/>
  <c r="K177" i="3"/>
  <c r="K178" i="3" s="1"/>
  <c r="BK126" i="1"/>
  <c r="BK135" i="1" s="1"/>
  <c r="BK139" i="1" s="1"/>
  <c r="BK151" i="1" s="1"/>
  <c r="BK171" i="1" s="1"/>
  <c r="BK177" i="1" s="1"/>
  <c r="BL177" i="1" s="1"/>
  <c r="J178" i="4"/>
  <c r="M178" i="4" s="1"/>
  <c r="M177" i="4"/>
  <c r="M187" i="4" s="1"/>
  <c r="J187" i="4"/>
  <c r="J192" i="4" s="1"/>
  <c r="M192" i="4" s="1"/>
  <c r="N187" i="4"/>
  <c r="Q177" i="4"/>
  <c r="Q187" i="4" s="1"/>
  <c r="N178" i="4"/>
  <c r="Q178" i="4" s="1"/>
  <c r="E177" i="4"/>
  <c r="E187" i="4" s="1"/>
  <c r="B187" i="4"/>
  <c r="B192" i="4" s="1"/>
  <c r="E192" i="4" s="1"/>
  <c r="B178" i="4"/>
  <c r="E178" i="4" s="1"/>
  <c r="R93" i="3"/>
  <c r="H121" i="3"/>
  <c r="O121" i="3"/>
  <c r="F119" i="3"/>
  <c r="I119" i="3" s="1"/>
  <c r="R40" i="3"/>
  <c r="P187" i="3"/>
  <c r="P178" i="3"/>
  <c r="O187" i="3"/>
  <c r="J119" i="3"/>
  <c r="R145" i="3"/>
  <c r="Q26" i="3"/>
  <c r="N119" i="3"/>
  <c r="D178" i="3"/>
  <c r="D187" i="3"/>
  <c r="D192" i="3" s="1"/>
  <c r="B119" i="3"/>
  <c r="E26" i="3"/>
  <c r="H187" i="3"/>
  <c r="H192" i="3" s="1"/>
  <c r="BL29" i="1"/>
  <c r="G187" i="3" l="1"/>
  <c r="G192" i="3" s="1"/>
  <c r="L187" i="3"/>
  <c r="L192" i="3" s="1"/>
  <c r="R53" i="3"/>
  <c r="L121" i="3"/>
  <c r="F120" i="3"/>
  <c r="F177" i="3" s="1"/>
  <c r="K187" i="3"/>
  <c r="K192" i="3" s="1"/>
  <c r="C178" i="3"/>
  <c r="C187" i="3"/>
  <c r="C192" i="3" s="1"/>
  <c r="R26" i="3"/>
  <c r="R176" i="3"/>
  <c r="BL135" i="1"/>
  <c r="BL126" i="1"/>
  <c r="N188" i="4"/>
  <c r="Q188" i="4" s="1"/>
  <c r="R188" i="4" s="1"/>
  <c r="R192" i="4" s="1"/>
  <c r="O188" i="3"/>
  <c r="O192" i="3" s="1"/>
  <c r="Q119" i="3"/>
  <c r="N120" i="3"/>
  <c r="M119" i="3"/>
  <c r="J120" i="3"/>
  <c r="P188" i="3"/>
  <c r="P192" i="3" s="1"/>
  <c r="E119" i="3"/>
  <c r="B120" i="3"/>
  <c r="Q191" i="2"/>
  <c r="M191" i="2"/>
  <c r="I191" i="2"/>
  <c r="E191" i="2"/>
  <c r="Q190" i="2"/>
  <c r="M190" i="2"/>
  <c r="I190" i="2"/>
  <c r="E190" i="2"/>
  <c r="Q189" i="2"/>
  <c r="M189" i="2"/>
  <c r="I189" i="2"/>
  <c r="E189" i="2"/>
  <c r="M188" i="2"/>
  <c r="I188" i="2"/>
  <c r="E188" i="2"/>
  <c r="P185" i="2"/>
  <c r="O185" i="2"/>
  <c r="N185" i="2"/>
  <c r="L185" i="2"/>
  <c r="K185" i="2"/>
  <c r="J185" i="2"/>
  <c r="H185" i="2"/>
  <c r="G185" i="2"/>
  <c r="F185" i="2"/>
  <c r="D185" i="2"/>
  <c r="C185" i="2"/>
  <c r="B185" i="2"/>
  <c r="P184" i="2"/>
  <c r="O184" i="2"/>
  <c r="N184" i="2"/>
  <c r="L184" i="2"/>
  <c r="K184" i="2"/>
  <c r="J184" i="2"/>
  <c r="H184" i="2"/>
  <c r="G184" i="2"/>
  <c r="F184" i="2"/>
  <c r="D184" i="2"/>
  <c r="C184" i="2"/>
  <c r="B184" i="2"/>
  <c r="P183" i="2"/>
  <c r="O183" i="2"/>
  <c r="N183" i="2"/>
  <c r="L183" i="2"/>
  <c r="K183" i="2"/>
  <c r="J183" i="2"/>
  <c r="H183" i="2"/>
  <c r="G183" i="2"/>
  <c r="F183" i="2"/>
  <c r="D183" i="2"/>
  <c r="C183" i="2"/>
  <c r="B183" i="2"/>
  <c r="P182" i="2"/>
  <c r="O182" i="2"/>
  <c r="N182" i="2"/>
  <c r="L182" i="2"/>
  <c r="K182" i="2"/>
  <c r="J182" i="2"/>
  <c r="H182" i="2"/>
  <c r="G182" i="2"/>
  <c r="F182" i="2"/>
  <c r="D182" i="2"/>
  <c r="C182" i="2"/>
  <c r="B182" i="2"/>
  <c r="P181" i="2"/>
  <c r="O181" i="2"/>
  <c r="N181" i="2"/>
  <c r="L181" i="2"/>
  <c r="K181" i="2"/>
  <c r="J181" i="2"/>
  <c r="H181" i="2"/>
  <c r="G181" i="2"/>
  <c r="F181" i="2"/>
  <c r="D181" i="2"/>
  <c r="C181" i="2"/>
  <c r="B181" i="2"/>
  <c r="P180" i="2"/>
  <c r="O180" i="2"/>
  <c r="N180" i="2"/>
  <c r="L180" i="2"/>
  <c r="K180" i="2"/>
  <c r="J180" i="2"/>
  <c r="H180" i="2"/>
  <c r="G180" i="2"/>
  <c r="F180" i="2"/>
  <c r="D180" i="2"/>
  <c r="C180" i="2"/>
  <c r="B180" i="2"/>
  <c r="P175" i="2"/>
  <c r="O175" i="2"/>
  <c r="N175" i="2"/>
  <c r="L175" i="2"/>
  <c r="K175" i="2"/>
  <c r="J175" i="2"/>
  <c r="H175" i="2"/>
  <c r="G175" i="2"/>
  <c r="F175" i="2"/>
  <c r="D175" i="2"/>
  <c r="C175" i="2"/>
  <c r="B175" i="2"/>
  <c r="P174" i="2"/>
  <c r="O174" i="2"/>
  <c r="N174" i="2"/>
  <c r="L174" i="2"/>
  <c r="K174" i="2"/>
  <c r="J174" i="2"/>
  <c r="H174" i="2"/>
  <c r="G174" i="2"/>
  <c r="F174" i="2"/>
  <c r="D174" i="2"/>
  <c r="C174" i="2"/>
  <c r="B174" i="2"/>
  <c r="P173" i="2"/>
  <c r="O173" i="2"/>
  <c r="N173" i="2"/>
  <c r="L173" i="2"/>
  <c r="K173" i="2"/>
  <c r="J173" i="2"/>
  <c r="H173" i="2"/>
  <c r="G173" i="2"/>
  <c r="F173" i="2"/>
  <c r="D173" i="2"/>
  <c r="C173" i="2"/>
  <c r="B173" i="2"/>
  <c r="P172" i="2"/>
  <c r="O172" i="2"/>
  <c r="N172" i="2"/>
  <c r="L172" i="2"/>
  <c r="K172" i="2"/>
  <c r="J172" i="2"/>
  <c r="H172" i="2"/>
  <c r="G172" i="2"/>
  <c r="F172" i="2"/>
  <c r="D172" i="2"/>
  <c r="C172" i="2"/>
  <c r="B172" i="2"/>
  <c r="P170" i="2"/>
  <c r="O170" i="2"/>
  <c r="N170" i="2"/>
  <c r="L170" i="2"/>
  <c r="K170" i="2"/>
  <c r="J170" i="2"/>
  <c r="H170" i="2"/>
  <c r="G170" i="2"/>
  <c r="F170" i="2"/>
  <c r="D170" i="2"/>
  <c r="C170" i="2"/>
  <c r="B170" i="2"/>
  <c r="P169" i="2"/>
  <c r="O169" i="2"/>
  <c r="N169" i="2"/>
  <c r="L169" i="2"/>
  <c r="K169" i="2"/>
  <c r="J169" i="2"/>
  <c r="H169" i="2"/>
  <c r="G169" i="2"/>
  <c r="F169" i="2"/>
  <c r="D169" i="2"/>
  <c r="C169" i="2"/>
  <c r="B169" i="2"/>
  <c r="P168" i="2"/>
  <c r="O168" i="2"/>
  <c r="N168" i="2"/>
  <c r="L168" i="2"/>
  <c r="K168" i="2"/>
  <c r="J168" i="2"/>
  <c r="H168" i="2"/>
  <c r="G168" i="2"/>
  <c r="F168" i="2"/>
  <c r="D168" i="2"/>
  <c r="C168" i="2"/>
  <c r="B168" i="2"/>
  <c r="P166" i="2"/>
  <c r="O166" i="2"/>
  <c r="N166" i="2"/>
  <c r="L166" i="2"/>
  <c r="K166" i="2"/>
  <c r="J166" i="2"/>
  <c r="H166" i="2"/>
  <c r="G166" i="2"/>
  <c r="F166" i="2"/>
  <c r="D166" i="2"/>
  <c r="C166" i="2"/>
  <c r="B166" i="2"/>
  <c r="P165" i="2"/>
  <c r="O165" i="2"/>
  <c r="N165" i="2"/>
  <c r="L165" i="2"/>
  <c r="K165" i="2"/>
  <c r="J165" i="2"/>
  <c r="H165" i="2"/>
  <c r="G165" i="2"/>
  <c r="F165" i="2"/>
  <c r="D165" i="2"/>
  <c r="C165" i="2"/>
  <c r="B165" i="2"/>
  <c r="P164" i="2"/>
  <c r="O164" i="2"/>
  <c r="N164" i="2"/>
  <c r="L164" i="2"/>
  <c r="K164" i="2"/>
  <c r="J164" i="2"/>
  <c r="H164" i="2"/>
  <c r="G164" i="2"/>
  <c r="F164" i="2"/>
  <c r="D164" i="2"/>
  <c r="C164" i="2"/>
  <c r="B164" i="2"/>
  <c r="P162" i="2"/>
  <c r="O162" i="2"/>
  <c r="N162" i="2"/>
  <c r="L162" i="2"/>
  <c r="K162" i="2"/>
  <c r="J162" i="2"/>
  <c r="H162" i="2"/>
  <c r="G162" i="2"/>
  <c r="F162" i="2"/>
  <c r="D162" i="2"/>
  <c r="C162" i="2"/>
  <c r="B162" i="2"/>
  <c r="P161" i="2"/>
  <c r="O161" i="2"/>
  <c r="N161" i="2"/>
  <c r="L161" i="2"/>
  <c r="K161" i="2"/>
  <c r="J161" i="2"/>
  <c r="H161" i="2"/>
  <c r="G161" i="2"/>
  <c r="F161" i="2"/>
  <c r="D161" i="2"/>
  <c r="C161" i="2"/>
  <c r="B161" i="2"/>
  <c r="P160" i="2"/>
  <c r="O160" i="2"/>
  <c r="N160" i="2"/>
  <c r="L160" i="2"/>
  <c r="K160" i="2"/>
  <c r="J160" i="2"/>
  <c r="H160" i="2"/>
  <c r="G160" i="2"/>
  <c r="F160" i="2"/>
  <c r="D160" i="2"/>
  <c r="C160" i="2"/>
  <c r="B160" i="2"/>
  <c r="P157" i="2"/>
  <c r="O157" i="2"/>
  <c r="N157" i="2"/>
  <c r="L157" i="2"/>
  <c r="K157" i="2"/>
  <c r="J157" i="2"/>
  <c r="H157" i="2"/>
  <c r="G157" i="2"/>
  <c r="F157" i="2"/>
  <c r="D157" i="2"/>
  <c r="C157" i="2"/>
  <c r="B157" i="2"/>
  <c r="P156" i="2"/>
  <c r="O156" i="2"/>
  <c r="N156" i="2"/>
  <c r="L156" i="2"/>
  <c r="K156" i="2"/>
  <c r="J156" i="2"/>
  <c r="H156" i="2"/>
  <c r="G156" i="2"/>
  <c r="F156" i="2"/>
  <c r="D156" i="2"/>
  <c r="C156" i="2"/>
  <c r="B156" i="2"/>
  <c r="P155" i="2"/>
  <c r="O155" i="2"/>
  <c r="N155" i="2"/>
  <c r="L155" i="2"/>
  <c r="K155" i="2"/>
  <c r="J155" i="2"/>
  <c r="H155" i="2"/>
  <c r="G155" i="2"/>
  <c r="F155" i="2"/>
  <c r="D155" i="2"/>
  <c r="C155" i="2"/>
  <c r="B155" i="2"/>
  <c r="P153" i="2"/>
  <c r="O153" i="2"/>
  <c r="N153" i="2"/>
  <c r="L153" i="2"/>
  <c r="K153" i="2"/>
  <c r="J153" i="2"/>
  <c r="H153" i="2"/>
  <c r="G153" i="2"/>
  <c r="F153" i="2"/>
  <c r="D153" i="2"/>
  <c r="C153" i="2"/>
  <c r="B153" i="2"/>
  <c r="P152" i="2"/>
  <c r="O152" i="2"/>
  <c r="N152" i="2"/>
  <c r="L152" i="2"/>
  <c r="K152" i="2"/>
  <c r="J152" i="2"/>
  <c r="H152" i="2"/>
  <c r="G152" i="2"/>
  <c r="F152" i="2"/>
  <c r="D152" i="2"/>
  <c r="C152" i="2"/>
  <c r="B152" i="2"/>
  <c r="P151" i="2"/>
  <c r="O151" i="2"/>
  <c r="N151" i="2"/>
  <c r="L151" i="2"/>
  <c r="K151" i="2"/>
  <c r="J151" i="2"/>
  <c r="H151" i="2"/>
  <c r="G151" i="2"/>
  <c r="F151" i="2"/>
  <c r="D151" i="2"/>
  <c r="C151" i="2"/>
  <c r="B151" i="2"/>
  <c r="P149" i="2"/>
  <c r="O149" i="2"/>
  <c r="N149" i="2"/>
  <c r="L149" i="2"/>
  <c r="K149" i="2"/>
  <c r="J149" i="2"/>
  <c r="H149" i="2"/>
  <c r="G149" i="2"/>
  <c r="F149" i="2"/>
  <c r="D149" i="2"/>
  <c r="C149" i="2"/>
  <c r="B149" i="2"/>
  <c r="P148" i="2"/>
  <c r="O148" i="2"/>
  <c r="N148" i="2"/>
  <c r="L148" i="2"/>
  <c r="K148" i="2"/>
  <c r="J148" i="2"/>
  <c r="H148" i="2"/>
  <c r="G148" i="2"/>
  <c r="F148" i="2"/>
  <c r="D148" i="2"/>
  <c r="C148" i="2"/>
  <c r="B148" i="2"/>
  <c r="P147" i="2"/>
  <c r="O147" i="2"/>
  <c r="N147" i="2"/>
  <c r="L147" i="2"/>
  <c r="K147" i="2"/>
  <c r="J147" i="2"/>
  <c r="H147" i="2"/>
  <c r="G147" i="2"/>
  <c r="F147" i="2"/>
  <c r="D147" i="2"/>
  <c r="C147" i="2"/>
  <c r="B147" i="2"/>
  <c r="Q144" i="2"/>
  <c r="M144" i="2"/>
  <c r="I144" i="2"/>
  <c r="E144" i="2"/>
  <c r="P143" i="2"/>
  <c r="O143" i="2"/>
  <c r="N143" i="2"/>
  <c r="L143" i="2"/>
  <c r="K143" i="2"/>
  <c r="J143" i="2"/>
  <c r="H143" i="2"/>
  <c r="G143" i="2"/>
  <c r="F143" i="2"/>
  <c r="D143" i="2"/>
  <c r="C143" i="2"/>
  <c r="B143" i="2"/>
  <c r="P142" i="2"/>
  <c r="O142" i="2"/>
  <c r="N142" i="2"/>
  <c r="L142" i="2"/>
  <c r="K142" i="2"/>
  <c r="J142" i="2"/>
  <c r="H142" i="2"/>
  <c r="G142" i="2"/>
  <c r="F142" i="2"/>
  <c r="D142" i="2"/>
  <c r="C142" i="2"/>
  <c r="B142" i="2"/>
  <c r="P141" i="2"/>
  <c r="O141" i="2"/>
  <c r="N141" i="2"/>
  <c r="L141" i="2"/>
  <c r="K141" i="2"/>
  <c r="J141" i="2"/>
  <c r="H141" i="2"/>
  <c r="G141" i="2"/>
  <c r="F141" i="2"/>
  <c r="D141" i="2"/>
  <c r="C141" i="2"/>
  <c r="B141" i="2"/>
  <c r="P139" i="2"/>
  <c r="O139" i="2"/>
  <c r="N139" i="2"/>
  <c r="L139" i="2"/>
  <c r="K139" i="2"/>
  <c r="J139" i="2"/>
  <c r="H139" i="2"/>
  <c r="G139" i="2"/>
  <c r="F139" i="2"/>
  <c r="D139" i="2"/>
  <c r="C139" i="2"/>
  <c r="B139" i="2"/>
  <c r="P138" i="2"/>
  <c r="O138" i="2"/>
  <c r="N138" i="2"/>
  <c r="L138" i="2"/>
  <c r="K138" i="2"/>
  <c r="J138" i="2"/>
  <c r="H138" i="2"/>
  <c r="G138" i="2"/>
  <c r="F138" i="2"/>
  <c r="D138" i="2"/>
  <c r="C138" i="2"/>
  <c r="B138" i="2"/>
  <c r="P137" i="2"/>
  <c r="O137" i="2"/>
  <c r="N137" i="2"/>
  <c r="L137" i="2"/>
  <c r="K137" i="2"/>
  <c r="K136" i="2" s="1"/>
  <c r="J137" i="2"/>
  <c r="H137" i="2"/>
  <c r="G137" i="2"/>
  <c r="F137" i="2"/>
  <c r="D137" i="2"/>
  <c r="C137" i="2"/>
  <c r="B137" i="2"/>
  <c r="P135" i="2"/>
  <c r="O135" i="2"/>
  <c r="N135" i="2"/>
  <c r="L135" i="2"/>
  <c r="K135" i="2"/>
  <c r="J135" i="2"/>
  <c r="H135" i="2"/>
  <c r="G135" i="2"/>
  <c r="F135" i="2"/>
  <c r="D135" i="2"/>
  <c r="C135" i="2"/>
  <c r="B135" i="2"/>
  <c r="P134" i="2"/>
  <c r="O134" i="2"/>
  <c r="N134" i="2"/>
  <c r="L134" i="2"/>
  <c r="K134" i="2"/>
  <c r="J134" i="2"/>
  <c r="H134" i="2"/>
  <c r="G134" i="2"/>
  <c r="F134" i="2"/>
  <c r="D134" i="2"/>
  <c r="C134" i="2"/>
  <c r="B134" i="2"/>
  <c r="P133" i="2"/>
  <c r="O133" i="2"/>
  <c r="N133" i="2"/>
  <c r="L133" i="2"/>
  <c r="K133" i="2"/>
  <c r="J133" i="2"/>
  <c r="H133" i="2"/>
  <c r="G133" i="2"/>
  <c r="F133" i="2"/>
  <c r="D133" i="2"/>
  <c r="C133" i="2"/>
  <c r="B133" i="2"/>
  <c r="P131" i="2"/>
  <c r="O131" i="2"/>
  <c r="N131" i="2"/>
  <c r="L131" i="2"/>
  <c r="K131" i="2"/>
  <c r="J131" i="2"/>
  <c r="H131" i="2"/>
  <c r="G131" i="2"/>
  <c r="F131" i="2"/>
  <c r="D131" i="2"/>
  <c r="C131" i="2"/>
  <c r="B131" i="2"/>
  <c r="P130" i="2"/>
  <c r="O130" i="2"/>
  <c r="N130" i="2"/>
  <c r="L130" i="2"/>
  <c r="K130" i="2"/>
  <c r="J130" i="2"/>
  <c r="H130" i="2"/>
  <c r="G130" i="2"/>
  <c r="F130" i="2"/>
  <c r="D130" i="2"/>
  <c r="C130" i="2"/>
  <c r="B130" i="2"/>
  <c r="P129" i="2"/>
  <c r="O129" i="2"/>
  <c r="N129" i="2"/>
  <c r="L129" i="2"/>
  <c r="K129" i="2"/>
  <c r="J129" i="2"/>
  <c r="H129" i="2"/>
  <c r="G129" i="2"/>
  <c r="F129" i="2"/>
  <c r="D129" i="2"/>
  <c r="C129" i="2"/>
  <c r="B129" i="2"/>
  <c r="P127" i="2"/>
  <c r="O127" i="2"/>
  <c r="N127" i="2"/>
  <c r="L127" i="2"/>
  <c r="K127" i="2"/>
  <c r="J127" i="2"/>
  <c r="H127" i="2"/>
  <c r="G127" i="2"/>
  <c r="F127" i="2"/>
  <c r="D127" i="2"/>
  <c r="C127" i="2"/>
  <c r="B127" i="2"/>
  <c r="P126" i="2"/>
  <c r="O126" i="2"/>
  <c r="N126" i="2"/>
  <c r="L126" i="2"/>
  <c r="K126" i="2"/>
  <c r="J126" i="2"/>
  <c r="H126" i="2"/>
  <c r="G126" i="2"/>
  <c r="F126" i="2"/>
  <c r="D126" i="2"/>
  <c r="C126" i="2"/>
  <c r="B126" i="2"/>
  <c r="P125" i="2"/>
  <c r="O125" i="2"/>
  <c r="N125" i="2"/>
  <c r="L125" i="2"/>
  <c r="K125" i="2"/>
  <c r="J125" i="2"/>
  <c r="H125" i="2"/>
  <c r="G125" i="2"/>
  <c r="F125" i="2"/>
  <c r="D125" i="2"/>
  <c r="C125" i="2"/>
  <c r="B125" i="2"/>
  <c r="A122" i="2"/>
  <c r="P118" i="2"/>
  <c r="O118" i="2"/>
  <c r="N118" i="2"/>
  <c r="L118" i="2"/>
  <c r="K118" i="2"/>
  <c r="J118" i="2"/>
  <c r="H118" i="2"/>
  <c r="G118" i="2"/>
  <c r="F118" i="2"/>
  <c r="D118" i="2"/>
  <c r="C118" i="2"/>
  <c r="B118" i="2"/>
  <c r="P117" i="2"/>
  <c r="O117" i="2"/>
  <c r="N117" i="2"/>
  <c r="L117" i="2"/>
  <c r="K117" i="2"/>
  <c r="J117" i="2"/>
  <c r="H117" i="2"/>
  <c r="G117" i="2"/>
  <c r="F117" i="2"/>
  <c r="D117" i="2"/>
  <c r="C117" i="2"/>
  <c r="B117" i="2"/>
  <c r="P116" i="2"/>
  <c r="O116" i="2"/>
  <c r="N116" i="2"/>
  <c r="L116" i="2"/>
  <c r="K116" i="2"/>
  <c r="J116" i="2"/>
  <c r="H116" i="2"/>
  <c r="G116" i="2"/>
  <c r="F116" i="2"/>
  <c r="D116" i="2"/>
  <c r="C116" i="2"/>
  <c r="B116" i="2"/>
  <c r="P115" i="2"/>
  <c r="O115" i="2"/>
  <c r="N115" i="2"/>
  <c r="L115" i="2"/>
  <c r="K115" i="2"/>
  <c r="J115" i="2"/>
  <c r="H115" i="2"/>
  <c r="G115" i="2"/>
  <c r="F115" i="2"/>
  <c r="D115" i="2"/>
  <c r="C115" i="2"/>
  <c r="B115" i="2"/>
  <c r="P114" i="2"/>
  <c r="O114" i="2"/>
  <c r="N114" i="2"/>
  <c r="L114" i="2"/>
  <c r="K114" i="2"/>
  <c r="J114" i="2"/>
  <c r="H114" i="2"/>
  <c r="G114" i="2"/>
  <c r="F114" i="2"/>
  <c r="D114" i="2"/>
  <c r="C114" i="2"/>
  <c r="B114" i="2"/>
  <c r="P113" i="2"/>
  <c r="O113" i="2"/>
  <c r="N113" i="2"/>
  <c r="L113" i="2"/>
  <c r="K113" i="2"/>
  <c r="J113" i="2"/>
  <c r="H113" i="2"/>
  <c r="G113" i="2"/>
  <c r="F113" i="2"/>
  <c r="D113" i="2"/>
  <c r="C113" i="2"/>
  <c r="B113" i="2"/>
  <c r="P112" i="2"/>
  <c r="O112" i="2"/>
  <c r="N112" i="2"/>
  <c r="L112" i="2"/>
  <c r="K112" i="2"/>
  <c r="J112" i="2"/>
  <c r="H112" i="2"/>
  <c r="G112" i="2"/>
  <c r="F112" i="2"/>
  <c r="D112" i="2"/>
  <c r="C112" i="2"/>
  <c r="B112" i="2"/>
  <c r="P111" i="2"/>
  <c r="O111" i="2"/>
  <c r="N111" i="2"/>
  <c r="L111" i="2"/>
  <c r="K111" i="2"/>
  <c r="J111" i="2"/>
  <c r="H111" i="2"/>
  <c r="G111" i="2"/>
  <c r="F111" i="2"/>
  <c r="D111" i="2"/>
  <c r="C111" i="2"/>
  <c r="B111" i="2"/>
  <c r="P109" i="2"/>
  <c r="O109" i="2"/>
  <c r="N109" i="2"/>
  <c r="L109" i="2"/>
  <c r="K109" i="2"/>
  <c r="J109" i="2"/>
  <c r="H109" i="2"/>
  <c r="G109" i="2"/>
  <c r="F109" i="2"/>
  <c r="D109" i="2"/>
  <c r="C109" i="2"/>
  <c r="B109" i="2"/>
  <c r="P108" i="2"/>
  <c r="O108" i="2"/>
  <c r="N108" i="2"/>
  <c r="L108" i="2"/>
  <c r="K108" i="2"/>
  <c r="J108" i="2"/>
  <c r="H108" i="2"/>
  <c r="G108" i="2"/>
  <c r="F108" i="2"/>
  <c r="D108" i="2"/>
  <c r="C108" i="2"/>
  <c r="B108" i="2"/>
  <c r="P105" i="2"/>
  <c r="O105" i="2"/>
  <c r="N105" i="2"/>
  <c r="L105" i="2"/>
  <c r="K105" i="2"/>
  <c r="J105" i="2"/>
  <c r="H105" i="2"/>
  <c r="G105" i="2"/>
  <c r="F105" i="2"/>
  <c r="D105" i="2"/>
  <c r="C105" i="2"/>
  <c r="B105" i="2"/>
  <c r="P104" i="2"/>
  <c r="O104" i="2"/>
  <c r="N104" i="2"/>
  <c r="L104" i="2"/>
  <c r="K104" i="2"/>
  <c r="J104" i="2"/>
  <c r="H104" i="2"/>
  <c r="G104" i="2"/>
  <c r="F104" i="2"/>
  <c r="D104" i="2"/>
  <c r="C104" i="2"/>
  <c r="B104" i="2"/>
  <c r="P103" i="2"/>
  <c r="O103" i="2"/>
  <c r="N103" i="2"/>
  <c r="L103" i="2"/>
  <c r="K103" i="2"/>
  <c r="J103" i="2"/>
  <c r="H103" i="2"/>
  <c r="G103" i="2"/>
  <c r="F103" i="2"/>
  <c r="D103" i="2"/>
  <c r="C103" i="2"/>
  <c r="B103" i="2"/>
  <c r="P102" i="2"/>
  <c r="O102" i="2"/>
  <c r="N102" i="2"/>
  <c r="L102" i="2"/>
  <c r="K102" i="2"/>
  <c r="J102" i="2"/>
  <c r="H102" i="2"/>
  <c r="G102" i="2"/>
  <c r="F102" i="2"/>
  <c r="D102" i="2"/>
  <c r="C102" i="2"/>
  <c r="B102" i="2"/>
  <c r="P101" i="2"/>
  <c r="O101" i="2"/>
  <c r="N101" i="2"/>
  <c r="L101" i="2"/>
  <c r="K101" i="2"/>
  <c r="J101" i="2"/>
  <c r="H101" i="2"/>
  <c r="G101" i="2"/>
  <c r="F101" i="2"/>
  <c r="D101" i="2"/>
  <c r="C101" i="2"/>
  <c r="B101" i="2"/>
  <c r="P100" i="2"/>
  <c r="O100" i="2"/>
  <c r="N100" i="2"/>
  <c r="L100" i="2"/>
  <c r="K100" i="2"/>
  <c r="J100" i="2"/>
  <c r="H100" i="2"/>
  <c r="G100" i="2"/>
  <c r="F100" i="2"/>
  <c r="D100" i="2"/>
  <c r="C100" i="2"/>
  <c r="B100" i="2"/>
  <c r="P99" i="2"/>
  <c r="O99" i="2"/>
  <c r="N99" i="2"/>
  <c r="L99" i="2"/>
  <c r="K99" i="2"/>
  <c r="J99" i="2"/>
  <c r="H99" i="2"/>
  <c r="G99" i="2"/>
  <c r="F99" i="2"/>
  <c r="D99" i="2"/>
  <c r="C99" i="2"/>
  <c r="B99" i="2"/>
  <c r="P98" i="2"/>
  <c r="O98" i="2"/>
  <c r="N98" i="2"/>
  <c r="L98" i="2"/>
  <c r="K98" i="2"/>
  <c r="J98" i="2"/>
  <c r="H98" i="2"/>
  <c r="G98" i="2"/>
  <c r="F98" i="2"/>
  <c r="D98" i="2"/>
  <c r="C98" i="2"/>
  <c r="B98" i="2"/>
  <c r="P96" i="2"/>
  <c r="O96" i="2"/>
  <c r="N96" i="2"/>
  <c r="L96" i="2"/>
  <c r="K96" i="2"/>
  <c r="J96" i="2"/>
  <c r="H96" i="2"/>
  <c r="G96" i="2"/>
  <c r="F96" i="2"/>
  <c r="D96" i="2"/>
  <c r="C96" i="2"/>
  <c r="B96" i="2"/>
  <c r="P95" i="2"/>
  <c r="O95" i="2"/>
  <c r="N95" i="2"/>
  <c r="L95" i="2"/>
  <c r="K95" i="2"/>
  <c r="J95" i="2"/>
  <c r="H95" i="2"/>
  <c r="G95" i="2"/>
  <c r="F95" i="2"/>
  <c r="D95" i="2"/>
  <c r="C95" i="2"/>
  <c r="B95" i="2"/>
  <c r="P92" i="2"/>
  <c r="O92" i="2"/>
  <c r="N92" i="2"/>
  <c r="L92" i="2"/>
  <c r="K92" i="2"/>
  <c r="J92" i="2"/>
  <c r="H92" i="2"/>
  <c r="G92" i="2"/>
  <c r="F92" i="2"/>
  <c r="D92" i="2"/>
  <c r="C92" i="2"/>
  <c r="B92" i="2"/>
  <c r="P91" i="2"/>
  <c r="O91" i="2"/>
  <c r="N91" i="2"/>
  <c r="L91" i="2"/>
  <c r="K91" i="2"/>
  <c r="J91" i="2"/>
  <c r="H91" i="2"/>
  <c r="G91" i="2"/>
  <c r="F91" i="2"/>
  <c r="D91" i="2"/>
  <c r="C91" i="2"/>
  <c r="B91" i="2"/>
  <c r="P90" i="2"/>
  <c r="O90" i="2"/>
  <c r="N90" i="2"/>
  <c r="L90" i="2"/>
  <c r="K90" i="2"/>
  <c r="J90" i="2"/>
  <c r="H90" i="2"/>
  <c r="G90" i="2"/>
  <c r="F90" i="2"/>
  <c r="D90" i="2"/>
  <c r="C90" i="2"/>
  <c r="B90" i="2"/>
  <c r="P89" i="2"/>
  <c r="O89" i="2"/>
  <c r="N89" i="2"/>
  <c r="L89" i="2"/>
  <c r="K89" i="2"/>
  <c r="J89" i="2"/>
  <c r="H89" i="2"/>
  <c r="G89" i="2"/>
  <c r="F89" i="2"/>
  <c r="D89" i="2"/>
  <c r="C89" i="2"/>
  <c r="B89" i="2"/>
  <c r="P88" i="2"/>
  <c r="O88" i="2"/>
  <c r="N88" i="2"/>
  <c r="L88" i="2"/>
  <c r="K88" i="2"/>
  <c r="J88" i="2"/>
  <c r="H88" i="2"/>
  <c r="G88" i="2"/>
  <c r="F88" i="2"/>
  <c r="D88" i="2"/>
  <c r="C88" i="2"/>
  <c r="B88" i="2"/>
  <c r="P87" i="2"/>
  <c r="O87" i="2"/>
  <c r="N87" i="2"/>
  <c r="L87" i="2"/>
  <c r="K87" i="2"/>
  <c r="J87" i="2"/>
  <c r="H87" i="2"/>
  <c r="G87" i="2"/>
  <c r="F87" i="2"/>
  <c r="D87" i="2"/>
  <c r="C87" i="2"/>
  <c r="B87" i="2"/>
  <c r="P86" i="2"/>
  <c r="O86" i="2"/>
  <c r="N86" i="2"/>
  <c r="L86" i="2"/>
  <c r="K86" i="2"/>
  <c r="J86" i="2"/>
  <c r="H86" i="2"/>
  <c r="G86" i="2"/>
  <c r="F86" i="2"/>
  <c r="D86" i="2"/>
  <c r="C86" i="2"/>
  <c r="B86" i="2"/>
  <c r="P85" i="2"/>
  <c r="O85" i="2"/>
  <c r="N85" i="2"/>
  <c r="L85" i="2"/>
  <c r="K85" i="2"/>
  <c r="J85" i="2"/>
  <c r="H85" i="2"/>
  <c r="G85" i="2"/>
  <c r="F85" i="2"/>
  <c r="D85" i="2"/>
  <c r="C85" i="2"/>
  <c r="B85" i="2"/>
  <c r="P83" i="2"/>
  <c r="O83" i="2"/>
  <c r="N83" i="2"/>
  <c r="L83" i="2"/>
  <c r="K83" i="2"/>
  <c r="J83" i="2"/>
  <c r="H83" i="2"/>
  <c r="G83" i="2"/>
  <c r="F83" i="2"/>
  <c r="D83" i="2"/>
  <c r="C83" i="2"/>
  <c r="B83" i="2"/>
  <c r="P82" i="2"/>
  <c r="O82" i="2"/>
  <c r="N82" i="2"/>
  <c r="L82" i="2"/>
  <c r="K82" i="2"/>
  <c r="J82" i="2"/>
  <c r="H82" i="2"/>
  <c r="G82" i="2"/>
  <c r="F82" i="2"/>
  <c r="D82" i="2"/>
  <c r="C82" i="2"/>
  <c r="B82" i="2"/>
  <c r="P79" i="2"/>
  <c r="O79" i="2"/>
  <c r="N79" i="2"/>
  <c r="L79" i="2"/>
  <c r="K79" i="2"/>
  <c r="J79" i="2"/>
  <c r="H79" i="2"/>
  <c r="G79" i="2"/>
  <c r="F79" i="2"/>
  <c r="D79" i="2"/>
  <c r="C79" i="2"/>
  <c r="B79" i="2"/>
  <c r="P78" i="2"/>
  <c r="O78" i="2"/>
  <c r="N78" i="2"/>
  <c r="L78" i="2"/>
  <c r="K78" i="2"/>
  <c r="J78" i="2"/>
  <c r="H78" i="2"/>
  <c r="G78" i="2"/>
  <c r="F78" i="2"/>
  <c r="D78" i="2"/>
  <c r="C78" i="2"/>
  <c r="B78" i="2"/>
  <c r="P77" i="2"/>
  <c r="O77" i="2"/>
  <c r="N77" i="2"/>
  <c r="L77" i="2"/>
  <c r="K77" i="2"/>
  <c r="J77" i="2"/>
  <c r="H77" i="2"/>
  <c r="G77" i="2"/>
  <c r="F77" i="2"/>
  <c r="D77" i="2"/>
  <c r="C77" i="2"/>
  <c r="B77" i="2"/>
  <c r="P76" i="2"/>
  <c r="O76" i="2"/>
  <c r="N76" i="2"/>
  <c r="L76" i="2"/>
  <c r="K76" i="2"/>
  <c r="J76" i="2"/>
  <c r="H76" i="2"/>
  <c r="G76" i="2"/>
  <c r="F76" i="2"/>
  <c r="D76" i="2"/>
  <c r="C76" i="2"/>
  <c r="B76" i="2"/>
  <c r="P75" i="2"/>
  <c r="O75" i="2"/>
  <c r="N75" i="2"/>
  <c r="L75" i="2"/>
  <c r="K75" i="2"/>
  <c r="J75" i="2"/>
  <c r="H75" i="2"/>
  <c r="G75" i="2"/>
  <c r="F75" i="2"/>
  <c r="D75" i="2"/>
  <c r="C75" i="2"/>
  <c r="B75" i="2"/>
  <c r="P74" i="2"/>
  <c r="O74" i="2"/>
  <c r="N74" i="2"/>
  <c r="L74" i="2"/>
  <c r="K74" i="2"/>
  <c r="J74" i="2"/>
  <c r="H74" i="2"/>
  <c r="G74" i="2"/>
  <c r="F74" i="2"/>
  <c r="D74" i="2"/>
  <c r="C74" i="2"/>
  <c r="B74" i="2"/>
  <c r="P73" i="2"/>
  <c r="O73" i="2"/>
  <c r="N73" i="2"/>
  <c r="L73" i="2"/>
  <c r="K73" i="2"/>
  <c r="J73" i="2"/>
  <c r="H73" i="2"/>
  <c r="G73" i="2"/>
  <c r="F73" i="2"/>
  <c r="D73" i="2"/>
  <c r="C73" i="2"/>
  <c r="B73" i="2"/>
  <c r="P72" i="2"/>
  <c r="O72" i="2"/>
  <c r="N72" i="2"/>
  <c r="L72" i="2"/>
  <c r="K72" i="2"/>
  <c r="J72" i="2"/>
  <c r="H72" i="2"/>
  <c r="G72" i="2"/>
  <c r="F72" i="2"/>
  <c r="D72" i="2"/>
  <c r="C72" i="2"/>
  <c r="B72" i="2"/>
  <c r="P70" i="2"/>
  <c r="O70" i="2"/>
  <c r="N70" i="2"/>
  <c r="L70" i="2"/>
  <c r="K70" i="2"/>
  <c r="J70" i="2"/>
  <c r="H70" i="2"/>
  <c r="G70" i="2"/>
  <c r="F70" i="2"/>
  <c r="D70" i="2"/>
  <c r="C70" i="2"/>
  <c r="B70" i="2"/>
  <c r="P69" i="2"/>
  <c r="O69" i="2"/>
  <c r="N69" i="2"/>
  <c r="L69" i="2"/>
  <c r="K69" i="2"/>
  <c r="J69" i="2"/>
  <c r="H69" i="2"/>
  <c r="G69" i="2"/>
  <c r="F69" i="2"/>
  <c r="D69" i="2"/>
  <c r="C69" i="2"/>
  <c r="B69" i="2"/>
  <c r="P66" i="2"/>
  <c r="O66" i="2"/>
  <c r="N66" i="2"/>
  <c r="L66" i="2"/>
  <c r="K66" i="2"/>
  <c r="J66" i="2"/>
  <c r="H66" i="2"/>
  <c r="G66" i="2"/>
  <c r="F66" i="2"/>
  <c r="D66" i="2"/>
  <c r="C66" i="2"/>
  <c r="B66" i="2"/>
  <c r="P65" i="2"/>
  <c r="O65" i="2"/>
  <c r="N65" i="2"/>
  <c r="L65" i="2"/>
  <c r="K65" i="2"/>
  <c r="J65" i="2"/>
  <c r="H65" i="2"/>
  <c r="G65" i="2"/>
  <c r="F65" i="2"/>
  <c r="D65" i="2"/>
  <c r="C65" i="2"/>
  <c r="B65" i="2"/>
  <c r="P64" i="2"/>
  <c r="O64" i="2"/>
  <c r="N64" i="2"/>
  <c r="L64" i="2"/>
  <c r="K64" i="2"/>
  <c r="J64" i="2"/>
  <c r="H64" i="2"/>
  <c r="G64" i="2"/>
  <c r="F64" i="2"/>
  <c r="D64" i="2"/>
  <c r="C64" i="2"/>
  <c r="B64" i="2"/>
  <c r="P63" i="2"/>
  <c r="O63" i="2"/>
  <c r="N63" i="2"/>
  <c r="L63" i="2"/>
  <c r="K63" i="2"/>
  <c r="J63" i="2"/>
  <c r="H63" i="2"/>
  <c r="G63" i="2"/>
  <c r="F63" i="2"/>
  <c r="D63" i="2"/>
  <c r="C63" i="2"/>
  <c r="B63" i="2"/>
  <c r="P62" i="2"/>
  <c r="O62" i="2"/>
  <c r="N62" i="2"/>
  <c r="L62" i="2"/>
  <c r="K62" i="2"/>
  <c r="J62" i="2"/>
  <c r="H62" i="2"/>
  <c r="G62" i="2"/>
  <c r="F62" i="2"/>
  <c r="D62" i="2"/>
  <c r="C62" i="2"/>
  <c r="B62" i="2"/>
  <c r="P61" i="2"/>
  <c r="O61" i="2"/>
  <c r="N61" i="2"/>
  <c r="L61" i="2"/>
  <c r="K61" i="2"/>
  <c r="J61" i="2"/>
  <c r="H61" i="2"/>
  <c r="G61" i="2"/>
  <c r="F61" i="2"/>
  <c r="D61" i="2"/>
  <c r="C61" i="2"/>
  <c r="B61" i="2"/>
  <c r="P60" i="2"/>
  <c r="O60" i="2"/>
  <c r="N60" i="2"/>
  <c r="L60" i="2"/>
  <c r="K60" i="2"/>
  <c r="J60" i="2"/>
  <c r="H60" i="2"/>
  <c r="G60" i="2"/>
  <c r="F60" i="2"/>
  <c r="D60" i="2"/>
  <c r="C60" i="2"/>
  <c r="B60" i="2"/>
  <c r="P59" i="2"/>
  <c r="O59" i="2"/>
  <c r="N59" i="2"/>
  <c r="L59" i="2"/>
  <c r="K59" i="2"/>
  <c r="J59" i="2"/>
  <c r="H59" i="2"/>
  <c r="G59" i="2"/>
  <c r="F59" i="2"/>
  <c r="D59" i="2"/>
  <c r="C59" i="2"/>
  <c r="B59" i="2"/>
  <c r="P57" i="2"/>
  <c r="O57" i="2"/>
  <c r="N57" i="2"/>
  <c r="L57" i="2"/>
  <c r="K57" i="2"/>
  <c r="J57" i="2"/>
  <c r="H57" i="2"/>
  <c r="G57" i="2"/>
  <c r="F57" i="2"/>
  <c r="D57" i="2"/>
  <c r="C57" i="2"/>
  <c r="B57" i="2"/>
  <c r="P56" i="2"/>
  <c r="O56" i="2"/>
  <c r="N56" i="2"/>
  <c r="L56" i="2"/>
  <c r="K56" i="2"/>
  <c r="J56" i="2"/>
  <c r="H56" i="2"/>
  <c r="G56" i="2"/>
  <c r="F56" i="2"/>
  <c r="D56" i="2"/>
  <c r="C56" i="2"/>
  <c r="B56" i="2"/>
  <c r="P52" i="2"/>
  <c r="O52" i="2"/>
  <c r="N52" i="2"/>
  <c r="L52" i="2"/>
  <c r="K52" i="2"/>
  <c r="J52" i="2"/>
  <c r="H52" i="2"/>
  <c r="G52" i="2"/>
  <c r="F52" i="2"/>
  <c r="D52" i="2"/>
  <c r="C52" i="2"/>
  <c r="B52" i="2"/>
  <c r="P51" i="2"/>
  <c r="O51" i="2"/>
  <c r="N51" i="2"/>
  <c r="L51" i="2"/>
  <c r="K51" i="2"/>
  <c r="J51" i="2"/>
  <c r="H51" i="2"/>
  <c r="G51" i="2"/>
  <c r="F51" i="2"/>
  <c r="D51" i="2"/>
  <c r="C51" i="2"/>
  <c r="B51" i="2"/>
  <c r="P50" i="2"/>
  <c r="O50" i="2"/>
  <c r="N50" i="2"/>
  <c r="L50" i="2"/>
  <c r="K50" i="2"/>
  <c r="J50" i="2"/>
  <c r="H50" i="2"/>
  <c r="G50" i="2"/>
  <c r="F50" i="2"/>
  <c r="D50" i="2"/>
  <c r="C50" i="2"/>
  <c r="B50" i="2"/>
  <c r="P49" i="2"/>
  <c r="O49" i="2"/>
  <c r="N49" i="2"/>
  <c r="L49" i="2"/>
  <c r="K49" i="2"/>
  <c r="J49" i="2"/>
  <c r="H49" i="2"/>
  <c r="G49" i="2"/>
  <c r="F49" i="2"/>
  <c r="D49" i="2"/>
  <c r="C49" i="2"/>
  <c r="B49" i="2"/>
  <c r="P48" i="2"/>
  <c r="O48" i="2"/>
  <c r="N48" i="2"/>
  <c r="L48" i="2"/>
  <c r="K48" i="2"/>
  <c r="J48" i="2"/>
  <c r="H48" i="2"/>
  <c r="G48" i="2"/>
  <c r="F48" i="2"/>
  <c r="D48" i="2"/>
  <c r="C48" i="2"/>
  <c r="B48" i="2"/>
  <c r="P47" i="2"/>
  <c r="O47" i="2"/>
  <c r="N47" i="2"/>
  <c r="L47" i="2"/>
  <c r="K47" i="2"/>
  <c r="J47" i="2"/>
  <c r="H47" i="2"/>
  <c r="G47" i="2"/>
  <c r="F47" i="2"/>
  <c r="D47" i="2"/>
  <c r="C47" i="2"/>
  <c r="B47" i="2"/>
  <c r="P46" i="2"/>
  <c r="O46" i="2"/>
  <c r="N46" i="2"/>
  <c r="L46" i="2"/>
  <c r="K46" i="2"/>
  <c r="J46" i="2"/>
  <c r="H46" i="2"/>
  <c r="G46" i="2"/>
  <c r="F46" i="2"/>
  <c r="D46" i="2"/>
  <c r="C46" i="2"/>
  <c r="B46" i="2"/>
  <c r="P45" i="2"/>
  <c r="O45" i="2"/>
  <c r="N45" i="2"/>
  <c r="L45" i="2"/>
  <c r="K45" i="2"/>
  <c r="J45" i="2"/>
  <c r="H45" i="2"/>
  <c r="G45" i="2"/>
  <c r="F45" i="2"/>
  <c r="D45" i="2"/>
  <c r="C45" i="2"/>
  <c r="B45" i="2"/>
  <c r="P43" i="2"/>
  <c r="O43" i="2"/>
  <c r="N43" i="2"/>
  <c r="L43" i="2"/>
  <c r="K43" i="2"/>
  <c r="J43" i="2"/>
  <c r="H43" i="2"/>
  <c r="G43" i="2"/>
  <c r="F43" i="2"/>
  <c r="D43" i="2"/>
  <c r="C43" i="2"/>
  <c r="B43" i="2"/>
  <c r="P42" i="2"/>
  <c r="O42" i="2"/>
  <c r="N42" i="2"/>
  <c r="L42" i="2"/>
  <c r="K42" i="2"/>
  <c r="J42" i="2"/>
  <c r="H42" i="2"/>
  <c r="G42" i="2"/>
  <c r="F42" i="2"/>
  <c r="D42" i="2"/>
  <c r="C42" i="2"/>
  <c r="B42" i="2"/>
  <c r="P39" i="2"/>
  <c r="O39" i="2"/>
  <c r="N39" i="2"/>
  <c r="L39" i="2"/>
  <c r="K39" i="2"/>
  <c r="J39" i="2"/>
  <c r="H39" i="2"/>
  <c r="G39" i="2"/>
  <c r="F39" i="2"/>
  <c r="D39" i="2"/>
  <c r="C39" i="2"/>
  <c r="B39" i="2"/>
  <c r="P38" i="2"/>
  <c r="O38" i="2"/>
  <c r="N38" i="2"/>
  <c r="L38" i="2"/>
  <c r="K38" i="2"/>
  <c r="J38" i="2"/>
  <c r="H38" i="2"/>
  <c r="G38" i="2"/>
  <c r="F38" i="2"/>
  <c r="D38" i="2"/>
  <c r="C38" i="2"/>
  <c r="B38" i="2"/>
  <c r="P37" i="2"/>
  <c r="O37" i="2"/>
  <c r="N37" i="2"/>
  <c r="L37" i="2"/>
  <c r="K37" i="2"/>
  <c r="J37" i="2"/>
  <c r="H37" i="2"/>
  <c r="G37" i="2"/>
  <c r="F37" i="2"/>
  <c r="D37" i="2"/>
  <c r="C37" i="2"/>
  <c r="B37" i="2"/>
  <c r="P36" i="2"/>
  <c r="O36" i="2"/>
  <c r="N36" i="2"/>
  <c r="L36" i="2"/>
  <c r="K36" i="2"/>
  <c r="J36" i="2"/>
  <c r="H36" i="2"/>
  <c r="G36" i="2"/>
  <c r="F36" i="2"/>
  <c r="D36" i="2"/>
  <c r="C36" i="2"/>
  <c r="B36" i="2"/>
  <c r="P35" i="2"/>
  <c r="O35" i="2"/>
  <c r="N35" i="2"/>
  <c r="L35" i="2"/>
  <c r="K35" i="2"/>
  <c r="J35" i="2"/>
  <c r="H35" i="2"/>
  <c r="G35" i="2"/>
  <c r="F35" i="2"/>
  <c r="D35" i="2"/>
  <c r="C35" i="2"/>
  <c r="B35" i="2"/>
  <c r="P34" i="2"/>
  <c r="O34" i="2"/>
  <c r="N34" i="2"/>
  <c r="L34" i="2"/>
  <c r="K34" i="2"/>
  <c r="J34" i="2"/>
  <c r="H34" i="2"/>
  <c r="G34" i="2"/>
  <c r="F34" i="2"/>
  <c r="D34" i="2"/>
  <c r="C34" i="2"/>
  <c r="B34" i="2"/>
  <c r="P33" i="2"/>
  <c r="O33" i="2"/>
  <c r="N33" i="2"/>
  <c r="L33" i="2"/>
  <c r="K33" i="2"/>
  <c r="J33" i="2"/>
  <c r="H33" i="2"/>
  <c r="G33" i="2"/>
  <c r="F33" i="2"/>
  <c r="D33" i="2"/>
  <c r="C33" i="2"/>
  <c r="B33" i="2"/>
  <c r="P32" i="2"/>
  <c r="O32" i="2"/>
  <c r="N32" i="2"/>
  <c r="L32" i="2"/>
  <c r="K32" i="2"/>
  <c r="J32" i="2"/>
  <c r="H32" i="2"/>
  <c r="G32" i="2"/>
  <c r="F32" i="2"/>
  <c r="D32" i="2"/>
  <c r="C32" i="2"/>
  <c r="B32" i="2"/>
  <c r="P30" i="2"/>
  <c r="O30" i="2"/>
  <c r="N30" i="2"/>
  <c r="L30" i="2"/>
  <c r="K30" i="2"/>
  <c r="J30" i="2"/>
  <c r="H30" i="2"/>
  <c r="G30" i="2"/>
  <c r="F30" i="2"/>
  <c r="D30" i="2"/>
  <c r="C30" i="2"/>
  <c r="B30" i="2"/>
  <c r="P29" i="2"/>
  <c r="O29" i="2"/>
  <c r="N29" i="2"/>
  <c r="L29" i="2"/>
  <c r="K29" i="2"/>
  <c r="J29" i="2"/>
  <c r="H29" i="2"/>
  <c r="G29" i="2"/>
  <c r="F29" i="2"/>
  <c r="D29" i="2"/>
  <c r="C29" i="2"/>
  <c r="B29" i="2"/>
  <c r="P25" i="2"/>
  <c r="O25" i="2"/>
  <c r="N25" i="2"/>
  <c r="L25" i="2"/>
  <c r="K25" i="2"/>
  <c r="J25" i="2"/>
  <c r="H25" i="2"/>
  <c r="G25" i="2"/>
  <c r="F25" i="2"/>
  <c r="D25" i="2"/>
  <c r="C25" i="2"/>
  <c r="B25" i="2"/>
  <c r="P24" i="2"/>
  <c r="O24" i="2"/>
  <c r="N24" i="2"/>
  <c r="L24" i="2"/>
  <c r="K24" i="2"/>
  <c r="J24" i="2"/>
  <c r="H24" i="2"/>
  <c r="G24" i="2"/>
  <c r="F24" i="2"/>
  <c r="D24" i="2"/>
  <c r="C24" i="2"/>
  <c r="B24" i="2"/>
  <c r="P23" i="2"/>
  <c r="O23" i="2"/>
  <c r="N23" i="2"/>
  <c r="L23" i="2"/>
  <c r="K23" i="2"/>
  <c r="J23" i="2"/>
  <c r="H23" i="2"/>
  <c r="G23" i="2"/>
  <c r="F23" i="2"/>
  <c r="D23" i="2"/>
  <c r="C23" i="2"/>
  <c r="B23" i="2"/>
  <c r="P22" i="2"/>
  <c r="O22" i="2"/>
  <c r="N22" i="2"/>
  <c r="L22" i="2"/>
  <c r="K22" i="2"/>
  <c r="J22" i="2"/>
  <c r="H22" i="2"/>
  <c r="G22" i="2"/>
  <c r="F22" i="2"/>
  <c r="D22" i="2"/>
  <c r="C22" i="2"/>
  <c r="B22" i="2"/>
  <c r="P21" i="2"/>
  <c r="O21" i="2"/>
  <c r="N21" i="2"/>
  <c r="L21" i="2"/>
  <c r="K21" i="2"/>
  <c r="J21" i="2"/>
  <c r="H21" i="2"/>
  <c r="G21" i="2"/>
  <c r="F21" i="2"/>
  <c r="D21" i="2"/>
  <c r="C21" i="2"/>
  <c r="B21" i="2"/>
  <c r="P20" i="2"/>
  <c r="O20" i="2"/>
  <c r="N20" i="2"/>
  <c r="L20" i="2"/>
  <c r="K20" i="2"/>
  <c r="J20" i="2"/>
  <c r="H20" i="2"/>
  <c r="G20" i="2"/>
  <c r="F20" i="2"/>
  <c r="D20" i="2"/>
  <c r="C20" i="2"/>
  <c r="B20" i="2"/>
  <c r="P19" i="2"/>
  <c r="O19" i="2"/>
  <c r="N19" i="2"/>
  <c r="L19" i="2"/>
  <c r="K19" i="2"/>
  <c r="J19" i="2"/>
  <c r="H19" i="2"/>
  <c r="G19" i="2"/>
  <c r="F19" i="2"/>
  <c r="D19" i="2"/>
  <c r="C19" i="2"/>
  <c r="B19" i="2"/>
  <c r="P18" i="2"/>
  <c r="O18" i="2"/>
  <c r="N18" i="2"/>
  <c r="L18" i="2"/>
  <c r="K18" i="2"/>
  <c r="J18" i="2"/>
  <c r="H18" i="2"/>
  <c r="G18" i="2"/>
  <c r="F18" i="2"/>
  <c r="D18" i="2"/>
  <c r="C18" i="2"/>
  <c r="B18" i="2"/>
  <c r="P16" i="2"/>
  <c r="O16" i="2"/>
  <c r="N16" i="2"/>
  <c r="L16" i="2"/>
  <c r="K16" i="2"/>
  <c r="J16" i="2"/>
  <c r="H16" i="2"/>
  <c r="G16" i="2"/>
  <c r="F16" i="2"/>
  <c r="D16" i="2"/>
  <c r="C16" i="2"/>
  <c r="B16" i="2"/>
  <c r="P15" i="2"/>
  <c r="O15" i="2"/>
  <c r="N15" i="2"/>
  <c r="L15" i="2"/>
  <c r="K15" i="2"/>
  <c r="J15" i="2"/>
  <c r="H15" i="2"/>
  <c r="G15" i="2"/>
  <c r="F15" i="2"/>
  <c r="D15" i="2"/>
  <c r="C15" i="2"/>
  <c r="B15" i="2"/>
  <c r="P10" i="2"/>
  <c r="O10" i="2"/>
  <c r="N10" i="2"/>
  <c r="L10" i="2"/>
  <c r="K10" i="2"/>
  <c r="J10" i="2"/>
  <c r="H10" i="2"/>
  <c r="G10" i="2"/>
  <c r="F10" i="2"/>
  <c r="D10" i="2"/>
  <c r="C10" i="2"/>
  <c r="B10" i="2"/>
  <c r="P9" i="2"/>
  <c r="O9" i="2"/>
  <c r="N9" i="2"/>
  <c r="L9" i="2"/>
  <c r="K9" i="2"/>
  <c r="J9" i="2"/>
  <c r="H9" i="2"/>
  <c r="G9" i="2"/>
  <c r="F9" i="2"/>
  <c r="D9" i="2"/>
  <c r="C9" i="2"/>
  <c r="B9" i="2"/>
  <c r="P8" i="2"/>
  <c r="O8" i="2"/>
  <c r="N8" i="2"/>
  <c r="L8" i="2"/>
  <c r="L12" i="2" s="1"/>
  <c r="K8" i="2"/>
  <c r="J8" i="2"/>
  <c r="H8" i="2"/>
  <c r="H12" i="2" s="1"/>
  <c r="G8" i="2"/>
  <c r="F8" i="2"/>
  <c r="D8" i="2"/>
  <c r="C8" i="2"/>
  <c r="C12" i="2" s="1"/>
  <c r="B8" i="2"/>
  <c r="B12" i="2" s="1"/>
  <c r="P7" i="2"/>
  <c r="P11" i="2" s="1"/>
  <c r="O7" i="2"/>
  <c r="N7" i="2"/>
  <c r="L7" i="2"/>
  <c r="K7" i="2"/>
  <c r="J7" i="2"/>
  <c r="H7" i="2"/>
  <c r="H11" i="2" s="1"/>
  <c r="G7" i="2"/>
  <c r="G11" i="2" s="1"/>
  <c r="F7" i="2"/>
  <c r="F11" i="2" s="1"/>
  <c r="D7" i="2"/>
  <c r="C7" i="2"/>
  <c r="B7" i="2"/>
  <c r="P5" i="2"/>
  <c r="O5" i="2"/>
  <c r="N5" i="2"/>
  <c r="L5" i="2"/>
  <c r="K5" i="2"/>
  <c r="J5" i="2"/>
  <c r="H5" i="2"/>
  <c r="G5" i="2"/>
  <c r="F5" i="2"/>
  <c r="D5" i="2"/>
  <c r="C5" i="2"/>
  <c r="B5" i="2"/>
  <c r="P4" i="2"/>
  <c r="O4" i="2"/>
  <c r="N4" i="2"/>
  <c r="L4" i="2"/>
  <c r="K4" i="2"/>
  <c r="J4" i="2"/>
  <c r="H4" i="2"/>
  <c r="G4" i="2"/>
  <c r="F4" i="2"/>
  <c r="D4" i="2"/>
  <c r="C4" i="2"/>
  <c r="B4" i="2"/>
  <c r="P132" i="2" l="1"/>
  <c r="P146" i="2"/>
  <c r="C11" i="2"/>
  <c r="D11" i="2"/>
  <c r="G12" i="2"/>
  <c r="G132" i="2"/>
  <c r="P171" i="2"/>
  <c r="L11" i="2"/>
  <c r="N11" i="2"/>
  <c r="P12" i="2"/>
  <c r="K11" i="2"/>
  <c r="O11" i="2"/>
  <c r="J41" i="2"/>
  <c r="J94" i="2"/>
  <c r="H124" i="2"/>
  <c r="C128" i="2"/>
  <c r="H146" i="2"/>
  <c r="C150" i="2"/>
  <c r="N159" i="2"/>
  <c r="H163" i="2"/>
  <c r="N167" i="2"/>
  <c r="K6" i="2"/>
  <c r="G14" i="2"/>
  <c r="G28" i="2"/>
  <c r="R119" i="3"/>
  <c r="R120" i="3" s="1"/>
  <c r="R121" i="3" s="1"/>
  <c r="K68" i="2"/>
  <c r="O124" i="2"/>
  <c r="O132" i="2"/>
  <c r="O146" i="2"/>
  <c r="K14" i="2"/>
  <c r="K28" i="2"/>
  <c r="C132" i="2"/>
  <c r="O154" i="2"/>
  <c r="J167" i="2"/>
  <c r="G6" i="2"/>
  <c r="G31" i="2"/>
  <c r="G27" i="2" s="1"/>
  <c r="G68" i="2"/>
  <c r="N132" i="2"/>
  <c r="L132" i="2"/>
  <c r="L6" i="2"/>
  <c r="B17" i="2"/>
  <c r="L17" i="2"/>
  <c r="L41" i="2"/>
  <c r="L55" i="2"/>
  <c r="L81" i="2"/>
  <c r="B94" i="2"/>
  <c r="L94" i="2"/>
  <c r="L97" i="2"/>
  <c r="L107" i="2"/>
  <c r="P128" i="2"/>
  <c r="O6" i="2"/>
  <c r="D14" i="2"/>
  <c r="O14" i="2"/>
  <c r="D28" i="2"/>
  <c r="O28" i="2"/>
  <c r="D31" i="2"/>
  <c r="D41" i="2"/>
  <c r="D55" i="2"/>
  <c r="D68" i="2"/>
  <c r="O68" i="2"/>
  <c r="D6" i="2"/>
  <c r="C140" i="2"/>
  <c r="C14" i="2"/>
  <c r="C13" i="2" s="1"/>
  <c r="C17" i="2"/>
  <c r="C28" i="2"/>
  <c r="N41" i="2"/>
  <c r="C97" i="2"/>
  <c r="C107" i="2"/>
  <c r="N107" i="2"/>
  <c r="G128" i="2"/>
  <c r="O136" i="2"/>
  <c r="C6" i="2"/>
  <c r="P81" i="2"/>
  <c r="K81" i="2"/>
  <c r="F94" i="2"/>
  <c r="L146" i="2"/>
  <c r="G150" i="2"/>
  <c r="B171" i="2"/>
  <c r="L171" i="2"/>
  <c r="N140" i="2"/>
  <c r="P31" i="2"/>
  <c r="F41" i="2"/>
  <c r="P44" i="2"/>
  <c r="P55" i="2"/>
  <c r="P68" i="2"/>
  <c r="D81" i="2"/>
  <c r="D107" i="2"/>
  <c r="H128" i="2"/>
  <c r="H132" i="2"/>
  <c r="G154" i="2"/>
  <c r="P6" i="2"/>
  <c r="H55" i="2"/>
  <c r="H68" i="2"/>
  <c r="G81" i="2"/>
  <c r="P124" i="2"/>
  <c r="F136" i="2"/>
  <c r="K140" i="2"/>
  <c r="D159" i="2"/>
  <c r="D167" i="2"/>
  <c r="H6" i="2"/>
  <c r="H81" i="2"/>
  <c r="H107" i="2"/>
  <c r="G124" i="2"/>
  <c r="B140" i="2"/>
  <c r="K146" i="2"/>
  <c r="K154" i="2"/>
  <c r="F167" i="2"/>
  <c r="D132" i="2"/>
  <c r="J136" i="2"/>
  <c r="C146" i="2"/>
  <c r="C154" i="2"/>
  <c r="D146" i="2"/>
  <c r="G140" i="2"/>
  <c r="I120" i="3"/>
  <c r="I121" i="3" s="1"/>
  <c r="F121" i="3"/>
  <c r="M37" i="2"/>
  <c r="M39" i="2"/>
  <c r="E46" i="2"/>
  <c r="N192" i="4"/>
  <c r="Q192" i="4" s="1"/>
  <c r="L150" i="2"/>
  <c r="M75" i="2"/>
  <c r="M77" i="2"/>
  <c r="Q91" i="2"/>
  <c r="I22" i="2"/>
  <c r="I24" i="2"/>
  <c r="I37" i="2"/>
  <c r="I39" i="2"/>
  <c r="Q46" i="2"/>
  <c r="I18" i="2"/>
  <c r="Q114" i="2"/>
  <c r="Q37" i="2"/>
  <c r="Q39" i="2"/>
  <c r="I46" i="2"/>
  <c r="K44" i="2"/>
  <c r="Q108" i="2"/>
  <c r="M130" i="2"/>
  <c r="I134" i="2"/>
  <c r="I135" i="2"/>
  <c r="Q152" i="2"/>
  <c r="E156" i="2"/>
  <c r="Q16" i="2"/>
  <c r="Q166" i="2"/>
  <c r="M172" i="2"/>
  <c r="M181" i="2"/>
  <c r="M185" i="2"/>
  <c r="O31" i="2"/>
  <c r="E22" i="2"/>
  <c r="E24" i="2"/>
  <c r="E37" i="2"/>
  <c r="E39" i="2"/>
  <c r="M46" i="2"/>
  <c r="E152" i="2"/>
  <c r="I156" i="2"/>
  <c r="F187" i="3"/>
  <c r="F192" i="3" s="1"/>
  <c r="I192" i="3" s="1"/>
  <c r="F178" i="3"/>
  <c r="I178" i="3" s="1"/>
  <c r="I177" i="3"/>
  <c r="I187" i="3" s="1"/>
  <c r="N121" i="3"/>
  <c r="Q120" i="3"/>
  <c r="Q121" i="3" s="1"/>
  <c r="N177" i="3"/>
  <c r="B177" i="3"/>
  <c r="B121" i="3"/>
  <c r="E120" i="3"/>
  <c r="E121" i="3" s="1"/>
  <c r="J177" i="3"/>
  <c r="J121" i="3"/>
  <c r="M120" i="3"/>
  <c r="M121" i="3" s="1"/>
  <c r="E61" i="2"/>
  <c r="E65" i="2"/>
  <c r="I75" i="2"/>
  <c r="I77" i="2"/>
  <c r="M85" i="2"/>
  <c r="M91" i="2"/>
  <c r="Q103" i="2"/>
  <c r="M114" i="2"/>
  <c r="M116" i="2"/>
  <c r="Q141" i="2"/>
  <c r="I170" i="2"/>
  <c r="E5" i="2"/>
  <c r="I10" i="2"/>
  <c r="Q18" i="2"/>
  <c r="Q22" i="2"/>
  <c r="Q24" i="2"/>
  <c r="E75" i="2"/>
  <c r="E77" i="2"/>
  <c r="M152" i="2"/>
  <c r="Q156" i="2"/>
  <c r="E164" i="2"/>
  <c r="I166" i="2"/>
  <c r="E172" i="2"/>
  <c r="E174" i="2"/>
  <c r="E183" i="2"/>
  <c r="E59" i="2"/>
  <c r="E63" i="2"/>
  <c r="M87" i="2"/>
  <c r="Q101" i="2"/>
  <c r="E9" i="2"/>
  <c r="E10" i="2"/>
  <c r="M18" i="2"/>
  <c r="M22" i="2"/>
  <c r="M24" i="2"/>
  <c r="M35" i="2"/>
  <c r="I38" i="2"/>
  <c r="I47" i="2"/>
  <c r="Q52" i="2"/>
  <c r="M59" i="2"/>
  <c r="M61" i="2"/>
  <c r="Q75" i="2"/>
  <c r="I76" i="2"/>
  <c r="Q77" i="2"/>
  <c r="I78" i="2"/>
  <c r="Q89" i="2"/>
  <c r="I103" i="2"/>
  <c r="Q112" i="2"/>
  <c r="Q118" i="2"/>
  <c r="Q130" i="2"/>
  <c r="E139" i="2"/>
  <c r="I152" i="2"/>
  <c r="M156" i="2"/>
  <c r="Q161" i="2"/>
  <c r="Q162" i="2"/>
  <c r="F140" i="2"/>
  <c r="L163" i="2"/>
  <c r="M16" i="2"/>
  <c r="E18" i="2"/>
  <c r="M20" i="2"/>
  <c r="I23" i="2"/>
  <c r="I25" i="2"/>
  <c r="M52" i="2"/>
  <c r="I59" i="2"/>
  <c r="I61" i="2"/>
  <c r="M73" i="2"/>
  <c r="M79" i="2"/>
  <c r="I85" i="2"/>
  <c r="I87" i="2"/>
  <c r="I91" i="2"/>
  <c r="M99" i="2"/>
  <c r="M101" i="2"/>
  <c r="M105" i="2"/>
  <c r="I108" i="2"/>
  <c r="I114" i="2"/>
  <c r="I116" i="2"/>
  <c r="M126" i="2"/>
  <c r="O128" i="2"/>
  <c r="K132" i="2"/>
  <c r="M141" i="2"/>
  <c r="P154" i="2"/>
  <c r="I157" i="2"/>
  <c r="E170" i="2"/>
  <c r="I172" i="2"/>
  <c r="I181" i="2"/>
  <c r="L186" i="2"/>
  <c r="I185" i="2"/>
  <c r="Q8" i="2"/>
  <c r="Q9" i="2"/>
  <c r="Q10" i="2"/>
  <c r="H14" i="2"/>
  <c r="I29" i="2"/>
  <c r="P28" i="2"/>
  <c r="I52" i="2"/>
  <c r="Q64" i="2"/>
  <c r="Q66" i="2"/>
  <c r="E85" i="2"/>
  <c r="E87" i="2"/>
  <c r="M88" i="2"/>
  <c r="E91" i="2"/>
  <c r="I99" i="2"/>
  <c r="I101" i="2"/>
  <c r="E114" i="2"/>
  <c r="E116" i="2"/>
  <c r="M117" i="2"/>
  <c r="E127" i="2"/>
  <c r="I130" i="2"/>
  <c r="Q137" i="2"/>
  <c r="I141" i="2"/>
  <c r="E148" i="2"/>
  <c r="E149" i="2"/>
  <c r="L154" i="2"/>
  <c r="Q170" i="2"/>
  <c r="N171" i="2"/>
  <c r="Q175" i="2"/>
  <c r="Q180" i="2"/>
  <c r="E181" i="2"/>
  <c r="I182" i="2"/>
  <c r="Q184" i="2"/>
  <c r="E185" i="2"/>
  <c r="H28" i="2"/>
  <c r="M10" i="2"/>
  <c r="O12" i="2"/>
  <c r="E16" i="2"/>
  <c r="G17" i="2"/>
  <c r="G13" i="2" s="1"/>
  <c r="H17" i="2"/>
  <c r="E20" i="2"/>
  <c r="L28" i="2"/>
  <c r="M49" i="2"/>
  <c r="Q50" i="2"/>
  <c r="E52" i="2"/>
  <c r="Q57" i="2"/>
  <c r="Q59" i="2"/>
  <c r="J58" i="2"/>
  <c r="Q61" i="2"/>
  <c r="M62" i="2"/>
  <c r="M64" i="2"/>
  <c r="I83" i="2"/>
  <c r="D84" i="2"/>
  <c r="Q85" i="2"/>
  <c r="I86" i="2"/>
  <c r="Q87" i="2"/>
  <c r="I88" i="2"/>
  <c r="I92" i="2"/>
  <c r="E99" i="2"/>
  <c r="E101" i="2"/>
  <c r="E103" i="2"/>
  <c r="E105" i="2"/>
  <c r="I109" i="2"/>
  <c r="I115" i="2"/>
  <c r="Q116" i="2"/>
  <c r="I117" i="2"/>
  <c r="E130" i="2"/>
  <c r="E131" i="2"/>
  <c r="E141" i="2"/>
  <c r="E142" i="2"/>
  <c r="J140" i="2"/>
  <c r="M143" i="2"/>
  <c r="K150" i="2"/>
  <c r="P150" i="2"/>
  <c r="E162" i="2"/>
  <c r="I164" i="2"/>
  <c r="M170" i="2"/>
  <c r="Q172" i="2"/>
  <c r="M175" i="2"/>
  <c r="M180" i="2"/>
  <c r="Q181" i="2"/>
  <c r="Q185" i="2"/>
  <c r="I133" i="2"/>
  <c r="F132" i="2"/>
  <c r="I132" i="2" s="1"/>
  <c r="E137" i="2"/>
  <c r="B136" i="2"/>
  <c r="G136" i="2"/>
  <c r="J159" i="2"/>
  <c r="M162" i="2"/>
  <c r="I5" i="2"/>
  <c r="I20" i="2"/>
  <c r="E21" i="2"/>
  <c r="E23" i="2"/>
  <c r="J28" i="2"/>
  <c r="M29" i="2"/>
  <c r="Q73" i="2"/>
  <c r="M78" i="2"/>
  <c r="Q79" i="2"/>
  <c r="H84" i="2"/>
  <c r="H80" i="2" s="1"/>
  <c r="M89" i="2"/>
  <c r="G146" i="2"/>
  <c r="I162" i="2"/>
  <c r="F159" i="2"/>
  <c r="Q164" i="2"/>
  <c r="N163" i="2"/>
  <c r="P17" i="2"/>
  <c r="Q29" i="2"/>
  <c r="N28" i="2"/>
  <c r="Q21" i="2"/>
  <c r="N58" i="2"/>
  <c r="H58" i="2"/>
  <c r="Q99" i="2"/>
  <c r="O97" i="2"/>
  <c r="O140" i="2"/>
  <c r="L159" i="2"/>
  <c r="B163" i="2"/>
  <c r="J163" i="2"/>
  <c r="M164" i="2"/>
  <c r="I8" i="2"/>
  <c r="K12" i="2"/>
  <c r="I9" i="2"/>
  <c r="P14" i="2"/>
  <c r="I16" i="2"/>
  <c r="E29" i="2"/>
  <c r="E30" i="2"/>
  <c r="Q33" i="2"/>
  <c r="M34" i="2"/>
  <c r="Q35" i="2"/>
  <c r="P41" i="2"/>
  <c r="M47" i="2"/>
  <c r="P94" i="2"/>
  <c r="K97" i="2"/>
  <c r="M103" i="2"/>
  <c r="I126" i="2"/>
  <c r="E138" i="2"/>
  <c r="N136" i="2"/>
  <c r="Q142" i="2"/>
  <c r="H159" i="2"/>
  <c r="H171" i="2"/>
  <c r="D171" i="2"/>
  <c r="Q174" i="2"/>
  <c r="Q183" i="2"/>
  <c r="M48" i="2"/>
  <c r="M50" i="2"/>
  <c r="D58" i="2"/>
  <c r="Q63" i="2"/>
  <c r="Q65" i="2"/>
  <c r="I73" i="2"/>
  <c r="E74" i="2"/>
  <c r="E76" i="2"/>
  <c r="I79" i="2"/>
  <c r="I89" i="2"/>
  <c r="E90" i="2"/>
  <c r="E92" i="2"/>
  <c r="I100" i="2"/>
  <c r="I102" i="2"/>
  <c r="I104" i="2"/>
  <c r="P107" i="2"/>
  <c r="E108" i="2"/>
  <c r="M108" i="2"/>
  <c r="P110" i="2"/>
  <c r="M112" i="2"/>
  <c r="M118" i="2"/>
  <c r="E126" i="2"/>
  <c r="Q127" i="2"/>
  <c r="Q133" i="2"/>
  <c r="Q134" i="2"/>
  <c r="Q135" i="2"/>
  <c r="M137" i="2"/>
  <c r="M148" i="2"/>
  <c r="M149" i="2"/>
  <c r="D163" i="2"/>
  <c r="M165" i="2"/>
  <c r="P167" i="2"/>
  <c r="M174" i="2"/>
  <c r="I175" i="2"/>
  <c r="K186" i="2"/>
  <c r="M183" i="2"/>
  <c r="I184" i="2"/>
  <c r="Q5" i="2"/>
  <c r="L14" i="2"/>
  <c r="Q34" i="2"/>
  <c r="E35" i="2"/>
  <c r="Q36" i="2"/>
  <c r="H41" i="2"/>
  <c r="Q43" i="2"/>
  <c r="I50" i="2"/>
  <c r="E51" i="2"/>
  <c r="I57" i="2"/>
  <c r="P58" i="2"/>
  <c r="I62" i="2"/>
  <c r="M63" i="2"/>
  <c r="M65" i="2"/>
  <c r="D94" i="2"/>
  <c r="M96" i="2"/>
  <c r="G97" i="2"/>
  <c r="E100" i="2"/>
  <c r="E102" i="2"/>
  <c r="I105" i="2"/>
  <c r="I112" i="2"/>
  <c r="E113" i="2"/>
  <c r="E115" i="2"/>
  <c r="I118" i="2"/>
  <c r="K128" i="2"/>
  <c r="I131" i="2"/>
  <c r="M134" i="2"/>
  <c r="M135" i="2"/>
  <c r="I137" i="2"/>
  <c r="I142" i="2"/>
  <c r="I149" i="2"/>
  <c r="H150" i="2"/>
  <c r="Q153" i="2"/>
  <c r="P159" i="2"/>
  <c r="P163" i="2"/>
  <c r="M166" i="2"/>
  <c r="L167" i="2"/>
  <c r="R191" i="2"/>
  <c r="M5" i="2"/>
  <c r="M9" i="2"/>
  <c r="M25" i="2"/>
  <c r="I33" i="2"/>
  <c r="I35" i="2"/>
  <c r="E36" i="2"/>
  <c r="E38" i="2"/>
  <c r="E48" i="2"/>
  <c r="Q49" i="2"/>
  <c r="E50" i="2"/>
  <c r="Q51" i="2"/>
  <c r="E60" i="2"/>
  <c r="I63" i="2"/>
  <c r="I65" i="2"/>
  <c r="E66" i="2"/>
  <c r="L58" i="2"/>
  <c r="E73" i="2"/>
  <c r="Q74" i="2"/>
  <c r="E79" i="2"/>
  <c r="M83" i="2"/>
  <c r="E89" i="2"/>
  <c r="Q90" i="2"/>
  <c r="H94" i="2"/>
  <c r="M104" i="2"/>
  <c r="Q105" i="2"/>
  <c r="G107" i="2"/>
  <c r="K107" i="2"/>
  <c r="O107" i="2"/>
  <c r="E112" i="2"/>
  <c r="Q113" i="2"/>
  <c r="E118" i="2"/>
  <c r="Q126" i="2"/>
  <c r="E134" i="2"/>
  <c r="E135" i="2"/>
  <c r="M138" i="2"/>
  <c r="M142" i="2"/>
  <c r="R144" i="2"/>
  <c r="Q149" i="2"/>
  <c r="O150" i="2"/>
  <c r="M157" i="2"/>
  <c r="E166" i="2"/>
  <c r="H167" i="2"/>
  <c r="Q169" i="2"/>
  <c r="I174" i="2"/>
  <c r="E175" i="2"/>
  <c r="E180" i="2"/>
  <c r="M182" i="2"/>
  <c r="I183" i="2"/>
  <c r="E184" i="2"/>
  <c r="B186" i="2"/>
  <c r="R189" i="2"/>
  <c r="R190" i="2"/>
  <c r="Q4" i="2"/>
  <c r="N6" i="2"/>
  <c r="I11" i="2"/>
  <c r="E33" i="2"/>
  <c r="C31" i="2"/>
  <c r="C27" i="2" s="1"/>
  <c r="G44" i="2"/>
  <c r="I48" i="2"/>
  <c r="I4" i="2"/>
  <c r="F6" i="2"/>
  <c r="Q11" i="2"/>
  <c r="Q15" i="2"/>
  <c r="N14" i="2"/>
  <c r="Q19" i="2"/>
  <c r="N17" i="2"/>
  <c r="I32" i="2"/>
  <c r="F31" i="2"/>
  <c r="M33" i="2"/>
  <c r="K31" i="2"/>
  <c r="K27" i="2" s="1"/>
  <c r="G41" i="2"/>
  <c r="I42" i="2"/>
  <c r="E43" i="2"/>
  <c r="B41" i="2"/>
  <c r="I45" i="2"/>
  <c r="F44" i="2"/>
  <c r="O44" i="2"/>
  <c r="Q48" i="2"/>
  <c r="B58" i="2"/>
  <c r="I60" i="2"/>
  <c r="F58" i="2"/>
  <c r="I69" i="2"/>
  <c r="F68" i="2"/>
  <c r="C94" i="2"/>
  <c r="E95" i="2"/>
  <c r="Q96" i="2"/>
  <c r="N94" i="2"/>
  <c r="I111" i="2"/>
  <c r="F110" i="2"/>
  <c r="E4" i="2"/>
  <c r="B6" i="2"/>
  <c r="J11" i="2"/>
  <c r="D12" i="2"/>
  <c r="E12" i="2" s="1"/>
  <c r="M8" i="2"/>
  <c r="J12" i="2"/>
  <c r="M15" i="2"/>
  <c r="J14" i="2"/>
  <c r="F17" i="2"/>
  <c r="D17" i="2"/>
  <c r="M19" i="2"/>
  <c r="J17" i="2"/>
  <c r="Q20" i="2"/>
  <c r="O17" i="2"/>
  <c r="O13" i="2" s="1"/>
  <c r="B28" i="2"/>
  <c r="C41" i="2"/>
  <c r="E42" i="2"/>
  <c r="C44" i="2"/>
  <c r="E45" i="2"/>
  <c r="B44" i="2"/>
  <c r="L44" i="2"/>
  <c r="L40" i="2" s="1"/>
  <c r="G55" i="2"/>
  <c r="Q56" i="2"/>
  <c r="N55" i="2"/>
  <c r="E57" i="2"/>
  <c r="C55" i="2"/>
  <c r="O94" i="2"/>
  <c r="Q95" i="2"/>
  <c r="I15" i="2"/>
  <c r="F14" i="2"/>
  <c r="O41" i="2"/>
  <c r="Q42" i="2"/>
  <c r="M56" i="2"/>
  <c r="J55" i="2"/>
  <c r="E70" i="2"/>
  <c r="C68" i="2"/>
  <c r="E83" i="2"/>
  <c r="C81" i="2"/>
  <c r="K94" i="2"/>
  <c r="M95" i="2"/>
  <c r="E98" i="2"/>
  <c r="B97" i="2"/>
  <c r="B93" i="2" s="1"/>
  <c r="M4" i="2"/>
  <c r="J6" i="2"/>
  <c r="B11" i="2"/>
  <c r="E8" i="2"/>
  <c r="F12" i="2"/>
  <c r="N12" i="2"/>
  <c r="E15" i="2"/>
  <c r="B14" i="2"/>
  <c r="K17" i="2"/>
  <c r="K13" i="2" s="1"/>
  <c r="I30" i="2"/>
  <c r="F28" i="2"/>
  <c r="M32" i="2"/>
  <c r="J31" i="2"/>
  <c r="K41" i="2"/>
  <c r="M42" i="2"/>
  <c r="O55" i="2"/>
  <c r="M57" i="2"/>
  <c r="K55" i="2"/>
  <c r="M69" i="2"/>
  <c r="J68" i="2"/>
  <c r="I72" i="2"/>
  <c r="F71" i="2"/>
  <c r="P71" i="2"/>
  <c r="P67" i="2" s="1"/>
  <c r="M82" i="2"/>
  <c r="J81" i="2"/>
  <c r="Q83" i="2"/>
  <c r="O81" i="2"/>
  <c r="E86" i="2"/>
  <c r="B84" i="2"/>
  <c r="L84" i="2"/>
  <c r="L80" i="2" s="1"/>
  <c r="P84" i="2"/>
  <c r="G94" i="2"/>
  <c r="I95" i="2"/>
  <c r="E109" i="2"/>
  <c r="B107" i="2"/>
  <c r="I129" i="2"/>
  <c r="F128" i="2"/>
  <c r="Q125" i="2"/>
  <c r="N124" i="2"/>
  <c r="M133" i="2"/>
  <c r="J132" i="2"/>
  <c r="E7" i="2"/>
  <c r="I7" i="2"/>
  <c r="M7" i="2"/>
  <c r="Q7" i="2"/>
  <c r="I19" i="2"/>
  <c r="M21" i="2"/>
  <c r="Q23" i="2"/>
  <c r="E25" i="2"/>
  <c r="Q30" i="2"/>
  <c r="E32" i="2"/>
  <c r="B31" i="2"/>
  <c r="L31" i="2"/>
  <c r="I34" i="2"/>
  <c r="M36" i="2"/>
  <c r="Q38" i="2"/>
  <c r="M43" i="2"/>
  <c r="H44" i="2"/>
  <c r="Q45" i="2"/>
  <c r="N44" i="2"/>
  <c r="E47" i="2"/>
  <c r="I49" i="2"/>
  <c r="M51" i="2"/>
  <c r="I56" i="2"/>
  <c r="F55" i="2"/>
  <c r="C58" i="2"/>
  <c r="G58" i="2"/>
  <c r="K58" i="2"/>
  <c r="O58" i="2"/>
  <c r="Q60" i="2"/>
  <c r="E62" i="2"/>
  <c r="I64" i="2"/>
  <c r="M66" i="2"/>
  <c r="E69" i="2"/>
  <c r="B68" i="2"/>
  <c r="L68" i="2"/>
  <c r="M70" i="2"/>
  <c r="H71" i="2"/>
  <c r="H67" i="2" s="1"/>
  <c r="Q72" i="2"/>
  <c r="N71" i="2"/>
  <c r="E78" i="2"/>
  <c r="M86" i="2"/>
  <c r="J84" i="2"/>
  <c r="Q88" i="2"/>
  <c r="N84" i="2"/>
  <c r="D97" i="2"/>
  <c r="M98" i="2"/>
  <c r="J97" i="2"/>
  <c r="Q100" i="2"/>
  <c r="M109" i="2"/>
  <c r="J107" i="2"/>
  <c r="H110" i="2"/>
  <c r="Q111" i="2"/>
  <c r="N110" i="2"/>
  <c r="E117" i="2"/>
  <c r="M127" i="2"/>
  <c r="Q129" i="2"/>
  <c r="N128" i="2"/>
  <c r="E153" i="2"/>
  <c r="E19" i="2"/>
  <c r="I21" i="2"/>
  <c r="M23" i="2"/>
  <c r="Q25" i="2"/>
  <c r="M30" i="2"/>
  <c r="H31" i="2"/>
  <c r="Q32" i="2"/>
  <c r="N31" i="2"/>
  <c r="E34" i="2"/>
  <c r="I36" i="2"/>
  <c r="M38" i="2"/>
  <c r="I43" i="2"/>
  <c r="D44" i="2"/>
  <c r="D40" i="2" s="1"/>
  <c r="M45" i="2"/>
  <c r="J44" i="2"/>
  <c r="Q47" i="2"/>
  <c r="E49" i="2"/>
  <c r="I51" i="2"/>
  <c r="E56" i="2"/>
  <c r="B55" i="2"/>
  <c r="M60" i="2"/>
  <c r="Q62" i="2"/>
  <c r="E64" i="2"/>
  <c r="I66" i="2"/>
  <c r="Q69" i="2"/>
  <c r="N68" i="2"/>
  <c r="M74" i="2"/>
  <c r="G71" i="2"/>
  <c r="G67" i="2" s="1"/>
  <c r="O71" i="2"/>
  <c r="Q76" i="2"/>
  <c r="E82" i="2"/>
  <c r="B81" i="2"/>
  <c r="M90" i="2"/>
  <c r="Q92" i="2"/>
  <c r="I96" i="2"/>
  <c r="M102" i="2"/>
  <c r="Q104" i="2"/>
  <c r="M113" i="2"/>
  <c r="G110" i="2"/>
  <c r="O110" i="2"/>
  <c r="Q115" i="2"/>
  <c r="I125" i="2"/>
  <c r="F124" i="2"/>
  <c r="M131" i="2"/>
  <c r="E133" i="2"/>
  <c r="B132" i="2"/>
  <c r="E182" i="2"/>
  <c r="D186" i="2"/>
  <c r="M184" i="2"/>
  <c r="J186" i="2"/>
  <c r="Q70" i="2"/>
  <c r="C71" i="2"/>
  <c r="K71" i="2"/>
  <c r="E72" i="2"/>
  <c r="B71" i="2"/>
  <c r="L71" i="2"/>
  <c r="I74" i="2"/>
  <c r="M76" i="2"/>
  <c r="Q78" i="2"/>
  <c r="I82" i="2"/>
  <c r="F81" i="2"/>
  <c r="F84" i="2"/>
  <c r="C84" i="2"/>
  <c r="G84" i="2"/>
  <c r="G80" i="2" s="1"/>
  <c r="K84" i="2"/>
  <c r="O84" i="2"/>
  <c r="Q86" i="2"/>
  <c r="E88" i="2"/>
  <c r="I90" i="2"/>
  <c r="M92" i="2"/>
  <c r="E96" i="2"/>
  <c r="I98" i="2"/>
  <c r="F97" i="2"/>
  <c r="P97" i="2"/>
  <c r="M100" i="2"/>
  <c r="Q102" i="2"/>
  <c r="E104" i="2"/>
  <c r="F107" i="2"/>
  <c r="Q109" i="2"/>
  <c r="C110" i="2"/>
  <c r="K110" i="2"/>
  <c r="E111" i="2"/>
  <c r="B110" i="2"/>
  <c r="L110" i="2"/>
  <c r="L106" i="2" s="1"/>
  <c r="I113" i="2"/>
  <c r="M115" i="2"/>
  <c r="Q117" i="2"/>
  <c r="C124" i="2"/>
  <c r="K124" i="2"/>
  <c r="E125" i="2"/>
  <c r="B124" i="2"/>
  <c r="L124" i="2"/>
  <c r="I127" i="2"/>
  <c r="D128" i="2"/>
  <c r="M129" i="2"/>
  <c r="J128" i="2"/>
  <c r="Q131" i="2"/>
  <c r="Q138" i="2"/>
  <c r="M139" i="2"/>
  <c r="M147" i="2"/>
  <c r="J146" i="2"/>
  <c r="I155" i="2"/>
  <c r="F154" i="2"/>
  <c r="C159" i="2"/>
  <c r="E160" i="2"/>
  <c r="I165" i="2"/>
  <c r="F163" i="2"/>
  <c r="O167" i="2"/>
  <c r="Q168" i="2"/>
  <c r="I70" i="2"/>
  <c r="D71" i="2"/>
  <c r="D67" i="2" s="1"/>
  <c r="M72" i="2"/>
  <c r="J71" i="2"/>
  <c r="Q82" i="2"/>
  <c r="N81" i="2"/>
  <c r="H97" i="2"/>
  <c r="Q98" i="2"/>
  <c r="N97" i="2"/>
  <c r="D110" i="2"/>
  <c r="D106" i="2" s="1"/>
  <c r="M111" i="2"/>
  <c r="J110" i="2"/>
  <c r="D124" i="2"/>
  <c r="M125" i="2"/>
  <c r="J124" i="2"/>
  <c r="E129" i="2"/>
  <c r="B128" i="2"/>
  <c r="L128" i="2"/>
  <c r="I138" i="2"/>
  <c r="I151" i="2"/>
  <c r="F150" i="2"/>
  <c r="K159" i="2"/>
  <c r="M160" i="2"/>
  <c r="G167" i="2"/>
  <c r="I168" i="2"/>
  <c r="E169" i="2"/>
  <c r="B167" i="2"/>
  <c r="M173" i="2"/>
  <c r="J171" i="2"/>
  <c r="I180" i="2"/>
  <c r="F186" i="2"/>
  <c r="C136" i="2"/>
  <c r="I139" i="2"/>
  <c r="D140" i="2"/>
  <c r="H140" i="2"/>
  <c r="L140" i="2"/>
  <c r="P140" i="2"/>
  <c r="Q143" i="2"/>
  <c r="I147" i="2"/>
  <c r="F146" i="2"/>
  <c r="I148" i="2"/>
  <c r="E151" i="2"/>
  <c r="B150" i="2"/>
  <c r="E155" i="2"/>
  <c r="B154" i="2"/>
  <c r="O159" i="2"/>
  <c r="Q160" i="2"/>
  <c r="C167" i="2"/>
  <c r="E168" i="2"/>
  <c r="G186" i="2"/>
  <c r="Q182" i="2"/>
  <c r="P186" i="2"/>
  <c r="D136" i="2"/>
  <c r="H136" i="2"/>
  <c r="L136" i="2"/>
  <c r="P136" i="2"/>
  <c r="Q139" i="2"/>
  <c r="Q148" i="2"/>
  <c r="D150" i="2"/>
  <c r="G159" i="2"/>
  <c r="I160" i="2"/>
  <c r="E161" i="2"/>
  <c r="B159" i="2"/>
  <c r="K167" i="2"/>
  <c r="M168" i="2"/>
  <c r="I173" i="2"/>
  <c r="F171" i="2"/>
  <c r="I143" i="2"/>
  <c r="E147" i="2"/>
  <c r="B146" i="2"/>
  <c r="Q151" i="2"/>
  <c r="N150" i="2"/>
  <c r="M153" i="2"/>
  <c r="H154" i="2"/>
  <c r="Q155" i="2"/>
  <c r="N154" i="2"/>
  <c r="E157" i="2"/>
  <c r="M161" i="2"/>
  <c r="E165" i="2"/>
  <c r="M169" i="2"/>
  <c r="E173" i="2"/>
  <c r="C186" i="2"/>
  <c r="N186" i="2"/>
  <c r="E143" i="2"/>
  <c r="Q147" i="2"/>
  <c r="N146" i="2"/>
  <c r="M151" i="2"/>
  <c r="J150" i="2"/>
  <c r="I153" i="2"/>
  <c r="D154" i="2"/>
  <c r="M155" i="2"/>
  <c r="J154" i="2"/>
  <c r="Q157" i="2"/>
  <c r="I161" i="2"/>
  <c r="C163" i="2"/>
  <c r="G163" i="2"/>
  <c r="K163" i="2"/>
  <c r="O163" i="2"/>
  <c r="Q165" i="2"/>
  <c r="I169" i="2"/>
  <c r="C171" i="2"/>
  <c r="G171" i="2"/>
  <c r="K171" i="2"/>
  <c r="O171" i="2"/>
  <c r="Q173" i="2"/>
  <c r="O186" i="2"/>
  <c r="H186" i="2"/>
  <c r="K67" i="2" l="1"/>
  <c r="M136" i="2"/>
  <c r="C106" i="2"/>
  <c r="O27" i="2"/>
  <c r="P27" i="2"/>
  <c r="Q6" i="2"/>
  <c r="R6" i="2" s="1"/>
  <c r="O145" i="2"/>
  <c r="R177" i="3"/>
  <c r="R187" i="3" s="1"/>
  <c r="I12" i="2"/>
  <c r="P40" i="2"/>
  <c r="P80" i="2"/>
  <c r="E11" i="2"/>
  <c r="M11" i="2"/>
  <c r="I6" i="2"/>
  <c r="H54" i="2"/>
  <c r="O67" i="2"/>
  <c r="C93" i="2"/>
  <c r="P54" i="2"/>
  <c r="D13" i="2"/>
  <c r="Q132" i="2"/>
  <c r="F93" i="2"/>
  <c r="L54" i="2"/>
  <c r="L93" i="2"/>
  <c r="E132" i="2"/>
  <c r="M6" i="2"/>
  <c r="E6" i="2"/>
  <c r="L13" i="2"/>
  <c r="G145" i="2"/>
  <c r="K80" i="2"/>
  <c r="D54" i="2"/>
  <c r="D53" i="2" s="1"/>
  <c r="K145" i="2"/>
  <c r="C145" i="2"/>
  <c r="D27" i="2"/>
  <c r="D26" i="2" s="1"/>
  <c r="G123" i="2"/>
  <c r="D80" i="2"/>
  <c r="H106" i="2"/>
  <c r="I128" i="2"/>
  <c r="E140" i="2"/>
  <c r="F40" i="2"/>
  <c r="M28" i="2"/>
  <c r="R178" i="3"/>
  <c r="M154" i="2"/>
  <c r="L27" i="2"/>
  <c r="R39" i="2"/>
  <c r="I140" i="2"/>
  <c r="R22" i="2"/>
  <c r="M167" i="2"/>
  <c r="E163" i="2"/>
  <c r="K40" i="2"/>
  <c r="K26" i="2" s="1"/>
  <c r="R48" i="2"/>
  <c r="L145" i="2"/>
  <c r="Q136" i="2"/>
  <c r="R114" i="2"/>
  <c r="M44" i="2"/>
  <c r="K93" i="2"/>
  <c r="O40" i="2"/>
  <c r="O26" i="2" s="1"/>
  <c r="R152" i="2"/>
  <c r="Q44" i="2"/>
  <c r="R172" i="2"/>
  <c r="R75" i="2"/>
  <c r="H93" i="2"/>
  <c r="Q28" i="2"/>
  <c r="R101" i="2"/>
  <c r="R24" i="2"/>
  <c r="M150" i="2"/>
  <c r="D158" i="2"/>
  <c r="J158" i="2"/>
  <c r="R10" i="2"/>
  <c r="E171" i="2"/>
  <c r="M163" i="2"/>
  <c r="Q97" i="2"/>
  <c r="O93" i="2"/>
  <c r="R112" i="2"/>
  <c r="R37" i="2"/>
  <c r="R46" i="2"/>
  <c r="I159" i="2"/>
  <c r="I167" i="2"/>
  <c r="K106" i="2"/>
  <c r="P158" i="2"/>
  <c r="R170" i="2"/>
  <c r="R52" i="2"/>
  <c r="R185" i="2"/>
  <c r="R156" i="2"/>
  <c r="R77" i="2"/>
  <c r="M159" i="2"/>
  <c r="R66" i="2"/>
  <c r="M58" i="2"/>
  <c r="P93" i="2"/>
  <c r="R38" i="2"/>
  <c r="R23" i="2"/>
  <c r="Q128" i="2"/>
  <c r="R183" i="2"/>
  <c r="O123" i="2"/>
  <c r="H123" i="2"/>
  <c r="R141" i="2"/>
  <c r="J187" i="3"/>
  <c r="J192" i="3" s="1"/>
  <c r="M192" i="3" s="1"/>
  <c r="J178" i="3"/>
  <c r="M178" i="3" s="1"/>
  <c r="M177" i="3"/>
  <c r="M187" i="3" s="1"/>
  <c r="N187" i="3"/>
  <c r="N178" i="3"/>
  <c r="Q178" i="3" s="1"/>
  <c r="Q177" i="3"/>
  <c r="Q187" i="3" s="1"/>
  <c r="B187" i="3"/>
  <c r="B192" i="3" s="1"/>
  <c r="E192" i="3" s="1"/>
  <c r="B178" i="3"/>
  <c r="E178" i="3" s="1"/>
  <c r="E177" i="3"/>
  <c r="E187" i="3" s="1"/>
  <c r="Q171" i="2"/>
  <c r="Q12" i="2"/>
  <c r="R20" i="2"/>
  <c r="I17" i="2"/>
  <c r="P106" i="2"/>
  <c r="R103" i="2"/>
  <c r="N158" i="2"/>
  <c r="R91" i="2"/>
  <c r="R174" i="2"/>
  <c r="H13" i="2"/>
  <c r="R18" i="2"/>
  <c r="H145" i="2"/>
  <c r="Q186" i="2"/>
  <c r="R76" i="2"/>
  <c r="M132" i="2"/>
  <c r="R132" i="2" s="1"/>
  <c r="M12" i="2"/>
  <c r="R118" i="2"/>
  <c r="R16" i="2"/>
  <c r="R130" i="2"/>
  <c r="R59" i="2"/>
  <c r="R181" i="2"/>
  <c r="R85" i="2"/>
  <c r="R9" i="2"/>
  <c r="P145" i="2"/>
  <c r="R105" i="2"/>
  <c r="R61" i="2"/>
  <c r="E154" i="2"/>
  <c r="D145" i="2"/>
  <c r="Q154" i="2"/>
  <c r="Q107" i="2"/>
  <c r="R96" i="2"/>
  <c r="R88" i="2"/>
  <c r="R139" i="2"/>
  <c r="I186" i="2"/>
  <c r="R113" i="2"/>
  <c r="R102" i="2"/>
  <c r="Q84" i="2"/>
  <c r="R57" i="2"/>
  <c r="I31" i="2"/>
  <c r="R175" i="2"/>
  <c r="R166" i="2"/>
  <c r="R50" i="2"/>
  <c r="Q167" i="2"/>
  <c r="R164" i="2"/>
  <c r="R73" i="2"/>
  <c r="R87" i="2"/>
  <c r="M140" i="2"/>
  <c r="I150" i="2"/>
  <c r="H27" i="2"/>
  <c r="R36" i="2"/>
  <c r="K54" i="2"/>
  <c r="K53" i="2" s="1"/>
  <c r="M186" i="2"/>
  <c r="R142" i="2"/>
  <c r="R149" i="2"/>
  <c r="R63" i="2"/>
  <c r="R5" i="2"/>
  <c r="R116" i="2"/>
  <c r="R65" i="2"/>
  <c r="R100" i="2"/>
  <c r="H40" i="2"/>
  <c r="R89" i="2"/>
  <c r="R29" i="2"/>
  <c r="L158" i="2"/>
  <c r="R99" i="2"/>
  <c r="P13" i="2"/>
  <c r="R162" i="2"/>
  <c r="R138" i="2"/>
  <c r="E128" i="2"/>
  <c r="R129" i="2"/>
  <c r="I136" i="2"/>
  <c r="R126" i="2"/>
  <c r="E136" i="2"/>
  <c r="R127" i="2"/>
  <c r="K123" i="2"/>
  <c r="L26" i="2"/>
  <c r="R15" i="2"/>
  <c r="R137" i="2"/>
  <c r="Q163" i="2"/>
  <c r="Q150" i="2"/>
  <c r="R168" i="2"/>
  <c r="R148" i="2"/>
  <c r="P123" i="2"/>
  <c r="M171" i="2"/>
  <c r="Q140" i="2"/>
  <c r="E71" i="2"/>
  <c r="R60" i="2"/>
  <c r="R51" i="2"/>
  <c r="D93" i="2"/>
  <c r="E93" i="2" s="1"/>
  <c r="Q58" i="2"/>
  <c r="R21" i="2"/>
  <c r="M31" i="2"/>
  <c r="R30" i="2"/>
  <c r="E58" i="2"/>
  <c r="G40" i="2"/>
  <c r="G26" i="2" s="1"/>
  <c r="R33" i="2"/>
  <c r="R79" i="2"/>
  <c r="R35" i="2"/>
  <c r="H158" i="2"/>
  <c r="R180" i="2"/>
  <c r="O106" i="2"/>
  <c r="R34" i="2"/>
  <c r="R19" i="2"/>
  <c r="R8" i="2"/>
  <c r="E167" i="2"/>
  <c r="R90" i="2"/>
  <c r="R74" i="2"/>
  <c r="R184" i="2"/>
  <c r="G106" i="2"/>
  <c r="R92" i="2"/>
  <c r="R64" i="2"/>
  <c r="M97" i="2"/>
  <c r="R62" i="2"/>
  <c r="E31" i="2"/>
  <c r="R25" i="2"/>
  <c r="G93" i="2"/>
  <c r="P26" i="2"/>
  <c r="R108" i="2"/>
  <c r="R115" i="2"/>
  <c r="E110" i="2"/>
  <c r="R7" i="2"/>
  <c r="E150" i="2"/>
  <c r="I163" i="2"/>
  <c r="I154" i="2"/>
  <c r="J145" i="2"/>
  <c r="M146" i="2"/>
  <c r="I107" i="2"/>
  <c r="F106" i="2"/>
  <c r="R182" i="2"/>
  <c r="N67" i="2"/>
  <c r="Q67" i="2" s="1"/>
  <c r="Q68" i="2"/>
  <c r="B54" i="2"/>
  <c r="E55" i="2"/>
  <c r="R78" i="2"/>
  <c r="B67" i="2"/>
  <c r="E68" i="2"/>
  <c r="R109" i="2"/>
  <c r="R86" i="2"/>
  <c r="R98" i="2"/>
  <c r="R83" i="2"/>
  <c r="G54" i="2"/>
  <c r="G53" i="2" s="1"/>
  <c r="E28" i="2"/>
  <c r="B27" i="2"/>
  <c r="I58" i="2"/>
  <c r="R43" i="2"/>
  <c r="J27" i="2"/>
  <c r="R4" i="2"/>
  <c r="R143" i="2"/>
  <c r="R173" i="2"/>
  <c r="R157" i="2"/>
  <c r="R147" i="2"/>
  <c r="I171" i="2"/>
  <c r="G158" i="2"/>
  <c r="O158" i="2"/>
  <c r="R151" i="2"/>
  <c r="R169" i="2"/>
  <c r="Q159" i="2"/>
  <c r="J123" i="2"/>
  <c r="M124" i="2"/>
  <c r="M110" i="2"/>
  <c r="M71" i="2"/>
  <c r="M128" i="2"/>
  <c r="L123" i="2"/>
  <c r="C123" i="2"/>
  <c r="R104" i="2"/>
  <c r="I97" i="2"/>
  <c r="I84" i="2"/>
  <c r="R72" i="2"/>
  <c r="F123" i="2"/>
  <c r="I124" i="2"/>
  <c r="R56" i="2"/>
  <c r="M41" i="2"/>
  <c r="Q31" i="2"/>
  <c r="N27" i="2"/>
  <c r="M107" i="2"/>
  <c r="J106" i="2"/>
  <c r="E94" i="2"/>
  <c r="R69" i="2"/>
  <c r="R32" i="2"/>
  <c r="Q124" i="2"/>
  <c r="N123" i="2"/>
  <c r="O80" i="2"/>
  <c r="J67" i="2"/>
  <c r="M68" i="2"/>
  <c r="I28" i="2"/>
  <c r="F27" i="2"/>
  <c r="E14" i="2"/>
  <c r="B13" i="2"/>
  <c r="C67" i="2"/>
  <c r="J93" i="2"/>
  <c r="N54" i="2"/>
  <c r="Q55" i="2"/>
  <c r="R42" i="2"/>
  <c r="R95" i="2"/>
  <c r="F67" i="2"/>
  <c r="I67" i="2" s="1"/>
  <c r="I68" i="2"/>
  <c r="I44" i="2"/>
  <c r="E17" i="2"/>
  <c r="B145" i="2"/>
  <c r="E146" i="2"/>
  <c r="E159" i="2"/>
  <c r="B158" i="2"/>
  <c r="F158" i="2"/>
  <c r="R160" i="2"/>
  <c r="E124" i="2"/>
  <c r="B123" i="2"/>
  <c r="F80" i="2"/>
  <c r="I80" i="2" s="1"/>
  <c r="I81" i="2"/>
  <c r="E81" i="2"/>
  <c r="B80" i="2"/>
  <c r="R153" i="2"/>
  <c r="N106" i="2"/>
  <c r="Q110" i="2"/>
  <c r="M84" i="2"/>
  <c r="P53" i="2"/>
  <c r="O54" i="2"/>
  <c r="O53" i="2" s="1"/>
  <c r="R70" i="2"/>
  <c r="M94" i="2"/>
  <c r="E44" i="2"/>
  <c r="C40" i="2"/>
  <c r="C26" i="2" s="1"/>
  <c r="Q94" i="2"/>
  <c r="N93" i="2"/>
  <c r="Q14" i="2"/>
  <c r="N13" i="2"/>
  <c r="N40" i="2"/>
  <c r="N145" i="2"/>
  <c r="Q146" i="2"/>
  <c r="R165" i="2"/>
  <c r="R161" i="2"/>
  <c r="E186" i="2"/>
  <c r="R155" i="2"/>
  <c r="I146" i="2"/>
  <c r="F145" i="2"/>
  <c r="K158" i="2"/>
  <c r="D123" i="2"/>
  <c r="N80" i="2"/>
  <c r="Q81" i="2"/>
  <c r="C158" i="2"/>
  <c r="R125" i="2"/>
  <c r="R111" i="2"/>
  <c r="I94" i="2"/>
  <c r="R82" i="2"/>
  <c r="R49" i="2"/>
  <c r="R117" i="2"/>
  <c r="Q71" i="2"/>
  <c r="L67" i="2"/>
  <c r="L53" i="2" s="1"/>
  <c r="F54" i="2"/>
  <c r="I55" i="2"/>
  <c r="R47" i="2"/>
  <c r="E107" i="2"/>
  <c r="B106" i="2"/>
  <c r="E106" i="2" s="1"/>
  <c r="E84" i="2"/>
  <c r="M81" i="2"/>
  <c r="J80" i="2"/>
  <c r="M80" i="2" s="1"/>
  <c r="I71" i="2"/>
  <c r="Q41" i="2"/>
  <c r="E97" i="2"/>
  <c r="C80" i="2"/>
  <c r="J54" i="2"/>
  <c r="M55" i="2"/>
  <c r="I14" i="2"/>
  <c r="F13" i="2"/>
  <c r="C54" i="2"/>
  <c r="H53" i="2"/>
  <c r="R45" i="2"/>
  <c r="J40" i="2"/>
  <c r="M17" i="2"/>
  <c r="M14" i="2"/>
  <c r="J13" i="2"/>
  <c r="I110" i="2"/>
  <c r="E41" i="2"/>
  <c r="B40" i="2"/>
  <c r="I41" i="2"/>
  <c r="Q17" i="2"/>
  <c r="R11" i="2"/>
  <c r="Q40" i="2" l="1"/>
  <c r="G176" i="2"/>
  <c r="M93" i="2"/>
  <c r="O176" i="2"/>
  <c r="M40" i="2"/>
  <c r="I123" i="2"/>
  <c r="R14" i="2"/>
  <c r="R55" i="2"/>
  <c r="M106" i="2"/>
  <c r="I93" i="2"/>
  <c r="R12" i="2"/>
  <c r="G119" i="2"/>
  <c r="G120" i="2" s="1"/>
  <c r="G121" i="2" s="1"/>
  <c r="Q93" i="2"/>
  <c r="R31" i="2"/>
  <c r="L176" i="2"/>
  <c r="R167" i="2"/>
  <c r="R159" i="2"/>
  <c r="P119" i="2"/>
  <c r="P120" i="2" s="1"/>
  <c r="R94" i="2"/>
  <c r="R163" i="2"/>
  <c r="R28" i="2"/>
  <c r="R140" i="2"/>
  <c r="H176" i="2"/>
  <c r="N188" i="3"/>
  <c r="Q188" i="3" s="1"/>
  <c r="R188" i="3" s="1"/>
  <c r="R192" i="3" s="1"/>
  <c r="P176" i="2"/>
  <c r="D176" i="2"/>
  <c r="K119" i="2"/>
  <c r="K120" i="2" s="1"/>
  <c r="L119" i="2"/>
  <c r="L120" i="2" s="1"/>
  <c r="M158" i="2"/>
  <c r="R71" i="2"/>
  <c r="R171" i="2"/>
  <c r="I40" i="2"/>
  <c r="R84" i="2"/>
  <c r="H26" i="2"/>
  <c r="H119" i="2" s="1"/>
  <c r="H120" i="2" s="1"/>
  <c r="R128" i="2"/>
  <c r="I106" i="2"/>
  <c r="R154" i="2"/>
  <c r="R186" i="2"/>
  <c r="R17" i="2"/>
  <c r="R13" i="2" s="1"/>
  <c r="K176" i="2"/>
  <c r="R136" i="2"/>
  <c r="Q123" i="2"/>
  <c r="R44" i="2"/>
  <c r="O119" i="2"/>
  <c r="O120" i="2" s="1"/>
  <c r="O121" i="2" s="1"/>
  <c r="E80" i="2"/>
  <c r="R41" i="2"/>
  <c r="D119" i="2"/>
  <c r="D120" i="2" s="1"/>
  <c r="D121" i="2" s="1"/>
  <c r="E40" i="2"/>
  <c r="R68" i="2"/>
  <c r="M123" i="2"/>
  <c r="R107" i="2"/>
  <c r="R58" i="2"/>
  <c r="C53" i="2"/>
  <c r="C119" i="2" s="1"/>
  <c r="C120" i="2" s="1"/>
  <c r="C121" i="2" s="1"/>
  <c r="Q80" i="2"/>
  <c r="Q106" i="2"/>
  <c r="R124" i="2"/>
  <c r="E158" i="2"/>
  <c r="R150" i="2"/>
  <c r="M13" i="2"/>
  <c r="F176" i="2"/>
  <c r="I145" i="2"/>
  <c r="B176" i="2"/>
  <c r="E145" i="2"/>
  <c r="E13" i="2"/>
  <c r="Q27" i="2"/>
  <c r="N26" i="2"/>
  <c r="J176" i="2"/>
  <c r="M145" i="2"/>
  <c r="R81" i="2"/>
  <c r="Q13" i="2"/>
  <c r="N53" i="2"/>
  <c r="Q53" i="2" s="1"/>
  <c r="Q54" i="2"/>
  <c r="M54" i="2"/>
  <c r="J53" i="2"/>
  <c r="M53" i="2" s="1"/>
  <c r="I27" i="2"/>
  <c r="F26" i="2"/>
  <c r="M67" i="2"/>
  <c r="C176" i="2"/>
  <c r="M27" i="2"/>
  <c r="J26" i="2"/>
  <c r="I13" i="2"/>
  <c r="F53" i="2"/>
  <c r="I53" i="2" s="1"/>
  <c r="I54" i="2"/>
  <c r="R110" i="2"/>
  <c r="N176" i="2"/>
  <c r="Q145" i="2"/>
  <c r="E123" i="2"/>
  <c r="I158" i="2"/>
  <c r="R146" i="2"/>
  <c r="Q158" i="2"/>
  <c r="E27" i="2"/>
  <c r="B26" i="2"/>
  <c r="R97" i="2"/>
  <c r="E67" i="2"/>
  <c r="E54" i="2"/>
  <c r="B53" i="2"/>
  <c r="H177" i="2" l="1"/>
  <c r="H187" i="2" s="1"/>
  <c r="H192" i="2" s="1"/>
  <c r="R67" i="2"/>
  <c r="R27" i="2"/>
  <c r="P177" i="2"/>
  <c r="P187" i="2" s="1"/>
  <c r="O177" i="2"/>
  <c r="O187" i="2" s="1"/>
  <c r="Q176" i="2"/>
  <c r="R80" i="2"/>
  <c r="K177" i="2"/>
  <c r="K178" i="2" s="1"/>
  <c r="P121" i="2"/>
  <c r="G177" i="2"/>
  <c r="G178" i="2" s="1"/>
  <c r="R54" i="2"/>
  <c r="I176" i="2"/>
  <c r="K121" i="2"/>
  <c r="R93" i="2"/>
  <c r="M176" i="2"/>
  <c r="L177" i="2"/>
  <c r="L187" i="2" s="1"/>
  <c r="L192" i="2" s="1"/>
  <c r="R106" i="2"/>
  <c r="R40" i="2"/>
  <c r="D177" i="2"/>
  <c r="D187" i="2" s="1"/>
  <c r="D192" i="2" s="1"/>
  <c r="N192" i="3"/>
  <c r="Q192" i="3" s="1"/>
  <c r="L121" i="2"/>
  <c r="H121" i="2"/>
  <c r="C177" i="2"/>
  <c r="C178" i="2" s="1"/>
  <c r="R123" i="2"/>
  <c r="E53" i="2"/>
  <c r="R158" i="2"/>
  <c r="B119" i="2"/>
  <c r="E26" i="2"/>
  <c r="N119" i="2"/>
  <c r="Q26" i="2"/>
  <c r="R145" i="2"/>
  <c r="E176" i="2"/>
  <c r="J119" i="2"/>
  <c r="M26" i="2"/>
  <c r="F119" i="2"/>
  <c r="I26" i="2"/>
  <c r="G187" i="2" l="1"/>
  <c r="G192" i="2" s="1"/>
  <c r="C187" i="2"/>
  <c r="C192" i="2" s="1"/>
  <c r="H178" i="2"/>
  <c r="R26" i="2"/>
  <c r="R53" i="2"/>
  <c r="L178" i="2"/>
  <c r="P178" i="2"/>
  <c r="D178" i="2"/>
  <c r="O178" i="2"/>
  <c r="K187" i="2"/>
  <c r="K192" i="2" s="1"/>
  <c r="R176" i="2"/>
  <c r="I119" i="2"/>
  <c r="F120" i="2"/>
  <c r="Q119" i="2"/>
  <c r="N120" i="2"/>
  <c r="O188" i="2"/>
  <c r="O192" i="2" s="1"/>
  <c r="E119" i="2"/>
  <c r="B120" i="2"/>
  <c r="M119" i="2"/>
  <c r="J120" i="2"/>
  <c r="P188" i="2"/>
  <c r="P192" i="2" s="1"/>
  <c r="R119" i="2" l="1"/>
  <c r="R120" i="2" s="1"/>
  <c r="R121" i="2" s="1"/>
  <c r="B177" i="2"/>
  <c r="E120" i="2"/>
  <c r="E121" i="2" s="1"/>
  <c r="B121" i="2"/>
  <c r="N177" i="2"/>
  <c r="Q120" i="2"/>
  <c r="Q121" i="2" s="1"/>
  <c r="N121" i="2"/>
  <c r="M120" i="2"/>
  <c r="M121" i="2" s="1"/>
  <c r="J177" i="2"/>
  <c r="J121" i="2"/>
  <c r="F177" i="2"/>
  <c r="I120" i="2"/>
  <c r="I121" i="2" s="1"/>
  <c r="F121" i="2"/>
  <c r="R177" i="2" l="1"/>
  <c r="R178" i="2" s="1"/>
  <c r="F187" i="2"/>
  <c r="F192" i="2" s="1"/>
  <c r="I192" i="2" s="1"/>
  <c r="F178" i="2"/>
  <c r="I178" i="2" s="1"/>
  <c r="I177" i="2"/>
  <c r="I187" i="2" s="1"/>
  <c r="B187" i="2"/>
  <c r="B192" i="2" s="1"/>
  <c r="E192" i="2" s="1"/>
  <c r="B178" i="2"/>
  <c r="E178" i="2" s="1"/>
  <c r="E177" i="2"/>
  <c r="E187" i="2" s="1"/>
  <c r="J187" i="2"/>
  <c r="J192" i="2" s="1"/>
  <c r="M192" i="2" s="1"/>
  <c r="J178" i="2"/>
  <c r="M178" i="2" s="1"/>
  <c r="M177" i="2"/>
  <c r="M187" i="2" s="1"/>
  <c r="N187" i="2"/>
  <c r="N178" i="2"/>
  <c r="Q178" i="2" s="1"/>
  <c r="Q177" i="2"/>
  <c r="Q187" i="2" s="1"/>
  <c r="R187" i="2" l="1"/>
  <c r="N188" i="2"/>
  <c r="Q188" i="2" s="1"/>
  <c r="R188" i="2" s="1"/>
  <c r="R192" i="2" l="1"/>
  <c r="N192" i="2"/>
  <c r="Q192" i="2" s="1"/>
  <c r="BF140" i="1" l="1"/>
  <c r="BF7" i="1" l="1"/>
  <c r="BE6" i="1" l="1"/>
  <c r="BF175" i="1"/>
  <c r="BE175" i="1"/>
  <c r="BE174" i="1"/>
  <c r="BF173" i="1"/>
  <c r="BE173" i="1"/>
  <c r="BF172" i="1"/>
  <c r="BE172" i="1"/>
  <c r="BF169" i="1"/>
  <c r="BE169" i="1"/>
  <c r="BE170" i="1" s="1"/>
  <c r="BF167" i="1"/>
  <c r="BE167" i="1"/>
  <c r="BF165" i="1"/>
  <c r="BE165" i="1"/>
  <c r="BF163" i="1"/>
  <c r="BE163" i="1"/>
  <c r="BE164" i="1" s="1"/>
  <c r="BF161" i="1"/>
  <c r="BE161" i="1"/>
  <c r="BF160" i="1"/>
  <c r="BE160" i="1"/>
  <c r="BF159" i="1"/>
  <c r="BE159" i="1"/>
  <c r="BF158" i="1"/>
  <c r="BE158" i="1"/>
  <c r="BF157" i="1"/>
  <c r="BE157" i="1"/>
  <c r="BF156" i="1"/>
  <c r="BE156" i="1"/>
  <c r="BF155" i="1"/>
  <c r="BE155" i="1"/>
  <c r="BF154" i="1"/>
  <c r="BE154" i="1"/>
  <c r="BF153" i="1"/>
  <c r="BE153" i="1"/>
  <c r="BF152" i="1"/>
  <c r="BE152" i="1"/>
  <c r="BF149" i="1"/>
  <c r="BE149" i="1"/>
  <c r="BF147" i="1"/>
  <c r="BE147" i="1"/>
  <c r="BE148" i="1" s="1"/>
  <c r="BF145" i="1"/>
  <c r="BE145" i="1"/>
  <c r="BF144" i="1"/>
  <c r="BE144" i="1"/>
  <c r="BF143" i="1"/>
  <c r="BE143" i="1"/>
  <c r="BF142" i="1"/>
  <c r="BE142" i="1"/>
  <c r="BF141" i="1"/>
  <c r="BE141" i="1"/>
  <c r="BE140" i="1"/>
  <c r="BF137" i="1"/>
  <c r="BE137" i="1"/>
  <c r="BF136" i="1"/>
  <c r="BE136" i="1"/>
  <c r="BF133" i="1"/>
  <c r="BE133" i="1"/>
  <c r="BF132" i="1"/>
  <c r="BE132" i="1"/>
  <c r="BF131" i="1"/>
  <c r="BE131" i="1"/>
  <c r="BF130" i="1"/>
  <c r="BE130" i="1"/>
  <c r="BF128" i="1"/>
  <c r="BE128" i="1"/>
  <c r="BF127" i="1"/>
  <c r="BE127" i="1"/>
  <c r="BF124" i="1"/>
  <c r="BE124" i="1"/>
  <c r="BF123" i="1"/>
  <c r="BE123" i="1"/>
  <c r="BF122" i="1"/>
  <c r="BE122" i="1"/>
  <c r="BF121" i="1"/>
  <c r="BE121" i="1"/>
  <c r="BF120" i="1"/>
  <c r="BE120" i="1"/>
  <c r="BF119" i="1"/>
  <c r="BE119" i="1"/>
  <c r="BF118" i="1"/>
  <c r="BE118" i="1"/>
  <c r="BF117" i="1"/>
  <c r="BE117" i="1"/>
  <c r="BF116" i="1"/>
  <c r="BE116" i="1"/>
  <c r="BF115" i="1"/>
  <c r="BE115" i="1"/>
  <c r="BF114" i="1"/>
  <c r="BE114" i="1"/>
  <c r="BF113" i="1"/>
  <c r="BE113" i="1"/>
  <c r="BF112" i="1"/>
  <c r="BE112" i="1"/>
  <c r="BF110" i="1"/>
  <c r="BE110" i="1"/>
  <c r="BF109" i="1"/>
  <c r="BE109" i="1"/>
  <c r="BF108" i="1"/>
  <c r="BE108" i="1"/>
  <c r="BF106" i="1"/>
  <c r="BE106" i="1"/>
  <c r="BF105" i="1"/>
  <c r="BE105" i="1"/>
  <c r="BF104" i="1"/>
  <c r="BE104" i="1"/>
  <c r="BF103" i="1"/>
  <c r="BE103" i="1"/>
  <c r="BF102" i="1"/>
  <c r="BE102" i="1"/>
  <c r="BF101" i="1"/>
  <c r="BE101" i="1"/>
  <c r="BF100" i="1"/>
  <c r="BE100" i="1"/>
  <c r="BF99" i="1"/>
  <c r="BE99" i="1"/>
  <c r="BF97" i="1"/>
  <c r="BE97" i="1"/>
  <c r="BF96" i="1"/>
  <c r="BE96" i="1"/>
  <c r="BF95" i="1"/>
  <c r="BE95" i="1"/>
  <c r="BF94" i="1"/>
  <c r="BE94" i="1"/>
  <c r="BF92" i="1"/>
  <c r="BE92" i="1"/>
  <c r="BF91" i="1"/>
  <c r="BE91" i="1"/>
  <c r="BF90" i="1"/>
  <c r="BE90" i="1"/>
  <c r="BF89" i="1"/>
  <c r="BE89" i="1"/>
  <c r="BF87" i="1"/>
  <c r="BE87" i="1"/>
  <c r="BE88" i="1" s="1"/>
  <c r="BF85" i="1"/>
  <c r="BE85" i="1"/>
  <c r="BE86" i="1" s="1"/>
  <c r="BF83" i="1"/>
  <c r="BE83" i="1"/>
  <c r="BF82" i="1"/>
  <c r="BE82" i="1"/>
  <c r="BF81" i="1"/>
  <c r="BE81" i="1"/>
  <c r="BF80" i="1"/>
  <c r="BE80" i="1"/>
  <c r="BF79" i="1"/>
  <c r="BE79" i="1"/>
  <c r="BF77" i="1"/>
  <c r="BE77" i="1"/>
  <c r="BF76" i="1"/>
  <c r="BE76" i="1"/>
  <c r="BF75" i="1"/>
  <c r="BE75" i="1"/>
  <c r="BF73" i="1"/>
  <c r="BE73" i="1"/>
  <c r="BF72" i="1"/>
  <c r="BE72" i="1"/>
  <c r="BF71" i="1"/>
  <c r="BE71" i="1"/>
  <c r="BF70" i="1"/>
  <c r="BE70" i="1"/>
  <c r="BF68" i="1"/>
  <c r="BE68" i="1"/>
  <c r="BF67" i="1"/>
  <c r="BE67" i="1"/>
  <c r="BF66" i="1"/>
  <c r="BE66" i="1"/>
  <c r="BF65" i="1"/>
  <c r="BE65" i="1"/>
  <c r="BF64" i="1"/>
  <c r="BE64" i="1"/>
  <c r="BF63" i="1"/>
  <c r="BE63" i="1"/>
  <c r="BF62" i="1"/>
  <c r="BE62" i="1"/>
  <c r="BF61" i="1"/>
  <c r="BE61" i="1"/>
  <c r="BF60" i="1"/>
  <c r="BE60" i="1"/>
  <c r="BF58" i="1"/>
  <c r="BE58" i="1"/>
  <c r="BF57" i="1"/>
  <c r="BE57" i="1"/>
  <c r="BF56" i="1"/>
  <c r="BE56" i="1"/>
  <c r="BF55" i="1"/>
  <c r="BE55" i="1"/>
  <c r="BF54" i="1"/>
  <c r="BE54" i="1"/>
  <c r="BF53" i="1"/>
  <c r="BE53" i="1"/>
  <c r="BF52" i="1"/>
  <c r="BE52" i="1"/>
  <c r="BF51" i="1"/>
  <c r="BE51" i="1"/>
  <c r="BF50" i="1"/>
  <c r="BE50" i="1"/>
  <c r="BF49" i="1"/>
  <c r="BE49" i="1"/>
  <c r="BF48" i="1"/>
  <c r="BE48" i="1"/>
  <c r="BF46" i="1"/>
  <c r="BE46" i="1"/>
  <c r="BF45" i="1"/>
  <c r="BE45" i="1"/>
  <c r="BF44" i="1"/>
  <c r="BE44" i="1"/>
  <c r="BF43" i="1"/>
  <c r="BE43" i="1"/>
  <c r="BF42" i="1"/>
  <c r="BE42" i="1"/>
  <c r="BF41" i="1"/>
  <c r="BE41" i="1"/>
  <c r="BF40" i="1"/>
  <c r="BE40" i="1"/>
  <c r="BF39" i="1"/>
  <c r="BE39" i="1"/>
  <c r="BF38" i="1"/>
  <c r="BE38" i="1"/>
  <c r="BF37" i="1"/>
  <c r="BE37" i="1"/>
  <c r="BF36" i="1"/>
  <c r="BE36" i="1"/>
  <c r="BF35" i="1"/>
  <c r="BE35" i="1"/>
  <c r="BF34" i="1"/>
  <c r="BE34" i="1"/>
  <c r="BF33" i="1"/>
  <c r="BE33" i="1"/>
  <c r="BF32" i="1"/>
  <c r="BE32" i="1"/>
  <c r="BF31" i="1"/>
  <c r="BE31" i="1"/>
  <c r="BF30" i="1"/>
  <c r="BE30" i="1"/>
  <c r="BF27" i="1"/>
  <c r="BE27" i="1"/>
  <c r="BF26" i="1"/>
  <c r="BE26" i="1"/>
  <c r="BF25" i="1"/>
  <c r="BE25" i="1"/>
  <c r="BF24" i="1"/>
  <c r="BE24" i="1"/>
  <c r="BF23" i="1"/>
  <c r="BE23" i="1"/>
  <c r="BF22" i="1"/>
  <c r="BE22" i="1"/>
  <c r="BF21" i="1"/>
  <c r="BE21" i="1"/>
  <c r="BF20" i="1"/>
  <c r="BE20" i="1"/>
  <c r="BF17" i="1"/>
  <c r="BE17" i="1"/>
  <c r="BF16" i="1"/>
  <c r="BE16" i="1"/>
  <c r="BF15" i="1"/>
  <c r="BE15" i="1"/>
  <c r="BF14" i="1"/>
  <c r="BE14" i="1"/>
  <c r="BF13" i="1"/>
  <c r="BE13" i="1"/>
  <c r="BE12" i="1"/>
  <c r="BF11" i="1"/>
  <c r="BE11" i="1"/>
  <c r="BF10" i="1"/>
  <c r="BE10" i="1"/>
  <c r="BF9" i="1"/>
  <c r="BE9" i="1"/>
  <c r="BE7" i="1"/>
  <c r="BF6" i="1"/>
  <c r="BC8" i="1"/>
  <c r="BB8" i="1"/>
  <c r="BB176" i="1"/>
  <c r="BB170" i="1"/>
  <c r="BB168" i="1"/>
  <c r="BB166" i="1"/>
  <c r="BB164" i="1"/>
  <c r="BB162" i="1"/>
  <c r="BB150" i="1"/>
  <c r="BB148" i="1"/>
  <c r="BB146" i="1"/>
  <c r="BB138" i="1"/>
  <c r="BB134" i="1"/>
  <c r="BB129" i="1"/>
  <c r="BB125" i="1"/>
  <c r="BB111" i="1"/>
  <c r="BB107" i="1"/>
  <c r="BB98" i="1"/>
  <c r="BB93" i="1"/>
  <c r="BB88" i="1"/>
  <c r="BB86" i="1"/>
  <c r="BB84" i="1"/>
  <c r="BB78" i="1"/>
  <c r="BB74" i="1"/>
  <c r="BB69" i="1"/>
  <c r="BB59" i="1"/>
  <c r="BB28" i="1"/>
  <c r="BB18" i="1"/>
  <c r="BF170" i="1" l="1"/>
  <c r="BF88" i="1"/>
  <c r="BF148" i="1"/>
  <c r="BF164" i="1"/>
  <c r="BF86" i="1"/>
  <c r="BF111" i="1"/>
  <c r="BE8" i="1"/>
  <c r="BE111" i="1"/>
  <c r="BF47" i="1"/>
  <c r="BF69" i="1"/>
  <c r="BF74" i="1"/>
  <c r="BF78" i="1"/>
  <c r="BE138" i="1"/>
  <c r="BE146" i="1"/>
  <c r="BE162" i="1"/>
  <c r="BE28" i="1"/>
  <c r="BE47" i="1"/>
  <c r="BE69" i="1"/>
  <c r="BE78" i="1"/>
  <c r="BF129" i="1"/>
  <c r="BF162" i="1"/>
  <c r="BF8" i="1"/>
  <c r="BE93" i="1"/>
  <c r="BE98" i="1"/>
  <c r="BF125" i="1"/>
  <c r="BF138" i="1"/>
  <c r="BF146" i="1"/>
  <c r="BE176" i="1"/>
  <c r="BF28" i="1"/>
  <c r="BF59" i="1"/>
  <c r="BF84" i="1"/>
  <c r="BF93" i="1"/>
  <c r="BF98" i="1"/>
  <c r="BE125" i="1"/>
  <c r="BE129" i="1"/>
  <c r="BF176" i="1"/>
  <c r="BB19" i="1"/>
  <c r="BB29" i="1" s="1"/>
  <c r="BB126" i="1" s="1"/>
  <c r="BB135" i="1" s="1"/>
  <c r="BB139" i="1" s="1"/>
  <c r="BB151" i="1" s="1"/>
  <c r="BB171" i="1" s="1"/>
  <c r="BB177" i="1" s="1"/>
  <c r="BE18" i="1"/>
  <c r="BE59" i="1"/>
  <c r="BE74" i="1"/>
  <c r="BE84" i="1"/>
  <c r="AN176" i="1"/>
  <c r="AN170" i="1"/>
  <c r="AN168" i="1"/>
  <c r="AN166" i="1"/>
  <c r="AN164" i="1"/>
  <c r="AN162" i="1"/>
  <c r="AN150" i="1"/>
  <c r="AN148" i="1"/>
  <c r="AN146" i="1"/>
  <c r="AN138" i="1"/>
  <c r="AN134" i="1"/>
  <c r="AN129" i="1"/>
  <c r="AN125" i="1"/>
  <c r="AN111" i="1"/>
  <c r="AN107" i="1"/>
  <c r="AN98" i="1"/>
  <c r="AN93" i="1"/>
  <c r="AN88" i="1"/>
  <c r="AN86" i="1"/>
  <c r="AN84" i="1"/>
  <c r="AN78" i="1"/>
  <c r="AN74" i="1"/>
  <c r="AN69" i="1"/>
  <c r="AN59" i="1"/>
  <c r="AN28" i="1"/>
  <c r="AN18" i="1"/>
  <c r="AN8" i="1"/>
  <c r="AK176" i="1"/>
  <c r="AK170" i="1"/>
  <c r="AK168" i="1"/>
  <c r="AK166" i="1"/>
  <c r="AK164" i="1"/>
  <c r="AK162" i="1"/>
  <c r="AK148" i="1"/>
  <c r="AK146" i="1"/>
  <c r="AK138" i="1"/>
  <c r="AK129" i="1"/>
  <c r="AK125" i="1"/>
  <c r="AK111" i="1"/>
  <c r="AK107" i="1"/>
  <c r="AK98" i="1"/>
  <c r="AK93" i="1"/>
  <c r="AK88" i="1"/>
  <c r="AK86" i="1"/>
  <c r="AK84" i="1"/>
  <c r="AK78" i="1"/>
  <c r="AK74" i="1"/>
  <c r="AK69" i="1"/>
  <c r="AK59" i="1"/>
  <c r="AK28" i="1"/>
  <c r="AK18" i="1"/>
  <c r="AK8" i="1"/>
  <c r="AH176" i="1"/>
  <c r="AH170" i="1"/>
  <c r="AH168" i="1"/>
  <c r="AH166" i="1"/>
  <c r="AH164" i="1"/>
  <c r="AH162" i="1"/>
  <c r="AH150" i="1"/>
  <c r="AH148" i="1"/>
  <c r="AH146" i="1"/>
  <c r="AH138" i="1"/>
  <c r="AH134" i="1"/>
  <c r="AH129" i="1"/>
  <c r="AH125" i="1"/>
  <c r="AH111" i="1"/>
  <c r="AH107" i="1"/>
  <c r="AH98" i="1"/>
  <c r="AH93" i="1"/>
  <c r="AH88" i="1"/>
  <c r="AH86" i="1"/>
  <c r="AH84" i="1"/>
  <c r="AH78" i="1"/>
  <c r="AH74" i="1"/>
  <c r="AH69" i="1"/>
  <c r="AH59" i="1"/>
  <c r="AH28" i="1"/>
  <c r="AH18" i="1"/>
  <c r="AH8" i="1"/>
  <c r="S176" i="1"/>
  <c r="S170" i="1"/>
  <c r="S168" i="1"/>
  <c r="S166" i="1"/>
  <c r="S164" i="1"/>
  <c r="S162" i="1"/>
  <c r="S150" i="1"/>
  <c r="S148" i="1"/>
  <c r="S145" i="1"/>
  <c r="S146" i="1" s="1"/>
  <c r="S138" i="1"/>
  <c r="S125" i="1"/>
  <c r="S111" i="1"/>
  <c r="S107" i="1"/>
  <c r="S98" i="1"/>
  <c r="S93" i="1"/>
  <c r="S88" i="1"/>
  <c r="S86" i="1"/>
  <c r="S84" i="1"/>
  <c r="S78" i="1"/>
  <c r="S74" i="1"/>
  <c r="S69" i="1"/>
  <c r="S59" i="1"/>
  <c r="S28" i="1"/>
  <c r="S18" i="1"/>
  <c r="S8" i="1"/>
  <c r="AB169" i="1"/>
  <c r="Y129" i="1"/>
  <c r="AB75" i="1"/>
  <c r="BG59" i="1" l="1"/>
  <c r="BG138" i="1"/>
  <c r="BG176" i="1"/>
  <c r="BG93" i="1"/>
  <c r="BG129" i="1"/>
  <c r="BG78" i="1"/>
  <c r="BG107" i="1"/>
  <c r="BG174" i="1"/>
  <c r="BG140" i="1"/>
  <c r="BG69" i="1"/>
  <c r="BG111" i="1"/>
  <c r="BG130" i="1"/>
  <c r="BG119" i="1"/>
  <c r="BG110" i="1"/>
  <c r="BG101" i="1"/>
  <c r="BG91" i="1"/>
  <c r="BG82" i="1"/>
  <c r="BG72" i="1"/>
  <c r="BG63" i="1"/>
  <c r="BG54" i="1"/>
  <c r="BG45" i="1"/>
  <c r="BG37" i="1"/>
  <c r="BG27" i="1"/>
  <c r="BG17" i="1"/>
  <c r="BG167" i="1"/>
  <c r="BG158" i="1"/>
  <c r="BG147" i="1"/>
  <c r="BG10" i="1"/>
  <c r="BG128" i="1"/>
  <c r="BG118" i="1"/>
  <c r="BG109" i="1"/>
  <c r="BG100" i="1"/>
  <c r="BG90" i="1"/>
  <c r="BG81" i="1"/>
  <c r="BG71" i="1"/>
  <c r="BG62" i="1"/>
  <c r="BG53" i="1"/>
  <c r="BG44" i="1"/>
  <c r="BG36" i="1"/>
  <c r="BG26" i="1"/>
  <c r="BG16" i="1"/>
  <c r="BG170" i="1"/>
  <c r="BG157" i="1"/>
  <c r="BG145" i="1"/>
  <c r="BG9" i="1"/>
  <c r="BG98" i="1"/>
  <c r="BG28" i="1"/>
  <c r="BG125" i="1"/>
  <c r="BG162" i="1"/>
  <c r="BG47" i="1"/>
  <c r="BG175" i="1"/>
  <c r="BG127" i="1"/>
  <c r="BG117" i="1"/>
  <c r="BG108" i="1"/>
  <c r="BG99" i="1"/>
  <c r="BG89" i="1"/>
  <c r="BG80" i="1"/>
  <c r="BG70" i="1"/>
  <c r="BG61" i="1"/>
  <c r="BG52" i="1"/>
  <c r="BG43" i="1"/>
  <c r="BG35" i="1"/>
  <c r="BG25" i="1"/>
  <c r="BG15" i="1"/>
  <c r="BG163" i="1"/>
  <c r="BG156" i="1"/>
  <c r="BG148" i="1"/>
  <c r="BG137" i="1"/>
  <c r="BG124" i="1"/>
  <c r="BG116" i="1"/>
  <c r="BG106" i="1"/>
  <c r="BG97" i="1"/>
  <c r="BG87" i="1"/>
  <c r="BG79" i="1"/>
  <c r="BG68" i="1"/>
  <c r="BG60" i="1"/>
  <c r="BG51" i="1"/>
  <c r="BG42" i="1"/>
  <c r="BG34" i="1"/>
  <c r="BG24" i="1"/>
  <c r="BG14" i="1"/>
  <c r="BG165" i="1"/>
  <c r="BG155" i="1"/>
  <c r="BG143" i="1"/>
  <c r="BG136" i="1"/>
  <c r="BG123" i="1"/>
  <c r="BG115" i="1"/>
  <c r="BG105" i="1"/>
  <c r="BG96" i="1"/>
  <c r="BG85" i="1"/>
  <c r="BG77" i="1"/>
  <c r="BG67" i="1"/>
  <c r="BG58" i="1"/>
  <c r="BG50" i="1"/>
  <c r="BG41" i="1"/>
  <c r="BG33" i="1"/>
  <c r="BG23" i="1"/>
  <c r="BG13" i="1"/>
  <c r="BG164" i="1"/>
  <c r="BG154" i="1"/>
  <c r="BG144" i="1"/>
  <c r="BG133" i="1"/>
  <c r="BG122" i="1"/>
  <c r="BG114" i="1"/>
  <c r="BG104" i="1"/>
  <c r="BG95" i="1"/>
  <c r="BG88" i="1"/>
  <c r="BG76" i="1"/>
  <c r="BG66" i="1"/>
  <c r="BG57" i="1"/>
  <c r="BG49" i="1"/>
  <c r="BG40" i="1"/>
  <c r="BG32" i="1"/>
  <c r="BG22" i="1"/>
  <c r="BG173" i="1"/>
  <c r="BG161" i="1"/>
  <c r="BG153" i="1"/>
  <c r="BG141" i="1"/>
  <c r="BG84" i="1"/>
  <c r="BG146" i="1"/>
  <c r="BG74" i="1"/>
  <c r="BG132" i="1"/>
  <c r="BG121" i="1"/>
  <c r="BG113" i="1"/>
  <c r="BG103" i="1"/>
  <c r="BG94" i="1"/>
  <c r="BG86" i="1"/>
  <c r="BG75" i="1"/>
  <c r="BG65" i="1"/>
  <c r="BG56" i="1"/>
  <c r="BG48" i="1"/>
  <c r="BG39" i="1"/>
  <c r="BG31" i="1"/>
  <c r="BG21" i="1"/>
  <c r="BG172" i="1"/>
  <c r="BG160" i="1"/>
  <c r="BG152" i="1"/>
  <c r="BG142" i="1"/>
  <c r="BG131" i="1"/>
  <c r="BG120" i="1"/>
  <c r="BG112" i="1"/>
  <c r="BG102" i="1"/>
  <c r="BG92" i="1"/>
  <c r="BG83" i="1"/>
  <c r="BG73" i="1"/>
  <c r="BG64" i="1"/>
  <c r="BG55" i="1"/>
  <c r="BG46" i="1"/>
  <c r="BG38" i="1"/>
  <c r="BG30" i="1"/>
  <c r="BG20" i="1"/>
  <c r="BG169" i="1"/>
  <c r="BG159" i="1"/>
  <c r="BG149" i="1"/>
  <c r="BG11" i="1"/>
  <c r="BE19" i="1"/>
  <c r="BE29" i="1" s="1"/>
  <c r="BE126" i="1" s="1"/>
  <c r="AK19" i="1"/>
  <c r="AK29" i="1" s="1"/>
  <c r="AK126" i="1" s="1"/>
  <c r="AK135" i="1" s="1"/>
  <c r="AK139" i="1" s="1"/>
  <c r="AK151" i="1" s="1"/>
  <c r="AK171" i="1" s="1"/>
  <c r="AK177" i="1" s="1"/>
  <c r="AH19" i="1"/>
  <c r="AH29" i="1" s="1"/>
  <c r="AH126" i="1" s="1"/>
  <c r="AH135" i="1" s="1"/>
  <c r="AH139" i="1" s="1"/>
  <c r="AH151" i="1" s="1"/>
  <c r="AH171" i="1" s="1"/>
  <c r="AH177" i="1" s="1"/>
  <c r="AN19" i="1"/>
  <c r="AN29" i="1" s="1"/>
  <c r="AN126" i="1" s="1"/>
  <c r="AN135" i="1" s="1"/>
  <c r="AN139" i="1" s="1"/>
  <c r="AN151" i="1" s="1"/>
  <c r="AN171" i="1" s="1"/>
  <c r="AN177" i="1" s="1"/>
  <c r="S19" i="1"/>
  <c r="S29" i="1" s="1"/>
  <c r="AV176" i="1"/>
  <c r="AV170" i="1"/>
  <c r="AV168" i="1"/>
  <c r="AV166" i="1"/>
  <c r="AV164" i="1"/>
  <c r="AV162" i="1"/>
  <c r="AV150" i="1"/>
  <c r="AV148" i="1"/>
  <c r="AV146" i="1"/>
  <c r="AV138" i="1"/>
  <c r="AV134" i="1"/>
  <c r="AV129" i="1"/>
  <c r="AV125" i="1"/>
  <c r="AV111" i="1"/>
  <c r="AV107" i="1"/>
  <c r="AV98" i="1"/>
  <c r="AV93" i="1"/>
  <c r="AV88" i="1"/>
  <c r="AV86" i="1"/>
  <c r="AV84" i="1"/>
  <c r="AV78" i="1"/>
  <c r="AV74" i="1"/>
  <c r="AV69" i="1"/>
  <c r="AV59" i="1"/>
  <c r="AV28" i="1"/>
  <c r="AV18" i="1"/>
  <c r="AV8" i="1"/>
  <c r="AV19" i="1" l="1"/>
  <c r="AV29" i="1" s="1"/>
  <c r="AV126" i="1" s="1"/>
  <c r="AV135" i="1" s="1"/>
  <c r="AV139" i="1" s="1"/>
  <c r="AV151" i="1" s="1"/>
  <c r="AV171" i="1" s="1"/>
  <c r="AV177" i="1" s="1"/>
  <c r="AY176" i="1"/>
  <c r="AY170" i="1"/>
  <c r="AY168" i="1"/>
  <c r="BE168" i="1" s="1"/>
  <c r="AY166" i="1"/>
  <c r="BE166" i="1" s="1"/>
  <c r="AY164" i="1"/>
  <c r="AY162" i="1"/>
  <c r="AY150" i="1"/>
  <c r="BE150" i="1" s="1"/>
  <c r="AY148" i="1"/>
  <c r="AY146" i="1"/>
  <c r="AY138" i="1"/>
  <c r="AY134" i="1"/>
  <c r="BE134" i="1" s="1"/>
  <c r="BE135" i="1" s="1"/>
  <c r="BE139" i="1" s="1"/>
  <c r="AY129" i="1"/>
  <c r="AY125" i="1"/>
  <c r="AY111" i="1"/>
  <c r="AY107" i="1"/>
  <c r="AY98" i="1"/>
  <c r="AY93" i="1"/>
  <c r="AY88" i="1"/>
  <c r="AY86" i="1"/>
  <c r="AY84" i="1"/>
  <c r="AY78" i="1"/>
  <c r="AY74" i="1"/>
  <c r="AY69" i="1"/>
  <c r="AY59" i="1"/>
  <c r="AY28" i="1"/>
  <c r="AY18" i="1"/>
  <c r="AY8" i="1"/>
  <c r="BE151" i="1" l="1"/>
  <c r="BE171" i="1" s="1"/>
  <c r="BE177" i="1" s="1"/>
  <c r="AY19" i="1"/>
  <c r="AY29" i="1" s="1"/>
  <c r="AY126" i="1" s="1"/>
  <c r="AY135" i="1" s="1"/>
  <c r="AY139" i="1" s="1"/>
  <c r="AY151" i="1" s="1"/>
  <c r="AY171" i="1" s="1"/>
  <c r="AY177" i="1" s="1"/>
  <c r="AZ12" i="1" l="1"/>
  <c r="AZ176" i="1"/>
  <c r="AZ170" i="1"/>
  <c r="AZ168" i="1"/>
  <c r="AZ166" i="1"/>
  <c r="AZ164" i="1"/>
  <c r="AZ162" i="1"/>
  <c r="AZ150" i="1"/>
  <c r="AZ148" i="1"/>
  <c r="AZ146" i="1"/>
  <c r="AZ138" i="1"/>
  <c r="AZ134" i="1"/>
  <c r="AZ129" i="1"/>
  <c r="AZ125" i="1"/>
  <c r="AZ111" i="1"/>
  <c r="AZ107" i="1"/>
  <c r="AZ98" i="1"/>
  <c r="AZ93" i="1"/>
  <c r="AZ88" i="1"/>
  <c r="AZ86" i="1"/>
  <c r="AZ84" i="1"/>
  <c r="AZ78" i="1"/>
  <c r="AZ74" i="1"/>
  <c r="AZ69" i="1"/>
  <c r="AZ59" i="1"/>
  <c r="AZ28" i="1"/>
  <c r="AZ8" i="1"/>
  <c r="AZ18" i="1" l="1"/>
  <c r="AZ19" i="1" s="1"/>
  <c r="BA19" i="1" s="1"/>
  <c r="BF12" i="1"/>
  <c r="BF18" i="1" l="1"/>
  <c r="BG12" i="1"/>
  <c r="AZ29" i="1"/>
  <c r="BA29" i="1" s="1"/>
  <c r="BF19" i="1" l="1"/>
  <c r="BG18" i="1"/>
  <c r="AZ126" i="1"/>
  <c r="BA126" i="1" s="1"/>
  <c r="AW176" i="1"/>
  <c r="AW170" i="1"/>
  <c r="AW168" i="1"/>
  <c r="AW166" i="1"/>
  <c r="AW164" i="1"/>
  <c r="AW162" i="1"/>
  <c r="AW150" i="1"/>
  <c r="AW148" i="1"/>
  <c r="AW146" i="1"/>
  <c r="AW138" i="1"/>
  <c r="AW134" i="1"/>
  <c r="AW129" i="1"/>
  <c r="AW125" i="1"/>
  <c r="AW111" i="1"/>
  <c r="AW107" i="1"/>
  <c r="AW98" i="1"/>
  <c r="AW93" i="1"/>
  <c r="AW88" i="1"/>
  <c r="AW86" i="1"/>
  <c r="AW84" i="1"/>
  <c r="AW78" i="1"/>
  <c r="AW74" i="1"/>
  <c r="AW69" i="1"/>
  <c r="AW59" i="1"/>
  <c r="AW28" i="1"/>
  <c r="AW18" i="1"/>
  <c r="AW8" i="1"/>
  <c r="BG19" i="1" l="1"/>
  <c r="BF29" i="1"/>
  <c r="BG29" i="1" s="1"/>
  <c r="AZ135" i="1"/>
  <c r="AZ139" i="1" s="1"/>
  <c r="AZ151" i="1" s="1"/>
  <c r="AZ171" i="1" s="1"/>
  <c r="AZ177" i="1" s="1"/>
  <c r="BA177" i="1" s="1"/>
  <c r="AW19" i="1"/>
  <c r="AW29" i="1" s="1"/>
  <c r="AW126" i="1" s="1"/>
  <c r="AW135" i="1" s="1"/>
  <c r="AW139" i="1" s="1"/>
  <c r="AW151" i="1" s="1"/>
  <c r="AW171" i="1" s="1"/>
  <c r="AW177" i="1" s="1"/>
  <c r="AO8" i="1"/>
  <c r="BA135" i="1" l="1"/>
  <c r="AX19" i="1"/>
  <c r="AO129" i="1"/>
  <c r="AR128" i="1"/>
  <c r="AR92" i="1"/>
  <c r="AR91" i="1"/>
  <c r="AR77" i="1"/>
  <c r="AR76" i="1"/>
  <c r="AR75" i="1"/>
  <c r="AR73" i="1"/>
  <c r="AQ73" i="1"/>
  <c r="AR72" i="1"/>
  <c r="AQ72" i="1"/>
  <c r="AR71" i="1"/>
  <c r="AQ71" i="1"/>
  <c r="AR70" i="1"/>
  <c r="AQ70" i="1"/>
  <c r="AR68" i="1"/>
  <c r="AQ68" i="1"/>
  <c r="AR67" i="1"/>
  <c r="AQ67" i="1"/>
  <c r="AR66" i="1"/>
  <c r="AQ66" i="1"/>
  <c r="AR65" i="1"/>
  <c r="AQ65" i="1"/>
  <c r="AR64" i="1"/>
  <c r="AQ64" i="1"/>
  <c r="AR63" i="1"/>
  <c r="AQ63" i="1"/>
  <c r="AR62" i="1"/>
  <c r="AQ62" i="1"/>
  <c r="AR61" i="1"/>
  <c r="AQ61" i="1"/>
  <c r="AR60" i="1"/>
  <c r="AQ60" i="1"/>
  <c r="AR58" i="1"/>
  <c r="AQ58" i="1"/>
  <c r="AR57" i="1"/>
  <c r="AQ57" i="1"/>
  <c r="AR56" i="1"/>
  <c r="AQ56" i="1"/>
  <c r="AR55" i="1"/>
  <c r="AQ55" i="1"/>
  <c r="AR54" i="1"/>
  <c r="AQ54" i="1"/>
  <c r="AR53" i="1"/>
  <c r="AQ53" i="1"/>
  <c r="AR52" i="1"/>
  <c r="AQ52" i="1"/>
  <c r="AR51" i="1"/>
  <c r="AQ51" i="1"/>
  <c r="AR50" i="1"/>
  <c r="AQ50" i="1"/>
  <c r="AR49" i="1"/>
  <c r="AQ49" i="1"/>
  <c r="AR48" i="1"/>
  <c r="AQ48" i="1"/>
  <c r="AR46" i="1"/>
  <c r="AQ46" i="1"/>
  <c r="AR45" i="1"/>
  <c r="AQ45" i="1"/>
  <c r="AR44" i="1"/>
  <c r="AQ44" i="1"/>
  <c r="AR43" i="1"/>
  <c r="AQ43" i="1"/>
  <c r="AR42" i="1"/>
  <c r="AQ42" i="1"/>
  <c r="AR41" i="1"/>
  <c r="AQ41" i="1"/>
  <c r="AR40" i="1"/>
  <c r="AQ40" i="1"/>
  <c r="AR39" i="1"/>
  <c r="AQ39" i="1"/>
  <c r="AR38" i="1"/>
  <c r="AQ38" i="1"/>
  <c r="AR37" i="1"/>
  <c r="AQ37" i="1"/>
  <c r="AR36" i="1"/>
  <c r="AQ36" i="1"/>
  <c r="AR35" i="1"/>
  <c r="AQ35" i="1"/>
  <c r="AR34" i="1"/>
  <c r="AQ34" i="1"/>
  <c r="AR33" i="1"/>
  <c r="AQ33" i="1"/>
  <c r="AR27" i="1"/>
  <c r="AQ27" i="1"/>
  <c r="AR26" i="1"/>
  <c r="AQ26" i="1"/>
  <c r="AR25" i="1"/>
  <c r="AQ25" i="1"/>
  <c r="AR24" i="1"/>
  <c r="AQ24" i="1"/>
  <c r="AR23" i="1"/>
  <c r="AQ23" i="1"/>
  <c r="AR22" i="1"/>
  <c r="AQ22" i="1"/>
  <c r="AR21" i="1"/>
  <c r="AQ21" i="1"/>
  <c r="AR20" i="1"/>
  <c r="AQ20" i="1"/>
  <c r="AQ6" i="1"/>
  <c r="AQ9" i="1"/>
  <c r="AR9" i="1"/>
  <c r="AR175" i="1"/>
  <c r="AQ175" i="1"/>
  <c r="AR174" i="1"/>
  <c r="AQ174" i="1"/>
  <c r="AR173" i="1"/>
  <c r="AQ173" i="1"/>
  <c r="AR172" i="1"/>
  <c r="AQ172" i="1"/>
  <c r="AR169" i="1"/>
  <c r="AQ169" i="1"/>
  <c r="AR167" i="1"/>
  <c r="AQ167" i="1"/>
  <c r="AR165" i="1"/>
  <c r="AQ165" i="1"/>
  <c r="AR163" i="1"/>
  <c r="AQ163" i="1"/>
  <c r="AR161" i="1"/>
  <c r="AQ161" i="1"/>
  <c r="AR160" i="1"/>
  <c r="AQ160" i="1"/>
  <c r="AR159" i="1"/>
  <c r="AQ159" i="1"/>
  <c r="AR158" i="1"/>
  <c r="AQ158" i="1"/>
  <c r="AR157" i="1"/>
  <c r="AQ157" i="1"/>
  <c r="AR156" i="1"/>
  <c r="AQ156" i="1"/>
  <c r="AR155" i="1"/>
  <c r="AQ155" i="1"/>
  <c r="AR154" i="1"/>
  <c r="AQ154" i="1"/>
  <c r="AR153" i="1"/>
  <c r="AQ153" i="1"/>
  <c r="AR152" i="1"/>
  <c r="AQ152" i="1"/>
  <c r="AR149" i="1"/>
  <c r="AQ149" i="1"/>
  <c r="AR147" i="1"/>
  <c r="AQ147" i="1"/>
  <c r="AR145" i="1"/>
  <c r="AQ145" i="1"/>
  <c r="AR144" i="1"/>
  <c r="AQ144" i="1"/>
  <c r="AR143" i="1"/>
  <c r="AQ143" i="1"/>
  <c r="AR142" i="1"/>
  <c r="AQ142" i="1"/>
  <c r="AR141" i="1"/>
  <c r="AQ141" i="1"/>
  <c r="AR140" i="1"/>
  <c r="AQ140" i="1"/>
  <c r="AR137" i="1"/>
  <c r="AQ137" i="1"/>
  <c r="AR136" i="1"/>
  <c r="AQ136" i="1"/>
  <c r="AR133" i="1"/>
  <c r="AQ133" i="1"/>
  <c r="AR132" i="1"/>
  <c r="AQ132" i="1"/>
  <c r="AR131" i="1"/>
  <c r="AQ131" i="1"/>
  <c r="AR130" i="1"/>
  <c r="AQ130" i="1"/>
  <c r="AQ128" i="1"/>
  <c r="AR127" i="1"/>
  <c r="AQ127" i="1"/>
  <c r="AR124" i="1"/>
  <c r="AQ124" i="1"/>
  <c r="AR123" i="1"/>
  <c r="AQ123" i="1"/>
  <c r="AR122" i="1"/>
  <c r="AQ122" i="1"/>
  <c r="AR121" i="1"/>
  <c r="AQ121" i="1"/>
  <c r="AR120" i="1"/>
  <c r="AQ120" i="1"/>
  <c r="AR119" i="1"/>
  <c r="AQ119" i="1"/>
  <c r="AR118" i="1"/>
  <c r="AQ118" i="1"/>
  <c r="AR117" i="1"/>
  <c r="AQ117" i="1"/>
  <c r="AR116" i="1"/>
  <c r="AQ116" i="1"/>
  <c r="AR115" i="1"/>
  <c r="AQ115" i="1"/>
  <c r="AR114" i="1"/>
  <c r="AQ114" i="1"/>
  <c r="AR113" i="1"/>
  <c r="AQ113" i="1"/>
  <c r="AR112" i="1"/>
  <c r="AQ112" i="1"/>
  <c r="AR110" i="1"/>
  <c r="AQ110" i="1"/>
  <c r="AR109" i="1"/>
  <c r="AQ109" i="1"/>
  <c r="AR108" i="1"/>
  <c r="AQ108" i="1"/>
  <c r="AR106" i="1"/>
  <c r="AQ106" i="1"/>
  <c r="AR105" i="1"/>
  <c r="AQ105" i="1"/>
  <c r="AR104" i="1"/>
  <c r="AQ104" i="1"/>
  <c r="AR103" i="1"/>
  <c r="AQ103" i="1"/>
  <c r="AR102" i="1"/>
  <c r="AQ102" i="1"/>
  <c r="AR101" i="1"/>
  <c r="AQ101" i="1"/>
  <c r="AR100" i="1"/>
  <c r="AQ100" i="1"/>
  <c r="AR99" i="1"/>
  <c r="AQ99" i="1"/>
  <c r="AR97" i="1"/>
  <c r="AQ97" i="1"/>
  <c r="AR96" i="1"/>
  <c r="AQ96" i="1"/>
  <c r="AR95" i="1"/>
  <c r="AQ95" i="1"/>
  <c r="AR94" i="1"/>
  <c r="AQ94" i="1"/>
  <c r="AQ92" i="1"/>
  <c r="AQ91" i="1"/>
  <c r="AR90" i="1"/>
  <c r="AQ90" i="1"/>
  <c r="AR89" i="1"/>
  <c r="AQ89" i="1"/>
  <c r="AR87" i="1"/>
  <c r="AQ87" i="1"/>
  <c r="AR85" i="1"/>
  <c r="AQ85" i="1"/>
  <c r="AR83" i="1"/>
  <c r="AQ83" i="1"/>
  <c r="AR82" i="1"/>
  <c r="AQ82" i="1"/>
  <c r="AR81" i="1"/>
  <c r="AQ81" i="1"/>
  <c r="AR80" i="1"/>
  <c r="AQ80" i="1"/>
  <c r="AR79" i="1"/>
  <c r="AQ79" i="1"/>
  <c r="AQ77" i="1"/>
  <c r="AQ76" i="1"/>
  <c r="AQ75" i="1"/>
  <c r="AR32" i="1"/>
  <c r="AQ32" i="1"/>
  <c r="AR31" i="1"/>
  <c r="AQ31" i="1"/>
  <c r="AR30" i="1"/>
  <c r="AQ30" i="1"/>
  <c r="AR17" i="1"/>
  <c r="AQ17" i="1"/>
  <c r="AR16" i="1"/>
  <c r="AQ16" i="1"/>
  <c r="AR15" i="1"/>
  <c r="AQ15" i="1"/>
  <c r="AR14" i="1"/>
  <c r="AQ14" i="1"/>
  <c r="AR13" i="1"/>
  <c r="AQ13" i="1"/>
  <c r="AR12" i="1"/>
  <c r="AQ12" i="1"/>
  <c r="AR11" i="1"/>
  <c r="AQ11" i="1"/>
  <c r="AR10" i="1"/>
  <c r="AQ10" i="1"/>
  <c r="AR7" i="1"/>
  <c r="AQ7" i="1"/>
  <c r="AR6" i="1"/>
  <c r="AR125" i="1" l="1"/>
  <c r="AQ170" i="1"/>
  <c r="AQ86" i="1"/>
  <c r="AQ148" i="1"/>
  <c r="AQ164" i="1"/>
  <c r="AQ88" i="1"/>
  <c r="AR148" i="1"/>
  <c r="AR164" i="1"/>
  <c r="AR170" i="1"/>
  <c r="AR86" i="1"/>
  <c r="AX29" i="1"/>
  <c r="AQ84" i="1"/>
  <c r="AQ59" i="1"/>
  <c r="AR8" i="1"/>
  <c r="AS107" i="1" s="1"/>
  <c r="AQ146" i="1"/>
  <c r="AQ162" i="1"/>
  <c r="AR59" i="1"/>
  <c r="AR74" i="1"/>
  <c r="AQ69" i="1"/>
  <c r="AQ93" i="1"/>
  <c r="AR78" i="1"/>
  <c r="AQ98" i="1"/>
  <c r="AQ129" i="1"/>
  <c r="AR162" i="1"/>
  <c r="AQ74" i="1"/>
  <c r="AQ78" i="1"/>
  <c r="AR84" i="1"/>
  <c r="AQ138" i="1"/>
  <c r="AQ176" i="1"/>
  <c r="AQ8" i="1"/>
  <c r="AR69" i="1"/>
  <c r="AQ125" i="1"/>
  <c r="AR146" i="1"/>
  <c r="AR88" i="1"/>
  <c r="AR129" i="1"/>
  <c r="AR138" i="1"/>
  <c r="AR176" i="1"/>
  <c r="AR98" i="1"/>
  <c r="AR18" i="1"/>
  <c r="AR93" i="1"/>
  <c r="AR47" i="1"/>
  <c r="AQ28" i="1"/>
  <c r="AQ47" i="1"/>
  <c r="AR28" i="1"/>
  <c r="AQ18" i="1"/>
  <c r="AQ111" i="1"/>
  <c r="AS98" i="1" l="1"/>
  <c r="AS88" i="1"/>
  <c r="AS18" i="1"/>
  <c r="AS129" i="1"/>
  <c r="AS69" i="1"/>
  <c r="AS84" i="1"/>
  <c r="AS148" i="1"/>
  <c r="AS96" i="1"/>
  <c r="AS50" i="1"/>
  <c r="AS55" i="1"/>
  <c r="AS77" i="1"/>
  <c r="AS21" i="1"/>
  <c r="AS144" i="1"/>
  <c r="AS92" i="1"/>
  <c r="AS40" i="1"/>
  <c r="AS120" i="1"/>
  <c r="AS73" i="1"/>
  <c r="AS110" i="1"/>
  <c r="AS72" i="1"/>
  <c r="AS133" i="1"/>
  <c r="AS74" i="1"/>
  <c r="AS66" i="1"/>
  <c r="AS38" i="1"/>
  <c r="AS108" i="1"/>
  <c r="AS167" i="1"/>
  <c r="AS41" i="1"/>
  <c r="AS28" i="1"/>
  <c r="AS93" i="1"/>
  <c r="AS138" i="1"/>
  <c r="AS162" i="1"/>
  <c r="AS164" i="1"/>
  <c r="AS91" i="1"/>
  <c r="AS60" i="1"/>
  <c r="AS42" i="1"/>
  <c r="AS25" i="1"/>
  <c r="AS117" i="1"/>
  <c r="AS99" i="1"/>
  <c r="AS79" i="1"/>
  <c r="AS156" i="1"/>
  <c r="AS128" i="1"/>
  <c r="AS54" i="1"/>
  <c r="AS20" i="1"/>
  <c r="AS89" i="1"/>
  <c r="AS145" i="1"/>
  <c r="AS51" i="1"/>
  <c r="AS123" i="1"/>
  <c r="AS90" i="1"/>
  <c r="AS140" i="1"/>
  <c r="AS67" i="1"/>
  <c r="AS112" i="1"/>
  <c r="AS169" i="1"/>
  <c r="AS15" i="1"/>
  <c r="AS47" i="1"/>
  <c r="AS176" i="1"/>
  <c r="AS146" i="1"/>
  <c r="AS78" i="1"/>
  <c r="AS59" i="1"/>
  <c r="AS170" i="1"/>
  <c r="AS125" i="1"/>
  <c r="AS64" i="1"/>
  <c r="AS49" i="1"/>
  <c r="AS27" i="1"/>
  <c r="AS119" i="1"/>
  <c r="AS105" i="1"/>
  <c r="AS83" i="1"/>
  <c r="AS160" i="1"/>
  <c r="AS132" i="1"/>
  <c r="AS58" i="1"/>
  <c r="AS33" i="1"/>
  <c r="AS102" i="1"/>
  <c r="AS157" i="1"/>
  <c r="AS16" i="1"/>
  <c r="AS37" i="1"/>
  <c r="AS124" i="1"/>
  <c r="AS106" i="1"/>
  <c r="AS82" i="1"/>
  <c r="AS161" i="1"/>
  <c r="AS141" i="1"/>
  <c r="AS11" i="1"/>
  <c r="AS68" i="1"/>
  <c r="AS57" i="1"/>
  <c r="AS46" i="1"/>
  <c r="AS34" i="1"/>
  <c r="AS127" i="1"/>
  <c r="AS115" i="1"/>
  <c r="AS101" i="1"/>
  <c r="AS87" i="1"/>
  <c r="AS174" i="1"/>
  <c r="AS152" i="1"/>
  <c r="AS32" i="1"/>
  <c r="AS63" i="1"/>
  <c r="AS45" i="1"/>
  <c r="AS24" i="1"/>
  <c r="AS116" i="1"/>
  <c r="AS97" i="1"/>
  <c r="AS175" i="1"/>
  <c r="AS153" i="1"/>
  <c r="AS31" i="1"/>
  <c r="AS10" i="1"/>
  <c r="AS86" i="1"/>
  <c r="AS71" i="1"/>
  <c r="AS62" i="1"/>
  <c r="AS53" i="1"/>
  <c r="AS44" i="1"/>
  <c r="AS36" i="1"/>
  <c r="AS23" i="1"/>
  <c r="AS121" i="1"/>
  <c r="AS113" i="1"/>
  <c r="AS103" i="1"/>
  <c r="AS94" i="1"/>
  <c r="AS81" i="1"/>
  <c r="AS172" i="1"/>
  <c r="AS158" i="1"/>
  <c r="AS147" i="1"/>
  <c r="AS136" i="1"/>
  <c r="AS14" i="1"/>
  <c r="AS70" i="1"/>
  <c r="AS61" i="1"/>
  <c r="AS52" i="1"/>
  <c r="AS43" i="1"/>
  <c r="AS35" i="1"/>
  <c r="AS22" i="1"/>
  <c r="AS122" i="1"/>
  <c r="AS114" i="1"/>
  <c r="AS104" i="1"/>
  <c r="AS95" i="1"/>
  <c r="AS80" i="1"/>
  <c r="AS173" i="1"/>
  <c r="AS159" i="1"/>
  <c r="AS149" i="1"/>
  <c r="AS137" i="1"/>
  <c r="AS17" i="1"/>
  <c r="AS30" i="1"/>
  <c r="AS163" i="1"/>
  <c r="AS154" i="1"/>
  <c r="AS142" i="1"/>
  <c r="AS130" i="1"/>
  <c r="AS76" i="1"/>
  <c r="AS65" i="1"/>
  <c r="AS56" i="1"/>
  <c r="AS48" i="1"/>
  <c r="AS39" i="1"/>
  <c r="AS26" i="1"/>
  <c r="AS9" i="1"/>
  <c r="AS118" i="1"/>
  <c r="AS109" i="1"/>
  <c r="AS100" i="1"/>
  <c r="AS85" i="1"/>
  <c r="AS75" i="1"/>
  <c r="AS165" i="1"/>
  <c r="AS155" i="1"/>
  <c r="AS143" i="1"/>
  <c r="AS131" i="1"/>
  <c r="AS13" i="1"/>
  <c r="AS12" i="1"/>
  <c r="AX126" i="1"/>
  <c r="AR19" i="1"/>
  <c r="AQ19" i="1"/>
  <c r="AQ29" i="1" s="1"/>
  <c r="AQ126" i="1" s="1"/>
  <c r="AO18" i="1"/>
  <c r="AO19" i="1" s="1"/>
  <c r="AO176" i="1"/>
  <c r="AO170" i="1"/>
  <c r="AO168" i="1"/>
  <c r="AO166" i="1"/>
  <c r="AO164" i="1"/>
  <c r="AO162" i="1"/>
  <c r="AO150" i="1"/>
  <c r="AO148" i="1"/>
  <c r="AO146" i="1"/>
  <c r="AO138" i="1"/>
  <c r="AO134" i="1"/>
  <c r="AO125" i="1"/>
  <c r="AO111" i="1"/>
  <c r="AO107" i="1"/>
  <c r="AO98" i="1"/>
  <c r="AO93" i="1"/>
  <c r="AO88" i="1"/>
  <c r="AO86" i="1"/>
  <c r="AO84" i="1"/>
  <c r="AO78" i="1"/>
  <c r="AO74" i="1"/>
  <c r="AO69" i="1"/>
  <c r="AO59" i="1"/>
  <c r="AO28" i="1"/>
  <c r="AR29" i="1" l="1"/>
  <c r="AS29" i="1" s="1"/>
  <c r="AS19" i="1"/>
  <c r="AX177" i="1"/>
  <c r="AX135" i="1"/>
  <c r="AO29" i="1"/>
  <c r="AO126" i="1" s="1"/>
  <c r="AO135" i="1" s="1"/>
  <c r="AO139" i="1" s="1"/>
  <c r="AP19" i="1"/>
  <c r="AL170" i="1"/>
  <c r="AP29" i="1" l="1"/>
  <c r="AL148" i="1"/>
  <c r="AL28" i="1"/>
  <c r="AL18" i="1"/>
  <c r="AL8" i="1"/>
  <c r="AP126" i="1" l="1"/>
  <c r="AL176" i="1"/>
  <c r="AL168" i="1"/>
  <c r="AL166" i="1"/>
  <c r="AL164" i="1"/>
  <c r="AL162" i="1"/>
  <c r="AL146" i="1"/>
  <c r="AL138" i="1"/>
  <c r="AL129" i="1"/>
  <c r="AL125" i="1"/>
  <c r="AL111" i="1"/>
  <c r="AL107" i="1"/>
  <c r="AL98" i="1"/>
  <c r="AL93" i="1"/>
  <c r="AL88" i="1"/>
  <c r="AL86" i="1"/>
  <c r="AL84" i="1"/>
  <c r="AL78" i="1"/>
  <c r="AL74" i="1"/>
  <c r="AL69" i="1"/>
  <c r="AL59" i="1"/>
  <c r="AL19" i="1"/>
  <c r="AO151" i="1" l="1"/>
  <c r="AO171" i="1" s="1"/>
  <c r="AO177" i="1" s="1"/>
  <c r="AL29" i="1"/>
  <c r="AM29" i="1" s="1"/>
  <c r="AM19" i="1"/>
  <c r="AP177" i="1" l="1"/>
  <c r="AL126" i="1"/>
  <c r="AL135" i="1" s="1"/>
  <c r="AL139" i="1" s="1"/>
  <c r="AL151" i="1" s="1"/>
  <c r="AL171" i="1" s="1"/>
  <c r="AL177" i="1" s="1"/>
  <c r="AM177" i="1" s="1"/>
  <c r="AI59" i="1"/>
  <c r="AM126" i="1" l="1"/>
  <c r="AI134" i="1"/>
  <c r="AR134" i="1" s="1"/>
  <c r="AS134" i="1" s="1"/>
  <c r="AI150" i="1" l="1"/>
  <c r="AR150" i="1" s="1"/>
  <c r="AS150" i="1" s="1"/>
  <c r="AI148" i="1"/>
  <c r="AI176" i="1"/>
  <c r="AI170" i="1"/>
  <c r="AI168" i="1"/>
  <c r="AI166" i="1"/>
  <c r="AI164" i="1"/>
  <c r="AI162" i="1"/>
  <c r="AI146" i="1"/>
  <c r="AI138" i="1"/>
  <c r="AI129" i="1"/>
  <c r="AI125" i="1"/>
  <c r="AI111" i="1"/>
  <c r="AI107" i="1"/>
  <c r="AI98" i="1"/>
  <c r="AI93" i="1"/>
  <c r="AI88" i="1"/>
  <c r="AI86" i="1"/>
  <c r="AI84" i="1"/>
  <c r="AI78" i="1"/>
  <c r="AI74" i="1"/>
  <c r="AI69" i="1"/>
  <c r="AI28" i="1"/>
  <c r="AI18" i="1"/>
  <c r="AI8" i="1"/>
  <c r="AR168" i="1" l="1"/>
  <c r="AS168" i="1" s="1"/>
  <c r="AR166" i="1"/>
  <c r="AS166" i="1" s="1"/>
  <c r="AI19" i="1"/>
  <c r="AJ19" i="1" s="1"/>
  <c r="Z169" i="1"/>
  <c r="AI29" i="1" l="1"/>
  <c r="Z15" i="1"/>
  <c r="Z85" i="1"/>
  <c r="Z10" i="1"/>
  <c r="Z9" i="1"/>
  <c r="AI126" i="1" l="1"/>
  <c r="AI135" i="1" s="1"/>
  <c r="AI139" i="1" s="1"/>
  <c r="AI151" i="1" s="1"/>
  <c r="AI171" i="1" s="1"/>
  <c r="AI177" i="1" s="1"/>
  <c r="AJ177" i="1" s="1"/>
  <c r="AJ29" i="1"/>
  <c r="Z7" i="1"/>
  <c r="AJ126" i="1" l="1"/>
  <c r="Z170" i="1"/>
  <c r="Z125" i="1"/>
  <c r="Z69" i="1"/>
  <c r="AC48" i="1"/>
  <c r="AC169" i="1"/>
  <c r="AC161" i="1"/>
  <c r="AC147" i="1"/>
  <c r="AC144" i="1"/>
  <c r="AC140" i="1"/>
  <c r="AC137" i="1"/>
  <c r="AC136" i="1"/>
  <c r="AC128" i="1"/>
  <c r="AC123" i="1"/>
  <c r="AC96" i="1"/>
  <c r="AC95" i="1"/>
  <c r="AC94" i="1"/>
  <c r="AC91" i="1"/>
  <c r="AC87" i="1"/>
  <c r="AC85" i="1"/>
  <c r="AC81" i="1"/>
  <c r="AC80" i="1"/>
  <c r="AC79" i="1"/>
  <c r="AC77" i="1"/>
  <c r="AC76" i="1"/>
  <c r="AC75" i="1"/>
  <c r="AC73" i="1"/>
  <c r="AC72" i="1"/>
  <c r="AC71" i="1"/>
  <c r="AC70" i="1"/>
  <c r="AC61" i="1"/>
  <c r="AC60" i="1"/>
  <c r="AC27" i="1"/>
  <c r="AC26" i="1"/>
  <c r="AC25" i="1"/>
  <c r="AC24" i="1"/>
  <c r="AC23" i="1"/>
  <c r="AC22" i="1"/>
  <c r="AC21" i="1"/>
  <c r="AC20" i="1"/>
  <c r="AC17" i="1"/>
  <c r="AC16" i="1"/>
  <c r="AC15" i="1"/>
  <c r="AC14" i="1"/>
  <c r="AC13" i="1"/>
  <c r="AC12" i="1"/>
  <c r="AC11" i="1"/>
  <c r="AC10" i="1"/>
  <c r="AC9" i="1"/>
  <c r="AC7" i="1"/>
  <c r="AC6" i="1"/>
  <c r="Z18" i="1"/>
  <c r="AC86" i="1" l="1"/>
  <c r="AC148" i="1"/>
  <c r="AC88" i="1"/>
  <c r="AC170" i="1"/>
  <c r="AC74" i="1"/>
  <c r="AC138" i="1"/>
  <c r="AC78" i="1"/>
  <c r="AC8" i="1"/>
  <c r="AD13" i="1" s="1"/>
  <c r="AC18" i="1"/>
  <c r="AC28" i="1"/>
  <c r="Z8" i="1"/>
  <c r="AB6" i="1"/>
  <c r="AD28" i="1" l="1"/>
  <c r="AD170" i="1"/>
  <c r="AD169" i="1"/>
  <c r="AD80" i="1"/>
  <c r="AD22" i="1"/>
  <c r="AD137" i="1"/>
  <c r="AD73" i="1"/>
  <c r="AD15" i="1"/>
  <c r="AD95" i="1"/>
  <c r="AD60" i="1"/>
  <c r="AD10" i="1"/>
  <c r="AD94" i="1"/>
  <c r="AD27" i="1"/>
  <c r="AD9" i="1"/>
  <c r="AD78" i="1"/>
  <c r="AD88" i="1"/>
  <c r="AD140" i="1"/>
  <c r="AD75" i="1"/>
  <c r="AD16" i="1"/>
  <c r="AD96" i="1"/>
  <c r="AD61" i="1"/>
  <c r="AD11" i="1"/>
  <c r="AD85" i="1"/>
  <c r="AD24" i="1"/>
  <c r="AD48" i="1"/>
  <c r="AD81" i="1"/>
  <c r="AD23" i="1"/>
  <c r="AD138" i="1"/>
  <c r="AD148" i="1"/>
  <c r="AD123" i="1"/>
  <c r="AD70" i="1"/>
  <c r="AD12" i="1"/>
  <c r="AD87" i="1"/>
  <c r="AD25" i="1"/>
  <c r="AD147" i="1"/>
  <c r="AD77" i="1"/>
  <c r="AD20" i="1"/>
  <c r="AD144" i="1"/>
  <c r="AD76" i="1"/>
  <c r="AD17" i="1"/>
  <c r="AD18" i="1"/>
  <c r="AD74" i="1"/>
  <c r="AD86" i="1"/>
  <c r="AD91" i="1"/>
  <c r="AD26" i="1"/>
  <c r="AD161" i="1"/>
  <c r="AD79" i="1"/>
  <c r="AD21" i="1"/>
  <c r="AD136" i="1"/>
  <c r="AD72" i="1"/>
  <c r="AD14" i="1"/>
  <c r="AD128" i="1"/>
  <c r="AD71" i="1"/>
  <c r="AC19" i="1"/>
  <c r="AB161" i="1"/>
  <c r="AC175" i="1"/>
  <c r="AD175" i="1" s="1"/>
  <c r="AC174" i="1"/>
  <c r="AD174" i="1" s="1"/>
  <c r="AC173" i="1"/>
  <c r="AD173" i="1" s="1"/>
  <c r="AC172" i="1"/>
  <c r="AD172" i="1" s="1"/>
  <c r="AC167" i="1"/>
  <c r="AD167" i="1" s="1"/>
  <c r="AC165" i="1"/>
  <c r="AD165" i="1" s="1"/>
  <c r="AC163" i="1"/>
  <c r="AD163" i="1" s="1"/>
  <c r="AC160" i="1"/>
  <c r="AD160" i="1" s="1"/>
  <c r="AC159" i="1"/>
  <c r="AD159" i="1" s="1"/>
  <c r="AC158" i="1"/>
  <c r="AD158" i="1" s="1"/>
  <c r="AC157" i="1"/>
  <c r="AD157" i="1" s="1"/>
  <c r="AC156" i="1"/>
  <c r="AD156" i="1" s="1"/>
  <c r="AC155" i="1"/>
  <c r="AD155" i="1" s="1"/>
  <c r="AC154" i="1"/>
  <c r="AD154" i="1" s="1"/>
  <c r="AC153" i="1"/>
  <c r="AD153" i="1" s="1"/>
  <c r="AC152" i="1"/>
  <c r="AD152" i="1" s="1"/>
  <c r="AC149" i="1"/>
  <c r="AD149" i="1" s="1"/>
  <c r="AC143" i="1"/>
  <c r="AD143" i="1" s="1"/>
  <c r="AC142" i="1"/>
  <c r="AD142" i="1" s="1"/>
  <c r="AC141" i="1"/>
  <c r="AD141" i="1" s="1"/>
  <c r="AC134" i="1"/>
  <c r="AD134" i="1" s="1"/>
  <c r="AC133" i="1"/>
  <c r="AD133" i="1" s="1"/>
  <c r="AC132" i="1"/>
  <c r="AD132" i="1" s="1"/>
  <c r="AC131" i="1"/>
  <c r="AD131" i="1" s="1"/>
  <c r="AC130" i="1"/>
  <c r="AD130" i="1" s="1"/>
  <c r="AC127" i="1"/>
  <c r="AD127" i="1" s="1"/>
  <c r="AC124" i="1"/>
  <c r="AD124" i="1" s="1"/>
  <c r="AC122" i="1"/>
  <c r="AD122" i="1" s="1"/>
  <c r="AC121" i="1"/>
  <c r="AD121" i="1" s="1"/>
  <c r="AC120" i="1"/>
  <c r="AD120" i="1" s="1"/>
  <c r="AC119" i="1"/>
  <c r="AD119" i="1" s="1"/>
  <c r="AC118" i="1"/>
  <c r="AD118" i="1" s="1"/>
  <c r="AC117" i="1"/>
  <c r="AD117" i="1" s="1"/>
  <c r="AC116" i="1"/>
  <c r="AD116" i="1" s="1"/>
  <c r="AC115" i="1"/>
  <c r="AD115" i="1" s="1"/>
  <c r="AC114" i="1"/>
  <c r="AD114" i="1" s="1"/>
  <c r="AC113" i="1"/>
  <c r="AD113" i="1" s="1"/>
  <c r="AC112" i="1"/>
  <c r="AD112" i="1" s="1"/>
  <c r="AC110" i="1"/>
  <c r="AD110" i="1" s="1"/>
  <c r="AC109" i="1"/>
  <c r="AD109" i="1" s="1"/>
  <c r="AC108" i="1"/>
  <c r="AD108" i="1" s="1"/>
  <c r="AC106" i="1"/>
  <c r="AD106" i="1" s="1"/>
  <c r="AC105" i="1"/>
  <c r="AD105" i="1" s="1"/>
  <c r="AC104" i="1"/>
  <c r="AD104" i="1" s="1"/>
  <c r="AC103" i="1"/>
  <c r="AD103" i="1" s="1"/>
  <c r="AC102" i="1"/>
  <c r="AD102" i="1" s="1"/>
  <c r="AC101" i="1"/>
  <c r="AD101" i="1" s="1"/>
  <c r="AC100" i="1"/>
  <c r="AD100" i="1" s="1"/>
  <c r="AC99" i="1"/>
  <c r="AD99" i="1" s="1"/>
  <c r="AC97" i="1"/>
  <c r="AD97" i="1" s="1"/>
  <c r="AC92" i="1"/>
  <c r="AD92" i="1" s="1"/>
  <c r="AC90" i="1"/>
  <c r="AD90" i="1" s="1"/>
  <c r="AC89" i="1"/>
  <c r="AD89" i="1" s="1"/>
  <c r="AC83" i="1"/>
  <c r="AD83" i="1" s="1"/>
  <c r="AC82" i="1"/>
  <c r="AD82" i="1" s="1"/>
  <c r="AC68" i="1"/>
  <c r="AD68" i="1" s="1"/>
  <c r="AC67" i="1"/>
  <c r="AD67" i="1" s="1"/>
  <c r="AC66" i="1"/>
  <c r="AD66" i="1" s="1"/>
  <c r="AC65" i="1"/>
  <c r="AD65" i="1" s="1"/>
  <c r="AC64" i="1"/>
  <c r="AD64" i="1" s="1"/>
  <c r="AC63" i="1"/>
  <c r="AD63" i="1" s="1"/>
  <c r="AC62" i="1"/>
  <c r="AD62" i="1" s="1"/>
  <c r="AC57" i="1"/>
  <c r="AD57" i="1" s="1"/>
  <c r="AC55" i="1"/>
  <c r="AD55" i="1" s="1"/>
  <c r="AC54" i="1"/>
  <c r="AD54" i="1" s="1"/>
  <c r="AC53" i="1"/>
  <c r="AD53" i="1" s="1"/>
  <c r="AC52" i="1"/>
  <c r="AD52" i="1" s="1"/>
  <c r="AC51" i="1"/>
  <c r="AD51" i="1" s="1"/>
  <c r="AC50" i="1"/>
  <c r="AD50" i="1" s="1"/>
  <c r="AC46" i="1"/>
  <c r="AD46" i="1" s="1"/>
  <c r="AC45" i="1"/>
  <c r="AD45" i="1" s="1"/>
  <c r="AC44" i="1"/>
  <c r="AD44" i="1" s="1"/>
  <c r="AC43" i="1"/>
  <c r="AD43" i="1" s="1"/>
  <c r="AC42" i="1"/>
  <c r="AD42" i="1" s="1"/>
  <c r="AC41" i="1"/>
  <c r="AD41" i="1" s="1"/>
  <c r="AC40" i="1"/>
  <c r="AD40" i="1" s="1"/>
  <c r="AC39" i="1"/>
  <c r="AD39" i="1" s="1"/>
  <c r="AC38" i="1"/>
  <c r="AD38" i="1" s="1"/>
  <c r="AC37" i="1"/>
  <c r="AD37" i="1" s="1"/>
  <c r="AC36" i="1"/>
  <c r="AD36" i="1" s="1"/>
  <c r="AC35" i="1"/>
  <c r="AD35" i="1" s="1"/>
  <c r="AC34" i="1"/>
  <c r="AD34" i="1" s="1"/>
  <c r="AC33" i="1"/>
  <c r="AD33" i="1" s="1"/>
  <c r="AC32" i="1"/>
  <c r="AD32" i="1" s="1"/>
  <c r="AC31" i="1"/>
  <c r="AD31" i="1" s="1"/>
  <c r="AC30" i="1"/>
  <c r="AD30" i="1" s="1"/>
  <c r="AB175" i="1"/>
  <c r="AB174" i="1"/>
  <c r="AB173" i="1"/>
  <c r="AB172" i="1"/>
  <c r="AB167" i="1"/>
  <c r="AB165" i="1"/>
  <c r="AB163" i="1"/>
  <c r="AB160" i="1"/>
  <c r="AB159" i="1"/>
  <c r="AB158" i="1"/>
  <c r="AB157" i="1"/>
  <c r="AB156" i="1"/>
  <c r="AB155" i="1"/>
  <c r="AB154" i="1"/>
  <c r="AB153" i="1"/>
  <c r="AB152" i="1"/>
  <c r="AB149" i="1"/>
  <c r="AB147" i="1"/>
  <c r="AB144" i="1"/>
  <c r="AB143" i="1"/>
  <c r="AB142" i="1"/>
  <c r="AB141" i="1"/>
  <c r="AB140" i="1"/>
  <c r="AB137" i="1"/>
  <c r="AB136" i="1"/>
  <c r="AB133" i="1"/>
  <c r="AB132" i="1"/>
  <c r="AB131" i="1"/>
  <c r="AB130" i="1"/>
  <c r="AB128" i="1"/>
  <c r="AB127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0" i="1"/>
  <c r="AB109" i="1"/>
  <c r="AB108" i="1"/>
  <c r="AB106" i="1"/>
  <c r="AB105" i="1"/>
  <c r="AB104" i="1"/>
  <c r="AB103" i="1"/>
  <c r="AB102" i="1"/>
  <c r="AB101" i="1"/>
  <c r="AB100" i="1"/>
  <c r="AB99" i="1"/>
  <c r="AB97" i="1"/>
  <c r="AB96" i="1"/>
  <c r="AB95" i="1"/>
  <c r="AB94" i="1"/>
  <c r="AB92" i="1"/>
  <c r="AB91" i="1"/>
  <c r="AB90" i="1"/>
  <c r="AB89" i="1"/>
  <c r="AB87" i="1"/>
  <c r="AB85" i="1"/>
  <c r="AB83" i="1"/>
  <c r="AB82" i="1"/>
  <c r="AB81" i="1"/>
  <c r="AB80" i="1"/>
  <c r="AB79" i="1"/>
  <c r="AB77" i="1"/>
  <c r="AB76" i="1"/>
  <c r="AB73" i="1"/>
  <c r="AB72" i="1"/>
  <c r="AB71" i="1"/>
  <c r="AB70" i="1"/>
  <c r="AB68" i="1"/>
  <c r="AB67" i="1"/>
  <c r="AB66" i="1"/>
  <c r="AB65" i="1"/>
  <c r="AB64" i="1"/>
  <c r="AB63" i="1"/>
  <c r="AB62" i="1"/>
  <c r="AB61" i="1"/>
  <c r="AB60" i="1"/>
  <c r="AB58" i="1"/>
  <c r="AB57" i="1"/>
  <c r="AB56" i="1"/>
  <c r="AB55" i="1"/>
  <c r="AB54" i="1"/>
  <c r="AB53" i="1"/>
  <c r="AB52" i="1"/>
  <c r="AB51" i="1"/>
  <c r="AB50" i="1"/>
  <c r="AB49" i="1"/>
  <c r="AB48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7" i="1"/>
  <c r="AB26" i="1"/>
  <c r="AB25" i="1"/>
  <c r="AB24" i="1"/>
  <c r="AB23" i="1"/>
  <c r="AB22" i="1"/>
  <c r="AB21" i="1"/>
  <c r="AB20" i="1"/>
  <c r="AB17" i="1"/>
  <c r="AB16" i="1"/>
  <c r="AB15" i="1"/>
  <c r="AB14" i="1"/>
  <c r="AB13" i="1"/>
  <c r="AB12" i="1"/>
  <c r="AB11" i="1"/>
  <c r="AB10" i="1"/>
  <c r="AB9" i="1"/>
  <c r="AB7" i="1"/>
  <c r="AC29" i="1" l="1"/>
  <c r="AD29" i="1" s="1"/>
  <c r="AD19" i="1"/>
  <c r="AC98" i="1"/>
  <c r="AD98" i="1" s="1"/>
  <c r="AC129" i="1"/>
  <c r="AD129" i="1" s="1"/>
  <c r="AC162" i="1"/>
  <c r="AD162" i="1" s="1"/>
  <c r="AC69" i="1"/>
  <c r="AD69" i="1" s="1"/>
  <c r="AC125" i="1"/>
  <c r="AD125" i="1" s="1"/>
  <c r="AC93" i="1"/>
  <c r="AD93" i="1" s="1"/>
  <c r="AC84" i="1"/>
  <c r="AD84" i="1" s="1"/>
  <c r="AB59" i="1"/>
  <c r="AB93" i="1"/>
  <c r="V8" i="1"/>
  <c r="AC58" i="1" l="1"/>
  <c r="AD58" i="1" s="1"/>
  <c r="AC56" i="1"/>
  <c r="AD56" i="1" s="1"/>
  <c r="AC49" i="1"/>
  <c r="AD49" i="1" s="1"/>
  <c r="AC59" i="1" l="1"/>
  <c r="AD59" i="1" s="1"/>
  <c r="Y176" i="1"/>
  <c r="Y170" i="1"/>
  <c r="Y168" i="1"/>
  <c r="Y166" i="1"/>
  <c r="Y164" i="1"/>
  <c r="Y162" i="1"/>
  <c r="Y150" i="1"/>
  <c r="Y148" i="1"/>
  <c r="Y146" i="1"/>
  <c r="Y138" i="1"/>
  <c r="Y134" i="1"/>
  <c r="Y125" i="1"/>
  <c r="Y111" i="1"/>
  <c r="Y107" i="1"/>
  <c r="Y98" i="1"/>
  <c r="Y93" i="1"/>
  <c r="Y88" i="1"/>
  <c r="Y86" i="1"/>
  <c r="Y84" i="1"/>
  <c r="Y78" i="1"/>
  <c r="Y74" i="1"/>
  <c r="Y69" i="1"/>
  <c r="Y59" i="1"/>
  <c r="Y28" i="1"/>
  <c r="Y18" i="1"/>
  <c r="Y8" i="1"/>
  <c r="Y19" i="1" l="1"/>
  <c r="Y29" i="1" s="1"/>
  <c r="Y126" i="1" s="1"/>
  <c r="Y135" i="1" s="1"/>
  <c r="Y139" i="1" s="1"/>
  <c r="Y151" i="1" s="1"/>
  <c r="Y171" i="1" s="1"/>
  <c r="Y177" i="1" s="1"/>
  <c r="Z176" i="1"/>
  <c r="Z168" i="1"/>
  <c r="Z166" i="1"/>
  <c r="Z164" i="1"/>
  <c r="Z162" i="1"/>
  <c r="Z150" i="1"/>
  <c r="Z148" i="1"/>
  <c r="Z146" i="1"/>
  <c r="Z138" i="1"/>
  <c r="Z129" i="1"/>
  <c r="Z111" i="1"/>
  <c r="Z107" i="1"/>
  <c r="Z98" i="1"/>
  <c r="Z93" i="1"/>
  <c r="Z88" i="1"/>
  <c r="Z86" i="1"/>
  <c r="Z84" i="1"/>
  <c r="Z78" i="1"/>
  <c r="Z74" i="1"/>
  <c r="Z59" i="1"/>
  <c r="Z47" i="1"/>
  <c r="Z28" i="1"/>
  <c r="Z19" i="1" l="1"/>
  <c r="AA19" i="1" s="1"/>
  <c r="W129" i="1"/>
  <c r="W59" i="1"/>
  <c r="V47" i="1"/>
  <c r="W47" i="1"/>
  <c r="Q47" i="1"/>
  <c r="V176" i="1"/>
  <c r="V170" i="1"/>
  <c r="V168" i="1"/>
  <c r="V166" i="1"/>
  <c r="V164" i="1"/>
  <c r="V162" i="1"/>
  <c r="V150" i="1"/>
  <c r="V148" i="1"/>
  <c r="V146" i="1"/>
  <c r="V138" i="1"/>
  <c r="V134" i="1"/>
  <c r="AB134" i="1" s="1"/>
  <c r="V129" i="1"/>
  <c r="V125" i="1"/>
  <c r="V111" i="1"/>
  <c r="V107" i="1"/>
  <c r="V98" i="1"/>
  <c r="V93" i="1"/>
  <c r="V88" i="1"/>
  <c r="V86" i="1"/>
  <c r="V84" i="1"/>
  <c r="V78" i="1"/>
  <c r="V74" i="1"/>
  <c r="V69" i="1"/>
  <c r="V59" i="1"/>
  <c r="V28" i="1"/>
  <c r="V18" i="1"/>
  <c r="W176" i="1"/>
  <c r="W170" i="1"/>
  <c r="W168" i="1"/>
  <c r="W166" i="1"/>
  <c r="W164" i="1"/>
  <c r="W162" i="1"/>
  <c r="W150" i="1"/>
  <c r="W148" i="1"/>
  <c r="W146" i="1"/>
  <c r="W138" i="1"/>
  <c r="W125" i="1"/>
  <c r="W111" i="1"/>
  <c r="W107" i="1"/>
  <c r="W98" i="1"/>
  <c r="W93" i="1"/>
  <c r="W88" i="1"/>
  <c r="W86" i="1"/>
  <c r="W84" i="1"/>
  <c r="W78" i="1"/>
  <c r="W74" i="1"/>
  <c r="W69" i="1"/>
  <c r="W28" i="1"/>
  <c r="W18" i="1"/>
  <c r="W8" i="1"/>
  <c r="BI47" i="1" l="1"/>
  <c r="BH47" i="1"/>
  <c r="T47" i="1"/>
  <c r="AC47" i="1" s="1"/>
  <c r="AD47" i="1" s="1"/>
  <c r="Z29" i="1"/>
  <c r="Z126" i="1" s="1"/>
  <c r="V19" i="1"/>
  <c r="V29" i="1" s="1"/>
  <c r="V126" i="1" s="1"/>
  <c r="V135" i="1" s="1"/>
  <c r="V139" i="1" s="1"/>
  <c r="V151" i="1" s="1"/>
  <c r="V171" i="1" s="1"/>
  <c r="V177" i="1" s="1"/>
  <c r="W19" i="1"/>
  <c r="X19" i="1" s="1"/>
  <c r="T170" i="1"/>
  <c r="AB170" i="1" s="1"/>
  <c r="T18" i="1"/>
  <c r="T8" i="1"/>
  <c r="T145" i="1"/>
  <c r="AC145" i="1" l="1"/>
  <c r="AD145" i="1" s="1"/>
  <c r="AB145" i="1"/>
  <c r="AF47" i="1"/>
  <c r="AT47" i="1" s="1"/>
  <c r="AB47" i="1"/>
  <c r="AA126" i="1"/>
  <c r="AA29" i="1"/>
  <c r="W29" i="1"/>
  <c r="X29" i="1" s="1"/>
  <c r="T19" i="1"/>
  <c r="U19" i="1" s="1"/>
  <c r="N20" i="1"/>
  <c r="N16" i="1"/>
  <c r="AC146" i="1" l="1"/>
  <c r="AD146" i="1" s="1"/>
  <c r="AE47" i="1"/>
  <c r="Z135" i="1"/>
  <c r="Z139" i="1" s="1"/>
  <c r="Z151" i="1" s="1"/>
  <c r="Z171" i="1" s="1"/>
  <c r="Z177" i="1" s="1"/>
  <c r="W126" i="1"/>
  <c r="P6" i="1"/>
  <c r="AA177" i="1" l="1"/>
  <c r="W135" i="1"/>
  <c r="W139" i="1" s="1"/>
  <c r="W151" i="1" s="1"/>
  <c r="W171" i="1" s="1"/>
  <c r="W177" i="1" s="1"/>
  <c r="X177" i="1" s="1"/>
  <c r="X126" i="1"/>
  <c r="T168" i="1"/>
  <c r="T166" i="1"/>
  <c r="AB166" i="1" s="1"/>
  <c r="T164" i="1"/>
  <c r="T148" i="1"/>
  <c r="AB148" i="1" s="1"/>
  <c r="T150" i="1"/>
  <c r="T146" i="1"/>
  <c r="T176" i="1"/>
  <c r="T162" i="1"/>
  <c r="T138" i="1"/>
  <c r="T111" i="1"/>
  <c r="T107" i="1"/>
  <c r="T98" i="1"/>
  <c r="T93" i="1"/>
  <c r="T88" i="1"/>
  <c r="T86" i="1"/>
  <c r="T84" i="1"/>
  <c r="T78" i="1"/>
  <c r="T74" i="1"/>
  <c r="T69" i="1"/>
  <c r="T125" i="1"/>
  <c r="T59" i="1"/>
  <c r="T28" i="1"/>
  <c r="AB111" i="1" l="1"/>
  <c r="AC111" i="1"/>
  <c r="AD111" i="1" s="1"/>
  <c r="AC166" i="1"/>
  <c r="AD166" i="1" s="1"/>
  <c r="AB125" i="1"/>
  <c r="AC150" i="1"/>
  <c r="AD150" i="1" s="1"/>
  <c r="AB150" i="1"/>
  <c r="AC168" i="1"/>
  <c r="AD168" i="1" s="1"/>
  <c r="AB168" i="1"/>
  <c r="AB107" i="1"/>
  <c r="AC107" i="1"/>
  <c r="AB164" i="1"/>
  <c r="AC164" i="1"/>
  <c r="AD164" i="1" s="1"/>
  <c r="N176" i="1"/>
  <c r="AC126" i="1" l="1"/>
  <c r="AD107" i="1"/>
  <c r="T29" i="1"/>
  <c r="U29" i="1" s="1"/>
  <c r="E148" i="1"/>
  <c r="E146" i="1"/>
  <c r="C176" i="1"/>
  <c r="C170" i="1"/>
  <c r="C168" i="1"/>
  <c r="C166" i="1"/>
  <c r="C164" i="1"/>
  <c r="C162" i="1"/>
  <c r="C150" i="1"/>
  <c r="C148" i="1"/>
  <c r="C146" i="1"/>
  <c r="C138" i="1"/>
  <c r="C134" i="1"/>
  <c r="C129" i="1"/>
  <c r="E176" i="1"/>
  <c r="E170" i="1"/>
  <c r="E168" i="1"/>
  <c r="E166" i="1"/>
  <c r="E164" i="1"/>
  <c r="E162" i="1"/>
  <c r="E150" i="1"/>
  <c r="E138" i="1"/>
  <c r="E134" i="1"/>
  <c r="E129" i="1"/>
  <c r="AC135" i="1" l="1"/>
  <c r="AD126" i="1"/>
  <c r="T126" i="1"/>
  <c r="U126" i="1" s="1"/>
  <c r="Q127" i="1"/>
  <c r="Q175" i="1"/>
  <c r="Q174" i="1"/>
  <c r="Q173" i="1"/>
  <c r="Q172" i="1"/>
  <c r="Q169" i="1"/>
  <c r="Q167" i="1"/>
  <c r="Q165" i="1"/>
  <c r="Q163" i="1"/>
  <c r="Q161" i="1"/>
  <c r="Q160" i="1"/>
  <c r="Q159" i="1"/>
  <c r="Q158" i="1"/>
  <c r="Q157" i="1"/>
  <c r="Q156" i="1"/>
  <c r="Q155" i="1"/>
  <c r="Q154" i="1"/>
  <c r="Q153" i="1"/>
  <c r="Q152" i="1"/>
  <c r="Q149" i="1"/>
  <c r="Q147" i="1"/>
  <c r="Q145" i="1"/>
  <c r="Q144" i="1"/>
  <c r="Q143" i="1"/>
  <c r="Q142" i="1"/>
  <c r="Q141" i="1"/>
  <c r="Q140" i="1"/>
  <c r="Q137" i="1"/>
  <c r="Q136" i="1"/>
  <c r="Q134" i="1"/>
  <c r="Q133" i="1"/>
  <c r="Q132" i="1"/>
  <c r="Q131" i="1"/>
  <c r="Q130" i="1"/>
  <c r="Q129" i="1"/>
  <c r="Q128" i="1"/>
  <c r="P127" i="1"/>
  <c r="P128" i="1"/>
  <c r="N162" i="1"/>
  <c r="N164" i="1"/>
  <c r="N166" i="1"/>
  <c r="N168" i="1"/>
  <c r="N170" i="1"/>
  <c r="N146" i="1"/>
  <c r="N148" i="1"/>
  <c r="N150" i="1"/>
  <c r="N138" i="1"/>
  <c r="K176" i="1"/>
  <c r="K170" i="1"/>
  <c r="K162" i="1"/>
  <c r="K164" i="1"/>
  <c r="K166" i="1"/>
  <c r="K168" i="1"/>
  <c r="K148" i="1"/>
  <c r="K150" i="1"/>
  <c r="K146" i="1"/>
  <c r="K138" i="1"/>
  <c r="H176" i="1"/>
  <c r="H170" i="1"/>
  <c r="H164" i="1"/>
  <c r="H166" i="1"/>
  <c r="H168" i="1"/>
  <c r="H162" i="1"/>
  <c r="H150" i="1"/>
  <c r="H146" i="1"/>
  <c r="H148" i="1"/>
  <c r="H138" i="1"/>
  <c r="P175" i="1"/>
  <c r="P174" i="1"/>
  <c r="P173" i="1"/>
  <c r="P172" i="1"/>
  <c r="P169" i="1"/>
  <c r="P167" i="1"/>
  <c r="P165" i="1"/>
  <c r="P163" i="1"/>
  <c r="P161" i="1"/>
  <c r="P160" i="1"/>
  <c r="P159" i="1"/>
  <c r="P158" i="1"/>
  <c r="P157" i="1"/>
  <c r="P156" i="1"/>
  <c r="P155" i="1"/>
  <c r="P154" i="1"/>
  <c r="P153" i="1"/>
  <c r="P152" i="1"/>
  <c r="P149" i="1"/>
  <c r="P147" i="1"/>
  <c r="P145" i="1"/>
  <c r="P144" i="1"/>
  <c r="P143" i="1"/>
  <c r="P142" i="1"/>
  <c r="P141" i="1"/>
  <c r="P140" i="1"/>
  <c r="P137" i="1"/>
  <c r="P136" i="1"/>
  <c r="P133" i="1"/>
  <c r="P132" i="1"/>
  <c r="P131" i="1"/>
  <c r="P130" i="1"/>
  <c r="AD135" i="1" l="1"/>
  <c r="AC139" i="1"/>
  <c r="BI174" i="1"/>
  <c r="BI175" i="1"/>
  <c r="BH175" i="1"/>
  <c r="BH131" i="1"/>
  <c r="BI131" i="1"/>
  <c r="BI136" i="1"/>
  <c r="BH136" i="1"/>
  <c r="BH142" i="1"/>
  <c r="BI142" i="1"/>
  <c r="BI147" i="1"/>
  <c r="BH147" i="1"/>
  <c r="BH148" i="1" s="1"/>
  <c r="BI154" i="1"/>
  <c r="BH154" i="1"/>
  <c r="BI158" i="1"/>
  <c r="BH158" i="1"/>
  <c r="BI163" i="1"/>
  <c r="BH163" i="1"/>
  <c r="BH164" i="1" s="1"/>
  <c r="BI172" i="1"/>
  <c r="BH172" i="1"/>
  <c r="BI127" i="1"/>
  <c r="BH127" i="1"/>
  <c r="BI133" i="1"/>
  <c r="BH133" i="1"/>
  <c r="BH140" i="1"/>
  <c r="BI140" i="1"/>
  <c r="BI144" i="1"/>
  <c r="BH144" i="1"/>
  <c r="BI152" i="1"/>
  <c r="BH152" i="1"/>
  <c r="BI156" i="1"/>
  <c r="BH156" i="1"/>
  <c r="BI160" i="1"/>
  <c r="BH160" i="1"/>
  <c r="BI167" i="1"/>
  <c r="BH167" i="1"/>
  <c r="BH174" i="1"/>
  <c r="BI130" i="1"/>
  <c r="BH130" i="1"/>
  <c r="BI141" i="1"/>
  <c r="BH141" i="1"/>
  <c r="BI145" i="1"/>
  <c r="BH145" i="1"/>
  <c r="BH153" i="1"/>
  <c r="BI153" i="1"/>
  <c r="BI157" i="1"/>
  <c r="BH157" i="1"/>
  <c r="BH161" i="1"/>
  <c r="BI161" i="1"/>
  <c r="BI169" i="1"/>
  <c r="BH169" i="1"/>
  <c r="BH170" i="1" s="1"/>
  <c r="BI128" i="1"/>
  <c r="BH128" i="1"/>
  <c r="BI132" i="1"/>
  <c r="BH132" i="1"/>
  <c r="BI137" i="1"/>
  <c r="BH137" i="1"/>
  <c r="BI143" i="1"/>
  <c r="BH143" i="1"/>
  <c r="BI149" i="1"/>
  <c r="BH149" i="1"/>
  <c r="BH150" i="1" s="1"/>
  <c r="BI155" i="1"/>
  <c r="BH155" i="1"/>
  <c r="BI159" i="1"/>
  <c r="BH159" i="1"/>
  <c r="BI165" i="1"/>
  <c r="BH165" i="1"/>
  <c r="BI173" i="1"/>
  <c r="BH173" i="1"/>
  <c r="AE134" i="1"/>
  <c r="AF134" i="1"/>
  <c r="AT134" i="1" s="1"/>
  <c r="AE153" i="1"/>
  <c r="AF153" i="1"/>
  <c r="AT153" i="1" s="1"/>
  <c r="AE161" i="1"/>
  <c r="AF161" i="1"/>
  <c r="AT161" i="1" s="1"/>
  <c r="AE169" i="1"/>
  <c r="AF169" i="1"/>
  <c r="AE131" i="1"/>
  <c r="AF131" i="1"/>
  <c r="AT131" i="1" s="1"/>
  <c r="AE142" i="1"/>
  <c r="AF142" i="1"/>
  <c r="AT142" i="1" s="1"/>
  <c r="AE154" i="1"/>
  <c r="AF154" i="1"/>
  <c r="AT154" i="1" s="1"/>
  <c r="AE163" i="1"/>
  <c r="AF163" i="1"/>
  <c r="AT163" i="1" s="1"/>
  <c r="AE172" i="1"/>
  <c r="AF172" i="1"/>
  <c r="AT172" i="1" s="1"/>
  <c r="Q170" i="1"/>
  <c r="AE133" i="1"/>
  <c r="AF133" i="1"/>
  <c r="AT133" i="1" s="1"/>
  <c r="AE140" i="1"/>
  <c r="AF140" i="1"/>
  <c r="AT140" i="1" s="1"/>
  <c r="AE144" i="1"/>
  <c r="AF144" i="1"/>
  <c r="AT144" i="1" s="1"/>
  <c r="AE152" i="1"/>
  <c r="AF152" i="1"/>
  <c r="AT152" i="1" s="1"/>
  <c r="AF156" i="1"/>
  <c r="AT156" i="1" s="1"/>
  <c r="AE156" i="1"/>
  <c r="AE160" i="1"/>
  <c r="AF160" i="1"/>
  <c r="AT160" i="1" s="1"/>
  <c r="AE167" i="1"/>
  <c r="AF167" i="1"/>
  <c r="AT167" i="1" s="1"/>
  <c r="AE174" i="1"/>
  <c r="AF174" i="1"/>
  <c r="AT174" i="1" s="1"/>
  <c r="AE130" i="1"/>
  <c r="AF130" i="1"/>
  <c r="AT130" i="1" s="1"/>
  <c r="AE141" i="1"/>
  <c r="AF141" i="1"/>
  <c r="AT141" i="1" s="1"/>
  <c r="AE145" i="1"/>
  <c r="AF145" i="1"/>
  <c r="AT145" i="1" s="1"/>
  <c r="AE157" i="1"/>
  <c r="AF157" i="1"/>
  <c r="AT157" i="1" s="1"/>
  <c r="AE175" i="1"/>
  <c r="AF175" i="1"/>
  <c r="AT175" i="1" s="1"/>
  <c r="AE136" i="1"/>
  <c r="AF136" i="1"/>
  <c r="AT136" i="1" s="1"/>
  <c r="AE147" i="1"/>
  <c r="AF147" i="1"/>
  <c r="AF158" i="1"/>
  <c r="AT158" i="1" s="1"/>
  <c r="AE158" i="1"/>
  <c r="AE127" i="1"/>
  <c r="AF127" i="1"/>
  <c r="AT127" i="1" s="1"/>
  <c r="AE128" i="1"/>
  <c r="AF128" i="1"/>
  <c r="AT128" i="1" s="1"/>
  <c r="AE132" i="1"/>
  <c r="AF132" i="1"/>
  <c r="AT132" i="1" s="1"/>
  <c r="AE137" i="1"/>
  <c r="AF137" i="1"/>
  <c r="AT137" i="1" s="1"/>
  <c r="AE143" i="1"/>
  <c r="AF143" i="1"/>
  <c r="AT143" i="1" s="1"/>
  <c r="AE149" i="1"/>
  <c r="AF149" i="1"/>
  <c r="AT149" i="1" s="1"/>
  <c r="AE155" i="1"/>
  <c r="AF155" i="1"/>
  <c r="AT155" i="1" s="1"/>
  <c r="AE159" i="1"/>
  <c r="AF159" i="1"/>
  <c r="AT159" i="1" s="1"/>
  <c r="AE165" i="1"/>
  <c r="AF165" i="1"/>
  <c r="AT165" i="1" s="1"/>
  <c r="AE173" i="1"/>
  <c r="AF173" i="1"/>
  <c r="AT173" i="1" s="1"/>
  <c r="AB129" i="1"/>
  <c r="T135" i="1"/>
  <c r="T139" i="1" s="1"/>
  <c r="Q168" i="1"/>
  <c r="Q146" i="1"/>
  <c r="Q138" i="1"/>
  <c r="Q176" i="1"/>
  <c r="Q162" i="1"/>
  <c r="Q164" i="1"/>
  <c r="Q150" i="1"/>
  <c r="Q166" i="1"/>
  <c r="Q148" i="1"/>
  <c r="N10" i="1"/>
  <c r="N7" i="1"/>
  <c r="BI150" i="1" l="1"/>
  <c r="AE148" i="1"/>
  <c r="BI148" i="1"/>
  <c r="BI170" i="1"/>
  <c r="AC151" i="1"/>
  <c r="AD139" i="1"/>
  <c r="BI164" i="1"/>
  <c r="BI129" i="1"/>
  <c r="BI176" i="1"/>
  <c r="BI162" i="1"/>
  <c r="AF170" i="1"/>
  <c r="AT169" i="1"/>
  <c r="AT170" i="1" s="1"/>
  <c r="AT129" i="1"/>
  <c r="AF148" i="1"/>
  <c r="AT147" i="1"/>
  <c r="AT148" i="1" s="1"/>
  <c r="AT138" i="1"/>
  <c r="AT162" i="1"/>
  <c r="AT146" i="1"/>
  <c r="AT176" i="1"/>
  <c r="BH138" i="1"/>
  <c r="AE170" i="1"/>
  <c r="BI138" i="1"/>
  <c r="BI146" i="1"/>
  <c r="BH162" i="1"/>
  <c r="BH176" i="1"/>
  <c r="BH129" i="1"/>
  <c r="BH146" i="1"/>
  <c r="AE176" i="1"/>
  <c r="AF162" i="1"/>
  <c r="AF176" i="1"/>
  <c r="AE150" i="1"/>
  <c r="AF150" i="1"/>
  <c r="AT150" i="1" s="1"/>
  <c r="AE166" i="1"/>
  <c r="AF166" i="1"/>
  <c r="AT166" i="1" s="1"/>
  <c r="AE164" i="1"/>
  <c r="AF164" i="1"/>
  <c r="AT164" i="1" s="1"/>
  <c r="AE168" i="1"/>
  <c r="AF168" i="1"/>
  <c r="AT168" i="1" s="1"/>
  <c r="AF129" i="1"/>
  <c r="AC176" i="1"/>
  <c r="AD176" i="1" s="1"/>
  <c r="AB162" i="1"/>
  <c r="AB146" i="1"/>
  <c r="AB176" i="1"/>
  <c r="AB138" i="1"/>
  <c r="AF138" i="1"/>
  <c r="AF146" i="1"/>
  <c r="AE162" i="1"/>
  <c r="AE146" i="1"/>
  <c r="AE129" i="1"/>
  <c r="AE138" i="1"/>
  <c r="T151" i="1"/>
  <c r="T171" i="1" s="1"/>
  <c r="T177" i="1" s="1"/>
  <c r="U177" i="1" s="1"/>
  <c r="N93" i="1"/>
  <c r="AC171" i="1" l="1"/>
  <c r="AD171" i="1" s="1"/>
  <c r="AD151" i="1"/>
  <c r="E125" i="1"/>
  <c r="C125" i="1"/>
  <c r="E111" i="1"/>
  <c r="C111" i="1"/>
  <c r="E107" i="1"/>
  <c r="C107" i="1"/>
  <c r="E98" i="1"/>
  <c r="C98" i="1"/>
  <c r="E93" i="1"/>
  <c r="C93" i="1"/>
  <c r="E88" i="1"/>
  <c r="C88" i="1"/>
  <c r="E86" i="1"/>
  <c r="C86" i="1"/>
  <c r="E84" i="1"/>
  <c r="C84" i="1"/>
  <c r="E78" i="1"/>
  <c r="C78" i="1"/>
  <c r="E74" i="1"/>
  <c r="C74" i="1"/>
  <c r="E69" i="1"/>
  <c r="C69" i="1"/>
  <c r="E59" i="1"/>
  <c r="C59" i="1"/>
  <c r="E28" i="1"/>
  <c r="C28" i="1"/>
  <c r="E18" i="1"/>
  <c r="C18" i="1"/>
  <c r="E8" i="1"/>
  <c r="C8" i="1"/>
  <c r="AC177" i="1" l="1"/>
  <c r="AD177" i="1" s="1"/>
  <c r="C19" i="1"/>
  <c r="D19" i="1" s="1"/>
  <c r="E19" i="1"/>
  <c r="E29" i="1" l="1"/>
  <c r="F29" i="1" s="1"/>
  <c r="F19" i="1"/>
  <c r="C29" i="1"/>
  <c r="M8" i="1"/>
  <c r="N8" i="1"/>
  <c r="N18" i="1"/>
  <c r="M18" i="1"/>
  <c r="Q17" i="1"/>
  <c r="Q16" i="1"/>
  <c r="Q27" i="1"/>
  <c r="C126" i="1" l="1"/>
  <c r="D29" i="1"/>
  <c r="BI17" i="1"/>
  <c r="BH17" i="1"/>
  <c r="BI27" i="1"/>
  <c r="BH27" i="1"/>
  <c r="BI16" i="1"/>
  <c r="BH16" i="1"/>
  <c r="AE17" i="1"/>
  <c r="AF17" i="1"/>
  <c r="AT17" i="1" s="1"/>
  <c r="AE27" i="1"/>
  <c r="AF27" i="1"/>
  <c r="AT27" i="1" s="1"/>
  <c r="AE16" i="1"/>
  <c r="AF16" i="1"/>
  <c r="AT16" i="1" s="1"/>
  <c r="E126" i="1"/>
  <c r="E135" i="1" s="1"/>
  <c r="E139" i="1" s="1"/>
  <c r="E151" i="1" s="1"/>
  <c r="E171" i="1" s="1"/>
  <c r="E177" i="1" s="1"/>
  <c r="M19" i="1"/>
  <c r="N19" i="1"/>
  <c r="BC176" i="1"/>
  <c r="M176" i="1"/>
  <c r="J176" i="1"/>
  <c r="G176" i="1"/>
  <c r="BC170" i="1"/>
  <c r="M170" i="1"/>
  <c r="J170" i="1"/>
  <c r="G170" i="1"/>
  <c r="BC168" i="1"/>
  <c r="M168" i="1"/>
  <c r="J168" i="1"/>
  <c r="G168" i="1"/>
  <c r="BC166" i="1"/>
  <c r="M166" i="1"/>
  <c r="J166" i="1"/>
  <c r="G166" i="1"/>
  <c r="BC164" i="1"/>
  <c r="M164" i="1"/>
  <c r="J164" i="1"/>
  <c r="G164" i="1"/>
  <c r="BC162" i="1"/>
  <c r="M162" i="1"/>
  <c r="J162" i="1"/>
  <c r="G162" i="1"/>
  <c r="BC150" i="1"/>
  <c r="BF150" i="1" s="1"/>
  <c r="BG150" i="1" s="1"/>
  <c r="M150" i="1"/>
  <c r="J150" i="1"/>
  <c r="G150" i="1"/>
  <c r="BC148" i="1"/>
  <c r="M148" i="1"/>
  <c r="J148" i="1"/>
  <c r="G148" i="1"/>
  <c r="BC146" i="1"/>
  <c r="M146" i="1"/>
  <c r="J146" i="1"/>
  <c r="G146" i="1"/>
  <c r="BC138" i="1"/>
  <c r="M138" i="1"/>
  <c r="J138" i="1"/>
  <c r="G138" i="1"/>
  <c r="BC134" i="1"/>
  <c r="BF134" i="1" s="1"/>
  <c r="M134" i="1"/>
  <c r="J134" i="1"/>
  <c r="G134" i="1"/>
  <c r="BC129" i="1"/>
  <c r="M129" i="1"/>
  <c r="J129" i="1"/>
  <c r="G129" i="1"/>
  <c r="BC125" i="1"/>
  <c r="N125" i="1"/>
  <c r="M125" i="1"/>
  <c r="K125" i="1"/>
  <c r="J125" i="1"/>
  <c r="H125" i="1"/>
  <c r="G125" i="1"/>
  <c r="Q124" i="1"/>
  <c r="P124" i="1"/>
  <c r="Q123" i="1"/>
  <c r="P123" i="1"/>
  <c r="Q122" i="1"/>
  <c r="P122" i="1"/>
  <c r="Q121" i="1"/>
  <c r="P121" i="1"/>
  <c r="Q120" i="1"/>
  <c r="P120" i="1"/>
  <c r="Q119" i="1"/>
  <c r="P119" i="1"/>
  <c r="Q118" i="1"/>
  <c r="P118" i="1"/>
  <c r="Q117" i="1"/>
  <c r="P117" i="1"/>
  <c r="Q116" i="1"/>
  <c r="P116" i="1"/>
  <c r="Q115" i="1"/>
  <c r="P115" i="1"/>
  <c r="Q114" i="1"/>
  <c r="P114" i="1"/>
  <c r="Q113" i="1"/>
  <c r="P113" i="1"/>
  <c r="Q112" i="1"/>
  <c r="P112" i="1"/>
  <c r="BC111" i="1"/>
  <c r="N111" i="1"/>
  <c r="M111" i="1"/>
  <c r="J111" i="1"/>
  <c r="G111" i="1"/>
  <c r="Q110" i="1"/>
  <c r="P110" i="1"/>
  <c r="Q109" i="1"/>
  <c r="P109" i="1"/>
  <c r="Q108" i="1"/>
  <c r="P108" i="1"/>
  <c r="BC107" i="1"/>
  <c r="N107" i="1"/>
  <c r="M107" i="1"/>
  <c r="J107" i="1"/>
  <c r="G107" i="1"/>
  <c r="Q106" i="1"/>
  <c r="P106" i="1"/>
  <c r="Q105" i="1"/>
  <c r="P105" i="1"/>
  <c r="Q104" i="1"/>
  <c r="P104" i="1"/>
  <c r="Q103" i="1"/>
  <c r="P103" i="1"/>
  <c r="Q102" i="1"/>
  <c r="P102" i="1"/>
  <c r="Q101" i="1"/>
  <c r="P101" i="1"/>
  <c r="Q100" i="1"/>
  <c r="P100" i="1"/>
  <c r="Q99" i="1"/>
  <c r="P99" i="1"/>
  <c r="BC98" i="1"/>
  <c r="N98" i="1"/>
  <c r="M98" i="1"/>
  <c r="K98" i="1"/>
  <c r="J98" i="1"/>
  <c r="H98" i="1"/>
  <c r="G98" i="1"/>
  <c r="Q97" i="1"/>
  <c r="P97" i="1"/>
  <c r="Q96" i="1"/>
  <c r="P96" i="1"/>
  <c r="Q95" i="1"/>
  <c r="P95" i="1"/>
  <c r="Q94" i="1"/>
  <c r="P94" i="1"/>
  <c r="BC93" i="1"/>
  <c r="M93" i="1"/>
  <c r="K93" i="1"/>
  <c r="J93" i="1"/>
  <c r="H93" i="1"/>
  <c r="G93" i="1"/>
  <c r="Q92" i="1"/>
  <c r="P92" i="1"/>
  <c r="Q91" i="1"/>
  <c r="P91" i="1"/>
  <c r="Q90" i="1"/>
  <c r="P90" i="1"/>
  <c r="Q89" i="1"/>
  <c r="P89" i="1"/>
  <c r="BC88" i="1"/>
  <c r="N88" i="1"/>
  <c r="M88" i="1"/>
  <c r="K88" i="1"/>
  <c r="J88" i="1"/>
  <c r="H88" i="1"/>
  <c r="G88" i="1"/>
  <c r="Q87" i="1"/>
  <c r="P87" i="1"/>
  <c r="BC86" i="1"/>
  <c r="N86" i="1"/>
  <c r="M86" i="1"/>
  <c r="K86" i="1"/>
  <c r="J86" i="1"/>
  <c r="H86" i="1"/>
  <c r="G86" i="1"/>
  <c r="Q85" i="1"/>
  <c r="P85" i="1"/>
  <c r="BC84" i="1"/>
  <c r="N84" i="1"/>
  <c r="M84" i="1"/>
  <c r="K84" i="1"/>
  <c r="J84" i="1"/>
  <c r="H84" i="1"/>
  <c r="G84" i="1"/>
  <c r="Q83" i="1"/>
  <c r="P83" i="1"/>
  <c r="Q82" i="1"/>
  <c r="P82" i="1"/>
  <c r="Q81" i="1"/>
  <c r="P81" i="1"/>
  <c r="Q80" i="1"/>
  <c r="P80" i="1"/>
  <c r="Q79" i="1"/>
  <c r="P79" i="1"/>
  <c r="BC78" i="1"/>
  <c r="N78" i="1"/>
  <c r="M78" i="1"/>
  <c r="K78" i="1"/>
  <c r="J78" i="1"/>
  <c r="H78" i="1"/>
  <c r="G78" i="1"/>
  <c r="Q77" i="1"/>
  <c r="P77" i="1"/>
  <c r="Q76" i="1"/>
  <c r="P76" i="1"/>
  <c r="Q75" i="1"/>
  <c r="P75" i="1"/>
  <c r="BC74" i="1"/>
  <c r="N74" i="1"/>
  <c r="M74" i="1"/>
  <c r="K74" i="1"/>
  <c r="J74" i="1"/>
  <c r="H74" i="1"/>
  <c r="G74" i="1"/>
  <c r="Q73" i="1"/>
  <c r="P73" i="1"/>
  <c r="Q72" i="1"/>
  <c r="P72" i="1"/>
  <c r="Q71" i="1"/>
  <c r="P71" i="1"/>
  <c r="Q70" i="1"/>
  <c r="P70" i="1"/>
  <c r="BC69" i="1"/>
  <c r="N69" i="1"/>
  <c r="M69" i="1"/>
  <c r="K69" i="1"/>
  <c r="J69" i="1"/>
  <c r="H69" i="1"/>
  <c r="G69" i="1"/>
  <c r="Q68" i="1"/>
  <c r="P68" i="1"/>
  <c r="Q67" i="1"/>
  <c r="P67" i="1"/>
  <c r="Q66" i="1"/>
  <c r="P66" i="1"/>
  <c r="Q65" i="1"/>
  <c r="P65" i="1"/>
  <c r="Q64" i="1"/>
  <c r="P64" i="1"/>
  <c r="Q63" i="1"/>
  <c r="P63" i="1"/>
  <c r="Q62" i="1"/>
  <c r="P62" i="1"/>
  <c r="Q61" i="1"/>
  <c r="P61" i="1"/>
  <c r="Q60" i="1"/>
  <c r="P60" i="1"/>
  <c r="BC59" i="1"/>
  <c r="N59" i="1"/>
  <c r="M59" i="1"/>
  <c r="K59" i="1"/>
  <c r="J59" i="1"/>
  <c r="H59" i="1"/>
  <c r="G59" i="1"/>
  <c r="Q58" i="1"/>
  <c r="P58" i="1"/>
  <c r="Q57" i="1"/>
  <c r="P57" i="1"/>
  <c r="Q56" i="1"/>
  <c r="P56" i="1"/>
  <c r="Q55" i="1"/>
  <c r="P55" i="1"/>
  <c r="Q54" i="1"/>
  <c r="P54" i="1"/>
  <c r="Q53" i="1"/>
  <c r="P53" i="1"/>
  <c r="Q52" i="1"/>
  <c r="P52" i="1"/>
  <c r="Q51" i="1"/>
  <c r="P51" i="1"/>
  <c r="Q50" i="1"/>
  <c r="P50" i="1"/>
  <c r="Q49" i="1"/>
  <c r="P49" i="1"/>
  <c r="Q48" i="1"/>
  <c r="P48" i="1"/>
  <c r="P47" i="1"/>
  <c r="S47" i="1" s="1"/>
  <c r="S126" i="1" s="1"/>
  <c r="S135" i="1" s="1"/>
  <c r="S139" i="1" s="1"/>
  <c r="S151" i="1" s="1"/>
  <c r="S171" i="1" s="1"/>
  <c r="S177" i="1" s="1"/>
  <c r="Q46" i="1"/>
  <c r="P46" i="1"/>
  <c r="Q45" i="1"/>
  <c r="P45" i="1"/>
  <c r="Q44" i="1"/>
  <c r="P44" i="1"/>
  <c r="Q43" i="1"/>
  <c r="P43" i="1"/>
  <c r="Q42" i="1"/>
  <c r="P42" i="1"/>
  <c r="Q41" i="1"/>
  <c r="P41" i="1"/>
  <c r="Q40" i="1"/>
  <c r="P40" i="1"/>
  <c r="Q39" i="1"/>
  <c r="P39" i="1"/>
  <c r="Q38" i="1"/>
  <c r="P38" i="1"/>
  <c r="Q37" i="1"/>
  <c r="P37" i="1"/>
  <c r="Q36" i="1"/>
  <c r="P36" i="1"/>
  <c r="Q35" i="1"/>
  <c r="P35" i="1"/>
  <c r="Q34" i="1"/>
  <c r="P34" i="1"/>
  <c r="Q33" i="1"/>
  <c r="P33" i="1"/>
  <c r="Q32" i="1"/>
  <c r="P32" i="1"/>
  <c r="Q31" i="1"/>
  <c r="P31" i="1"/>
  <c r="Q30" i="1"/>
  <c r="P30" i="1"/>
  <c r="BC28" i="1"/>
  <c r="N28" i="1"/>
  <c r="M28" i="1"/>
  <c r="K28" i="1"/>
  <c r="J28" i="1"/>
  <c r="H28" i="1"/>
  <c r="G28" i="1"/>
  <c r="P27" i="1"/>
  <c r="Q26" i="1"/>
  <c r="P26" i="1"/>
  <c r="Q25" i="1"/>
  <c r="P25" i="1"/>
  <c r="Q24" i="1"/>
  <c r="P24" i="1"/>
  <c r="Q23" i="1"/>
  <c r="P23" i="1"/>
  <c r="Q22" i="1"/>
  <c r="P22" i="1"/>
  <c r="Q21" i="1"/>
  <c r="P21" i="1"/>
  <c r="Q20" i="1"/>
  <c r="P20" i="1"/>
  <c r="BC18" i="1"/>
  <c r="K18" i="1"/>
  <c r="J18" i="1"/>
  <c r="H18" i="1"/>
  <c r="G18" i="1"/>
  <c r="P17" i="1"/>
  <c r="P16" i="1"/>
  <c r="Q15" i="1"/>
  <c r="P15" i="1"/>
  <c r="Q14" i="1"/>
  <c r="P14" i="1"/>
  <c r="Q13" i="1"/>
  <c r="P13" i="1"/>
  <c r="Q12" i="1"/>
  <c r="P12" i="1"/>
  <c r="Q11" i="1"/>
  <c r="P11" i="1"/>
  <c r="Q10" i="1"/>
  <c r="P10" i="1"/>
  <c r="Q9" i="1"/>
  <c r="P9" i="1"/>
  <c r="J8" i="1"/>
  <c r="H8" i="1"/>
  <c r="G8" i="1"/>
  <c r="P7" i="1"/>
  <c r="Q7" i="1"/>
  <c r="BI134" i="1" l="1"/>
  <c r="BG134" i="1"/>
  <c r="BI110" i="1"/>
  <c r="BI10" i="1"/>
  <c r="C135" i="1"/>
  <c r="D126" i="1"/>
  <c r="BI79" i="1"/>
  <c r="BH79" i="1"/>
  <c r="BH83" i="1"/>
  <c r="BI83" i="1"/>
  <c r="BI99" i="1"/>
  <c r="BH99" i="1"/>
  <c r="BI101" i="1"/>
  <c r="BH101" i="1"/>
  <c r="BI105" i="1"/>
  <c r="BH105" i="1"/>
  <c r="BH112" i="1"/>
  <c r="BI112" i="1"/>
  <c r="BI116" i="1"/>
  <c r="BH116" i="1"/>
  <c r="BH118" i="1"/>
  <c r="BI118" i="1"/>
  <c r="BI122" i="1"/>
  <c r="BH122" i="1"/>
  <c r="BI124" i="1"/>
  <c r="BH124" i="1"/>
  <c r="BI22" i="1"/>
  <c r="BH22" i="1"/>
  <c r="BH24" i="1"/>
  <c r="BI24" i="1"/>
  <c r="BI31" i="1"/>
  <c r="BH31" i="1"/>
  <c r="BI35" i="1"/>
  <c r="BH35" i="1"/>
  <c r="BI39" i="1"/>
  <c r="BH39" i="1"/>
  <c r="BI41" i="1"/>
  <c r="BH41" i="1"/>
  <c r="BI45" i="1"/>
  <c r="BH45" i="1"/>
  <c r="BI61" i="1"/>
  <c r="BH61" i="1"/>
  <c r="BI65" i="1"/>
  <c r="BH65" i="1"/>
  <c r="BI85" i="1"/>
  <c r="BH85" i="1"/>
  <c r="BH86" i="1" s="1"/>
  <c r="BI92" i="1"/>
  <c r="BH92" i="1"/>
  <c r="BI94" i="1"/>
  <c r="BH94" i="1"/>
  <c r="BH110" i="1"/>
  <c r="BI21" i="1"/>
  <c r="BH21" i="1"/>
  <c r="BI23" i="1"/>
  <c r="BH23" i="1"/>
  <c r="BI25" i="1"/>
  <c r="BH25" i="1"/>
  <c r="BH30" i="1"/>
  <c r="BI30" i="1"/>
  <c r="BI32" i="1"/>
  <c r="BH32" i="1"/>
  <c r="BI34" i="1"/>
  <c r="BH34" i="1"/>
  <c r="BI36" i="1"/>
  <c r="BH36" i="1"/>
  <c r="BH38" i="1"/>
  <c r="BI38" i="1"/>
  <c r="BI40" i="1"/>
  <c r="BH40" i="1"/>
  <c r="BI42" i="1"/>
  <c r="BH42" i="1"/>
  <c r="BH44" i="1"/>
  <c r="BI44" i="1"/>
  <c r="BH46" i="1"/>
  <c r="BI46" i="1"/>
  <c r="BH60" i="1"/>
  <c r="BI60" i="1"/>
  <c r="BI62" i="1"/>
  <c r="BH62" i="1"/>
  <c r="BH64" i="1"/>
  <c r="BI64" i="1"/>
  <c r="BI66" i="1"/>
  <c r="BH66" i="1"/>
  <c r="BI68" i="1"/>
  <c r="BH68" i="1"/>
  <c r="BI75" i="1"/>
  <c r="BH75" i="1"/>
  <c r="BI77" i="1"/>
  <c r="BH77" i="1"/>
  <c r="BI89" i="1"/>
  <c r="BH89" i="1"/>
  <c r="BI91" i="1"/>
  <c r="BH91" i="1"/>
  <c r="BH95" i="1"/>
  <c r="BI95" i="1"/>
  <c r="BI97" i="1"/>
  <c r="BH97" i="1"/>
  <c r="BI109" i="1"/>
  <c r="BH109" i="1"/>
  <c r="BF166" i="1"/>
  <c r="BG166" i="1" s="1"/>
  <c r="BI166" i="1"/>
  <c r="BF168" i="1"/>
  <c r="BG168" i="1" s="1"/>
  <c r="BI168" i="1"/>
  <c r="BI9" i="1"/>
  <c r="BH9" i="1"/>
  <c r="BI11" i="1"/>
  <c r="BH11" i="1"/>
  <c r="BI13" i="1"/>
  <c r="BH13" i="1"/>
  <c r="BI15" i="1"/>
  <c r="BH15" i="1"/>
  <c r="BI49" i="1"/>
  <c r="BH49" i="1"/>
  <c r="BI51" i="1"/>
  <c r="BH51" i="1"/>
  <c r="BI53" i="1"/>
  <c r="BH53" i="1"/>
  <c r="BH55" i="1"/>
  <c r="BI55" i="1"/>
  <c r="BI57" i="1"/>
  <c r="BH57" i="1"/>
  <c r="BI70" i="1"/>
  <c r="BH70" i="1"/>
  <c r="BI72" i="1"/>
  <c r="BH72" i="1"/>
  <c r="BH81" i="1"/>
  <c r="BI81" i="1"/>
  <c r="BI103" i="1"/>
  <c r="BH103" i="1"/>
  <c r="BI114" i="1"/>
  <c r="BH114" i="1"/>
  <c r="BH120" i="1"/>
  <c r="BI120" i="1"/>
  <c r="BH20" i="1"/>
  <c r="BI20" i="1"/>
  <c r="BI26" i="1"/>
  <c r="BH26" i="1"/>
  <c r="BI33" i="1"/>
  <c r="BH33" i="1"/>
  <c r="BI37" i="1"/>
  <c r="BH37" i="1"/>
  <c r="BI43" i="1"/>
  <c r="BH43" i="1"/>
  <c r="BI63" i="1"/>
  <c r="BH63" i="1"/>
  <c r="BI67" i="1"/>
  <c r="BH67" i="1"/>
  <c r="BI76" i="1"/>
  <c r="BH76" i="1"/>
  <c r="BI90" i="1"/>
  <c r="BH90" i="1"/>
  <c r="BI96" i="1"/>
  <c r="BH96" i="1"/>
  <c r="BI108" i="1"/>
  <c r="BH108" i="1"/>
  <c r="BH7" i="1"/>
  <c r="BI7" i="1"/>
  <c r="BH10" i="1"/>
  <c r="BI12" i="1"/>
  <c r="BH12" i="1"/>
  <c r="BI14" i="1"/>
  <c r="BH14" i="1"/>
  <c r="BI48" i="1"/>
  <c r="BH48" i="1"/>
  <c r="BI50" i="1"/>
  <c r="BH50" i="1"/>
  <c r="BI52" i="1"/>
  <c r="BH52" i="1"/>
  <c r="BI54" i="1"/>
  <c r="BH54" i="1"/>
  <c r="BI56" i="1"/>
  <c r="BH56" i="1"/>
  <c r="BI58" i="1"/>
  <c r="BH58" i="1"/>
  <c r="BI71" i="1"/>
  <c r="BH71" i="1"/>
  <c r="BH73" i="1"/>
  <c r="BI73" i="1"/>
  <c r="BI80" i="1"/>
  <c r="BH80" i="1"/>
  <c r="BI82" i="1"/>
  <c r="BH82" i="1"/>
  <c r="BI87" i="1"/>
  <c r="BH87" i="1"/>
  <c r="BH88" i="1" s="1"/>
  <c r="BI100" i="1"/>
  <c r="BH100" i="1"/>
  <c r="BH102" i="1"/>
  <c r="BI102" i="1"/>
  <c r="BH104" i="1"/>
  <c r="BI104" i="1"/>
  <c r="BI106" i="1"/>
  <c r="BH106" i="1"/>
  <c r="BI113" i="1"/>
  <c r="BH113" i="1"/>
  <c r="BI115" i="1"/>
  <c r="BH115" i="1"/>
  <c r="BI117" i="1"/>
  <c r="BH117" i="1"/>
  <c r="BI119" i="1"/>
  <c r="BH119" i="1"/>
  <c r="BI121" i="1"/>
  <c r="BH121" i="1"/>
  <c r="BI123" i="1"/>
  <c r="BH123" i="1"/>
  <c r="AQ150" i="1"/>
  <c r="AQ168" i="1"/>
  <c r="AQ134" i="1"/>
  <c r="AQ166" i="1"/>
  <c r="AE50" i="1"/>
  <c r="AF50" i="1"/>
  <c r="AT50" i="1" s="1"/>
  <c r="AE54" i="1"/>
  <c r="AF54" i="1"/>
  <c r="AT54" i="1" s="1"/>
  <c r="AE58" i="1"/>
  <c r="AF58" i="1"/>
  <c r="AT58" i="1" s="1"/>
  <c r="AE61" i="1"/>
  <c r="AF61" i="1"/>
  <c r="AT61" i="1" s="1"/>
  <c r="AE65" i="1"/>
  <c r="AF65" i="1"/>
  <c r="AT65" i="1" s="1"/>
  <c r="AE72" i="1"/>
  <c r="AF72" i="1"/>
  <c r="AT72" i="1" s="1"/>
  <c r="AE75" i="1"/>
  <c r="AF75" i="1"/>
  <c r="AT75" i="1" s="1"/>
  <c r="AE91" i="1"/>
  <c r="AF91" i="1"/>
  <c r="AT91" i="1" s="1"/>
  <c r="AE94" i="1"/>
  <c r="AF94" i="1"/>
  <c r="AT94" i="1" s="1"/>
  <c r="AE108" i="1"/>
  <c r="AF108" i="1"/>
  <c r="AT108" i="1" s="1"/>
  <c r="AE12" i="1"/>
  <c r="AF12" i="1"/>
  <c r="AT12" i="1" s="1"/>
  <c r="AE20" i="1"/>
  <c r="AF20" i="1"/>
  <c r="AT20" i="1" s="1"/>
  <c r="AE24" i="1"/>
  <c r="AF24" i="1"/>
  <c r="AT24" i="1" s="1"/>
  <c r="AE30" i="1"/>
  <c r="AF30" i="1"/>
  <c r="AT30" i="1" s="1"/>
  <c r="AE34" i="1"/>
  <c r="AF34" i="1"/>
  <c r="AT34" i="1" s="1"/>
  <c r="AE38" i="1"/>
  <c r="AF38" i="1"/>
  <c r="AT38" i="1" s="1"/>
  <c r="AE42" i="1"/>
  <c r="AF42" i="1"/>
  <c r="AT42" i="1" s="1"/>
  <c r="AE46" i="1"/>
  <c r="AF46" i="1"/>
  <c r="AT46" i="1" s="1"/>
  <c r="AE82" i="1"/>
  <c r="AF82" i="1"/>
  <c r="AT82" i="1" s="1"/>
  <c r="AE87" i="1"/>
  <c r="AF87" i="1"/>
  <c r="AE101" i="1"/>
  <c r="AF101" i="1"/>
  <c r="AT101" i="1" s="1"/>
  <c r="AE105" i="1"/>
  <c r="AF105" i="1"/>
  <c r="AT105" i="1" s="1"/>
  <c r="AE112" i="1"/>
  <c r="AF112" i="1"/>
  <c r="AT112" i="1" s="1"/>
  <c r="AE116" i="1"/>
  <c r="AF116" i="1"/>
  <c r="AT116" i="1" s="1"/>
  <c r="AE120" i="1"/>
  <c r="AF120" i="1"/>
  <c r="AT120" i="1" s="1"/>
  <c r="AE124" i="1"/>
  <c r="AF124" i="1"/>
  <c r="AT124" i="1" s="1"/>
  <c r="AE9" i="1"/>
  <c r="AF9" i="1"/>
  <c r="AT9" i="1" s="1"/>
  <c r="AE11" i="1"/>
  <c r="AF11" i="1"/>
  <c r="AT11" i="1" s="1"/>
  <c r="AE13" i="1"/>
  <c r="AF13" i="1"/>
  <c r="AT13" i="1" s="1"/>
  <c r="AE15" i="1"/>
  <c r="AF15" i="1"/>
  <c r="AT15" i="1" s="1"/>
  <c r="AE21" i="1"/>
  <c r="AF21" i="1"/>
  <c r="AT21" i="1" s="1"/>
  <c r="AE23" i="1"/>
  <c r="AF23" i="1"/>
  <c r="AT23" i="1" s="1"/>
  <c r="AE25" i="1"/>
  <c r="AF25" i="1"/>
  <c r="AT25" i="1" s="1"/>
  <c r="AE31" i="1"/>
  <c r="AF31" i="1"/>
  <c r="AT31" i="1" s="1"/>
  <c r="AE33" i="1"/>
  <c r="AF33" i="1"/>
  <c r="AT33" i="1" s="1"/>
  <c r="AE35" i="1"/>
  <c r="AF35" i="1"/>
  <c r="AT35" i="1" s="1"/>
  <c r="AE37" i="1"/>
  <c r="AF37" i="1"/>
  <c r="AT37" i="1" s="1"/>
  <c r="AE39" i="1"/>
  <c r="AF39" i="1"/>
  <c r="AT39" i="1" s="1"/>
  <c r="AE41" i="1"/>
  <c r="AF41" i="1"/>
  <c r="AT41" i="1" s="1"/>
  <c r="AE43" i="1"/>
  <c r="AF43" i="1"/>
  <c r="AT43" i="1" s="1"/>
  <c r="AE45" i="1"/>
  <c r="AF45" i="1"/>
  <c r="AT45" i="1" s="1"/>
  <c r="AE79" i="1"/>
  <c r="AF79" i="1"/>
  <c r="AT79" i="1" s="1"/>
  <c r="AE81" i="1"/>
  <c r="AF81" i="1"/>
  <c r="AT81" i="1" s="1"/>
  <c r="AE83" i="1"/>
  <c r="AF83" i="1"/>
  <c r="AT83" i="1" s="1"/>
  <c r="AE100" i="1"/>
  <c r="AF100" i="1"/>
  <c r="AT100" i="1" s="1"/>
  <c r="AE102" i="1"/>
  <c r="AF102" i="1"/>
  <c r="AT102" i="1" s="1"/>
  <c r="AE104" i="1"/>
  <c r="AF104" i="1"/>
  <c r="AT104" i="1" s="1"/>
  <c r="AE106" i="1"/>
  <c r="AF106" i="1"/>
  <c r="AT106" i="1" s="1"/>
  <c r="AE113" i="1"/>
  <c r="AF113" i="1"/>
  <c r="AT113" i="1" s="1"/>
  <c r="AE115" i="1"/>
  <c r="AF115" i="1"/>
  <c r="AT115" i="1" s="1"/>
  <c r="AE117" i="1"/>
  <c r="AF117" i="1"/>
  <c r="AT117" i="1" s="1"/>
  <c r="AE119" i="1"/>
  <c r="AF119" i="1"/>
  <c r="AT119" i="1" s="1"/>
  <c r="AE121" i="1"/>
  <c r="AF121" i="1"/>
  <c r="AT121" i="1" s="1"/>
  <c r="AE123" i="1"/>
  <c r="AF123" i="1"/>
  <c r="AT123" i="1" s="1"/>
  <c r="AE48" i="1"/>
  <c r="AF48" i="1"/>
  <c r="AT48" i="1" s="1"/>
  <c r="AE52" i="1"/>
  <c r="AF52" i="1"/>
  <c r="AT52" i="1" s="1"/>
  <c r="AE56" i="1"/>
  <c r="AF56" i="1"/>
  <c r="AT56" i="1" s="1"/>
  <c r="AE63" i="1"/>
  <c r="AF63" i="1"/>
  <c r="AT63" i="1" s="1"/>
  <c r="AE67" i="1"/>
  <c r="AF67" i="1"/>
  <c r="AT67" i="1" s="1"/>
  <c r="AE70" i="1"/>
  <c r="AF70" i="1"/>
  <c r="AT70" i="1" s="1"/>
  <c r="AE77" i="1"/>
  <c r="AF77" i="1"/>
  <c r="AT77" i="1" s="1"/>
  <c r="AE89" i="1"/>
  <c r="AF89" i="1"/>
  <c r="AT89" i="1" s="1"/>
  <c r="AE96" i="1"/>
  <c r="AF96" i="1"/>
  <c r="AT96" i="1" s="1"/>
  <c r="AE110" i="1"/>
  <c r="AF110" i="1"/>
  <c r="AT110" i="1" s="1"/>
  <c r="AE10" i="1"/>
  <c r="AF10" i="1"/>
  <c r="AT10" i="1" s="1"/>
  <c r="AE14" i="1"/>
  <c r="AF14" i="1"/>
  <c r="AT14" i="1" s="1"/>
  <c r="AE22" i="1"/>
  <c r="AF22" i="1"/>
  <c r="AT22" i="1" s="1"/>
  <c r="AE26" i="1"/>
  <c r="AF26" i="1"/>
  <c r="AT26" i="1" s="1"/>
  <c r="AE32" i="1"/>
  <c r="AF32" i="1"/>
  <c r="AT32" i="1" s="1"/>
  <c r="AE36" i="1"/>
  <c r="AF36" i="1"/>
  <c r="AT36" i="1" s="1"/>
  <c r="AE40" i="1"/>
  <c r="AF40" i="1"/>
  <c r="AT40" i="1" s="1"/>
  <c r="AE44" i="1"/>
  <c r="AF44" i="1"/>
  <c r="AT44" i="1" s="1"/>
  <c r="AE80" i="1"/>
  <c r="AF80" i="1"/>
  <c r="AT80" i="1" s="1"/>
  <c r="AE99" i="1"/>
  <c r="AF99" i="1"/>
  <c r="AT99" i="1" s="1"/>
  <c r="AE103" i="1"/>
  <c r="AF103" i="1"/>
  <c r="AT103" i="1" s="1"/>
  <c r="AE114" i="1"/>
  <c r="AF114" i="1"/>
  <c r="AT114" i="1" s="1"/>
  <c r="AE118" i="1"/>
  <c r="AF118" i="1"/>
  <c r="AT118" i="1" s="1"/>
  <c r="AE122" i="1"/>
  <c r="AF122" i="1"/>
  <c r="AT122" i="1" s="1"/>
  <c r="AE7" i="1"/>
  <c r="AF7" i="1"/>
  <c r="AT7" i="1" s="1"/>
  <c r="AE49" i="1"/>
  <c r="AF49" i="1"/>
  <c r="AT49" i="1" s="1"/>
  <c r="AE51" i="1"/>
  <c r="AF51" i="1"/>
  <c r="AT51" i="1" s="1"/>
  <c r="AE53" i="1"/>
  <c r="AF53" i="1"/>
  <c r="AT53" i="1" s="1"/>
  <c r="AE55" i="1"/>
  <c r="AF55" i="1"/>
  <c r="AT55" i="1" s="1"/>
  <c r="AE57" i="1"/>
  <c r="AF57" i="1"/>
  <c r="AT57" i="1" s="1"/>
  <c r="AE60" i="1"/>
  <c r="AF60" i="1"/>
  <c r="AT60" i="1" s="1"/>
  <c r="AE62" i="1"/>
  <c r="AF62" i="1"/>
  <c r="AT62" i="1" s="1"/>
  <c r="AE64" i="1"/>
  <c r="AF64" i="1"/>
  <c r="AT64" i="1" s="1"/>
  <c r="AE66" i="1"/>
  <c r="AF66" i="1"/>
  <c r="AT66" i="1" s="1"/>
  <c r="AE68" i="1"/>
  <c r="AF68" i="1"/>
  <c r="AT68" i="1" s="1"/>
  <c r="AE71" i="1"/>
  <c r="AF71" i="1"/>
  <c r="AT71" i="1" s="1"/>
  <c r="AE73" i="1"/>
  <c r="AF73" i="1"/>
  <c r="AT73" i="1" s="1"/>
  <c r="AE76" i="1"/>
  <c r="AF76" i="1"/>
  <c r="AT76" i="1" s="1"/>
  <c r="AE85" i="1"/>
  <c r="AF85" i="1"/>
  <c r="AT85" i="1" s="1"/>
  <c r="AE90" i="1"/>
  <c r="AF90" i="1"/>
  <c r="AT90" i="1" s="1"/>
  <c r="AE92" i="1"/>
  <c r="AF92" i="1"/>
  <c r="AT92" i="1" s="1"/>
  <c r="AE95" i="1"/>
  <c r="AF95" i="1"/>
  <c r="AT95" i="1" s="1"/>
  <c r="AE97" i="1"/>
  <c r="AF97" i="1"/>
  <c r="AT97" i="1" s="1"/>
  <c r="AE109" i="1"/>
  <c r="AF109" i="1"/>
  <c r="AT109" i="1" s="1"/>
  <c r="AB88" i="1"/>
  <c r="AB86" i="1"/>
  <c r="AB18" i="1"/>
  <c r="Q107" i="1"/>
  <c r="Q111" i="1"/>
  <c r="G19" i="1"/>
  <c r="J19" i="1"/>
  <c r="J29" i="1" s="1"/>
  <c r="F126" i="1"/>
  <c r="P138" i="1"/>
  <c r="P146" i="1"/>
  <c r="P148" i="1"/>
  <c r="P150" i="1"/>
  <c r="Q18" i="1"/>
  <c r="P18" i="1"/>
  <c r="P176" i="1"/>
  <c r="P166" i="1"/>
  <c r="P168" i="1"/>
  <c r="P170" i="1"/>
  <c r="P164" i="1"/>
  <c r="P162" i="1"/>
  <c r="P134" i="1"/>
  <c r="P129" i="1"/>
  <c r="P28" i="1"/>
  <c r="Q125" i="1"/>
  <c r="Q28" i="1"/>
  <c r="N29" i="1"/>
  <c r="N126" i="1" s="1"/>
  <c r="N135" i="1" s="1"/>
  <c r="N139" i="1" s="1"/>
  <c r="N151" i="1" s="1"/>
  <c r="N171" i="1" s="1"/>
  <c r="N177" i="1" s="1"/>
  <c r="H19" i="1"/>
  <c r="K8" i="1"/>
  <c r="K19" i="1" s="1"/>
  <c r="Q6" i="1"/>
  <c r="Q84" i="1"/>
  <c r="P86" i="1"/>
  <c r="P93" i="1"/>
  <c r="Q98" i="1"/>
  <c r="P125" i="1"/>
  <c r="P59" i="1"/>
  <c r="P74" i="1"/>
  <c r="P84" i="1"/>
  <c r="P88" i="1"/>
  <c r="P98" i="1"/>
  <c r="BC19" i="1"/>
  <c r="Q69" i="1"/>
  <c r="Q78" i="1"/>
  <c r="Q86" i="1"/>
  <c r="Q93" i="1"/>
  <c r="P111" i="1"/>
  <c r="M29" i="1"/>
  <c r="M126" i="1" s="1"/>
  <c r="Q59" i="1"/>
  <c r="P69" i="1"/>
  <c r="Q74" i="1"/>
  <c r="P78" i="1"/>
  <c r="Q88" i="1"/>
  <c r="P107" i="1"/>
  <c r="P8" i="1"/>
  <c r="AF86" i="1" l="1"/>
  <c r="BI88" i="1"/>
  <c r="AF125" i="1"/>
  <c r="BI86" i="1"/>
  <c r="C139" i="1"/>
  <c r="C151" i="1" s="1"/>
  <c r="C171" i="1" s="1"/>
  <c r="C177" i="1" s="1"/>
  <c r="D177" i="1" s="1"/>
  <c r="D135" i="1"/>
  <c r="AF88" i="1"/>
  <c r="AT87" i="1"/>
  <c r="AT88" i="1" s="1"/>
  <c r="AT125" i="1"/>
  <c r="AT98" i="1"/>
  <c r="AT84" i="1"/>
  <c r="BH168" i="1"/>
  <c r="AE86" i="1"/>
  <c r="AT86" i="1"/>
  <c r="AT69" i="1"/>
  <c r="AT59" i="1"/>
  <c r="AT18" i="1"/>
  <c r="BH166" i="1"/>
  <c r="AT78" i="1"/>
  <c r="AT93" i="1"/>
  <c r="AT74" i="1"/>
  <c r="AE88" i="1"/>
  <c r="AT28" i="1"/>
  <c r="BI78" i="1"/>
  <c r="BH78" i="1"/>
  <c r="BI69" i="1"/>
  <c r="BI107" i="1"/>
  <c r="BH107" i="1"/>
  <c r="BH59" i="1"/>
  <c r="BH98" i="1"/>
  <c r="AQ135" i="1"/>
  <c r="AQ139" i="1" s="1"/>
  <c r="AQ151" i="1" s="1"/>
  <c r="AQ171" i="1" s="1"/>
  <c r="AQ177" i="1" s="1"/>
  <c r="BH134" i="1"/>
  <c r="BI59" i="1"/>
  <c r="BI18" i="1"/>
  <c r="BH69" i="1"/>
  <c r="BI98" i="1"/>
  <c r="BH125" i="1"/>
  <c r="BH6" i="1"/>
  <c r="BH8" i="1" s="1"/>
  <c r="BI6" i="1"/>
  <c r="BI8" i="1" s="1"/>
  <c r="BJ95" i="1" s="1"/>
  <c r="BI28" i="1"/>
  <c r="BH74" i="1"/>
  <c r="BH93" i="1"/>
  <c r="BH84" i="1"/>
  <c r="BH18" i="1"/>
  <c r="BH111" i="1"/>
  <c r="BI125" i="1"/>
  <c r="BH28" i="1"/>
  <c r="BI74" i="1"/>
  <c r="BI93" i="1"/>
  <c r="BI84" i="1"/>
  <c r="BC29" i="1"/>
  <c r="BD19" i="1"/>
  <c r="AF78" i="1"/>
  <c r="AE125" i="1"/>
  <c r="AE107" i="1"/>
  <c r="AF107" i="1"/>
  <c r="AT107" i="1" s="1"/>
  <c r="AE6" i="1"/>
  <c r="AF6" i="1"/>
  <c r="AE111" i="1"/>
  <c r="AF111" i="1"/>
  <c r="AB8" i="1"/>
  <c r="AB19" i="1" s="1"/>
  <c r="AB69" i="1"/>
  <c r="AE74" i="1"/>
  <c r="AB98" i="1"/>
  <c r="AB78" i="1"/>
  <c r="AB74" i="1"/>
  <c r="AB84" i="1"/>
  <c r="AB28" i="1"/>
  <c r="AE93" i="1"/>
  <c r="AE78" i="1"/>
  <c r="AE84" i="1"/>
  <c r="AF98" i="1"/>
  <c r="AE59" i="1"/>
  <c r="AF18" i="1"/>
  <c r="AE28" i="1"/>
  <c r="AF28" i="1"/>
  <c r="AE18" i="1"/>
  <c r="AF59" i="1"/>
  <c r="AF74" i="1"/>
  <c r="AE69" i="1"/>
  <c r="AE98" i="1"/>
  <c r="AF69" i="1"/>
  <c r="AF93" i="1"/>
  <c r="AF84" i="1"/>
  <c r="P19" i="1"/>
  <c r="G29" i="1"/>
  <c r="P29" i="1" s="1"/>
  <c r="H29" i="1"/>
  <c r="H126" i="1" s="1"/>
  <c r="H135" i="1" s="1"/>
  <c r="Q19" i="1"/>
  <c r="M135" i="1"/>
  <c r="M139" i="1" s="1"/>
  <c r="M151" i="1" s="1"/>
  <c r="J126" i="1"/>
  <c r="Q8" i="1"/>
  <c r="R125" i="1" s="1"/>
  <c r="K29" i="1"/>
  <c r="K126" i="1" s="1"/>
  <c r="K135" i="1" s="1"/>
  <c r="K139" i="1" s="1"/>
  <c r="K151" i="1" s="1"/>
  <c r="K171" i="1" s="1"/>
  <c r="K177" i="1" s="1"/>
  <c r="BJ93" i="1" l="1"/>
  <c r="BJ59" i="1"/>
  <c r="BJ44" i="1"/>
  <c r="BJ74" i="1"/>
  <c r="BJ79" i="1"/>
  <c r="BJ68" i="1"/>
  <c r="BJ39" i="1"/>
  <c r="BJ84" i="1"/>
  <c r="BJ125" i="1"/>
  <c r="BJ90" i="1"/>
  <c r="BJ101" i="1"/>
  <c r="BJ54" i="1"/>
  <c r="BJ66" i="1"/>
  <c r="BJ37" i="1"/>
  <c r="BJ30" i="1"/>
  <c r="BJ18" i="1"/>
  <c r="BJ69" i="1"/>
  <c r="BJ34" i="1"/>
  <c r="BJ114" i="1"/>
  <c r="R74" i="1"/>
  <c r="BJ32" i="1"/>
  <c r="BJ57" i="1"/>
  <c r="R88" i="1"/>
  <c r="BJ94" i="1"/>
  <c r="BJ113" i="1"/>
  <c r="BJ106" i="1"/>
  <c r="BJ31" i="1"/>
  <c r="BJ87" i="1"/>
  <c r="R19" i="1"/>
  <c r="BJ28" i="1"/>
  <c r="BJ98" i="1"/>
  <c r="BJ78" i="1"/>
  <c r="BJ83" i="1"/>
  <c r="BJ11" i="1"/>
  <c r="BJ108" i="1"/>
  <c r="BJ116" i="1"/>
  <c r="BJ9" i="1"/>
  <c r="BJ63" i="1"/>
  <c r="BJ41" i="1"/>
  <c r="BJ120" i="1"/>
  <c r="BJ55" i="1"/>
  <c r="BJ100" i="1"/>
  <c r="BJ81" i="1"/>
  <c r="BJ119" i="1"/>
  <c r="BJ23" i="1"/>
  <c r="BJ15" i="1"/>
  <c r="R18" i="1"/>
  <c r="BJ25" i="1"/>
  <c r="BJ13" i="1"/>
  <c r="BJ102" i="1"/>
  <c r="BJ82" i="1"/>
  <c r="BJ20" i="1"/>
  <c r="BJ71" i="1"/>
  <c r="R84" i="1"/>
  <c r="BJ112" i="1"/>
  <c r="BJ75" i="1"/>
  <c r="BJ33" i="1"/>
  <c r="R28" i="1"/>
  <c r="BJ122" i="1"/>
  <c r="BJ77" i="1"/>
  <c r="BJ72" i="1"/>
  <c r="R107" i="1"/>
  <c r="BJ61" i="1"/>
  <c r="BJ166" i="1"/>
  <c r="BJ92" i="1"/>
  <c r="BJ80" i="1"/>
  <c r="R47" i="1"/>
  <c r="R134" i="1"/>
  <c r="R157" i="1"/>
  <c r="R142" i="1"/>
  <c r="R163" i="1"/>
  <c r="R132" i="1"/>
  <c r="R155" i="1"/>
  <c r="R129" i="1"/>
  <c r="R152" i="1"/>
  <c r="R141" i="1"/>
  <c r="R161" i="1"/>
  <c r="R147" i="1"/>
  <c r="R172" i="1"/>
  <c r="R137" i="1"/>
  <c r="R159" i="1"/>
  <c r="R133" i="1"/>
  <c r="R156" i="1"/>
  <c r="R174" i="1"/>
  <c r="R145" i="1"/>
  <c r="R169" i="1"/>
  <c r="R131" i="1"/>
  <c r="R154" i="1"/>
  <c r="R127" i="1"/>
  <c r="R143" i="1"/>
  <c r="R165" i="1"/>
  <c r="R140" i="1"/>
  <c r="R160" i="1"/>
  <c r="R130" i="1"/>
  <c r="R153" i="1"/>
  <c r="R175" i="1"/>
  <c r="R136" i="1"/>
  <c r="R158" i="1"/>
  <c r="R128" i="1"/>
  <c r="R149" i="1"/>
  <c r="R173" i="1"/>
  <c r="R144" i="1"/>
  <c r="R167" i="1"/>
  <c r="R164" i="1"/>
  <c r="R162" i="1"/>
  <c r="R166" i="1"/>
  <c r="R138" i="1"/>
  <c r="R146" i="1"/>
  <c r="R168" i="1"/>
  <c r="R170" i="1"/>
  <c r="R176" i="1"/>
  <c r="R148" i="1"/>
  <c r="R150" i="1"/>
  <c r="R17" i="1"/>
  <c r="R27" i="1"/>
  <c r="R16" i="1"/>
  <c r="R21" i="1"/>
  <c r="R32" i="1"/>
  <c r="R40" i="1"/>
  <c r="R60" i="1"/>
  <c r="R68" i="1"/>
  <c r="R91" i="1"/>
  <c r="R13" i="1"/>
  <c r="R53" i="1"/>
  <c r="R72" i="1"/>
  <c r="R99" i="1"/>
  <c r="R112" i="1"/>
  <c r="R120" i="1"/>
  <c r="R22" i="1"/>
  <c r="R33" i="1"/>
  <c r="R41" i="1"/>
  <c r="R63" i="1"/>
  <c r="R85" i="1"/>
  <c r="R96" i="1"/>
  <c r="R48" i="1"/>
  <c r="R56" i="1"/>
  <c r="R80" i="1"/>
  <c r="R102" i="1"/>
  <c r="R115" i="1"/>
  <c r="R123" i="1"/>
  <c r="R23" i="1"/>
  <c r="R34" i="1"/>
  <c r="R42" i="1"/>
  <c r="R62" i="1"/>
  <c r="R75" i="1"/>
  <c r="R95" i="1"/>
  <c r="R15" i="1"/>
  <c r="R55" i="1"/>
  <c r="R79" i="1"/>
  <c r="R101" i="1"/>
  <c r="R114" i="1"/>
  <c r="R122" i="1"/>
  <c r="R24" i="1"/>
  <c r="R35" i="1"/>
  <c r="R43" i="1"/>
  <c r="R65" i="1"/>
  <c r="R90" i="1"/>
  <c r="R108" i="1"/>
  <c r="R10" i="1"/>
  <c r="R50" i="1"/>
  <c r="R58" i="1"/>
  <c r="R82" i="1"/>
  <c r="R104" i="1"/>
  <c r="R117" i="1"/>
  <c r="R25" i="1"/>
  <c r="R36" i="1"/>
  <c r="R44" i="1"/>
  <c r="R64" i="1"/>
  <c r="R77" i="1"/>
  <c r="R97" i="1"/>
  <c r="R9" i="1"/>
  <c r="R49" i="1"/>
  <c r="R57" i="1"/>
  <c r="R81" i="1"/>
  <c r="R103" i="1"/>
  <c r="R116" i="1"/>
  <c r="R124" i="1"/>
  <c r="R26" i="1"/>
  <c r="R37" i="1"/>
  <c r="R45" i="1"/>
  <c r="R67" i="1"/>
  <c r="R92" i="1"/>
  <c r="R12" i="1"/>
  <c r="R52" i="1"/>
  <c r="R71" i="1"/>
  <c r="R87" i="1"/>
  <c r="R106" i="1"/>
  <c r="R119" i="1"/>
  <c r="R20" i="1"/>
  <c r="R30" i="1"/>
  <c r="R38" i="1"/>
  <c r="R46" i="1"/>
  <c r="R66" i="1"/>
  <c r="R89" i="1"/>
  <c r="R109" i="1"/>
  <c r="R11" i="1"/>
  <c r="R51" i="1"/>
  <c r="R70" i="1"/>
  <c r="R83" i="1"/>
  <c r="R105" i="1"/>
  <c r="R118" i="1"/>
  <c r="R31" i="1"/>
  <c r="R39" i="1"/>
  <c r="R61" i="1"/>
  <c r="R76" i="1"/>
  <c r="R94" i="1"/>
  <c r="R110" i="1"/>
  <c r="R14" i="1"/>
  <c r="R54" i="1"/>
  <c r="R73" i="1"/>
  <c r="R100" i="1"/>
  <c r="R113" i="1"/>
  <c r="R121" i="1"/>
  <c r="BJ47" i="1"/>
  <c r="BJ159" i="1"/>
  <c r="BJ128" i="1"/>
  <c r="BJ144" i="1"/>
  <c r="BJ132" i="1"/>
  <c r="BJ145" i="1"/>
  <c r="BJ131" i="1"/>
  <c r="BJ152" i="1"/>
  <c r="BJ154" i="1"/>
  <c r="BJ141" i="1"/>
  <c r="BJ133" i="1"/>
  <c r="BJ147" i="1"/>
  <c r="BJ165" i="1"/>
  <c r="BJ130" i="1"/>
  <c r="BJ161" i="1"/>
  <c r="BJ127" i="1"/>
  <c r="BJ174" i="1"/>
  <c r="BJ149" i="1"/>
  <c r="BJ167" i="1"/>
  <c r="BJ172" i="1"/>
  <c r="BJ136" i="1"/>
  <c r="BJ155" i="1"/>
  <c r="BJ169" i="1"/>
  <c r="BJ140" i="1"/>
  <c r="BJ153" i="1"/>
  <c r="BJ173" i="1"/>
  <c r="BJ137" i="1"/>
  <c r="BJ156" i="1"/>
  <c r="BJ158" i="1"/>
  <c r="BJ175" i="1"/>
  <c r="BJ143" i="1"/>
  <c r="BJ157" i="1"/>
  <c r="BJ142" i="1"/>
  <c r="BJ160" i="1"/>
  <c r="BJ163" i="1"/>
  <c r="BJ129" i="1"/>
  <c r="BJ162" i="1"/>
  <c r="BJ164" i="1"/>
  <c r="BJ170" i="1"/>
  <c r="BJ148" i="1"/>
  <c r="BJ146" i="1"/>
  <c r="BJ150" i="1"/>
  <c r="BJ176" i="1"/>
  <c r="BJ138" i="1"/>
  <c r="BJ16" i="1"/>
  <c r="BJ17" i="1"/>
  <c r="BJ27" i="1"/>
  <c r="BJ107" i="1"/>
  <c r="BJ10" i="1"/>
  <c r="BJ24" i="1"/>
  <c r="BJ62" i="1"/>
  <c r="BJ109" i="1"/>
  <c r="BJ70" i="1"/>
  <c r="BJ67" i="1"/>
  <c r="BJ104" i="1"/>
  <c r="R69" i="1"/>
  <c r="BJ105" i="1"/>
  <c r="BJ21" i="1"/>
  <c r="BJ40" i="1"/>
  <c r="BJ97" i="1"/>
  <c r="BJ53" i="1"/>
  <c r="BJ26" i="1"/>
  <c r="BJ96" i="1"/>
  <c r="R59" i="1"/>
  <c r="BJ35" i="1"/>
  <c r="BJ86" i="1"/>
  <c r="BJ64" i="1"/>
  <c r="BJ58" i="1"/>
  <c r="BJ45" i="1"/>
  <c r="BJ168" i="1"/>
  <c r="BJ56" i="1"/>
  <c r="BJ14" i="1"/>
  <c r="BJ121" i="1"/>
  <c r="BJ22" i="1"/>
  <c r="BJ46" i="1"/>
  <c r="BJ52" i="1"/>
  <c r="BJ115" i="1"/>
  <c r="BJ134" i="1"/>
  <c r="BJ118" i="1"/>
  <c r="BJ42" i="1"/>
  <c r="BJ89" i="1"/>
  <c r="BJ51" i="1"/>
  <c r="BJ43" i="1"/>
  <c r="BJ73" i="1"/>
  <c r="R98" i="1"/>
  <c r="BJ99" i="1"/>
  <c r="BJ110" i="1"/>
  <c r="BJ36" i="1"/>
  <c r="BJ91" i="1"/>
  <c r="BJ49" i="1"/>
  <c r="BJ103" i="1"/>
  <c r="BJ76" i="1"/>
  <c r="R86" i="1"/>
  <c r="BJ124" i="1"/>
  <c r="BJ85" i="1"/>
  <c r="BJ60" i="1"/>
  <c r="BJ50" i="1"/>
  <c r="R111" i="1"/>
  <c r="BJ38" i="1"/>
  <c r="BJ48" i="1"/>
  <c r="BJ123" i="1"/>
  <c r="BJ117" i="1"/>
  <c r="R93" i="1"/>
  <c r="BJ65" i="1"/>
  <c r="BJ12" i="1"/>
  <c r="BJ88" i="1"/>
  <c r="R78" i="1"/>
  <c r="AR111" i="1"/>
  <c r="AF8" i="1"/>
  <c r="AF19" i="1" s="1"/>
  <c r="AG19" i="1" s="1"/>
  <c r="AT6" i="1"/>
  <c r="AT8" i="1" s="1"/>
  <c r="AT19" i="1" s="1"/>
  <c r="AE8" i="1"/>
  <c r="AE19" i="1" s="1"/>
  <c r="AE29" i="1" s="1"/>
  <c r="AE126" i="1" s="1"/>
  <c r="AE135" i="1" s="1"/>
  <c r="AE139" i="1" s="1"/>
  <c r="AE151" i="1" s="1"/>
  <c r="AE171" i="1" s="1"/>
  <c r="AE177" i="1" s="1"/>
  <c r="BI19" i="1"/>
  <c r="BH19" i="1"/>
  <c r="BH29" i="1" s="1"/>
  <c r="BH126" i="1" s="1"/>
  <c r="BH135" i="1" s="1"/>
  <c r="BH139" i="1" s="1"/>
  <c r="BH151" i="1" s="1"/>
  <c r="BH171" i="1" s="1"/>
  <c r="BH177" i="1" s="1"/>
  <c r="BC126" i="1"/>
  <c r="BD29" i="1"/>
  <c r="G126" i="1"/>
  <c r="P126" i="1" s="1"/>
  <c r="AB29" i="1"/>
  <c r="AB126" i="1" s="1"/>
  <c r="AB135" i="1" s="1"/>
  <c r="AB139" i="1" s="1"/>
  <c r="AB151" i="1" s="1"/>
  <c r="AB171" i="1" s="1"/>
  <c r="AB177" i="1" s="1"/>
  <c r="M171" i="1"/>
  <c r="M177" i="1" s="1"/>
  <c r="H139" i="1"/>
  <c r="Q139" i="1" s="1"/>
  <c r="R139" i="1" s="1"/>
  <c r="Q135" i="1"/>
  <c r="R135" i="1" s="1"/>
  <c r="J135" i="1"/>
  <c r="J139" i="1" s="1"/>
  <c r="J151" i="1" s="1"/>
  <c r="J171" i="1" s="1"/>
  <c r="J177" i="1" s="1"/>
  <c r="Q126" i="1"/>
  <c r="R126" i="1" s="1"/>
  <c r="Q29" i="1"/>
  <c r="R29" i="1" s="1"/>
  <c r="BI29" i="1" l="1"/>
  <c r="BJ29" i="1" s="1"/>
  <c r="BJ19" i="1"/>
  <c r="AR126" i="1"/>
  <c r="AS111" i="1"/>
  <c r="AT111" i="1"/>
  <c r="AT29" i="1"/>
  <c r="AU19" i="1"/>
  <c r="BF126" i="1"/>
  <c r="BG126" i="1" s="1"/>
  <c r="BI111" i="1"/>
  <c r="BC135" i="1"/>
  <c r="BD126" i="1"/>
  <c r="G135" i="1"/>
  <c r="P135" i="1" s="1"/>
  <c r="AF29" i="1"/>
  <c r="AG29" i="1" s="1"/>
  <c r="H151" i="1"/>
  <c r="AR135" i="1" l="1"/>
  <c r="AS126" i="1"/>
  <c r="BI126" i="1"/>
  <c r="BJ126" i="1" s="1"/>
  <c r="BJ111" i="1"/>
  <c r="AT126" i="1"/>
  <c r="AU29" i="1"/>
  <c r="BF135" i="1"/>
  <c r="BG135" i="1" s="1"/>
  <c r="BC139" i="1"/>
  <c r="BC151" i="1" s="1"/>
  <c r="BC171" i="1" s="1"/>
  <c r="BC177" i="1" s="1"/>
  <c r="BD177" i="1" s="1"/>
  <c r="BD135" i="1"/>
  <c r="G139" i="1"/>
  <c r="G151" i="1" s="1"/>
  <c r="AF126" i="1"/>
  <c r="AG126" i="1" s="1"/>
  <c r="H171" i="1"/>
  <c r="Q151" i="1"/>
  <c r="R151" i="1" s="1"/>
  <c r="BI135" i="1" l="1"/>
  <c r="BJ135" i="1" s="1"/>
  <c r="AR139" i="1"/>
  <c r="AS135" i="1"/>
  <c r="AT135" i="1"/>
  <c r="AU126" i="1"/>
  <c r="BF139" i="1"/>
  <c r="P139" i="1"/>
  <c r="AF135" i="1"/>
  <c r="AG135" i="1" s="1"/>
  <c r="H177" i="1"/>
  <c r="Q177" i="1" s="1"/>
  <c r="R177" i="1" s="1"/>
  <c r="Q171" i="1"/>
  <c r="R171" i="1" s="1"/>
  <c r="G171" i="1"/>
  <c r="P151" i="1"/>
  <c r="BI139" i="1" l="1"/>
  <c r="BI151" i="1" s="1"/>
  <c r="BF151" i="1"/>
  <c r="BG139" i="1"/>
  <c r="AR151" i="1"/>
  <c r="AS139" i="1"/>
  <c r="AT139" i="1"/>
  <c r="AT151" i="1" s="1"/>
  <c r="AT171" i="1" s="1"/>
  <c r="AT177" i="1" s="1"/>
  <c r="AU177" i="1" s="1"/>
  <c r="AU135" i="1"/>
  <c r="AF139" i="1"/>
  <c r="AF151" i="1" s="1"/>
  <c r="P171" i="1"/>
  <c r="G177" i="1"/>
  <c r="P177" i="1" s="1"/>
  <c r="BJ139" i="1" l="1"/>
  <c r="BI171" i="1"/>
  <c r="BJ151" i="1"/>
  <c r="AR171" i="1"/>
  <c r="AS151" i="1"/>
  <c r="BF171" i="1"/>
  <c r="BG151" i="1"/>
  <c r="AF171" i="1"/>
  <c r="AF177" i="1" s="1"/>
  <c r="BF177" i="1" l="1"/>
  <c r="BG177" i="1" s="1"/>
  <c r="BG171" i="1"/>
  <c r="BI177" i="1"/>
  <c r="BJ177" i="1" s="1"/>
  <c r="BJ171" i="1"/>
  <c r="AR177" i="1"/>
  <c r="AS171" i="1"/>
  <c r="AG177" i="1"/>
  <c r="AS177" i="1" l="1"/>
  <c r="BI178" i="1"/>
  <c r="BL24" i="7"/>
  <c r="BK24" i="7"/>
  <c r="BJ24" i="7"/>
  <c r="BI24" i="7"/>
  <c r="BH24" i="7"/>
  <c r="BG24" i="7"/>
  <c r="BF24" i="7"/>
  <c r="BE24" i="7"/>
  <c r="BD24" i="7"/>
  <c r="BC24" i="7"/>
  <c r="BB24" i="7"/>
  <c r="BA24" i="7"/>
  <c r="AZ24" i="7"/>
  <c r="AT26" i="7"/>
  <c r="BC148" i="7" l="1"/>
  <c r="BC149" i="7" s="1"/>
  <c r="BC150" i="7" s="1"/>
  <c r="BC97" i="7"/>
  <c r="BC122" i="7"/>
  <c r="BG97" i="7"/>
  <c r="BG122" i="7"/>
  <c r="BG148" i="7"/>
  <c r="BG149" i="7" s="1"/>
  <c r="BG150" i="7" s="1"/>
  <c r="BB148" i="7"/>
  <c r="BB149" i="7" s="1"/>
  <c r="BB150" i="7" s="1"/>
  <c r="BB122" i="7"/>
  <c r="BB97" i="7"/>
  <c r="BF148" i="7"/>
  <c r="BF149" i="7" s="1"/>
  <c r="BF150" i="7" s="1"/>
  <c r="BF122" i="7"/>
  <c r="BF97" i="7"/>
  <c r="BJ97" i="7"/>
  <c r="BJ148" i="7"/>
  <c r="BJ149" i="7" s="1"/>
  <c r="BJ150" i="7" s="1"/>
  <c r="BJ122" i="7"/>
  <c r="BK97" i="7"/>
  <c r="BK148" i="7"/>
  <c r="BK149" i="7" s="1"/>
  <c r="BK150" i="7" s="1"/>
  <c r="BK122" i="7"/>
  <c r="AZ97" i="7"/>
  <c r="AZ122" i="7"/>
  <c r="AZ148" i="7"/>
  <c r="BD97" i="7"/>
  <c r="BD148" i="7"/>
  <c r="BD149" i="7" s="1"/>
  <c r="BD150" i="7" s="1"/>
  <c r="BD122" i="7"/>
  <c r="BH148" i="7"/>
  <c r="BH149" i="7" s="1"/>
  <c r="BH150" i="7" s="1"/>
  <c r="BH97" i="7"/>
  <c r="BH122" i="7"/>
  <c r="BL122" i="7"/>
  <c r="BL97" i="7"/>
  <c r="BL148" i="7"/>
  <c r="BL149" i="7" s="1"/>
  <c r="BL150" i="7" s="1"/>
  <c r="AT31" i="7"/>
  <c r="AT161" i="7"/>
  <c r="BA97" i="7"/>
  <c r="BA122" i="7"/>
  <c r="BA148" i="7"/>
  <c r="BA149" i="7" s="1"/>
  <c r="BA150" i="7" s="1"/>
  <c r="BE97" i="7"/>
  <c r="BE122" i="7"/>
  <c r="BE148" i="7"/>
  <c r="BE149" i="7" s="1"/>
  <c r="BE150" i="7" s="1"/>
  <c r="BI122" i="7"/>
  <c r="BI148" i="7"/>
  <c r="BI149" i="7" s="1"/>
  <c r="BI150" i="7" s="1"/>
  <c r="BI97" i="7"/>
  <c r="AT94" i="7" l="1"/>
  <c r="AT114" i="7" s="1"/>
  <c r="AT130" i="7" s="1"/>
  <c r="AT36" i="7"/>
  <c r="AT37" i="7" s="1"/>
  <c r="AY60" i="7" l="1"/>
  <c r="AY147" i="7" l="1"/>
  <c r="AZ147" i="7"/>
  <c r="AZ149" i="7" s="1"/>
  <c r="AZ150" i="7" s="1"/>
  <c r="AZ27" i="7" l="1"/>
  <c r="AZ31" i="7" s="1"/>
  <c r="AZ94" i="7" s="1"/>
  <c r="BA27" i="7" l="1"/>
  <c r="BA31" i="7" s="1"/>
  <c r="BA94" i="7" s="1"/>
  <c r="BB27" i="7" l="1"/>
  <c r="BB31" i="7" s="1"/>
  <c r="BB94" i="7" s="1"/>
  <c r="BC27" i="7" l="1"/>
  <c r="BC31" i="7" s="1"/>
  <c r="BC94" i="7" s="1"/>
  <c r="BD27" i="7" l="1"/>
  <c r="BD31" i="7" s="1"/>
  <c r="BD94" i="7" s="1"/>
  <c r="BE27" i="7" l="1"/>
  <c r="BE31" i="7" s="1"/>
  <c r="BE94" i="7" s="1"/>
  <c r="BF27" i="7" l="1"/>
  <c r="BF31" i="7" s="1"/>
  <c r="BF94" i="7" s="1"/>
  <c r="BG27" i="7" l="1"/>
  <c r="BG31" i="7" s="1"/>
  <c r="BG94" i="7" s="1"/>
  <c r="BH27" i="7" l="1"/>
  <c r="BH31" i="7" s="1"/>
  <c r="BH94" i="7" s="1"/>
  <c r="BI27" i="7" l="1"/>
  <c r="BI31" i="7" s="1"/>
  <c r="BI94" i="7" s="1"/>
  <c r="BJ27" i="7" l="1"/>
  <c r="BJ31" i="7" s="1"/>
  <c r="BJ94" i="7" s="1"/>
  <c r="BK27" i="7" l="1"/>
  <c r="BK31" i="7" s="1"/>
  <c r="BK94" i="7" s="1"/>
  <c r="BL27" i="7" l="1"/>
  <c r="BL31" i="7" s="1"/>
  <c r="BL94" i="7" s="1"/>
  <c r="AX75" i="7" l="1"/>
  <c r="AW75" i="7"/>
  <c r="AV75" i="7"/>
  <c r="AU75" i="7"/>
  <c r="AU136" i="7" l="1"/>
  <c r="AU139" i="7" s="1"/>
  <c r="AU140" i="7" s="1"/>
  <c r="AU137" i="7"/>
  <c r="AU79" i="7"/>
  <c r="AU90" i="7" s="1"/>
  <c r="AU128" i="7"/>
  <c r="AW137" i="7"/>
  <c r="AW128" i="7"/>
  <c r="AW136" i="7"/>
  <c r="AW139" i="7" s="1"/>
  <c r="AW140" i="7" s="1"/>
  <c r="AW79" i="7"/>
  <c r="AW90" i="7" s="1"/>
  <c r="AV136" i="7"/>
  <c r="AV139" i="7" s="1"/>
  <c r="AV140" i="7" s="1"/>
  <c r="AV79" i="7"/>
  <c r="AV90" i="7" s="1"/>
  <c r="AV128" i="7"/>
  <c r="AV137" i="7"/>
  <c r="AY75" i="7"/>
  <c r="AX128" i="7"/>
  <c r="AX136" i="7"/>
  <c r="AX79" i="7"/>
  <c r="AX90" i="7" s="1"/>
  <c r="AX137" i="7"/>
  <c r="AV56" i="7"/>
  <c r="AV57" i="7" s="1"/>
  <c r="BC74" i="7"/>
  <c r="BC127" i="7" l="1"/>
  <c r="AX139" i="7"/>
  <c r="AY136" i="7"/>
  <c r="AY79" i="7"/>
  <c r="AY90" i="7" s="1"/>
  <c r="AY128" i="7"/>
  <c r="AY137" i="7"/>
  <c r="AV58" i="7"/>
  <c r="AU56" i="7"/>
  <c r="AU57" i="7" s="1"/>
  <c r="AV121" i="7" l="1"/>
  <c r="AV129" i="7" s="1"/>
  <c r="AV130" i="7" s="1"/>
  <c r="AV68" i="7"/>
  <c r="AV69" i="7" s="1"/>
  <c r="AV70" i="7" s="1"/>
  <c r="AV5" i="7" s="1"/>
  <c r="AX140" i="7"/>
  <c r="AY140" i="7" s="1"/>
  <c r="AY139" i="7"/>
  <c r="AU58" i="7"/>
  <c r="AU68" i="7" l="1"/>
  <c r="AU69" i="7" s="1"/>
  <c r="AU70" i="7" s="1"/>
  <c r="AU5" i="7" s="1"/>
  <c r="AU121" i="7"/>
  <c r="AU129" i="7" s="1"/>
  <c r="AU130" i="7" s="1"/>
  <c r="AW56" i="7"/>
  <c r="AW57" i="7" s="1"/>
  <c r="AW58" i="7" l="1"/>
  <c r="AW121" i="7" l="1"/>
  <c r="AW129" i="7" s="1"/>
  <c r="AW130" i="7" s="1"/>
  <c r="AW68" i="7"/>
  <c r="AW69" i="7" s="1"/>
  <c r="AW70" i="7" s="1"/>
  <c r="AW5" i="7" s="1"/>
  <c r="AX56" i="7"/>
  <c r="AX57" i="7" s="1"/>
  <c r="AY56" i="7" l="1"/>
  <c r="AY57" i="7" l="1"/>
  <c r="AX58" i="7"/>
  <c r="AY58" i="7"/>
  <c r="AX68" i="7" l="1"/>
  <c r="AX69" i="7" s="1"/>
  <c r="AX70" i="7" s="1"/>
  <c r="AX5" i="7" s="1"/>
  <c r="AX121" i="7"/>
  <c r="AX129" i="7" s="1"/>
  <c r="AX130" i="7" s="1"/>
  <c r="AY68" i="7"/>
  <c r="AY69" i="7" s="1"/>
  <c r="AY70" i="7" s="1"/>
  <c r="AY5" i="7" s="1"/>
  <c r="AY121" i="7"/>
  <c r="AY24" i="7" l="1"/>
  <c r="AY97" i="7" l="1"/>
  <c r="AY148" i="7"/>
  <c r="AY149" i="7" s="1"/>
  <c r="AY150" i="7" s="1"/>
  <c r="AY161" i="7"/>
  <c r="AY31" i="7"/>
  <c r="AY122" i="7"/>
  <c r="AY129" i="7" s="1"/>
  <c r="AY94" i="7" l="1"/>
  <c r="AY114" i="7" s="1"/>
  <c r="AY130" i="7" s="1"/>
  <c r="AY36" i="7"/>
  <c r="AY37" i="7" s="1"/>
  <c r="BD74" i="7" l="1"/>
  <c r="BD127" i="7" l="1"/>
  <c r="AZ75" i="7" l="1"/>
  <c r="AZ136" i="7" l="1"/>
  <c r="AZ139" i="7" s="1"/>
  <c r="AZ140" i="7" s="1"/>
  <c r="AZ137" i="7"/>
  <c r="AZ128" i="7"/>
  <c r="AZ56" i="7" l="1"/>
  <c r="AZ57" i="7" l="1"/>
  <c r="AZ58" i="7"/>
  <c r="AZ121" i="7" l="1"/>
  <c r="AZ129" i="7" s="1"/>
  <c r="AZ32" i="7"/>
  <c r="AZ36" i="7" s="1"/>
  <c r="AZ76" i="7" l="1"/>
  <c r="AZ37" i="7"/>
  <c r="AZ64" i="7"/>
  <c r="BA32" i="7"/>
  <c r="BA36" i="7" s="1"/>
  <c r="AZ113" i="7" l="1"/>
  <c r="AZ114" i="7" s="1"/>
  <c r="AZ130" i="7" s="1"/>
  <c r="AZ68" i="7"/>
  <c r="AZ69" i="7" s="1"/>
  <c r="AZ70" i="7" s="1"/>
  <c r="BA76" i="7"/>
  <c r="BA37" i="7"/>
  <c r="AZ79" i="7"/>
  <c r="AZ90" i="7" s="1"/>
  <c r="BB32" i="7"/>
  <c r="BB36" i="7" s="1"/>
  <c r="AZ5" i="7" l="1"/>
  <c r="BB37" i="7"/>
  <c r="BB76" i="7"/>
  <c r="BA64" i="7"/>
  <c r="BE74" i="7"/>
  <c r="BC32" i="7"/>
  <c r="BC36" i="7" s="1"/>
  <c r="BE127" i="7" l="1"/>
  <c r="BA113" i="7"/>
  <c r="BA114" i="7" s="1"/>
  <c r="BC76" i="7"/>
  <c r="BC37" i="7"/>
  <c r="BB64" i="7"/>
  <c r="BD32" i="7"/>
  <c r="BD36" i="7" s="1"/>
  <c r="BF74" i="7"/>
  <c r="BB113" i="7" l="1"/>
  <c r="BB114" i="7" s="1"/>
  <c r="BD37" i="7"/>
  <c r="BD76" i="7"/>
  <c r="BF127" i="7"/>
  <c r="BC64" i="7"/>
  <c r="BG74" i="7"/>
  <c r="BE32" i="7"/>
  <c r="BE36" i="7" s="1"/>
  <c r="BE76" i="7" l="1"/>
  <c r="BE37" i="7"/>
  <c r="BG127" i="7"/>
  <c r="BC113" i="7"/>
  <c r="BC114" i="7" s="1"/>
  <c r="BD64" i="7"/>
  <c r="BD113" i="7" s="1"/>
  <c r="BD114" i="7" s="1"/>
  <c r="BF32" i="7"/>
  <c r="BF36" i="7" s="1"/>
  <c r="BH74" i="7"/>
  <c r="BF76" i="7" l="1"/>
  <c r="BF37" i="7"/>
  <c r="BH127" i="7"/>
  <c r="BE64" i="7"/>
  <c r="BG32" i="7"/>
  <c r="BG36" i="7" s="1"/>
  <c r="BA75" i="7"/>
  <c r="BG37" i="7" l="1"/>
  <c r="BG76" i="7"/>
  <c r="BA79" i="7"/>
  <c r="BA90" i="7" s="1"/>
  <c r="BA137" i="7"/>
  <c r="BA136" i="7"/>
  <c r="BA139" i="7" s="1"/>
  <c r="BA140" i="7" s="1"/>
  <c r="BA128" i="7"/>
  <c r="BE113" i="7"/>
  <c r="BE114" i="7" s="1"/>
  <c r="BF64" i="7"/>
  <c r="BF113" i="7" s="1"/>
  <c r="BF114" i="7" s="1"/>
  <c r="BI74" i="7"/>
  <c r="BH32" i="7"/>
  <c r="BH36" i="7" s="1"/>
  <c r="BH76" i="7" l="1"/>
  <c r="BH37" i="7"/>
  <c r="BI127" i="7"/>
  <c r="BJ74" i="7"/>
  <c r="BJ127" i="7" s="1"/>
  <c r="BG64" i="7"/>
  <c r="BG113" i="7" s="1"/>
  <c r="BG114" i="7" s="1"/>
  <c r="BA56" i="7"/>
  <c r="BI32" i="7"/>
  <c r="BI36" i="7" s="1"/>
  <c r="BA58" i="7"/>
  <c r="BI37" i="7" l="1"/>
  <c r="BI76" i="7"/>
  <c r="BA57" i="7"/>
  <c r="BA68" i="7"/>
  <c r="BA121" i="7"/>
  <c r="BA129" i="7" s="1"/>
  <c r="BA130" i="7" s="1"/>
  <c r="BK74" i="7"/>
  <c r="BK127" i="7" s="1"/>
  <c r="BH64" i="7"/>
  <c r="BJ32" i="7"/>
  <c r="BJ36" i="7" s="1"/>
  <c r="BA69" i="7" l="1"/>
  <c r="BA70" i="7" s="1"/>
  <c r="BA5" i="7" s="1"/>
  <c r="BJ76" i="7"/>
  <c r="BJ37" i="7"/>
  <c r="BH113" i="7"/>
  <c r="BH114" i="7" s="1"/>
  <c r="BL74" i="7"/>
  <c r="BI64" i="7"/>
  <c r="BI113" i="7" s="1"/>
  <c r="BI114" i="7" s="1"/>
  <c r="BK32" i="7"/>
  <c r="BK36" i="7" s="1"/>
  <c r="BL32" i="7"/>
  <c r="BL36" i="7" s="1"/>
  <c r="BK37" i="7" l="1"/>
  <c r="BK76" i="7"/>
  <c r="BL37" i="7"/>
  <c r="BL76" i="7"/>
  <c r="BL127" i="7"/>
  <c r="BJ64" i="7"/>
  <c r="BJ113" i="7" s="1"/>
  <c r="BJ114" i="7" s="1"/>
  <c r="BB75" i="7"/>
  <c r="BB137" i="7" l="1"/>
  <c r="BB136" i="7"/>
  <c r="BB139" i="7" s="1"/>
  <c r="BB140" i="7" s="1"/>
  <c r="BB79" i="7"/>
  <c r="BB90" i="7" s="1"/>
  <c r="BB128" i="7"/>
  <c r="BK64" i="7"/>
  <c r="BK113" i="7" s="1"/>
  <c r="BK114" i="7" s="1"/>
  <c r="BL64" i="7" l="1"/>
  <c r="BL113" i="7" s="1"/>
  <c r="BL114" i="7" s="1"/>
  <c r="BB56" i="7"/>
  <c r="BB58" i="7"/>
  <c r="BB68" i="7" l="1"/>
  <c r="BB121" i="7"/>
  <c r="BB129" i="7" s="1"/>
  <c r="BB130" i="7" s="1"/>
  <c r="BB57" i="7"/>
  <c r="BB69" i="7" l="1"/>
  <c r="BB70" i="7" s="1"/>
  <c r="BB5" i="7" s="1"/>
  <c r="R24" i="7"/>
  <c r="R122" i="7" l="1"/>
  <c r="R129" i="7" s="1"/>
  <c r="R31" i="7"/>
  <c r="R148" i="7"/>
  <c r="R149" i="7" s="1"/>
  <c r="R150" i="7" s="1"/>
  <c r="R97" i="7"/>
  <c r="R161" i="7"/>
  <c r="R94" i="7" l="1"/>
  <c r="R36" i="7"/>
  <c r="R76" i="7" l="1"/>
  <c r="R37" i="7"/>
  <c r="S94" i="7"/>
  <c r="R114" i="7"/>
  <c r="R130" i="7" s="1"/>
  <c r="R132" i="7" s="1"/>
  <c r="R6" i="7" s="1"/>
  <c r="BC75" i="7"/>
  <c r="BC137" i="7" l="1"/>
  <c r="BC79" i="7"/>
  <c r="BC90" i="7" s="1"/>
  <c r="BC136" i="7"/>
  <c r="BC139" i="7" s="1"/>
  <c r="BC140" i="7" s="1"/>
  <c r="BC128" i="7"/>
  <c r="T94" i="7"/>
  <c r="T114" i="7" s="1"/>
  <c r="S114" i="7"/>
  <c r="R79" i="7"/>
  <c r="R90" i="7" s="1"/>
  <c r="R5" i="7" s="1"/>
  <c r="S76" i="7"/>
  <c r="T76" i="7" s="1"/>
  <c r="Y128" i="7" l="1"/>
  <c r="V128" i="7"/>
  <c r="W128" i="7"/>
  <c r="X128" i="7"/>
  <c r="S74" i="7"/>
  <c r="BC56" i="7"/>
  <c r="S137" i="7" l="1"/>
  <c r="S136" i="7"/>
  <c r="S139" i="7" s="1"/>
  <c r="S140" i="7" s="1"/>
  <c r="S79" i="7"/>
  <c r="S90" i="7" s="1"/>
  <c r="S5" i="7" s="1"/>
  <c r="S127" i="7"/>
  <c r="S129" i="7" s="1"/>
  <c r="S130" i="7" s="1"/>
  <c r="S132" i="7" s="1"/>
  <c r="S6" i="7" s="1"/>
  <c r="BC57" i="7"/>
  <c r="BC58" i="7"/>
  <c r="BC68" i="7" l="1"/>
  <c r="BC69" i="7" s="1"/>
  <c r="BC70" i="7" s="1"/>
  <c r="BC5" i="7" s="1"/>
  <c r="BC121" i="7"/>
  <c r="BC129" i="7" s="1"/>
  <c r="BC130" i="7" s="1"/>
  <c r="T74" i="7" l="1"/>
  <c r="T136" i="7" l="1"/>
  <c r="T139" i="7" s="1"/>
  <c r="T140" i="7" s="1"/>
  <c r="U74" i="7"/>
  <c r="T79" i="7"/>
  <c r="T90" i="7" s="1"/>
  <c r="T5" i="7" s="1"/>
  <c r="T127" i="7"/>
  <c r="T129" i="7" s="1"/>
  <c r="T130" i="7" s="1"/>
  <c r="T132" i="7" s="1"/>
  <c r="T6" i="7" s="1"/>
  <c r="T137" i="7"/>
  <c r="X127" i="7" l="1"/>
  <c r="X129" i="7" s="1"/>
  <c r="X130" i="7" s="1"/>
  <c r="Y127" i="7"/>
  <c r="Y129" i="7" s="1"/>
  <c r="Y130" i="7" s="1"/>
  <c r="W127" i="7"/>
  <c r="W129" i="7" s="1"/>
  <c r="W130" i="7" s="1"/>
  <c r="U79" i="7"/>
  <c r="U90" i="7" s="1"/>
  <c r="U5" i="7" s="1"/>
  <c r="U137" i="7"/>
  <c r="V127" i="7"/>
  <c r="V129" i="7" s="1"/>
  <c r="V130" i="7" s="1"/>
  <c r="U127" i="7"/>
  <c r="U129" i="7" s="1"/>
  <c r="U130" i="7" s="1"/>
  <c r="U132" i="7" s="1"/>
  <c r="Z127" i="7"/>
  <c r="Z129" i="7" s="1"/>
  <c r="Z130" i="7" s="1"/>
  <c r="U136" i="7"/>
  <c r="U139" i="7" s="1"/>
  <c r="U140" i="7" s="1"/>
  <c r="Z131" i="7" l="1"/>
  <c r="Z132" i="7" s="1"/>
  <c r="W131" i="7"/>
  <c r="W132" i="7" s="1"/>
  <c r="W6" i="7" s="1"/>
  <c r="X131" i="7"/>
  <c r="X132" i="7" s="1"/>
  <c r="X6" i="7" s="1"/>
  <c r="V131" i="7"/>
  <c r="V132" i="7" s="1"/>
  <c r="V6" i="7" s="1"/>
  <c r="Y131" i="7"/>
  <c r="Y132" i="7" s="1"/>
  <c r="Y6" i="7" s="1"/>
  <c r="U6" i="7"/>
  <c r="AC131" i="7" l="1"/>
  <c r="AC132" i="7" s="1"/>
  <c r="AC6" i="7" s="1"/>
  <c r="AD131" i="7"/>
  <c r="AD132" i="7" s="1"/>
  <c r="AD6" i="7" s="1"/>
  <c r="AE131" i="7"/>
  <c r="AE132" i="7" s="1"/>
  <c r="AB131" i="7"/>
  <c r="AB132" i="7" s="1"/>
  <c r="AB6" i="7" s="1"/>
  <c r="AA131" i="7"/>
  <c r="AA132" i="7" s="1"/>
  <c r="AA6" i="7" s="1"/>
  <c r="Z6" i="7"/>
  <c r="BD75" i="7"/>
  <c r="BD136" i="7" l="1"/>
  <c r="BD139" i="7" s="1"/>
  <c r="BD140" i="7" s="1"/>
  <c r="BD79" i="7"/>
  <c r="BD90" i="7" s="1"/>
  <c r="BD137" i="7"/>
  <c r="BD128" i="7"/>
  <c r="AF131" i="7"/>
  <c r="AF132" i="7" s="1"/>
  <c r="AF6" i="7" s="1"/>
  <c r="AE6" i="7"/>
  <c r="AJ131" i="7"/>
  <c r="AJ132" i="7" s="1"/>
  <c r="AI131" i="7"/>
  <c r="AI132" i="7" s="1"/>
  <c r="AI6" i="7" s="1"/>
  <c r="AH131" i="7"/>
  <c r="AH132" i="7" s="1"/>
  <c r="AH6" i="7" s="1"/>
  <c r="AG131" i="7"/>
  <c r="AG132" i="7" s="1"/>
  <c r="AG6" i="7" s="1"/>
  <c r="AM131" i="7" l="1"/>
  <c r="AM132" i="7" s="1"/>
  <c r="AM6" i="7" s="1"/>
  <c r="AN131" i="7"/>
  <c r="AN132" i="7" s="1"/>
  <c r="AN6" i="7" s="1"/>
  <c r="AJ6" i="7"/>
  <c r="AO131" i="7"/>
  <c r="AO132" i="7" s="1"/>
  <c r="AK131" i="7"/>
  <c r="AK132" i="7" s="1"/>
  <c r="AK6" i="7" s="1"/>
  <c r="AL131" i="7"/>
  <c r="AL132" i="7" s="1"/>
  <c r="AL6" i="7" s="1"/>
  <c r="BD58" i="7"/>
  <c r="BD56" i="7"/>
  <c r="BD68" i="7" l="1"/>
  <c r="BD121" i="7"/>
  <c r="BD129" i="7" s="1"/>
  <c r="BD130" i="7" s="1"/>
  <c r="AR131" i="7"/>
  <c r="AR132" i="7" s="1"/>
  <c r="AR6" i="7" s="1"/>
  <c r="AO6" i="7"/>
  <c r="AS131" i="7"/>
  <c r="AS132" i="7" s="1"/>
  <c r="AS6" i="7" s="1"/>
  <c r="AQ131" i="7"/>
  <c r="AQ132" i="7" s="1"/>
  <c r="AQ6" i="7" s="1"/>
  <c r="AP131" i="7"/>
  <c r="AP132" i="7" s="1"/>
  <c r="AP6" i="7" s="1"/>
  <c r="AT131" i="7"/>
  <c r="AT132" i="7" s="1"/>
  <c r="BD57" i="7"/>
  <c r="BD69" i="7" s="1"/>
  <c r="BD70" i="7" s="1"/>
  <c r="BD5" i="7" s="1"/>
  <c r="AV131" i="7" l="1"/>
  <c r="AV132" i="7" s="1"/>
  <c r="AV6" i="7" s="1"/>
  <c r="AT6" i="7"/>
  <c r="AX131" i="7"/>
  <c r="AX132" i="7" s="1"/>
  <c r="AX6" i="7" s="1"/>
  <c r="AU131" i="7"/>
  <c r="AU132" i="7" s="1"/>
  <c r="AU6" i="7" s="1"/>
  <c r="AW131" i="7"/>
  <c r="AW132" i="7" s="1"/>
  <c r="AW6" i="7" s="1"/>
  <c r="AY131" i="7"/>
  <c r="AY132" i="7" s="1"/>
  <c r="AZ131" i="7" l="1"/>
  <c r="AZ132" i="7" s="1"/>
  <c r="AY6" i="7"/>
  <c r="BA131" i="7" l="1"/>
  <c r="BA132" i="7" s="1"/>
  <c r="AZ6" i="7"/>
  <c r="BB131" i="7" l="1"/>
  <c r="BB132" i="7" s="1"/>
  <c r="BA6" i="7"/>
  <c r="BC131" i="7" l="1"/>
  <c r="BC132" i="7" s="1"/>
  <c r="BB6" i="7"/>
  <c r="BE75" i="7"/>
  <c r="BE137" i="7" l="1"/>
  <c r="BE79" i="7"/>
  <c r="BE90" i="7" s="1"/>
  <c r="BE136" i="7"/>
  <c r="BE139" i="7" s="1"/>
  <c r="BE140" i="7" s="1"/>
  <c r="BE128" i="7"/>
  <c r="BD131" i="7"/>
  <c r="BD132" i="7" s="1"/>
  <c r="BC6" i="7"/>
  <c r="BE56" i="7"/>
  <c r="BE57" i="7" l="1"/>
  <c r="BE131" i="7"/>
  <c r="BD6" i="7"/>
  <c r="BE58" i="7"/>
  <c r="BE68" i="7" l="1"/>
  <c r="BE69" i="7" s="1"/>
  <c r="BE70" i="7" s="1"/>
  <c r="BE5" i="7" s="1"/>
  <c r="BE121" i="7"/>
  <c r="BE129" i="7" s="1"/>
  <c r="BE130" i="7" s="1"/>
  <c r="BE132" i="7" s="1"/>
  <c r="BF131" i="7" l="1"/>
  <c r="BE6" i="7"/>
  <c r="BF75" i="7" l="1"/>
  <c r="BF136" i="7" l="1"/>
  <c r="BF139" i="7" s="1"/>
  <c r="BF140" i="7" s="1"/>
  <c r="BF137" i="7"/>
  <c r="BF79" i="7"/>
  <c r="BF90" i="7" s="1"/>
  <c r="BF128" i="7"/>
  <c r="BF56" i="7" l="1"/>
  <c r="BF57" i="7" l="1"/>
  <c r="BF58" i="7"/>
  <c r="BF68" i="7" l="1"/>
  <c r="BF69" i="7" s="1"/>
  <c r="BF70" i="7" s="1"/>
  <c r="BF5" i="7" s="1"/>
  <c r="BF121" i="7"/>
  <c r="BF129" i="7" s="1"/>
  <c r="BF130" i="7" s="1"/>
  <c r="BF132" i="7" s="1"/>
  <c r="BG131" i="7" l="1"/>
  <c r="BF6" i="7"/>
  <c r="BG75" i="7" l="1"/>
  <c r="BG136" i="7" l="1"/>
  <c r="BG139" i="7" s="1"/>
  <c r="BG140" i="7" s="1"/>
  <c r="BG137" i="7"/>
  <c r="BG79" i="7"/>
  <c r="BG90" i="7" s="1"/>
  <c r="BG128" i="7"/>
  <c r="BG58" i="7" l="1"/>
  <c r="BG56" i="7"/>
  <c r="BG57" i="7" l="1"/>
  <c r="BG68" i="7"/>
  <c r="BG121" i="7"/>
  <c r="BG129" i="7" s="1"/>
  <c r="BG130" i="7" s="1"/>
  <c r="BG132" i="7" s="1"/>
  <c r="BH131" i="7" s="1"/>
  <c r="BG69" i="7" l="1"/>
  <c r="BG70" i="7" s="1"/>
  <c r="BG5" i="7" s="1"/>
  <c r="BG6" i="7"/>
  <c r="BH75" i="7" l="1"/>
  <c r="BH137" i="7" l="1"/>
  <c r="BH79" i="7"/>
  <c r="BH90" i="7" s="1"/>
  <c r="BH136" i="7"/>
  <c r="BH139" i="7" s="1"/>
  <c r="BH140" i="7" s="1"/>
  <c r="BH128" i="7"/>
  <c r="BH58" i="7" l="1"/>
  <c r="BH56" i="7"/>
  <c r="BH57" i="7" l="1"/>
  <c r="BH68" i="7"/>
  <c r="BH121" i="7"/>
  <c r="BH129" i="7" s="1"/>
  <c r="BH130" i="7" s="1"/>
  <c r="BH132" i="7" s="1"/>
  <c r="BI131" i="7" s="1"/>
  <c r="BH6" i="7" l="1"/>
  <c r="BH69" i="7"/>
  <c r="BH70" i="7" s="1"/>
  <c r="BH5" i="7" s="1"/>
  <c r="BI75" i="7" l="1"/>
  <c r="BI137" i="7" l="1"/>
  <c r="BI79" i="7"/>
  <c r="BI90" i="7" s="1"/>
  <c r="BI136" i="7"/>
  <c r="BI139" i="7" s="1"/>
  <c r="BI140" i="7" s="1"/>
  <c r="BI128" i="7"/>
  <c r="BI56" i="7" l="1"/>
  <c r="BI58" i="7"/>
  <c r="BI57" i="7" l="1"/>
  <c r="BI68" i="7"/>
  <c r="BI121" i="7"/>
  <c r="BI129" i="7" s="1"/>
  <c r="BI130" i="7" s="1"/>
  <c r="BI132" i="7" s="1"/>
  <c r="BJ131" i="7" s="1"/>
  <c r="BI69" i="7" l="1"/>
  <c r="BI70" i="7" s="1"/>
  <c r="BI5" i="7" s="1"/>
  <c r="BI6" i="7"/>
  <c r="BJ75" i="7" l="1"/>
  <c r="BJ137" i="7" l="1"/>
  <c r="BJ79" i="7"/>
  <c r="BJ90" i="7" s="1"/>
  <c r="BJ136" i="7"/>
  <c r="BJ139" i="7" s="1"/>
  <c r="BJ140" i="7" s="1"/>
  <c r="BJ128" i="7"/>
  <c r="BJ56" i="7" l="1"/>
  <c r="BJ57" i="7" l="1"/>
  <c r="BJ58" i="7"/>
  <c r="BJ68" i="7" l="1"/>
  <c r="BJ69" i="7" s="1"/>
  <c r="BJ70" i="7" s="1"/>
  <c r="BJ5" i="7" s="1"/>
  <c r="BJ121" i="7"/>
  <c r="BJ129" i="7" s="1"/>
  <c r="BJ130" i="7" s="1"/>
  <c r="BJ132" i="7" s="1"/>
  <c r="BK131" i="7" l="1"/>
  <c r="BJ6" i="7"/>
  <c r="BK75" i="7" l="1"/>
  <c r="BK137" i="7" l="1"/>
  <c r="BK79" i="7"/>
  <c r="BK90" i="7" s="1"/>
  <c r="BK136" i="7"/>
  <c r="BK139" i="7" s="1"/>
  <c r="BK140" i="7" s="1"/>
  <c r="BK128" i="7"/>
  <c r="BK58" i="7" l="1"/>
  <c r="BK56" i="7"/>
  <c r="BK68" i="7" l="1"/>
  <c r="BK121" i="7"/>
  <c r="BK129" i="7" s="1"/>
  <c r="BK130" i="7" s="1"/>
  <c r="BK132" i="7" s="1"/>
  <c r="BL131" i="7" s="1"/>
  <c r="BK57" i="7"/>
  <c r="BK6" i="7" l="1"/>
  <c r="BK69" i="7"/>
  <c r="BK70" i="7" s="1"/>
  <c r="BK5" i="7" s="1"/>
  <c r="BL75" i="7" l="1"/>
  <c r="BL137" i="7" l="1"/>
  <c r="BL136" i="7"/>
  <c r="BL139" i="7" s="1"/>
  <c r="BL140" i="7" s="1"/>
  <c r="BL79" i="7"/>
  <c r="BL90" i="7" s="1"/>
  <c r="BL128" i="7"/>
  <c r="BL56" i="7" l="1"/>
  <c r="BL57" i="7" s="1"/>
  <c r="BL58" i="7" l="1"/>
  <c r="BL68" i="7" l="1"/>
  <c r="BL69" i="7" s="1"/>
  <c r="BL70" i="7" s="1"/>
  <c r="BL5" i="7" s="1"/>
  <c r="BL121" i="7"/>
  <c r="BL129" i="7" s="1"/>
  <c r="BL130" i="7" s="1"/>
  <c r="BL132" i="7" s="1"/>
  <c r="BL6" i="7" s="1"/>
  <c r="CU52" i="1"/>
  <c r="CT59" i="1"/>
  <c r="CU59" i="1" l="1"/>
  <c r="CR80" i="1" l="1"/>
  <c r="CS80" i="1" s="1"/>
  <c r="CU80" i="1"/>
  <c r="CQ80" i="1"/>
  <c r="CP84" i="1"/>
  <c r="CP126" i="1" s="1"/>
  <c r="CV84" i="1" l="1"/>
  <c r="CT84" i="1"/>
  <c r="CT126" i="1" s="1"/>
  <c r="CU126" i="1" s="1"/>
  <c r="CP135" i="1"/>
  <c r="CQ126" i="1"/>
  <c r="CQ84" i="1"/>
  <c r="CR84" i="1"/>
  <c r="CU84" i="1" l="1"/>
  <c r="CW80" i="1"/>
  <c r="CX80" i="1"/>
  <c r="CT135" i="1"/>
  <c r="CU135" i="1" s="1"/>
  <c r="CW84" i="1"/>
  <c r="CV126" i="1"/>
  <c r="CS84" i="1"/>
  <c r="CR126" i="1"/>
  <c r="CP139" i="1"/>
  <c r="CQ135" i="1"/>
  <c r="CT139" i="1" l="1"/>
  <c r="CT151" i="1" s="1"/>
  <c r="CZ80" i="1"/>
  <c r="CY80" i="1"/>
  <c r="CX84" i="1"/>
  <c r="CP151" i="1"/>
  <c r="CQ139" i="1"/>
  <c r="CR135" i="1"/>
  <c r="CS126" i="1"/>
  <c r="CV135" i="1"/>
  <c r="CW126" i="1"/>
  <c r="CU139" i="1" l="1"/>
  <c r="CX126" i="1"/>
  <c r="CY84" i="1"/>
  <c r="DA80" i="1"/>
  <c r="CZ84" i="1"/>
  <c r="CZ126" i="1" s="1"/>
  <c r="CT171" i="1"/>
  <c r="CT177" i="1" s="1"/>
  <c r="CU151" i="1"/>
  <c r="CW135" i="1"/>
  <c r="CV139" i="1"/>
  <c r="CR139" i="1"/>
  <c r="CS135" i="1"/>
  <c r="CQ151" i="1"/>
  <c r="CP171" i="1"/>
  <c r="DA84" i="1" l="1"/>
  <c r="CX135" i="1"/>
  <c r="CY126" i="1"/>
  <c r="CS139" i="1"/>
  <c r="CR151" i="1"/>
  <c r="CV151" i="1"/>
  <c r="CW139" i="1"/>
  <c r="CQ171" i="1"/>
  <c r="CP177" i="1"/>
  <c r="CU177" i="1"/>
  <c r="CU171" i="1"/>
  <c r="CY135" i="1" l="1"/>
  <c r="CX139" i="1"/>
  <c r="DA126" i="1"/>
  <c r="CZ135" i="1"/>
  <c r="CV171" i="1"/>
  <c r="CV177" i="1" s="1"/>
  <c r="CW151" i="1"/>
  <c r="CQ177" i="1"/>
  <c r="CS151" i="1"/>
  <c r="CR171" i="1"/>
  <c r="CZ139" i="1" l="1"/>
  <c r="DA135" i="1"/>
  <c r="CX151" i="1"/>
  <c r="CY139" i="1"/>
  <c r="CR177" i="1"/>
  <c r="CS171" i="1"/>
  <c r="CW171" i="1"/>
  <c r="CX171" i="1" l="1"/>
  <c r="CY151" i="1"/>
  <c r="CZ151" i="1"/>
  <c r="CZ171" i="1" s="1"/>
  <c r="CZ177" i="1" s="1"/>
  <c r="DA139" i="1"/>
  <c r="CS177" i="1"/>
  <c r="CR178" i="1"/>
  <c r="CW177" i="1"/>
  <c r="DA151" i="1" l="1"/>
  <c r="CY171" i="1"/>
  <c r="CX177" i="1"/>
  <c r="CX178" i="1" l="1"/>
  <c r="CY177" i="1"/>
  <c r="DA171" i="1"/>
  <c r="CZ180" i="1"/>
  <c r="DA177" i="1" l="1"/>
  <c r="CZ178" i="1"/>
  <c r="CZ179" i="1"/>
  <c r="EJ8" i="1" l="1"/>
  <c r="EK18" i="1" s="1"/>
  <c r="EL7" i="1"/>
  <c r="EL8" i="1" s="1"/>
  <c r="EK138" i="1" l="1"/>
  <c r="EK38" i="1"/>
  <c r="EK49" i="1"/>
  <c r="EK60" i="1"/>
  <c r="EK119" i="1"/>
  <c r="EK144" i="1"/>
  <c r="EK141" i="1"/>
  <c r="EK62" i="1"/>
  <c r="EK27" i="1"/>
  <c r="EK158" i="1"/>
  <c r="EK130" i="1"/>
  <c r="EK105" i="1"/>
  <c r="EK82" i="1"/>
  <c r="EK81" i="1"/>
  <c r="EK131" i="1"/>
  <c r="EK12" i="1"/>
  <c r="EK167" i="1"/>
  <c r="EK76" i="1"/>
  <c r="EK80" i="1"/>
  <c r="EM147" i="1"/>
  <c r="EM168" i="1"/>
  <c r="EM81" i="1"/>
  <c r="EM28" i="1"/>
  <c r="EM173" i="1"/>
  <c r="EM55" i="1"/>
  <c r="EM150" i="1"/>
  <c r="EM159" i="1"/>
  <c r="EM128" i="1"/>
  <c r="EM111" i="1"/>
  <c r="EM83" i="1"/>
  <c r="EM114" i="1"/>
  <c r="EM41" i="1"/>
  <c r="EM98" i="1"/>
  <c r="EM66" i="1"/>
  <c r="EM33" i="1"/>
  <c r="EM101" i="1"/>
  <c r="EM91" i="1"/>
  <c r="EM87" i="1"/>
  <c r="EM154" i="1"/>
  <c r="EM95" i="1"/>
  <c r="EM59" i="1"/>
  <c r="EM89" i="1"/>
  <c r="EM153" i="1"/>
  <c r="EM138" i="1"/>
  <c r="EM117" i="1"/>
  <c r="EM169" i="1"/>
  <c r="EM142" i="1"/>
  <c r="EM158" i="1"/>
  <c r="EM143" i="1"/>
  <c r="EM85" i="1"/>
  <c r="EM42" i="1"/>
  <c r="EM129" i="1"/>
  <c r="EM164" i="1"/>
  <c r="EM12" i="1"/>
  <c r="EM46" i="1"/>
  <c r="EM121" i="1"/>
  <c r="EM99" i="1"/>
  <c r="EM131" i="1"/>
  <c r="EM77" i="1"/>
  <c r="EM14" i="1"/>
  <c r="EM25" i="1"/>
  <c r="EM113" i="1"/>
  <c r="EM36" i="1"/>
  <c r="EM122" i="1"/>
  <c r="EM105" i="1"/>
  <c r="EM58" i="1"/>
  <c r="EM69" i="1"/>
  <c r="EM96" i="1"/>
  <c r="EM146" i="1"/>
  <c r="EM51" i="1"/>
  <c r="EM145" i="1"/>
  <c r="EM97" i="1"/>
  <c r="EM45" i="1"/>
  <c r="EM82" i="1"/>
  <c r="EM24" i="1"/>
  <c r="EM100" i="1"/>
  <c r="EM118" i="1"/>
  <c r="EM13" i="1"/>
  <c r="EM134" i="1"/>
  <c r="EM39" i="1"/>
  <c r="EM140" i="1"/>
  <c r="EM71" i="1"/>
  <c r="EM44" i="1"/>
  <c r="EM90" i="1"/>
  <c r="EM141" i="1"/>
  <c r="EM86" i="1"/>
  <c r="EM152" i="1"/>
  <c r="EM103" i="1"/>
  <c r="EM104" i="1"/>
  <c r="EM109" i="1"/>
  <c r="EM163" i="1"/>
  <c r="EM132" i="1"/>
  <c r="EM108" i="1"/>
  <c r="EM49" i="1"/>
  <c r="EM56" i="1"/>
  <c r="EM37" i="1"/>
  <c r="EM155" i="1"/>
  <c r="EM170" i="1"/>
  <c r="EM149" i="1"/>
  <c r="EM63" i="1"/>
  <c r="EM62" i="1"/>
  <c r="EM50" i="1"/>
  <c r="EM76" i="1"/>
  <c r="EM125" i="1"/>
  <c r="EM162" i="1"/>
  <c r="EM93" i="1"/>
  <c r="EM15" i="1"/>
  <c r="EM167" i="1"/>
  <c r="EM137" i="1"/>
  <c r="EM34" i="1"/>
  <c r="EM175" i="1"/>
  <c r="EM35" i="1"/>
  <c r="EM144" i="1"/>
  <c r="EM75" i="1"/>
  <c r="EM120" i="1"/>
  <c r="EM43" i="1"/>
  <c r="EM52" i="1"/>
  <c r="EM161" i="1"/>
  <c r="EM157" i="1"/>
  <c r="EM148" i="1"/>
  <c r="EM9" i="1"/>
  <c r="EM73" i="1"/>
  <c r="EM88" i="1"/>
  <c r="EM53" i="1"/>
  <c r="EM130" i="1"/>
  <c r="EM60" i="1"/>
  <c r="EM20" i="1"/>
  <c r="EM18" i="1"/>
  <c r="EM68" i="1"/>
  <c r="EM74" i="1"/>
  <c r="EM70" i="1"/>
  <c r="EM107" i="1"/>
  <c r="EM174" i="1"/>
  <c r="EM115" i="1"/>
  <c r="EM106" i="1"/>
  <c r="EM54" i="1"/>
  <c r="EM23" i="1"/>
  <c r="EM166" i="1"/>
  <c r="EM136" i="1"/>
  <c r="EM31" i="1"/>
  <c r="EM72" i="1"/>
  <c r="EM133" i="1"/>
  <c r="EM112" i="1"/>
  <c r="EM30" i="1"/>
  <c r="EM127" i="1"/>
  <c r="EM22" i="1"/>
  <c r="EM27" i="1"/>
  <c r="EM11" i="1"/>
  <c r="EM40" i="1"/>
  <c r="EM110" i="1"/>
  <c r="EM79" i="1"/>
  <c r="EM21" i="1"/>
  <c r="EM17" i="1"/>
  <c r="EM160" i="1"/>
  <c r="EM61" i="1"/>
  <c r="EM78" i="1"/>
  <c r="EM165" i="1"/>
  <c r="EM47" i="1"/>
  <c r="EM102" i="1"/>
  <c r="EM10" i="1"/>
  <c r="EM156" i="1"/>
  <c r="EM116" i="1"/>
  <c r="EM119" i="1"/>
  <c r="EM38" i="1"/>
  <c r="EM84" i="1"/>
  <c r="EM64" i="1"/>
  <c r="EM26" i="1"/>
  <c r="EM80" i="1"/>
  <c r="EM65" i="1"/>
  <c r="EM123" i="1"/>
  <c r="EM124" i="1"/>
  <c r="EM94" i="1"/>
  <c r="EM48" i="1"/>
  <c r="EM32" i="1"/>
  <c r="EL19" i="1"/>
  <c r="EM16" i="1"/>
  <c r="EM57" i="1"/>
  <c r="EM67" i="1"/>
  <c r="EM92" i="1"/>
  <c r="EN7" i="1"/>
  <c r="EJ19" i="1"/>
  <c r="EK20" i="1"/>
  <c r="EK89" i="1"/>
  <c r="EK69" i="1"/>
  <c r="EK174" i="1"/>
  <c r="EK90" i="1"/>
  <c r="EK46" i="1"/>
  <c r="EK25" i="1"/>
  <c r="EK124" i="1"/>
  <c r="EK91" i="1"/>
  <c r="EK71" i="1"/>
  <c r="EK101" i="1"/>
  <c r="EK154" i="1"/>
  <c r="EK70" i="1"/>
  <c r="EK166" i="1"/>
  <c r="EK9" i="1"/>
  <c r="EK169" i="1"/>
  <c r="EK68" i="1"/>
  <c r="EK11" i="1"/>
  <c r="EK55" i="1"/>
  <c r="EK163" i="1"/>
  <c r="EK66" i="1"/>
  <c r="EK72" i="1"/>
  <c r="EK118" i="1"/>
  <c r="EK44" i="1"/>
  <c r="EK39" i="1"/>
  <c r="EK16" i="1"/>
  <c r="EK108" i="1"/>
  <c r="EK121" i="1"/>
  <c r="EK13" i="1"/>
  <c r="EK92" i="1"/>
  <c r="EK111" i="1"/>
  <c r="EK98" i="1"/>
  <c r="EK74" i="1"/>
  <c r="EK21" i="1"/>
  <c r="EK67" i="1"/>
  <c r="EK114" i="1"/>
  <c r="EK133" i="1"/>
  <c r="EK117" i="1"/>
  <c r="EK17" i="1"/>
  <c r="EK115" i="1"/>
  <c r="EK122" i="1"/>
  <c r="EK57" i="1"/>
  <c r="EK30" i="1"/>
  <c r="EK79" i="1"/>
  <c r="EK26" i="1"/>
  <c r="EK145" i="1"/>
  <c r="EK137" i="1"/>
  <c r="EK23" i="1"/>
  <c r="EK113" i="1"/>
  <c r="EK94" i="1"/>
  <c r="EK24" i="1"/>
  <c r="EK41" i="1"/>
  <c r="EK32" i="1"/>
  <c r="EK120" i="1"/>
  <c r="EK87" i="1"/>
  <c r="EK112" i="1"/>
  <c r="EK140" i="1"/>
  <c r="EK146" i="1"/>
  <c r="EK33" i="1"/>
  <c r="EK88" i="1"/>
  <c r="EK37" i="1"/>
  <c r="EK175" i="1"/>
  <c r="EK150" i="1"/>
  <c r="EK40" i="1"/>
  <c r="EK156" i="1"/>
  <c r="EK143" i="1"/>
  <c r="EK77" i="1"/>
  <c r="EK103" i="1"/>
  <c r="EK83" i="1"/>
  <c r="EK34" i="1"/>
  <c r="EK161" i="1"/>
  <c r="EK51" i="1"/>
  <c r="EK155" i="1"/>
  <c r="EK64" i="1"/>
  <c r="EK65" i="1"/>
  <c r="EK58" i="1"/>
  <c r="EK53" i="1"/>
  <c r="EK36" i="1"/>
  <c r="EK28" i="1"/>
  <c r="EK48" i="1"/>
  <c r="EK42" i="1"/>
  <c r="EK164" i="1"/>
  <c r="EK61" i="1"/>
  <c r="EK93" i="1"/>
  <c r="EK128" i="1"/>
  <c r="EK45" i="1"/>
  <c r="EK31" i="1"/>
  <c r="EK35" i="1"/>
  <c r="EK134" i="1"/>
  <c r="EK109" i="1"/>
  <c r="EK84" i="1"/>
  <c r="EK73" i="1"/>
  <c r="EK170" i="1"/>
  <c r="EK168" i="1"/>
  <c r="EK129" i="1"/>
  <c r="EK159" i="1"/>
  <c r="EK110" i="1"/>
  <c r="EK97" i="1"/>
  <c r="EK173" i="1"/>
  <c r="EK14" i="1"/>
  <c r="EK86" i="1"/>
  <c r="EK96" i="1"/>
  <c r="EK63" i="1"/>
  <c r="EK107" i="1"/>
  <c r="EK125" i="1"/>
  <c r="EK132" i="1"/>
  <c r="EK75" i="1"/>
  <c r="EK100" i="1"/>
  <c r="EK106" i="1"/>
  <c r="EK148" i="1"/>
  <c r="EK56" i="1"/>
  <c r="EK149" i="1"/>
  <c r="EK116" i="1"/>
  <c r="EK85" i="1"/>
  <c r="EK142" i="1"/>
  <c r="EK47" i="1"/>
  <c r="EK22" i="1"/>
  <c r="EK136" i="1"/>
  <c r="EK104" i="1"/>
  <c r="EK102" i="1"/>
  <c r="EK162" i="1"/>
  <c r="EK54" i="1"/>
  <c r="EK165" i="1"/>
  <c r="EK52" i="1"/>
  <c r="EK153" i="1"/>
  <c r="EK43" i="1"/>
  <c r="EK147" i="1"/>
  <c r="EK59" i="1"/>
  <c r="EK10" i="1"/>
  <c r="EK15" i="1"/>
  <c r="EK99" i="1"/>
  <c r="EK127" i="1"/>
  <c r="EK50" i="1"/>
  <c r="EK152" i="1"/>
  <c r="EK123" i="1"/>
  <c r="EK160" i="1"/>
  <c r="EK95" i="1"/>
  <c r="EK78" i="1"/>
  <c r="EK157" i="1"/>
  <c r="EN8" i="1" l="1"/>
  <c r="EO16" i="1" s="1"/>
  <c r="EM19" i="1"/>
  <c r="EL29" i="1"/>
  <c r="EK19" i="1"/>
  <c r="EJ29" i="1"/>
  <c r="EO52" i="1" l="1"/>
  <c r="EO102" i="1"/>
  <c r="EO63" i="1"/>
  <c r="EO21" i="1"/>
  <c r="EO159" i="1"/>
  <c r="EO157" i="1"/>
  <c r="EO87" i="1"/>
  <c r="EO76" i="1"/>
  <c r="EO62" i="1"/>
  <c r="EO47" i="1"/>
  <c r="EO132" i="1"/>
  <c r="EO150" i="1"/>
  <c r="EO140" i="1"/>
  <c r="EO45" i="1"/>
  <c r="EO44" i="1"/>
  <c r="EO118" i="1"/>
  <c r="EO101" i="1"/>
  <c r="EO83" i="1"/>
  <c r="EO96" i="1"/>
  <c r="EO97" i="1"/>
  <c r="EO127" i="1"/>
  <c r="EO49" i="1"/>
  <c r="EO107" i="1"/>
  <c r="EO129" i="1"/>
  <c r="EO117" i="1"/>
  <c r="EO55" i="1"/>
  <c r="EO161" i="1"/>
  <c r="EO106" i="1"/>
  <c r="EO36" i="1"/>
  <c r="EO74" i="1"/>
  <c r="EO95" i="1"/>
  <c r="EO28" i="1"/>
  <c r="EO79" i="1"/>
  <c r="EO32" i="1"/>
  <c r="EO39" i="1"/>
  <c r="EO61" i="1"/>
  <c r="EO9" i="1"/>
  <c r="EO168" i="1"/>
  <c r="EO166" i="1"/>
  <c r="EO82" i="1"/>
  <c r="EO33" i="1"/>
  <c r="EO66" i="1"/>
  <c r="EO30" i="1"/>
  <c r="EO164" i="1"/>
  <c r="EO57" i="1"/>
  <c r="EO65" i="1"/>
  <c r="EO40" i="1"/>
  <c r="EO94" i="1"/>
  <c r="EO12" i="1"/>
  <c r="EO131" i="1"/>
  <c r="EO69" i="1"/>
  <c r="EO46" i="1"/>
  <c r="EO51" i="1"/>
  <c r="EO167" i="1"/>
  <c r="EO133" i="1"/>
  <c r="EO34" i="1"/>
  <c r="EO13" i="1"/>
  <c r="EO148" i="1"/>
  <c r="EO26" i="1"/>
  <c r="EO22" i="1"/>
  <c r="EO92" i="1"/>
  <c r="EO72" i="1"/>
  <c r="EO154" i="1"/>
  <c r="EO68" i="1"/>
  <c r="EO98" i="1"/>
  <c r="EO58" i="1"/>
  <c r="EO78" i="1"/>
  <c r="EO84" i="1"/>
  <c r="EO64" i="1"/>
  <c r="EO42" i="1"/>
  <c r="EO155" i="1"/>
  <c r="EO31" i="1"/>
  <c r="EO149" i="1"/>
  <c r="EO50" i="1"/>
  <c r="EO143" i="1"/>
  <c r="EO110" i="1"/>
  <c r="EN19" i="1"/>
  <c r="EO19" i="1" s="1"/>
  <c r="EO116" i="1"/>
  <c r="EO175" i="1"/>
  <c r="EO169" i="1"/>
  <c r="EO111" i="1"/>
  <c r="EO38" i="1"/>
  <c r="EO91" i="1"/>
  <c r="EO147" i="1"/>
  <c r="EO146" i="1"/>
  <c r="EO163" i="1"/>
  <c r="EO115" i="1"/>
  <c r="EO14" i="1"/>
  <c r="EO100" i="1"/>
  <c r="EO119" i="1"/>
  <c r="EO156" i="1"/>
  <c r="EO25" i="1"/>
  <c r="EO130" i="1"/>
  <c r="EO71" i="1"/>
  <c r="EO99" i="1"/>
  <c r="EO11" i="1"/>
  <c r="EO137" i="1"/>
  <c r="EO144" i="1"/>
  <c r="EO48" i="1"/>
  <c r="EO27" i="1"/>
  <c r="EO54" i="1"/>
  <c r="EO123" i="1"/>
  <c r="EO162" i="1"/>
  <c r="EO24" i="1"/>
  <c r="EO37" i="1"/>
  <c r="EO103" i="1"/>
  <c r="EO114" i="1"/>
  <c r="EO128" i="1"/>
  <c r="EO86" i="1"/>
  <c r="EO56" i="1"/>
  <c r="EO89" i="1"/>
  <c r="EO120" i="1"/>
  <c r="EO15" i="1"/>
  <c r="EO35" i="1"/>
  <c r="EO125" i="1"/>
  <c r="EO85" i="1"/>
  <c r="EO23" i="1"/>
  <c r="EO18" i="1"/>
  <c r="EO75" i="1"/>
  <c r="EO153" i="1"/>
  <c r="EO160" i="1"/>
  <c r="EO124" i="1"/>
  <c r="EO90" i="1"/>
  <c r="EO165" i="1"/>
  <c r="EO170" i="1"/>
  <c r="EO59" i="1"/>
  <c r="EO108" i="1"/>
  <c r="EO104" i="1"/>
  <c r="EO121" i="1"/>
  <c r="EO20" i="1"/>
  <c r="EO43" i="1"/>
  <c r="EO173" i="1"/>
  <c r="EO174" i="1"/>
  <c r="EO70" i="1"/>
  <c r="EO134" i="1"/>
  <c r="EO122" i="1"/>
  <c r="EO105" i="1"/>
  <c r="EO113" i="1"/>
  <c r="EO158" i="1"/>
  <c r="EO138" i="1"/>
  <c r="EO136" i="1"/>
  <c r="EO93" i="1"/>
  <c r="EO73" i="1"/>
  <c r="EO80" i="1"/>
  <c r="EO77" i="1"/>
  <c r="EO112" i="1"/>
  <c r="EO81" i="1"/>
  <c r="EO152" i="1"/>
  <c r="EO145" i="1"/>
  <c r="EO88" i="1"/>
  <c r="EO53" i="1"/>
  <c r="EO141" i="1"/>
  <c r="EO109" i="1"/>
  <c r="EO67" i="1"/>
  <c r="EO10" i="1"/>
  <c r="EO142" i="1"/>
  <c r="EO60" i="1"/>
  <c r="EO17" i="1"/>
  <c r="EO41" i="1"/>
  <c r="EK29" i="1"/>
  <c r="EJ126" i="1"/>
  <c r="EM29" i="1"/>
  <c r="EL126" i="1"/>
  <c r="EN29" i="1" l="1"/>
  <c r="EN126" i="1" s="1"/>
  <c r="EJ135" i="1"/>
  <c r="EK126" i="1"/>
  <c r="EM126" i="1"/>
  <c r="EL135" i="1"/>
  <c r="EO29" i="1" l="1"/>
  <c r="EO126" i="1"/>
  <c r="EN135" i="1"/>
  <c r="EM135" i="1"/>
  <c r="EL139" i="1"/>
  <c r="EK135" i="1"/>
  <c r="EJ139" i="1"/>
  <c r="EM139" i="1" l="1"/>
  <c r="EL151" i="1"/>
  <c r="EJ151" i="1"/>
  <c r="EK139" i="1"/>
  <c r="EN139" i="1"/>
  <c r="EO135" i="1"/>
  <c r="EM151" i="1" l="1"/>
  <c r="EL171" i="1"/>
  <c r="EK151" i="1"/>
  <c r="EJ171" i="1"/>
  <c r="EO139" i="1"/>
  <c r="EN151" i="1"/>
  <c r="EL172" i="1" l="1"/>
  <c r="EN172" i="1" s="1"/>
  <c r="EN176" i="1" s="1"/>
  <c r="EJ176" i="1"/>
  <c r="EK176" i="1" s="1"/>
  <c r="EK172" i="1"/>
  <c r="EK171" i="1"/>
  <c r="EM171" i="1"/>
  <c r="EO151" i="1"/>
  <c r="EN171" i="1"/>
  <c r="EJ177" i="1" l="1"/>
  <c r="EK177" i="1" s="1"/>
  <c r="EL176" i="1"/>
  <c r="EM172" i="1"/>
  <c r="EO171" i="1"/>
  <c r="EO172" i="1" l="1"/>
  <c r="EM176" i="1"/>
  <c r="EL177" i="1"/>
  <c r="EL178" i="1" l="1"/>
  <c r="EM177" i="1"/>
  <c r="EO176" i="1"/>
  <c r="EN177" i="1"/>
  <c r="EJ190" i="1" l="1"/>
  <c r="HA190" i="1"/>
  <c r="HA192" i="1" s="1"/>
  <c r="EO177" i="1"/>
  <c r="FP86" i="1"/>
  <c r="FQ86" i="1" s="1"/>
  <c r="FQ85" i="1"/>
  <c r="FR85" i="1"/>
  <c r="FR86" i="1" s="1"/>
  <c r="FR126" i="1" l="1"/>
  <c r="FS86" i="1"/>
  <c r="FT85" i="1"/>
  <c r="FS85" i="1"/>
  <c r="FP126" i="1"/>
  <c r="FP135" i="1" l="1"/>
  <c r="FQ126" i="1"/>
  <c r="GD85" i="1"/>
  <c r="GL85" i="1" s="1"/>
  <c r="FT86" i="1"/>
  <c r="FU85" i="1"/>
  <c r="FS126" i="1"/>
  <c r="FR135" i="1"/>
  <c r="GL86" i="1" l="1"/>
  <c r="GM85" i="1"/>
  <c r="GD86" i="1"/>
  <c r="FT126" i="1"/>
  <c r="FU86" i="1"/>
  <c r="FS135" i="1"/>
  <c r="FR139" i="1"/>
  <c r="GE85" i="1"/>
  <c r="FQ135" i="1"/>
  <c r="FP139" i="1"/>
  <c r="GM86" i="1" l="1"/>
  <c r="GL126" i="1"/>
  <c r="GM126" i="1" s="1"/>
  <c r="GD126" i="1"/>
  <c r="GE86" i="1"/>
  <c r="FQ139" i="1"/>
  <c r="FP151" i="1"/>
  <c r="FR151" i="1"/>
  <c r="FS139" i="1"/>
  <c r="FU126" i="1"/>
  <c r="FT135" i="1"/>
  <c r="GL135" i="1" l="1"/>
  <c r="FT139" i="1"/>
  <c r="FU135" i="1"/>
  <c r="FS151" i="1"/>
  <c r="FR171" i="1"/>
  <c r="FQ151" i="1"/>
  <c r="FP171" i="1"/>
  <c r="GE126" i="1"/>
  <c r="GD135" i="1"/>
  <c r="GM135" i="1" l="1"/>
  <c r="GL139" i="1"/>
  <c r="GD139" i="1"/>
  <c r="GE135" i="1"/>
  <c r="FS171" i="1"/>
  <c r="FR177" i="1"/>
  <c r="FP177" i="1"/>
  <c r="FQ171" i="1"/>
  <c r="FU139" i="1"/>
  <c r="FT151" i="1"/>
  <c r="GM139" i="1" l="1"/>
  <c r="GL151" i="1"/>
  <c r="FR178" i="1"/>
  <c r="FQ177" i="1"/>
  <c r="FU151" i="1"/>
  <c r="FT171" i="1"/>
  <c r="FS177" i="1"/>
  <c r="GD151" i="1"/>
  <c r="GE139" i="1"/>
  <c r="GL171" i="1" l="1"/>
  <c r="GM151" i="1"/>
  <c r="GE151" i="1"/>
  <c r="GD171" i="1"/>
  <c r="FT177" i="1"/>
  <c r="FU171" i="1"/>
  <c r="GL177" i="1" l="1"/>
  <c r="GM171" i="1"/>
  <c r="FU177" i="1"/>
  <c r="FT178" i="1"/>
  <c r="GD177" i="1"/>
  <c r="GE171" i="1"/>
  <c r="GL178" i="1" l="1"/>
  <c r="GM177" i="1"/>
  <c r="GW179" i="1"/>
  <c r="GD180" i="1"/>
  <c r="GD179" i="1"/>
  <c r="GD178" i="1"/>
  <c r="GE17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Ahmed Mohamed Mahmoud El Serty</author>
    <author>Ahmed Alserty</author>
  </authors>
  <commentList>
    <comment ref="GO1" authorId="0" shapeId="0" xr:uid="{A0230F4B-1498-42F0-B23D-DACC57AC3D31}">
      <text>
        <r>
          <rPr>
            <b/>
            <sz val="9"/>
            <color indexed="81"/>
            <rFont val="Tahoma"/>
            <family val="2"/>
          </rPr>
          <t>Ahmed Mohamed Mahmoud El Serty:</t>
        </r>
        <r>
          <rPr>
            <sz val="9"/>
            <color indexed="81"/>
            <rFont val="Tahoma"/>
            <family val="2"/>
          </rPr>
          <t xml:space="preserve">
متوسط ريت السنه كلها
</t>
        </r>
      </text>
    </comment>
    <comment ref="DR9" authorId="1" shapeId="0" xr:uid="{00000000-0006-0000-0000-000001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700K Travel Allownes
700K Trnasportation Allowences</t>
        </r>
      </text>
    </comment>
    <comment ref="GB9" authorId="0" shapeId="0" xr:uid="{77CA92E2-C16C-4F80-ADF9-29296A510444}">
      <text>
        <r>
          <rPr>
            <b/>
            <sz val="9"/>
            <color indexed="81"/>
            <rFont val="Tahoma"/>
            <family val="2"/>
          </rPr>
          <t>Ahmed Mohamed Mahmoud El Serty:</t>
        </r>
        <r>
          <rPr>
            <sz val="9"/>
            <color indexed="81"/>
            <rFont val="Tahoma"/>
            <family val="2"/>
          </rPr>
          <t xml:space="preserve">
2.8 مساهمه تكافلية</t>
        </r>
      </text>
    </comment>
    <comment ref="CT10" authorId="1" shapeId="0" xr:uid="{00000000-0006-0000-0000-000002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Qena Inventory cost + Punch list
</t>
        </r>
      </text>
    </comment>
    <comment ref="DV10" authorId="1" shapeId="0" xr:uid="{00000000-0006-0000-0000-000003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4M at cost center for distrubition in other projects</t>
        </r>
      </text>
    </comment>
    <comment ref="DV16" authorId="1" shapeId="0" xr:uid="{00000000-0006-0000-0000-000004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م سفر الفلبين</t>
        </r>
      </text>
    </comment>
    <comment ref="DX16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46KUSD Phillppine lawyer</t>
        </r>
      </text>
    </comment>
    <comment ref="EJ16" authorId="0" shapeId="0" xr:uid="{0385E6A2-3168-4F5A-886C-0DB65CDAC691}">
      <text>
        <r>
          <rPr>
            <b/>
            <sz val="9"/>
            <color indexed="81"/>
            <rFont val="Tahoma"/>
            <family val="2"/>
          </rPr>
          <t>Ahmed Mohamed Mahmoud El Serty:</t>
        </r>
        <r>
          <rPr>
            <sz val="9"/>
            <color indexed="81"/>
            <rFont val="Tahoma"/>
            <family val="2"/>
          </rPr>
          <t xml:space="preserve">
 - 7.6M Consultant fees for beni suef project.
- 8M under projects construction insurance</t>
        </r>
      </text>
    </comment>
    <comment ref="FH16" authorId="0" shapeId="0" xr:uid="{D85EDCD4-2565-45DE-920F-22D7607010D5}">
      <text>
        <r>
          <rPr>
            <b/>
            <sz val="9"/>
            <color indexed="81"/>
            <rFont val="Tahoma"/>
            <family val="2"/>
          </rPr>
          <t>Ahmed Mohamed Mahmoud El Serty:</t>
        </r>
        <r>
          <rPr>
            <sz val="9"/>
            <color indexed="81"/>
            <rFont val="Tahoma"/>
            <family val="2"/>
          </rPr>
          <t xml:space="preserve">
5.5M Under Construction Insurance account</t>
        </r>
      </text>
    </comment>
    <comment ref="EH20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Transportation from Variable to fixed</t>
        </r>
      </text>
    </comment>
    <comment ref="CV2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التكافليه 300</t>
        </r>
      </text>
    </comment>
    <comment ref="FZ21" authorId="0" shapeId="0" xr:uid="{FD8D0D2E-7632-4DEB-B3B1-AF9D5ABD2889}">
      <text>
        <r>
          <rPr>
            <b/>
            <sz val="9"/>
            <color indexed="81"/>
            <rFont val="Tahoma"/>
            <family val="2"/>
          </rPr>
          <t>Ahmed Mohamed Mahmoud El Serty:</t>
        </r>
        <r>
          <rPr>
            <sz val="9"/>
            <color indexed="81"/>
            <rFont val="Tahoma"/>
            <family val="2"/>
          </rPr>
          <t xml:space="preserve">
2.8 مساهمه تكافلية</t>
        </r>
      </text>
    </comment>
    <comment ref="FZ28" authorId="0" shapeId="0" xr:uid="{AF8F6406-81E4-427A-8E12-2E1FD9900C4C}">
      <text>
        <r>
          <rPr>
            <b/>
            <sz val="9"/>
            <color indexed="81"/>
            <rFont val="Tahoma"/>
            <family val="2"/>
          </rPr>
          <t>Ahmed Mohamed Mahmoud El Serty:</t>
        </r>
        <r>
          <rPr>
            <sz val="9"/>
            <color indexed="81"/>
            <rFont val="Tahoma"/>
            <family val="2"/>
          </rPr>
          <t xml:space="preserve">
2.8 مساهمه تكافليه</t>
        </r>
      </text>
    </comment>
    <comment ref="DV48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92K Eng. Naser June &amp; July Salary</t>
        </r>
      </text>
    </comment>
    <comment ref="DX48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46K Eng. Naser Aug. Salary</t>
        </r>
      </text>
    </comment>
    <comment ref="CV60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600K Takafulia</t>
        </r>
      </text>
    </comment>
    <comment ref="CX60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600K Takafulia</t>
        </r>
      </text>
    </comment>
    <comment ref="CZ60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600K Takafulia</t>
        </r>
      </text>
    </comment>
    <comment ref="EJ60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مساهمه تكافليه 1.4 م</t>
        </r>
      </text>
    </comment>
    <comment ref="FZ60" authorId="0" shapeId="0" xr:uid="{950199E3-BA20-4BB8-9D0B-14594C70C185}">
      <text>
        <r>
          <rPr>
            <b/>
            <sz val="9"/>
            <color indexed="81"/>
            <rFont val="Tahoma"/>
            <family val="2"/>
          </rPr>
          <t>Ahmed Mohamed Mahmoud El Serty:</t>
        </r>
        <r>
          <rPr>
            <sz val="9"/>
            <color indexed="81"/>
            <rFont val="Tahoma"/>
            <family val="2"/>
          </rPr>
          <t xml:space="preserve">
2 bounce</t>
        </r>
      </text>
    </comment>
    <comment ref="HI69" authorId="0" shapeId="0" xr:uid="{42166B72-A2B3-4EB3-8B31-737061BE85FC}">
      <text>
        <r>
          <rPr>
            <b/>
            <sz val="9"/>
            <color indexed="81"/>
            <rFont val="Tahoma"/>
            <family val="2"/>
          </rPr>
          <t>Ahmed Mohamed Mahmoud El Serty:</t>
        </r>
        <r>
          <rPr>
            <sz val="9"/>
            <color indexed="81"/>
            <rFont val="Tahoma"/>
            <family val="2"/>
          </rPr>
          <t xml:space="preserve">
نشيل الحاجات المتغيرة و نحط الحاجات الثابته</t>
        </r>
      </text>
    </comment>
    <comment ref="CJ70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Reclass 1.6 ATC Sucsses Fees at NON Recuiring</t>
        </r>
      </text>
    </comment>
    <comment ref="CX70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Reclass 2 ATC Sucsses Fees at NON Recuiring</t>
        </r>
      </text>
    </comment>
    <comment ref="EJ70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ATC
</t>
        </r>
      </text>
    </comment>
    <comment ref="GB74" authorId="0" shapeId="0" xr:uid="{326DDCC2-8C78-4130-9A88-5AE53BED36A1}">
      <text>
        <r>
          <rPr>
            <b/>
            <sz val="9"/>
            <color indexed="81"/>
            <rFont val="Tahoma"/>
            <family val="2"/>
          </rPr>
          <t>Ahmed Mohamed Mahmoud El Serty:</t>
        </r>
        <r>
          <rPr>
            <sz val="9"/>
            <color indexed="81"/>
            <rFont val="Tahoma"/>
            <family val="2"/>
          </rPr>
          <t xml:space="preserve">
1M ATC</t>
        </r>
      </text>
    </comment>
    <comment ref="CJ127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Reclass 1.6 ATC Sucsses Fees at NON Recuiring</t>
        </r>
      </text>
    </comment>
    <comment ref="CP127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ATC + First check Alaa Ismail</t>
        </r>
      </text>
    </comment>
    <comment ref="CV127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ATC + Alaa + 6.6 Qena</t>
        </r>
      </text>
    </comment>
    <comment ref="CX127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ATC + Alaa + 6.6 Qena</t>
        </r>
      </text>
    </comment>
    <comment ref="DB161" authorId="1" shapeId="0" xr:uid="{00000000-0006-0000-0000-000015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Forex ret. + AR
</t>
        </r>
      </text>
    </comment>
    <comment ref="C174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Need to put actual amount of Income Tax 2070116.75</t>
        </r>
      </text>
    </comment>
    <comment ref="E174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Need to put actual amount of Income Tax  
(794482)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Ahmed Mohamed Mahmoud El Serty</author>
  </authors>
  <commentList>
    <comment ref="B18" authorId="0" shapeId="0" xr:uid="{72D8D5B6-F143-4E03-86F5-260E906BC774}">
      <text>
        <r>
          <rPr>
            <b/>
            <sz val="9"/>
            <color indexed="81"/>
            <rFont val="Tahoma"/>
            <family val="2"/>
          </rPr>
          <t>Ahmed Mohamed Mahmoud El Serty:</t>
        </r>
        <r>
          <rPr>
            <sz val="9"/>
            <color indexed="81"/>
            <rFont val="Tahoma"/>
            <family val="2"/>
          </rPr>
          <t xml:space="preserve">
تخفيض 120 مرتبات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Ahmed Mohamed Mahmoud El Serty</author>
  </authors>
  <commentList>
    <comment ref="C14" authorId="0" shapeId="0" xr:uid="{90D44455-4539-4F86-A4F7-9587C651A591}">
      <text>
        <r>
          <rPr>
            <b/>
            <sz val="9"/>
            <color indexed="81"/>
            <rFont val="Tahoma"/>
            <family val="2"/>
          </rPr>
          <t xml:space="preserve">Ahmed Mohamed Mahmoud El Serty:
</t>
        </r>
        <r>
          <rPr>
            <sz val="9"/>
            <color indexed="81"/>
            <rFont val="Tahoma"/>
            <family val="2"/>
          </rPr>
          <t>24 اصل المبلغ غير الغرامات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Ahmed Alserty</author>
  </authors>
  <commentList>
    <comment ref="W6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تعديل مابين مشاريع اسيك و الثرد بارتى</t>
        </r>
      </text>
    </comment>
    <comment ref="C61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957 business provision 
</t>
        </r>
      </text>
    </comment>
    <comment ref="C63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Aresco,inventory,compensation &amp; others
</t>
        </r>
      </text>
    </comment>
    <comment ref="C64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EBITDA RECURRING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Ahmed Alserty</author>
  </authors>
  <commentList>
    <comment ref="C174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Need to put actual amount of Income Tax 2070116.75</t>
        </r>
      </text>
    </comment>
    <comment ref="E174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Ahmed Alserty:</t>
        </r>
        <r>
          <rPr>
            <sz val="9"/>
            <color indexed="81"/>
            <rFont val="Tahoma"/>
            <family val="2"/>
          </rPr>
          <t xml:space="preserve">
Need to put actual amount of Income Tax  
(794482)</t>
        </r>
      </text>
    </comment>
  </commentList>
</comments>
</file>

<file path=xl/sharedStrings.xml><?xml version="1.0" encoding="utf-8"?>
<sst xmlns="http://schemas.openxmlformats.org/spreadsheetml/2006/main" count="2816" uniqueCount="789">
  <si>
    <t>Asec Automation</t>
  </si>
  <si>
    <t>Income Statement</t>
  </si>
  <si>
    <t>MTD</t>
  </si>
  <si>
    <t>Jan .2021</t>
  </si>
  <si>
    <t>Feb .2021</t>
  </si>
  <si>
    <t>Mar .2021</t>
  </si>
  <si>
    <t>MainCategory</t>
  </si>
  <si>
    <t>Category</t>
  </si>
  <si>
    <t>Plan</t>
  </si>
  <si>
    <t>Actual</t>
  </si>
  <si>
    <t>Revenue</t>
  </si>
  <si>
    <t>Intercompany Sales Revenue</t>
  </si>
  <si>
    <t>Sales Revenue</t>
  </si>
  <si>
    <t>Variable COGS</t>
  </si>
  <si>
    <t>Wages &amp; Salaries</t>
  </si>
  <si>
    <t>Material Cost</t>
  </si>
  <si>
    <t>Oil &amp; Fuel</t>
  </si>
  <si>
    <t>Electricity</t>
  </si>
  <si>
    <t>Sub-Contracting Cost</t>
  </si>
  <si>
    <t>Outsourcing Labor Cost</t>
  </si>
  <si>
    <t>Rentals</t>
  </si>
  <si>
    <t>Other Variable Cost</t>
  </si>
  <si>
    <t>Provision</t>
  </si>
  <si>
    <t>Contribution Margin</t>
  </si>
  <si>
    <t>========Contribution Margin=========</t>
  </si>
  <si>
    <t>Fixed COGS</t>
  </si>
  <si>
    <t>Social Insurance</t>
  </si>
  <si>
    <t>Other Personnel Cost</t>
  </si>
  <si>
    <t>Material Cost / Raw Materials</t>
  </si>
  <si>
    <t>Other Fixed Cost</t>
  </si>
  <si>
    <t>DMCC</t>
  </si>
  <si>
    <t>Gross Profit</t>
  </si>
  <si>
    <t>===========Gross Profit=============</t>
  </si>
  <si>
    <t>Marketing</t>
  </si>
  <si>
    <t>Marketing &amp; Advertising</t>
  </si>
  <si>
    <t>Travel</t>
  </si>
  <si>
    <t>Rent</t>
  </si>
  <si>
    <t>Press Advertising</t>
  </si>
  <si>
    <t>Other Marketing Cost</t>
  </si>
  <si>
    <t>Market Research</t>
  </si>
  <si>
    <t>Outdoor</t>
  </si>
  <si>
    <t>Artworks</t>
  </si>
  <si>
    <t>Exhibitions &amp; Shows</t>
  </si>
  <si>
    <t>Newsletter &amp; Periodicals</t>
  </si>
  <si>
    <t>Photography And Films</t>
  </si>
  <si>
    <t>TV Airing</t>
  </si>
  <si>
    <t>Airing Agency Commissions</t>
  </si>
  <si>
    <t>Sponsorship</t>
  </si>
  <si>
    <t>Selling &amp; Distribution</t>
  </si>
  <si>
    <t>Social Insuracne</t>
  </si>
  <si>
    <t>Intercompany Selling Distribution</t>
  </si>
  <si>
    <t>Consumer Activities</t>
  </si>
  <si>
    <t>Warehouse Rent</t>
  </si>
  <si>
    <t>Cars Rent</t>
  </si>
  <si>
    <t>Freight for transfers to warehouses</t>
  </si>
  <si>
    <t>Other S&amp;D Cost</t>
  </si>
  <si>
    <t>G&amp;A Personnel Gross</t>
  </si>
  <si>
    <t>Compensations and Penalties</t>
  </si>
  <si>
    <t>Medical &amp; Life Insurance</t>
  </si>
  <si>
    <t>Medical Expenses</t>
  </si>
  <si>
    <t>Training Courses</t>
  </si>
  <si>
    <t>End of Service</t>
  </si>
  <si>
    <t>Outsourced Payroll</t>
  </si>
  <si>
    <t>Consultancy</t>
  </si>
  <si>
    <t>Tax Consultancy Fees</t>
  </si>
  <si>
    <t>Other Consultancy Fees</t>
  </si>
  <si>
    <t>External Audit</t>
  </si>
  <si>
    <t>Legal Services</t>
  </si>
  <si>
    <t>Telecom</t>
  </si>
  <si>
    <t>Telecom Landline</t>
  </si>
  <si>
    <t>Telecom Mobile</t>
  </si>
  <si>
    <t>Telecom Internet &amp; Data</t>
  </si>
  <si>
    <t>IT &amp; Software</t>
  </si>
  <si>
    <t>H/W</t>
  </si>
  <si>
    <t>Software License</t>
  </si>
  <si>
    <t>Business Application</t>
  </si>
  <si>
    <t>Services &amp; Support</t>
  </si>
  <si>
    <t>Computer Maint. Materials</t>
  </si>
  <si>
    <t>Publications &amp; Events</t>
  </si>
  <si>
    <t>Hospitality &amp; Public Relations</t>
  </si>
  <si>
    <t>Land Rent</t>
  </si>
  <si>
    <t>Building Rent</t>
  </si>
  <si>
    <t>G&amp;A Rentals</t>
  </si>
  <si>
    <t>Others Rent</t>
  </si>
  <si>
    <t>Utilities</t>
  </si>
  <si>
    <t>Water</t>
  </si>
  <si>
    <t>Fuel, Oil &amp; SPP</t>
  </si>
  <si>
    <t>G&amp;A Utilities</t>
  </si>
  <si>
    <t>Insurance</t>
  </si>
  <si>
    <t>Medical</t>
  </si>
  <si>
    <t>Vehicles</t>
  </si>
  <si>
    <t>Buildings</t>
  </si>
  <si>
    <t>Tools, Machines &amp; Equipment</t>
  </si>
  <si>
    <t>Other Insurance</t>
  </si>
  <si>
    <t>Public Liability</t>
  </si>
  <si>
    <t>All Risks</t>
  </si>
  <si>
    <t>Group Life</t>
  </si>
  <si>
    <t>Business Provisions</t>
  </si>
  <si>
    <t>Provisions for Doubtful Commercial Debtors</t>
  </si>
  <si>
    <t>Provisions for Other Receivables</t>
  </si>
  <si>
    <t>Other Business Provision</t>
  </si>
  <si>
    <t>Other G&amp;A</t>
  </si>
  <si>
    <t>Charity &amp; Donations</t>
  </si>
  <si>
    <t>Fees/Stamps</t>
  </si>
  <si>
    <t>Miscellaneous Expenses</t>
  </si>
  <si>
    <t>Stationary &amp; Printed Materials</t>
  </si>
  <si>
    <t>Security</t>
  </si>
  <si>
    <t>Conferences/meetings Exps</t>
  </si>
  <si>
    <t>Motor vehicle spares</t>
  </si>
  <si>
    <t>Motor vehicle fuel</t>
  </si>
  <si>
    <t>Motor vehicle licences</t>
  </si>
  <si>
    <t>Advisory Fees</t>
  </si>
  <si>
    <t>Other</t>
  </si>
  <si>
    <t>Property Tax</t>
  </si>
  <si>
    <t>EBITDA (recurring)</t>
  </si>
  <si>
    <t>=========EBITDA(recurring)==========</t>
  </si>
  <si>
    <t>Non-recurring Costs</t>
  </si>
  <si>
    <t>Gain/Loss on Assets</t>
  </si>
  <si>
    <t>Other non Recurring Costs</t>
  </si>
  <si>
    <t>Non-recurring Revenues</t>
  </si>
  <si>
    <t>Corporate Service Income</t>
  </si>
  <si>
    <t>Other Non Recurring Revenues</t>
  </si>
  <si>
    <t>Dividend Income</t>
  </si>
  <si>
    <t>EBITDA</t>
  </si>
  <si>
    <t>==============EBITDA================</t>
  </si>
  <si>
    <t>Depreciation &amp; Amortization</t>
  </si>
  <si>
    <t>Depreciation &amp; Amortization COGS</t>
  </si>
  <si>
    <t>Other Depreciation &amp; Amortization</t>
  </si>
  <si>
    <t>EBIT</t>
  </si>
  <si>
    <t>===============EBIT=================</t>
  </si>
  <si>
    <t>Financial Charges</t>
  </si>
  <si>
    <t>Bank Charges &amp; Commissions</t>
  </si>
  <si>
    <t>MTL Interest</t>
  </si>
  <si>
    <t>Overdraft Interest</t>
  </si>
  <si>
    <t>LTL Interest</t>
  </si>
  <si>
    <t>Financing charges</t>
  </si>
  <si>
    <t>Financial Income</t>
  </si>
  <si>
    <t>Shareholders Interest Expenses</t>
  </si>
  <si>
    <t>EBT before non op. Items</t>
  </si>
  <si>
    <t>======EBT before non op. Items======</t>
  </si>
  <si>
    <t>Tot Provisions</t>
  </si>
  <si>
    <t>Provision for Corporate Social Responsibility</t>
  </si>
  <si>
    <t>Provision for HR</t>
  </si>
  <si>
    <t>Provisions and Impairements for Inventories</t>
  </si>
  <si>
    <t>Tax (operating) provision</t>
  </si>
  <si>
    <t>Legal provision</t>
  </si>
  <si>
    <t>Corporate Social Responsibility</t>
  </si>
  <si>
    <t>Contingent Liabilities Provisions</t>
  </si>
  <si>
    <t>Provision for Restructuring Cost</t>
  </si>
  <si>
    <t>Provision for Impairment</t>
  </si>
  <si>
    <t>Other Provisions</t>
  </si>
  <si>
    <t>Tot Gain and loss of sales of Investment</t>
  </si>
  <si>
    <t>Tot Gain and loss of sales of Assets</t>
  </si>
  <si>
    <t>Tot Discontinued operations</t>
  </si>
  <si>
    <t>Tot Forex Income/Loss</t>
  </si>
  <si>
    <t>Forex Income/Loss</t>
  </si>
  <si>
    <t>EBT</t>
  </si>
  <si>
    <t>================EBT=================</t>
  </si>
  <si>
    <t>Taxes</t>
  </si>
  <si>
    <t>Corporate Income Tax</t>
  </si>
  <si>
    <t>Medical Tax</t>
  </si>
  <si>
    <t>Deferred Tax</t>
  </si>
  <si>
    <t>Tax Provisions</t>
  </si>
  <si>
    <t>NET Income/Loss</t>
  </si>
  <si>
    <t>===========NET Income/Loss===========</t>
  </si>
  <si>
    <t>Q4 2020</t>
  </si>
  <si>
    <t>Q1 2021</t>
  </si>
  <si>
    <t>Apr .2021</t>
  </si>
  <si>
    <t>May .2021</t>
  </si>
  <si>
    <t>June .2021</t>
  </si>
  <si>
    <t>YTD June 2021</t>
  </si>
  <si>
    <t>Q2 2021</t>
  </si>
  <si>
    <t xml:space="preserve"> July 2021</t>
  </si>
  <si>
    <t xml:space="preserve"> Aug 2021</t>
  </si>
  <si>
    <t>Interest on Loans &amp; Social ins. Penalities</t>
  </si>
  <si>
    <t>Q3 2021</t>
  </si>
  <si>
    <t>Q4 2021</t>
  </si>
  <si>
    <t>YTD Dec.21</t>
  </si>
  <si>
    <t>YTD Sep.21</t>
  </si>
  <si>
    <t>YTD Dec.2020</t>
  </si>
  <si>
    <t xml:space="preserve">Income statement </t>
  </si>
  <si>
    <t>Budget 2022</t>
  </si>
  <si>
    <t>Item</t>
  </si>
  <si>
    <t>Total Q 1</t>
  </si>
  <si>
    <t>Total Q 2</t>
  </si>
  <si>
    <t>Total Q 3</t>
  </si>
  <si>
    <t>Total Q 4</t>
  </si>
  <si>
    <t>Total  2022</t>
  </si>
  <si>
    <t>3rd Party Revenues</t>
  </si>
  <si>
    <t>Related Party Revenues</t>
  </si>
  <si>
    <t>Total Revenue</t>
  </si>
  <si>
    <t>3rd Party COGS</t>
  </si>
  <si>
    <t>Related Party COGS</t>
  </si>
  <si>
    <t>3rd Party COGS ( MP )</t>
  </si>
  <si>
    <t>Related Party COGS  ( MP )</t>
  </si>
  <si>
    <t>Total 3rd Party COGS</t>
  </si>
  <si>
    <t>Total Related Party COGS</t>
  </si>
  <si>
    <t>A-Projects</t>
  </si>
  <si>
    <t>A1-Project BackLog</t>
  </si>
  <si>
    <t>A2-Project Pipline</t>
  </si>
  <si>
    <t>B-Maintenance</t>
  </si>
  <si>
    <t>B1-Long Term Projects BackLog</t>
  </si>
  <si>
    <t>B2-Long Term Projects Pipline</t>
  </si>
  <si>
    <t>B3-Overhouling Backlog</t>
  </si>
  <si>
    <t>B4-Overhouling Pipline</t>
  </si>
  <si>
    <t>B5-Rewinding Workshop Backlog</t>
  </si>
  <si>
    <t>B6-Rewinding Workshop Pipline</t>
  </si>
  <si>
    <t>B7-Panels Backlog</t>
  </si>
  <si>
    <t>B8-Panels Pipline</t>
  </si>
  <si>
    <t>Material</t>
  </si>
  <si>
    <t>Direct Materials</t>
  </si>
  <si>
    <t>Direct Tools &amp;  Consumables</t>
  </si>
  <si>
    <t>Manpower</t>
  </si>
  <si>
    <t>Direct Manpower</t>
  </si>
  <si>
    <t>Indirect Manpower</t>
  </si>
  <si>
    <t>Subcontract</t>
  </si>
  <si>
    <t>Outsourcing</t>
  </si>
  <si>
    <t>Indirect Expenses</t>
  </si>
  <si>
    <t>COGS</t>
  </si>
  <si>
    <t>Gross profit</t>
  </si>
  <si>
    <t>Gross profit %</t>
  </si>
  <si>
    <t>G&amp;A Total</t>
  </si>
  <si>
    <t>Directors &amp; Top Management</t>
  </si>
  <si>
    <t>Human Resources</t>
  </si>
  <si>
    <t>Finance</t>
  </si>
  <si>
    <t>IT</t>
  </si>
  <si>
    <t>Adminstration</t>
  </si>
  <si>
    <t>S&amp;M Total</t>
  </si>
  <si>
    <t>Tendering</t>
  </si>
  <si>
    <t xml:space="preserve">Commercial </t>
  </si>
  <si>
    <t>Engeneering &amp; Technical</t>
  </si>
  <si>
    <t>OSS Total</t>
  </si>
  <si>
    <t>Logistics</t>
  </si>
  <si>
    <t>Procurments</t>
  </si>
  <si>
    <t>PMO</t>
  </si>
  <si>
    <t>Technical</t>
  </si>
  <si>
    <t>Depreciation &amp; Amort. SG&amp;A</t>
  </si>
  <si>
    <t>GA,  SM , OSS , DMCC and Depreciation</t>
  </si>
  <si>
    <t>Finance And Provisions</t>
  </si>
  <si>
    <t>Provisions &amp; Impairments</t>
  </si>
  <si>
    <t xml:space="preserve">Credit Interests </t>
  </si>
  <si>
    <t>(Forex) Currency Revaluation</t>
  </si>
  <si>
    <t>Financing Cost</t>
  </si>
  <si>
    <t>Employees Compensation</t>
  </si>
  <si>
    <t>Income tax</t>
  </si>
  <si>
    <t>Deffered tax</t>
  </si>
  <si>
    <t>Income &amp; Deferred Tax</t>
  </si>
  <si>
    <t>EAT</t>
  </si>
  <si>
    <t>YTD</t>
  </si>
  <si>
    <t>Chk</t>
  </si>
  <si>
    <t>Financial Statements</t>
  </si>
  <si>
    <t>Diff</t>
  </si>
  <si>
    <t>Other Income &amp; Expenses</t>
  </si>
  <si>
    <t>Interest on Loans</t>
  </si>
  <si>
    <t>YTD Dec.22</t>
  </si>
  <si>
    <t>Budget</t>
  </si>
  <si>
    <t>Elmenya profit</t>
  </si>
  <si>
    <t>Beni suef</t>
  </si>
  <si>
    <t>Asec DN</t>
  </si>
  <si>
    <t>Payroll</t>
  </si>
  <si>
    <t>المبالغ بالمليون</t>
  </si>
  <si>
    <t>بروفيجن ضرائب كسب عمل ايصالات غير موجوده عبارة عن:</t>
  </si>
  <si>
    <t>ايصالات غير موجوده</t>
  </si>
  <si>
    <t>غرامات الايصالات الغير موجوده</t>
  </si>
  <si>
    <t>تم ايجاد ايصالات بهذا المبلغ</t>
  </si>
  <si>
    <t>رد غرامات الايصالات المستخرجه</t>
  </si>
  <si>
    <t>البروفجن الواجب عمله فى 2022 لتغطية هذا الرسك</t>
  </si>
  <si>
    <t xml:space="preserve"> + 6.6 M Profit Rev. &amp; MTRL</t>
  </si>
  <si>
    <t>Supplier dues</t>
  </si>
  <si>
    <t>Provision analysis:</t>
  </si>
  <si>
    <t>Beni suef inventory</t>
  </si>
  <si>
    <t>Return yemen and TCI Provision</t>
  </si>
  <si>
    <t>Salary Tax till 2019 inspection</t>
  </si>
  <si>
    <t>Salary Tax for 2020 2021</t>
  </si>
  <si>
    <t>Income Tax</t>
  </si>
  <si>
    <t xml:space="preserve"> -3.6 ATC Percentge fees</t>
  </si>
  <si>
    <t xml:space="preserve"> - 5.3 Provision for Rest risk for 11 M for payroll tax</t>
  </si>
  <si>
    <t>Supplier provision</t>
  </si>
  <si>
    <t>2021 F</t>
  </si>
  <si>
    <t>2022 P</t>
  </si>
  <si>
    <t>2023 P</t>
  </si>
  <si>
    <t>2024 P</t>
  </si>
  <si>
    <t>2025 P</t>
  </si>
  <si>
    <t>2026 P</t>
  </si>
  <si>
    <t>2027 P</t>
  </si>
  <si>
    <t>2028 P</t>
  </si>
  <si>
    <t>2029 P</t>
  </si>
  <si>
    <t>2030 P</t>
  </si>
  <si>
    <t>2031 P</t>
  </si>
  <si>
    <t>2032 P</t>
  </si>
  <si>
    <t>2033 P</t>
  </si>
  <si>
    <t>2034 P</t>
  </si>
  <si>
    <t>2035 P</t>
  </si>
  <si>
    <t>2020 A</t>
  </si>
  <si>
    <t>Business Lines 2022 P</t>
  </si>
  <si>
    <t>Projects (IND. Non)</t>
  </si>
  <si>
    <t>Maint. Industrial</t>
  </si>
  <si>
    <t>Maint. Non Industrial</t>
  </si>
  <si>
    <t>Workshop Panels</t>
  </si>
  <si>
    <t>Rewinding Workshop</t>
  </si>
  <si>
    <t>Renewable Energy (solar energy)</t>
  </si>
  <si>
    <t>TOTAL</t>
  </si>
  <si>
    <t>Solar</t>
  </si>
  <si>
    <r>
      <rPr>
        <b/>
        <i/>
        <sz val="16"/>
        <color theme="0"/>
        <rFont val="Calibri"/>
        <family val="2"/>
        <scheme val="minor"/>
      </rPr>
      <t xml:space="preserve">ASA BP 12 YEARS </t>
    </r>
    <r>
      <rPr>
        <b/>
        <i/>
        <sz val="14"/>
        <color theme="0"/>
        <rFont val="Calibri"/>
        <family val="2"/>
        <scheme val="minor"/>
      </rPr>
      <t xml:space="preserve">                                                        </t>
    </r>
    <r>
      <rPr>
        <b/>
        <i/>
        <sz val="12"/>
        <color theme="0"/>
        <rFont val="Calibri"/>
        <family val="2"/>
        <scheme val="minor"/>
      </rPr>
      <t>Reporting Currency KEGP '000</t>
    </r>
  </si>
  <si>
    <t>2021 P</t>
  </si>
  <si>
    <t xml:space="preserve">  Maintenance Revenues (ASEC )</t>
  </si>
  <si>
    <t>Cement Revenue Maintenance (ASEC )</t>
  </si>
  <si>
    <t>Total</t>
  </si>
  <si>
    <t>Revenues</t>
  </si>
  <si>
    <t>Others</t>
  </si>
  <si>
    <t>Subcontracting</t>
  </si>
  <si>
    <t xml:space="preserve">Subcontracting </t>
  </si>
  <si>
    <t>GP</t>
  </si>
  <si>
    <t>%</t>
  </si>
  <si>
    <t>G&amp;A- Salaries</t>
  </si>
  <si>
    <t>G&amp;A- Others</t>
  </si>
  <si>
    <t>G&amp;A- Outsourcing</t>
  </si>
  <si>
    <t>S&amp;M- Salaries</t>
  </si>
  <si>
    <t>S&amp;M- Others</t>
  </si>
  <si>
    <t>Depreciation</t>
  </si>
  <si>
    <t>Total G&amp;A  and S&amp;M</t>
  </si>
  <si>
    <t xml:space="preserve">EBITDA </t>
  </si>
  <si>
    <t>EBITDA %</t>
  </si>
  <si>
    <t>Interests</t>
  </si>
  <si>
    <t>Interest Coverage Ratio</t>
  </si>
  <si>
    <t>Times</t>
  </si>
  <si>
    <t>2020 P</t>
  </si>
  <si>
    <t>BEP</t>
  </si>
  <si>
    <t>Variable cost</t>
  </si>
  <si>
    <t>Variable Costs</t>
  </si>
  <si>
    <t xml:space="preserve">Wages &amp; Salaries </t>
  </si>
  <si>
    <t xml:space="preserve">Material </t>
  </si>
  <si>
    <t>Total direct costs</t>
  </si>
  <si>
    <t>Total Variable Costs</t>
  </si>
  <si>
    <t xml:space="preserve">Contribution Margin </t>
  </si>
  <si>
    <t>Contribution Margin Ratio</t>
  </si>
  <si>
    <t>Fixed Costs</t>
  </si>
  <si>
    <t>Subcontracting - DMCC</t>
  </si>
  <si>
    <t>Subcontracting - DMCC old</t>
  </si>
  <si>
    <t>interests</t>
  </si>
  <si>
    <t>Total Fixed Costs</t>
  </si>
  <si>
    <t>Non recurring</t>
  </si>
  <si>
    <t>Break-Even Point ( EGP)</t>
  </si>
  <si>
    <t xml:space="preserve"> </t>
  </si>
  <si>
    <r>
      <t xml:space="preserve">Projects    </t>
    </r>
    <r>
      <rPr>
        <b/>
        <i/>
        <sz val="10"/>
        <color rgb="FFFF0000"/>
        <rFont val="Calibri"/>
        <family val="2"/>
        <scheme val="minor"/>
      </rPr>
      <t>5% annual Increase)</t>
    </r>
  </si>
  <si>
    <r>
      <t xml:space="preserve">New Business Line   </t>
    </r>
    <r>
      <rPr>
        <b/>
        <i/>
        <sz val="10"/>
        <color rgb="FFFF0000"/>
        <rFont val="Calibri"/>
        <family val="2"/>
        <scheme val="minor"/>
      </rPr>
      <t>10% annual Increase)</t>
    </r>
  </si>
  <si>
    <r>
      <t xml:space="preserve">Workshop Panel  </t>
    </r>
    <r>
      <rPr>
        <b/>
        <i/>
        <sz val="10"/>
        <color rgb="FFFF0000"/>
        <rFont val="Calibri"/>
        <family val="2"/>
        <scheme val="minor"/>
      </rPr>
      <t>15% first 2years &amp;10%after that )</t>
    </r>
  </si>
  <si>
    <t>Maint</t>
  </si>
  <si>
    <r>
      <t>Rewinding Workshop</t>
    </r>
    <r>
      <rPr>
        <b/>
        <i/>
        <sz val="10"/>
        <color rgb="FFFF0000"/>
        <rFont val="Calibri"/>
        <family val="2"/>
        <scheme val="minor"/>
      </rPr>
      <t>-    5% annual Increase)</t>
    </r>
  </si>
  <si>
    <t>Maint-</t>
  </si>
  <si>
    <r>
      <t xml:space="preserve">Maint- ASEC -   </t>
    </r>
    <r>
      <rPr>
        <b/>
        <i/>
        <sz val="10"/>
        <color rgb="FFFF0000"/>
        <rFont val="Calibri"/>
        <family val="2"/>
        <scheme val="minor"/>
      </rPr>
      <t>3% annual Increase</t>
    </r>
  </si>
  <si>
    <t>Reporting Currency KEGP '000</t>
  </si>
  <si>
    <t>Q1 - 2015</t>
  </si>
  <si>
    <t>Q2 - 2015</t>
  </si>
  <si>
    <t>Q3 - 2015</t>
  </si>
  <si>
    <t>Q4 - 2015</t>
  </si>
  <si>
    <t>Q1 - 2016</t>
  </si>
  <si>
    <t>Q2 - 2016</t>
  </si>
  <si>
    <t>Q3 - 2016</t>
  </si>
  <si>
    <t>Q4 - 2016</t>
  </si>
  <si>
    <t>Q1 - 2017</t>
  </si>
  <si>
    <t>Q2 - 2017</t>
  </si>
  <si>
    <t>Q3 - 2017</t>
  </si>
  <si>
    <t>Q4 - 2017</t>
  </si>
  <si>
    <t>Q1 - 2018</t>
  </si>
  <si>
    <t>Q2 - 2018</t>
  </si>
  <si>
    <t>Q3 - 2018</t>
  </si>
  <si>
    <t>Q4 - 2018</t>
  </si>
  <si>
    <t>Q1 - 2020</t>
  </si>
  <si>
    <t>Q2 - 2020</t>
  </si>
  <si>
    <t>Q3 - 2020</t>
  </si>
  <si>
    <t>Q4 - 2020</t>
  </si>
  <si>
    <t>Q1 - 2021</t>
  </si>
  <si>
    <t>Q2 - 2021</t>
  </si>
  <si>
    <t>Q3 - 2021</t>
  </si>
  <si>
    <t>Q4 - 2021</t>
  </si>
  <si>
    <t>Q1 - 2022</t>
  </si>
  <si>
    <t>Q2 - 2022</t>
  </si>
  <si>
    <t>Q3 - 2022</t>
  </si>
  <si>
    <t>Q4 - 2022</t>
  </si>
  <si>
    <t>BS Checker</t>
  </si>
  <si>
    <t>CF Checker</t>
  </si>
  <si>
    <t>Total Revenues</t>
  </si>
  <si>
    <t>WIP/ CTC</t>
  </si>
  <si>
    <t>Gross Profit %</t>
  </si>
  <si>
    <t>Medical Taxes</t>
  </si>
  <si>
    <t>EAT %</t>
  </si>
  <si>
    <t>Balance Sheet</t>
  </si>
  <si>
    <t>Total Non-Current Assets</t>
  </si>
  <si>
    <t>Total Current Assets</t>
  </si>
  <si>
    <t>Total Current Liabilities</t>
  </si>
  <si>
    <t>Working Capital</t>
  </si>
  <si>
    <t>Invested Fund</t>
  </si>
  <si>
    <t>YTD Profit / Loss</t>
  </si>
  <si>
    <t>Total Shareholder's Equity</t>
  </si>
  <si>
    <t>Total Minority Interest</t>
  </si>
  <si>
    <t>Total Non-Current Liabilities</t>
  </si>
  <si>
    <t>Invested Fund Resources</t>
  </si>
  <si>
    <t>Cash Flow</t>
  </si>
  <si>
    <t>( EBT - Earnings Before Tax)</t>
  </si>
  <si>
    <t>Provisions</t>
  </si>
  <si>
    <t>Interest</t>
  </si>
  <si>
    <t>Financial statement Translation Diff.</t>
  </si>
  <si>
    <t>(+/-)Inventory</t>
  </si>
  <si>
    <t>(+/-)Accounts Receivables</t>
  </si>
  <si>
    <t>(+/-)Debtors &amp; Debit Balances</t>
  </si>
  <si>
    <t>(+/-)Due From Inter Companies Net</t>
  </si>
  <si>
    <t>(+/-)Due From Related Party Companies</t>
  </si>
  <si>
    <t>(+/-)Accounts Payables</t>
  </si>
  <si>
    <t>(+/-)Projects Under Progress</t>
  </si>
  <si>
    <t>(+/-)Creditors &amp; Other Credit Balance</t>
  </si>
  <si>
    <t>(+/-)Due to Inter companies Net</t>
  </si>
  <si>
    <t>(+/-)Due To Related Parties Companies ST</t>
  </si>
  <si>
    <t>(+/-)Due To Related Parties Companies LT</t>
  </si>
  <si>
    <t>(+/-)Other Long term Liabilities</t>
  </si>
  <si>
    <t>(+/-)Medical TaxesTax</t>
  </si>
  <si>
    <t>(+/-)Deferred Tax</t>
  </si>
  <si>
    <t>Corporate / Income Tax Payment</t>
  </si>
  <si>
    <t>Net Operation Cash Flow</t>
  </si>
  <si>
    <t>(+/-)Gross Fixed Assets</t>
  </si>
  <si>
    <t>(+/-)Assets Under Construction</t>
  </si>
  <si>
    <t>(+/-)Investments</t>
  </si>
  <si>
    <t xml:space="preserve">(+/-)Revaluation of Investment Available for Sale </t>
  </si>
  <si>
    <t>(+/-)Other Assets</t>
  </si>
  <si>
    <t>Net Investment Cash Flow</t>
  </si>
  <si>
    <t>Change in Loans</t>
  </si>
  <si>
    <t>Interest Payments</t>
  </si>
  <si>
    <t>Profit Distribution</t>
  </si>
  <si>
    <t>(+/-)Paid In Capital</t>
  </si>
  <si>
    <t>(+/-)Convertible shareholders Loan</t>
  </si>
  <si>
    <t>(+/-)Treasury Stock</t>
  </si>
  <si>
    <t>(+/-) In Reserves</t>
  </si>
  <si>
    <t>(+/-) In Retained Earnings</t>
  </si>
  <si>
    <t>Net Financing Cash Flow</t>
  </si>
  <si>
    <t>Net Cash Flow</t>
  </si>
  <si>
    <t>Cash Opening Balance</t>
  </si>
  <si>
    <t>Cash Ending Balance</t>
  </si>
  <si>
    <t>Financing Gap</t>
  </si>
  <si>
    <t>Cash Deficit</t>
  </si>
  <si>
    <t>Cash Surplus</t>
  </si>
  <si>
    <t>OVD Interest Rate</t>
  </si>
  <si>
    <t xml:space="preserve">New Money Need </t>
  </si>
  <si>
    <t>OVD Interest</t>
  </si>
  <si>
    <t>Debt Service Coverage Ratio (DSCR)</t>
  </si>
  <si>
    <t>Proceeds from Sale of Investment</t>
  </si>
  <si>
    <t>Net Operating Income</t>
  </si>
  <si>
    <t>Principle Installment repayment</t>
  </si>
  <si>
    <t>Bank Debit Interests</t>
  </si>
  <si>
    <t>Total Debt Service</t>
  </si>
  <si>
    <t>Debt Service Coverage ratio</t>
  </si>
  <si>
    <r>
      <t xml:space="preserve">Income Statement
</t>
    </r>
    <r>
      <rPr>
        <b/>
        <sz val="12"/>
        <color indexed="9"/>
        <rFont val="Calibri"/>
        <family val="2"/>
      </rPr>
      <t>Reporting Currency KEGP '000</t>
    </r>
  </si>
  <si>
    <t>Budget 2022- Global</t>
  </si>
  <si>
    <t>Budget 2021 - Global</t>
  </si>
  <si>
    <t>CATEGORY</t>
  </si>
  <si>
    <t>Proj #</t>
  </si>
  <si>
    <t>Proj Name</t>
  </si>
  <si>
    <t>REVENUE</t>
  </si>
  <si>
    <t>Tot Q 1</t>
  </si>
  <si>
    <t>Tot Q 2</t>
  </si>
  <si>
    <t>Tot Q 3</t>
  </si>
  <si>
    <t>Tot Q 4</t>
  </si>
  <si>
    <t>Total Rev.</t>
  </si>
  <si>
    <t>Total Direct Materials</t>
  </si>
  <si>
    <t>Total Direct Tools &amp;  Consumables</t>
  </si>
  <si>
    <t>Total Direct MP</t>
  </si>
  <si>
    <t xml:space="preserve"> Total Indirect MP</t>
  </si>
  <si>
    <t>Total Indirect Expenses</t>
  </si>
  <si>
    <t>Total Subcontract</t>
  </si>
  <si>
    <t>Total Outsourcing</t>
  </si>
  <si>
    <t>Total OSS</t>
  </si>
  <si>
    <t>PGP</t>
  </si>
  <si>
    <t>A</t>
  </si>
  <si>
    <t>Projects</t>
  </si>
  <si>
    <t>Project</t>
  </si>
  <si>
    <t>A1</t>
  </si>
  <si>
    <t>Backlog</t>
  </si>
  <si>
    <t>A1.1</t>
  </si>
  <si>
    <t>RK2 Automation Upgrade Project, HIMA Plant</t>
  </si>
  <si>
    <t>A1.2</t>
  </si>
  <si>
    <t>Ashaka Plant Cement Mill Automation Upgrade</t>
  </si>
  <si>
    <t>A1.3</t>
  </si>
  <si>
    <t>Supply PLC Panel for Cairo Benha Corridor</t>
  </si>
  <si>
    <t>A1.4</t>
  </si>
  <si>
    <t>Electrical installation - Thales</t>
  </si>
  <si>
    <t>A1.5</t>
  </si>
  <si>
    <t>Jotun Phase 2 Project, Electrical &amp; Fire</t>
  </si>
  <si>
    <t>A1.6</t>
  </si>
  <si>
    <t>Jotun Phase 2 Project, Instrumentation System</t>
  </si>
  <si>
    <t>A1.7</t>
  </si>
  <si>
    <t>Electrical Works for TAQA Alexandria</t>
  </si>
  <si>
    <t>A1.8</t>
  </si>
  <si>
    <t>Samsung Tablet</t>
  </si>
  <si>
    <t>A1.9</t>
  </si>
  <si>
    <t>Tower Development</t>
  </si>
  <si>
    <t>A2</t>
  </si>
  <si>
    <t>Pipline</t>
  </si>
  <si>
    <t>A2.1</t>
  </si>
  <si>
    <t>Hayah Karema Project</t>
  </si>
  <si>
    <t>A2.2</t>
  </si>
  <si>
    <t>Erection &amp; Supplies projects</t>
  </si>
  <si>
    <t>A2.3</t>
  </si>
  <si>
    <t>Solar - Sharm Eksheikh</t>
  </si>
  <si>
    <t>A2.4</t>
  </si>
  <si>
    <t>Solar - 1</t>
  </si>
  <si>
    <t>A2.5</t>
  </si>
  <si>
    <t>Solar - 2</t>
  </si>
  <si>
    <t>A2.6</t>
  </si>
  <si>
    <t>Solar - 6th October station</t>
  </si>
  <si>
    <t>B</t>
  </si>
  <si>
    <t>Maintenance</t>
  </si>
  <si>
    <t>B1</t>
  </si>
  <si>
    <t>Long Term Projects</t>
  </si>
  <si>
    <t>B1.1</t>
  </si>
  <si>
    <t>Qena Cement Plant Maintenance 2008</t>
  </si>
  <si>
    <t>B1.2</t>
  </si>
  <si>
    <t>El-Nahda Cement Plant Electrical Mainten</t>
  </si>
  <si>
    <t>B1.3</t>
  </si>
  <si>
    <t>Yearly maintenance activities - manpower</t>
  </si>
  <si>
    <t>B1.4</t>
  </si>
  <si>
    <t>Electrical Maintenance Assistance contra</t>
  </si>
  <si>
    <t>B1.5</t>
  </si>
  <si>
    <t>Instrumentation Technical Assistance</t>
  </si>
  <si>
    <t>B2</t>
  </si>
  <si>
    <t>B2.1</t>
  </si>
  <si>
    <t>Wadi El Nil</t>
  </si>
  <si>
    <t>B2.2</t>
  </si>
  <si>
    <t>B2.3</t>
  </si>
  <si>
    <t>B2.4</t>
  </si>
  <si>
    <t>Cleopatra Hospitals</t>
  </si>
  <si>
    <t>Other hospitals</t>
  </si>
  <si>
    <t>B2.5</t>
  </si>
  <si>
    <t>ElNile badrawy Hospital</t>
  </si>
  <si>
    <t>B3</t>
  </si>
  <si>
    <t>Overhouling</t>
  </si>
  <si>
    <t>B3.1</t>
  </si>
  <si>
    <t>B3.2</t>
  </si>
  <si>
    <t>B3.3</t>
  </si>
  <si>
    <t>B3.4</t>
  </si>
  <si>
    <t>B3.5</t>
  </si>
  <si>
    <t>B3.6</t>
  </si>
  <si>
    <t>B3.7</t>
  </si>
  <si>
    <t>B3.8</t>
  </si>
  <si>
    <t>B3.9</t>
  </si>
  <si>
    <t>B3.10</t>
  </si>
  <si>
    <t>B4</t>
  </si>
  <si>
    <t>B4.1</t>
  </si>
  <si>
    <t>B5</t>
  </si>
  <si>
    <t>B5.1</t>
  </si>
  <si>
    <t>B5.2</t>
  </si>
  <si>
    <t>B5.3</t>
  </si>
  <si>
    <t>B5.4</t>
  </si>
  <si>
    <t>B5.5</t>
  </si>
  <si>
    <t>B5.6</t>
  </si>
  <si>
    <t>B5.7</t>
  </si>
  <si>
    <t>B5.8</t>
  </si>
  <si>
    <t>B5.9</t>
  </si>
  <si>
    <t>B5.10</t>
  </si>
  <si>
    <t>B6</t>
  </si>
  <si>
    <t>B6.1</t>
  </si>
  <si>
    <t>B7</t>
  </si>
  <si>
    <t>Panels</t>
  </si>
  <si>
    <t>B7.1</t>
  </si>
  <si>
    <t>B7.2</t>
  </si>
  <si>
    <t>B7.3</t>
  </si>
  <si>
    <t>B7.4</t>
  </si>
  <si>
    <t>B7.5</t>
  </si>
  <si>
    <t>B7.6</t>
  </si>
  <si>
    <t>B7.7</t>
  </si>
  <si>
    <t>B7.8</t>
  </si>
  <si>
    <t>B7.9</t>
  </si>
  <si>
    <t>B7.10</t>
  </si>
  <si>
    <t>B8</t>
  </si>
  <si>
    <t>B8.1</t>
  </si>
  <si>
    <t>500,000 Residential Units</t>
  </si>
  <si>
    <t>Third Party Revenues</t>
  </si>
  <si>
    <t>Divisions</t>
  </si>
  <si>
    <t>Head Count Dec-2019</t>
  </si>
  <si>
    <t>Head Count Dec -2020</t>
  </si>
  <si>
    <t>Head Count Forecast- 2021</t>
  </si>
  <si>
    <t>Head Count -Dec 2021</t>
  </si>
  <si>
    <t>ASA</t>
  </si>
  <si>
    <t>OS</t>
  </si>
  <si>
    <t xml:space="preserve">ASA </t>
  </si>
  <si>
    <t>Financial&amp; Stores</t>
  </si>
  <si>
    <t>HR &amp; Administration</t>
  </si>
  <si>
    <t>PR &amp; Communication</t>
  </si>
  <si>
    <t xml:space="preserve">Maintenance &amp; workshops </t>
  </si>
  <si>
    <t>Management</t>
  </si>
  <si>
    <t>Operations</t>
  </si>
  <si>
    <t>Commercial &amp; Business Dev.</t>
  </si>
  <si>
    <t>Estimation &amp; Proposals</t>
  </si>
  <si>
    <t>HC</t>
  </si>
  <si>
    <t>Cost</t>
  </si>
  <si>
    <t>الموقف الضريبى والتامينات ديسمبر 2021</t>
  </si>
  <si>
    <t>الاجمالى</t>
  </si>
  <si>
    <t>الغرامات</t>
  </si>
  <si>
    <t>رصيد الضرائب</t>
  </si>
  <si>
    <t>موقف الفحص</t>
  </si>
  <si>
    <t>السنوات</t>
  </si>
  <si>
    <t>نوع الضريبة</t>
  </si>
  <si>
    <t>تم الفحص وسداد جميع الالتزامات</t>
  </si>
  <si>
    <t>من بداية النشاط حتى 2004</t>
  </si>
  <si>
    <t>ضريبة الدخل</t>
  </si>
  <si>
    <t xml:space="preserve">تم الفحص وسداد اصل الضريبة </t>
  </si>
  <si>
    <t>من 2005 حتى 2009</t>
  </si>
  <si>
    <t>جارى تجهيز المستندات للفحص</t>
  </si>
  <si>
    <t>من 2010 حتى 2019</t>
  </si>
  <si>
    <t xml:space="preserve">لم يتم فحص الشركة </t>
  </si>
  <si>
    <t>من 2020 حتى 2021</t>
  </si>
  <si>
    <t>اجمالى ضريبة الدخل</t>
  </si>
  <si>
    <t>من بداية النشاط حتى 2003</t>
  </si>
  <si>
    <t>ضريبة المرتبات</t>
  </si>
  <si>
    <t xml:space="preserve">تم فحص الشركة واخطارها بنتيجة الفحص  </t>
  </si>
  <si>
    <t>من 2004 حتى 2019</t>
  </si>
  <si>
    <t>اجمالى ضريبة المرتبات</t>
  </si>
  <si>
    <t>من بداية النشاط حتى 2007</t>
  </si>
  <si>
    <t>ضريبة القيمة المضافة</t>
  </si>
  <si>
    <t>من 2008 حتى 2014</t>
  </si>
  <si>
    <t>تم الفحص واخطارها بنتيجة الفحص</t>
  </si>
  <si>
    <t>من 2015 حتى 2016</t>
  </si>
  <si>
    <t>تم فحص الشركة ولم تخطر الشركة بنتيجة الفحص</t>
  </si>
  <si>
    <t>من 2017 حتى 2019</t>
  </si>
  <si>
    <t>اجمالى القيمة المضافة</t>
  </si>
  <si>
    <t>عام 2021</t>
  </si>
  <si>
    <t>ضريبة الخصم والاضافة</t>
  </si>
  <si>
    <t>اجمالى ضريبة الخصم والاضافة</t>
  </si>
  <si>
    <t>الرصيد طبقا لاخر برنت التامينات فى ديسمبر 2021</t>
  </si>
  <si>
    <t xml:space="preserve">هيئة التامينات الاجتماعية </t>
  </si>
  <si>
    <t xml:space="preserve"> ضريبة  توزيعات الارباح</t>
  </si>
  <si>
    <t>الاجمالى العام للضرائب والتامينات و الغرامات</t>
  </si>
  <si>
    <t>Q1 2022</t>
  </si>
  <si>
    <t>Q2 2022</t>
  </si>
  <si>
    <t>Q3 2022</t>
  </si>
  <si>
    <t>Q4 2022</t>
  </si>
  <si>
    <t>YTD June 2022</t>
  </si>
  <si>
    <t>YTD Sep. 2022</t>
  </si>
  <si>
    <t>YTD Dec. 2022</t>
  </si>
  <si>
    <t>Oct.-22</t>
  </si>
  <si>
    <t>Dec.-22</t>
  </si>
  <si>
    <t>Nov.-22</t>
  </si>
  <si>
    <t>YTD Oct. 2022</t>
  </si>
  <si>
    <t>Q1 2023</t>
  </si>
  <si>
    <t>Forecast</t>
  </si>
  <si>
    <t>Q2 2023</t>
  </si>
  <si>
    <t>YTD June 2023</t>
  </si>
  <si>
    <t>Q3 2023</t>
  </si>
  <si>
    <t>YTD Sep. 2023</t>
  </si>
  <si>
    <t>Q4 2023</t>
  </si>
  <si>
    <t>YTD Dec. 2023</t>
  </si>
  <si>
    <t>S&amp;M</t>
  </si>
  <si>
    <t>G&amp;A</t>
  </si>
  <si>
    <t>فيزا فرنسا</t>
  </si>
  <si>
    <t>مصاريف سفر المانيا</t>
  </si>
  <si>
    <t>مصاريف سفر دبى</t>
  </si>
  <si>
    <t>مصاريف سفر الفلبين</t>
  </si>
  <si>
    <t>مصاريف ضيافة الوفد الصينى</t>
  </si>
  <si>
    <t xml:space="preserve">Description </t>
  </si>
  <si>
    <t>Amount</t>
  </si>
  <si>
    <t>Projects Facilities</t>
  </si>
  <si>
    <t>Comments</t>
  </si>
  <si>
    <t>Analysis</t>
  </si>
  <si>
    <t>Sale inventory</t>
  </si>
  <si>
    <t>Rev.</t>
  </si>
  <si>
    <t>Inventory cost</t>
  </si>
  <si>
    <t>Punch list</t>
  </si>
  <si>
    <t>Already have 3M under settlement</t>
  </si>
  <si>
    <t>Construction insurance</t>
  </si>
  <si>
    <r>
      <t>Rev.</t>
    </r>
    <r>
      <rPr>
        <b/>
        <sz val="12"/>
        <color theme="1"/>
        <rFont val="Calibri"/>
        <family val="2"/>
        <scheme val="minor"/>
      </rPr>
      <t xml:space="preserve"> (4M Recorded June 23)</t>
    </r>
  </si>
  <si>
    <r>
      <t xml:space="preserve">Cost </t>
    </r>
    <r>
      <rPr>
        <b/>
        <sz val="12"/>
        <color theme="1"/>
        <rFont val="Calibri"/>
        <family val="2"/>
        <scheme val="minor"/>
      </rPr>
      <t>(Recorded June 23)</t>
    </r>
  </si>
  <si>
    <t>POC 2022</t>
  </si>
  <si>
    <t>Estimated</t>
  </si>
  <si>
    <t xml:space="preserve">ATC </t>
  </si>
  <si>
    <t>TAX</t>
  </si>
  <si>
    <t>Elnahda :</t>
  </si>
  <si>
    <t>Beni suef inventory :</t>
  </si>
  <si>
    <t>Legal Fees</t>
  </si>
  <si>
    <t xml:space="preserve">Lawyer </t>
  </si>
  <si>
    <t>Room for TAX</t>
  </si>
  <si>
    <t>VAT</t>
  </si>
  <si>
    <t>Room from Beni suef inventory</t>
  </si>
  <si>
    <t>Law Provision</t>
  </si>
  <si>
    <t>To Cancel DMCC at all and transfer to regular manpower</t>
  </si>
  <si>
    <t>2.3 Old projects - 5.2 New projects</t>
  </si>
  <si>
    <t>Settlements:</t>
  </si>
  <si>
    <t>1 - Qalaa Payments:</t>
  </si>
  <si>
    <t>To be under Aresco Balance.</t>
  </si>
  <si>
    <t>2 - Aresco Land:</t>
  </si>
  <si>
    <t>Buy Part from Land to be able to settle. The old dues.</t>
  </si>
  <si>
    <t>ارباح فروق تغير العمله - كاش</t>
  </si>
  <si>
    <t>تخفيض تكلفه</t>
  </si>
  <si>
    <t>Profit In IS</t>
  </si>
  <si>
    <t>3 - Inventory Evaluation:</t>
  </si>
  <si>
    <t>(تسجيل اشعار حياة كريمة او اعادة توجيه المخصص)</t>
  </si>
  <si>
    <t>شيكات حياة كريمة 1</t>
  </si>
  <si>
    <t>خصومات حياه كريمه 2</t>
  </si>
  <si>
    <t>4 - CBMI - Retention</t>
  </si>
  <si>
    <t>غرامات تامينات اجتماعية</t>
  </si>
  <si>
    <t xml:space="preserve">تم تسجيل زياده مبلغ الغرامات بمبلغ 2.3 </t>
  </si>
  <si>
    <t xml:space="preserve">To be cancel </t>
  </si>
  <si>
    <t>Refund Elnahda</t>
  </si>
  <si>
    <t>ECL</t>
  </si>
  <si>
    <t>القديم</t>
  </si>
  <si>
    <t>ECL Up to Sep.23</t>
  </si>
  <si>
    <t>Remain Risk</t>
  </si>
  <si>
    <t>279KUSD = 8.5MEGP (تم تسويته مع مشروع سيمكس اى يتم تسوية المبلغ مع اقفال مشروع سيمكس كما افاد م/ احمد زكى اليوم 08.01.2024)</t>
  </si>
  <si>
    <r>
      <t>Rev.</t>
    </r>
    <r>
      <rPr>
        <b/>
        <sz val="12"/>
        <color theme="1"/>
        <rFont val="Calibri"/>
        <family val="2"/>
        <scheme val="minor"/>
      </rPr>
      <t xml:space="preserve"> Remain</t>
    </r>
  </si>
  <si>
    <t xml:space="preserve">  +Deffered Tax + Forex</t>
  </si>
  <si>
    <t>SAP</t>
  </si>
  <si>
    <t>Asseto</t>
  </si>
  <si>
    <t>طبقا لربحية المشروع</t>
  </si>
  <si>
    <t>Legal</t>
  </si>
  <si>
    <t>5M to be under aresco balance + 5M to be under paid capital increase</t>
  </si>
  <si>
    <t xml:space="preserve">ظهور قانون الغاء الغرامات فى اغسطس 2024 </t>
  </si>
  <si>
    <t xml:space="preserve"> - Inventory evaluation</t>
  </si>
  <si>
    <t xml:space="preserve"> - Out SAP Materials</t>
  </si>
  <si>
    <t>Not Recorded entries</t>
  </si>
  <si>
    <t>2022 POC</t>
  </si>
  <si>
    <t>5M belong to 2023 + new amount at 2024</t>
  </si>
  <si>
    <t>DMCC + Not recorded MP</t>
  </si>
  <si>
    <t>Income tax Provision</t>
  </si>
  <si>
    <t>صندوق التدريب</t>
  </si>
  <si>
    <t>Q1 2024</t>
  </si>
  <si>
    <t>Forecast 2024</t>
  </si>
  <si>
    <t>MP</t>
  </si>
  <si>
    <t>Increase in Salaries</t>
  </si>
  <si>
    <t>Increase in other G&amp;A And S&amp;M</t>
  </si>
  <si>
    <t>Avarage 2023</t>
  </si>
  <si>
    <t>Totatl 2024 increasment</t>
  </si>
  <si>
    <t>Avarage 2024</t>
  </si>
  <si>
    <t>09.05.2024</t>
  </si>
  <si>
    <t>Forecast A</t>
  </si>
  <si>
    <t>Forecast B</t>
  </si>
  <si>
    <t>Q2 2024</t>
  </si>
  <si>
    <t>YTD June 2024</t>
  </si>
  <si>
    <t>Q3 2024</t>
  </si>
  <si>
    <t>YTD Sep. 2024</t>
  </si>
  <si>
    <t>Q4 2024</t>
  </si>
  <si>
    <t>YTD Dec. 2024</t>
  </si>
  <si>
    <t>KSA</t>
  </si>
  <si>
    <t>Consilidated</t>
  </si>
  <si>
    <t>KSA by Curr.</t>
  </si>
  <si>
    <t xml:space="preserve">SAR </t>
  </si>
  <si>
    <t>مواد خام</t>
  </si>
  <si>
    <t>13.01.2025</t>
  </si>
  <si>
    <t>Income Statement MTD</t>
  </si>
  <si>
    <t>Free Zone</t>
  </si>
  <si>
    <t>Free Zone by Curr.</t>
  </si>
  <si>
    <t>USD</t>
  </si>
  <si>
    <t>Elimination</t>
  </si>
  <si>
    <t>Income statement</t>
  </si>
  <si>
    <t>ASEC Contracting Company - Tax No. 312204601900003</t>
  </si>
  <si>
    <t>01/05/2024 - 31/12/2024</t>
  </si>
  <si>
    <t>Income</t>
  </si>
  <si>
    <t>General and Administrative Expenses</t>
  </si>
  <si>
    <t>Salaries, Allowances, and Employee Benefits</t>
  </si>
  <si>
    <t>Government Fees and Subscriptions</t>
  </si>
  <si>
    <t>Travel and Transportation</t>
  </si>
  <si>
    <t>Banking Expenses</t>
  </si>
  <si>
    <t>Telephone and Postal Service</t>
  </si>
  <si>
    <t>Car and Fuel Expenses</t>
  </si>
  <si>
    <t>Financial and Administrative Consulting</t>
  </si>
  <si>
    <t>Visas</t>
  </si>
  <si>
    <t>Hotels and Housing</t>
  </si>
  <si>
    <t>Income Tax Expenses</t>
  </si>
  <si>
    <t>Business Revenues</t>
  </si>
  <si>
    <t>Contracting Project Revenues</t>
  </si>
  <si>
    <t>Maintenance Revenues</t>
  </si>
  <si>
    <t>Net loss for the period</t>
  </si>
  <si>
    <t>Total total</t>
  </si>
  <si>
    <t>Expenses</t>
  </si>
  <si>
    <t>Rent - Operational</t>
  </si>
  <si>
    <t>Transportation Expenses - Operational</t>
  </si>
  <si>
    <t>Travel and Transfers - Operational</t>
  </si>
  <si>
    <t>Car and Equipment Rental - Operational</t>
  </si>
  <si>
    <t>Maintenance and Repair - Operational</t>
  </si>
  <si>
    <t>Oil and Fuel - Operational</t>
  </si>
  <si>
    <t>Electricity and Water - Operational</t>
  </si>
  <si>
    <t>Stationery and Printing - Operational</t>
  </si>
  <si>
    <t>Miscellaneous Expenses - Operational</t>
  </si>
  <si>
    <t>Labor Benefits - Operational</t>
  </si>
  <si>
    <t>Subcontractor Work</t>
  </si>
  <si>
    <t>Technical Consulting - Operational</t>
  </si>
  <si>
    <t>Operating Expenses</t>
  </si>
  <si>
    <t>Salaries of Hired Labor - Operational</t>
  </si>
  <si>
    <t>Total Provisions</t>
  </si>
  <si>
    <t>Total Gain and loss of sales of Investment</t>
  </si>
  <si>
    <t>Total Gain and loss of sales of Assets</t>
  </si>
  <si>
    <t>Total Discontinued operations</t>
  </si>
  <si>
    <t>Total Forex Income/Loss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</si>
</sst>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_(* #,##0_);_(* \(#,##0\);_(* &quot;-&quot;??_);_(@_)"/>
    <numFmt numFmtId="165" formatCode="[$-409]d\-mmm\-yy;@"/>
    <numFmt numFmtId="166" formatCode="0.0%"/>
    <numFmt numFmtId="167" formatCode="[$-409]mmm\-yy;@"/>
    <numFmt numFmtId="168" formatCode="_(* #,##0.0_);_(* \(#,##0.0\);_(* &quot;-&quot;??_);_(@_)"/>
    <numFmt numFmtId="169" formatCode="#,##0.000000000_);\(#,##0.000000000\)"/>
    <numFmt numFmtId="170" formatCode="_(* #,##0_);[Red]_(* \(#,##0\);_(* &quot;-&quot;_);_(@_)"/>
    <numFmt numFmtId="171" formatCode="_-* #,##0.00_-;\-* #,##0.00_-;_-* &quot;-&quot;??_-;_-@_-"/>
    <numFmt numFmtId="172" formatCode="_(* #,##0.0000_);_(* \(#,##0.0000\);_(* &quot;-&quot;??_);_(@_)"/>
  </numFmts>
  <fonts count="7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22"/>
      <color theme="0"/>
      <name val="Calibri"/>
      <family val="2"/>
      <scheme val="minor"/>
    </font>
    <font>
      <b/>
      <u/>
      <sz val="18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i/>
      <sz val="14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i/>
      <sz val="16"/>
      <color theme="0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i/>
      <u/>
      <sz val="11"/>
      <color theme="1"/>
      <name val="Calibri"/>
      <family val="2"/>
    </font>
    <font>
      <b/>
      <i/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u/>
      <sz val="14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sz val="14"/>
      <color rgb="FF8EFC7C"/>
      <name val="Calibri"/>
      <family val="2"/>
      <scheme val="minor"/>
    </font>
    <font>
      <sz val="10"/>
      <name val="Calibri"/>
      <family val="2"/>
      <scheme val="minor"/>
    </font>
    <font>
      <b/>
      <u/>
      <sz val="14"/>
      <color theme="0"/>
      <name val="Calibri"/>
      <family val="2"/>
      <scheme val="minor"/>
    </font>
    <font>
      <b/>
      <sz val="14"/>
      <color rgb="FF8EFC7C"/>
      <name val="Calibri"/>
      <family val="2"/>
      <scheme val="minor"/>
    </font>
    <font>
      <sz val="14"/>
      <color theme="0"/>
      <name val="Calibri"/>
      <family val="2"/>
      <scheme val="minor"/>
    </font>
    <font>
      <sz val="14"/>
      <name val="Calibri"/>
      <family val="2"/>
      <scheme val="minor"/>
    </font>
    <font>
      <b/>
      <sz val="12"/>
      <color indexed="9"/>
      <name val="Calibri"/>
      <family val="2"/>
    </font>
    <font>
      <b/>
      <i/>
      <u/>
      <sz val="26"/>
      <color theme="0"/>
      <name val="Calibri"/>
      <family val="2"/>
      <scheme val="minor"/>
    </font>
    <font>
      <b/>
      <sz val="28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rgb="FFFFFFFF"/>
      <name val="Calibri"/>
      <family val="2"/>
    </font>
    <font>
      <b/>
      <sz val="14"/>
      <color rgb="FFFFFFFF"/>
      <name val="Calibri"/>
      <family val="2"/>
    </font>
    <font>
      <b/>
      <sz val="20"/>
      <color rgb="FF000000"/>
      <name val="Calibri"/>
      <family val="2"/>
    </font>
    <font>
      <b/>
      <sz val="14"/>
      <color rgb="FF000000"/>
      <name val="Calibri"/>
      <family val="2"/>
    </font>
    <font>
      <b/>
      <sz val="22"/>
      <color rgb="FF000000"/>
      <name val="Calibri"/>
      <family val="2"/>
    </font>
    <font>
      <b/>
      <sz val="20"/>
      <color rgb="FFFFFFFF"/>
      <name val="Calibri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u/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FF0000"/>
      <name val="Calibri"/>
      <family val="2"/>
    </font>
    <font>
      <b/>
      <sz val="12"/>
      <color rgb="FF000000"/>
      <name val="Calibri"/>
      <family val="2"/>
    </font>
    <font>
      <sz val="10"/>
      <color theme="1"/>
      <name val="Inherit"/>
    </font>
  </fonts>
  <fills count="41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EEECE1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286090"/>
        <bgColor rgb="FF286090"/>
      </patternFill>
    </fill>
  </fills>
  <borders count="6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ck">
        <color theme="5" tint="-0.499984740745262"/>
      </top>
      <bottom style="thick">
        <color theme="5" tint="-0.499984740745262"/>
      </bottom>
      <diagonal/>
    </border>
    <border>
      <left/>
      <right/>
      <top style="thick">
        <color theme="5" tint="-0.499984740745262"/>
      </top>
      <bottom style="thick">
        <color theme="5" tint="-0.499984740745262"/>
      </bottom>
      <diagonal/>
    </border>
    <border>
      <left style="medium">
        <color indexed="64"/>
      </left>
      <right/>
      <top style="thick">
        <color theme="5" tint="-0.499984740745262"/>
      </top>
      <bottom style="medium">
        <color indexed="64"/>
      </bottom>
      <diagonal/>
    </border>
    <border>
      <left/>
      <right/>
      <top style="thick">
        <color theme="5" tint="-0.499984740745262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ashed">
        <color indexed="64"/>
      </bottom>
      <diagonal/>
    </border>
    <border>
      <left/>
      <right/>
      <top style="dashed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theme="0" tint="-4.9989318521683403E-2"/>
      </bottom>
      <diagonal/>
    </border>
    <border>
      <left style="medium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 tint="-4.9989318521683403E-2"/>
      </top>
      <bottom/>
      <diagonal/>
    </border>
    <border>
      <left/>
      <right/>
      <top style="thin">
        <color theme="2"/>
      </top>
      <bottom style="thin">
        <color theme="2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/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/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/>
      <top style="dotted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70" fillId="0" borderId="0" applyBorder="0"/>
    <xf numFmtId="43" fontId="70" fillId="0" borderId="0" applyFont="0" applyFill="0" applyBorder="0" applyAlignment="0" applyProtection="0"/>
    <xf numFmtId="9" fontId="70" fillId="0" borderId="0" applyFont="0" applyFill="0" applyBorder="0" applyAlignment="0" applyProtection="0"/>
  </cellStyleXfs>
  <cellXfs count="653">
    <xf numFmtId="0" fontId="0" fillId="0" borderId="0" xfId="0"/>
    <xf numFmtId="9" fontId="0" fillId="0" borderId="0" xfId="1" applyFont="1"/>
    <xf numFmtId="0" fontId="2" fillId="2" borderId="0" xfId="0" applyFont="1" applyFill="1" applyAlignment="1">
      <alignment vertical="center"/>
    </xf>
    <xf numFmtId="165" fontId="2" fillId="2" borderId="0" xfId="0" applyNumberFormat="1" applyFont="1" applyFill="1" applyAlignment="1">
      <alignment horizontal="center" vertical="center" wrapText="1"/>
    </xf>
    <xf numFmtId="3" fontId="0" fillId="3" borderId="0" xfId="0" applyNumberFormat="1" applyFill="1"/>
    <xf numFmtId="0" fontId="0" fillId="0" borderId="0" xfId="0" applyAlignment="1">
      <alignment horizontal="center" vertical="center"/>
    </xf>
    <xf numFmtId="0" fontId="3" fillId="0" borderId="0" xfId="0" applyFont="1"/>
    <xf numFmtId="9" fontId="0" fillId="3" borderId="0" xfId="1" applyFont="1" applyFill="1"/>
    <xf numFmtId="0" fontId="3" fillId="3" borderId="0" xfId="0" applyFont="1" applyFill="1"/>
    <xf numFmtId="37" fontId="3" fillId="3" borderId="0" xfId="2" applyNumberFormat="1" applyFont="1" applyFill="1"/>
    <xf numFmtId="164" fontId="0" fillId="3" borderId="0" xfId="2" applyNumberFormat="1" applyFont="1" applyFill="1"/>
    <xf numFmtId="9" fontId="3" fillId="3" borderId="0" xfId="1" applyFont="1" applyFill="1"/>
    <xf numFmtId="4" fontId="0" fillId="0" borderId="0" xfId="0" applyNumberFormat="1"/>
    <xf numFmtId="43" fontId="0" fillId="3" borderId="0" xfId="2" applyFont="1" applyFill="1"/>
    <xf numFmtId="37" fontId="0" fillId="0" borderId="0" xfId="0" applyNumberFormat="1"/>
    <xf numFmtId="43" fontId="0" fillId="0" borderId="0" xfId="3" applyFont="1"/>
    <xf numFmtId="43" fontId="0" fillId="0" borderId="0" xfId="0" applyNumberFormat="1"/>
    <xf numFmtId="166" fontId="5" fillId="3" borderId="0" xfId="1" applyNumberFormat="1" applyFont="1" applyFill="1"/>
    <xf numFmtId="43" fontId="0" fillId="4" borderId="0" xfId="3" applyFont="1" applyFill="1"/>
    <xf numFmtId="9" fontId="5" fillId="3" borderId="0" xfId="1" applyFont="1" applyFill="1"/>
    <xf numFmtId="166" fontId="8" fillId="3" borderId="0" xfId="1" applyNumberFormat="1" applyFont="1" applyFill="1"/>
    <xf numFmtId="164" fontId="0" fillId="0" borderId="0" xfId="0" applyNumberFormat="1"/>
    <xf numFmtId="0" fontId="0" fillId="0" borderId="5" xfId="0" applyBorder="1"/>
    <xf numFmtId="0" fontId="10" fillId="6" borderId="6" xfId="0" applyFont="1" applyFill="1" applyBorder="1" applyAlignment="1">
      <alignment vertical="center"/>
    </xf>
    <xf numFmtId="0" fontId="11" fillId="0" borderId="0" xfId="0" applyFont="1"/>
    <xf numFmtId="0" fontId="10" fillId="6" borderId="6" xfId="0" applyFont="1" applyFill="1" applyBorder="1" applyAlignment="1">
      <alignment horizontal="center" vertical="center" wrapText="1"/>
    </xf>
    <xf numFmtId="0" fontId="12" fillId="3" borderId="7" xfId="0" applyFont="1" applyFill="1" applyBorder="1" applyAlignment="1">
      <alignment vertical="center"/>
    </xf>
    <xf numFmtId="167" fontId="12" fillId="3" borderId="8" xfId="3" applyNumberFormat="1" applyFont="1" applyFill="1" applyBorder="1" applyAlignment="1">
      <alignment horizontal="center" vertical="center"/>
    </xf>
    <xf numFmtId="0" fontId="13" fillId="0" borderId="0" xfId="0" applyFont="1"/>
    <xf numFmtId="164" fontId="10" fillId="7" borderId="0" xfId="0" applyNumberFormat="1" applyFont="1" applyFill="1"/>
    <xf numFmtId="164" fontId="10" fillId="8" borderId="0" xfId="0" applyNumberFormat="1" applyFont="1" applyFill="1"/>
    <xf numFmtId="0" fontId="14" fillId="0" borderId="6" xfId="0" applyFont="1" applyBorder="1" applyAlignment="1">
      <alignment horizontal="center" vertical="center"/>
    </xf>
    <xf numFmtId="164" fontId="14" fillId="0" borderId="0" xfId="3" applyNumberFormat="1" applyFont="1" applyBorder="1" applyAlignment="1">
      <alignment vertical="center"/>
    </xf>
    <xf numFmtId="164" fontId="14" fillId="5" borderId="0" xfId="3" applyNumberFormat="1" applyFont="1" applyFill="1" applyBorder="1" applyAlignment="1">
      <alignment vertical="center"/>
    </xf>
    <xf numFmtId="164" fontId="15" fillId="0" borderId="0" xfId="0" applyNumberFormat="1" applyFont="1"/>
    <xf numFmtId="0" fontId="15" fillId="0" borderId="0" xfId="0" applyFont="1"/>
    <xf numFmtId="0" fontId="12" fillId="9" borderId="6" xfId="0" applyFont="1" applyFill="1" applyBorder="1" applyAlignment="1">
      <alignment horizontal="center"/>
    </xf>
    <xf numFmtId="164" fontId="11" fillId="9" borderId="0" xfId="3" applyNumberFormat="1" applyFont="1" applyFill="1" applyBorder="1" applyAlignment="1"/>
    <xf numFmtId="0" fontId="13" fillId="0" borderId="6" xfId="0" applyFont="1" applyBorder="1" applyAlignment="1">
      <alignment horizontal="center"/>
    </xf>
    <xf numFmtId="164" fontId="13" fillId="0" borderId="0" xfId="0" applyNumberFormat="1" applyFont="1"/>
    <xf numFmtId="9" fontId="15" fillId="0" borderId="0" xfId="1" applyFont="1"/>
    <xf numFmtId="164" fontId="12" fillId="9" borderId="0" xfId="0" applyNumberFormat="1" applyFont="1" applyFill="1"/>
    <xf numFmtId="164" fontId="12" fillId="9" borderId="0" xfId="3" applyNumberFormat="1" applyFont="1" applyFill="1" applyBorder="1" applyAlignment="1"/>
    <xf numFmtId="0" fontId="12" fillId="10" borderId="6" xfId="0" applyFont="1" applyFill="1" applyBorder="1" applyAlignment="1">
      <alignment horizontal="center"/>
    </xf>
    <xf numFmtId="0" fontId="16" fillId="3" borderId="7" xfId="0" applyFont="1" applyFill="1" applyBorder="1" applyAlignment="1">
      <alignment vertical="center"/>
    </xf>
    <xf numFmtId="164" fontId="16" fillId="3" borderId="8" xfId="3" applyNumberFormat="1" applyFont="1" applyFill="1" applyBorder="1" applyAlignment="1">
      <alignment vertical="center"/>
    </xf>
    <xf numFmtId="0" fontId="17" fillId="11" borderId="7" xfId="0" applyFont="1" applyFill="1" applyBorder="1" applyAlignment="1">
      <alignment vertical="center"/>
    </xf>
    <xf numFmtId="164" fontId="17" fillId="11" borderId="8" xfId="3" applyNumberFormat="1" applyFont="1" applyFill="1" applyBorder="1" applyAlignment="1">
      <alignment vertical="center"/>
    </xf>
    <xf numFmtId="9" fontId="17" fillId="11" borderId="0" xfId="1" applyFont="1" applyFill="1" applyBorder="1" applyAlignment="1">
      <alignment vertical="center"/>
    </xf>
    <xf numFmtId="166" fontId="17" fillId="11" borderId="0" xfId="1" applyNumberFormat="1" applyFont="1" applyFill="1" applyBorder="1" applyAlignment="1">
      <alignment vertical="center"/>
    </xf>
    <xf numFmtId="0" fontId="18" fillId="9" borderId="6" xfId="0" applyFont="1" applyFill="1" applyBorder="1"/>
    <xf numFmtId="0" fontId="16" fillId="9" borderId="6" xfId="0" applyFont="1" applyFill="1" applyBorder="1"/>
    <xf numFmtId="0" fontId="11" fillId="0" borderId="6" xfId="0" applyFont="1" applyBorder="1"/>
    <xf numFmtId="164" fontId="16" fillId="3" borderId="7" xfId="3" applyNumberFormat="1" applyFont="1" applyFill="1" applyBorder="1" applyAlignment="1">
      <alignment vertical="center"/>
    </xf>
    <xf numFmtId="0" fontId="14" fillId="0" borderId="6" xfId="0" applyFont="1" applyBorder="1" applyAlignment="1">
      <alignment vertical="center"/>
    </xf>
    <xf numFmtId="164" fontId="14" fillId="0" borderId="0" xfId="0" applyNumberFormat="1" applyFont="1" applyAlignment="1">
      <alignment vertical="center"/>
    </xf>
    <xf numFmtId="38" fontId="16" fillId="3" borderId="8" xfId="3" applyNumberFormat="1" applyFont="1" applyFill="1" applyBorder="1" applyAlignment="1">
      <alignment vertical="center"/>
    </xf>
    <xf numFmtId="38" fontId="16" fillId="3" borderId="8" xfId="0" applyNumberFormat="1" applyFont="1" applyFill="1" applyBorder="1" applyAlignment="1">
      <alignment vertical="center"/>
    </xf>
    <xf numFmtId="0" fontId="17" fillId="11" borderId="9" xfId="0" applyFont="1" applyFill="1" applyBorder="1" applyAlignment="1">
      <alignment vertical="center"/>
    </xf>
    <xf numFmtId="164" fontId="17" fillId="11" borderId="10" xfId="3" applyNumberFormat="1" applyFont="1" applyFill="1" applyBorder="1" applyAlignment="1">
      <alignment vertical="center"/>
    </xf>
    <xf numFmtId="38" fontId="0" fillId="0" borderId="0" xfId="0" applyNumberFormat="1"/>
    <xf numFmtId="164" fontId="14" fillId="0" borderId="0" xfId="3" applyNumberFormat="1" applyFont="1" applyFill="1" applyBorder="1" applyAlignment="1">
      <alignment vertical="center"/>
    </xf>
    <xf numFmtId="10" fontId="13" fillId="0" borderId="0" xfId="0" applyNumberFormat="1" applyFont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43" fontId="3" fillId="0" borderId="11" xfId="0" applyNumberFormat="1" applyFont="1" applyBorder="1"/>
    <xf numFmtId="43" fontId="0" fillId="0" borderId="0" xfId="0" applyNumberFormat="1" applyAlignment="1">
      <alignment horizontal="left"/>
    </xf>
    <xf numFmtId="43" fontId="0" fillId="0" borderId="12" xfId="0" applyNumberFormat="1" applyBorder="1"/>
    <xf numFmtId="10" fontId="17" fillId="11" borderId="0" xfId="1" applyNumberFormat="1" applyFont="1" applyFill="1" applyBorder="1" applyAlignment="1">
      <alignment vertical="center"/>
    </xf>
    <xf numFmtId="10" fontId="0" fillId="0" borderId="0" xfId="1" applyNumberFormat="1" applyFont="1"/>
    <xf numFmtId="0" fontId="0" fillId="12" borderId="0" xfId="0" applyFill="1"/>
    <xf numFmtId="164" fontId="0" fillId="0" borderId="0" xfId="3" applyNumberFormat="1" applyFont="1"/>
    <xf numFmtId="2" fontId="0" fillId="0" borderId="0" xfId="0" applyNumberFormat="1"/>
    <xf numFmtId="164" fontId="0" fillId="0" borderId="0" xfId="3" applyNumberFormat="1" applyFont="1" applyAlignment="1">
      <alignment horizontal="center" vertical="center"/>
    </xf>
    <xf numFmtId="38" fontId="20" fillId="0" borderId="13" xfId="0" applyNumberFormat="1" applyFont="1" applyBorder="1"/>
    <xf numFmtId="43" fontId="0" fillId="0" borderId="0" xfId="0" applyNumberFormat="1" applyAlignment="1">
      <alignment horizontal="center" vertical="center"/>
    </xf>
    <xf numFmtId="38" fontId="22" fillId="13" borderId="0" xfId="0" applyNumberFormat="1" applyFont="1" applyFill="1" applyAlignment="1">
      <alignment horizontal="center" vertical="center"/>
    </xf>
    <xf numFmtId="9" fontId="0" fillId="0" borderId="0" xfId="0" applyNumberFormat="1"/>
    <xf numFmtId="9" fontId="0" fillId="14" borderId="0" xfId="0" applyNumberFormat="1" applyFill="1"/>
    <xf numFmtId="9" fontId="23" fillId="15" borderId="0" xfId="0" applyNumberFormat="1" applyFont="1" applyFill="1"/>
    <xf numFmtId="0" fontId="23" fillId="15" borderId="0" xfId="0" applyFont="1" applyFill="1"/>
    <xf numFmtId="9" fontId="23" fillId="15" borderId="0" xfId="1" applyFont="1" applyFill="1"/>
    <xf numFmtId="0" fontId="24" fillId="0" borderId="0" xfId="0" applyFont="1"/>
    <xf numFmtId="38" fontId="25" fillId="13" borderId="0" xfId="0" applyNumberFormat="1" applyFont="1" applyFill="1" applyAlignment="1">
      <alignment horizontal="center" vertical="justify"/>
    </xf>
    <xf numFmtId="38" fontId="25" fillId="13" borderId="0" xfId="0" applyNumberFormat="1" applyFont="1" applyFill="1" applyAlignment="1">
      <alignment horizontal="center" vertical="center"/>
    </xf>
    <xf numFmtId="38" fontId="25" fillId="13" borderId="0" xfId="0" applyNumberFormat="1" applyFont="1" applyFill="1" applyAlignment="1">
      <alignment horizontal="center" vertical="center" wrapText="1"/>
    </xf>
    <xf numFmtId="38" fontId="23" fillId="13" borderId="0" xfId="0" applyNumberFormat="1" applyFont="1" applyFill="1" applyAlignment="1">
      <alignment vertical="top" wrapText="1"/>
    </xf>
    <xf numFmtId="170" fontId="28" fillId="16" borderId="0" xfId="4" applyNumberFormat="1" applyFont="1" applyFill="1" applyAlignment="1">
      <alignment horizontal="center" vertical="center"/>
    </xf>
    <xf numFmtId="3" fontId="28" fillId="16" borderId="0" xfId="4" applyNumberFormat="1" applyFont="1" applyFill="1" applyAlignment="1">
      <alignment horizontal="center" vertical="center"/>
    </xf>
    <xf numFmtId="43" fontId="28" fillId="16" borderId="0" xfId="4" applyNumberFormat="1" applyFont="1" applyFill="1" applyAlignment="1">
      <alignment horizontal="center" vertical="center"/>
    </xf>
    <xf numFmtId="170" fontId="28" fillId="16" borderId="0" xfId="4" applyNumberFormat="1" applyFont="1" applyFill="1" applyAlignment="1">
      <alignment horizontal="left" vertical="center"/>
    </xf>
    <xf numFmtId="38" fontId="29" fillId="13" borderId="0" xfId="0" applyNumberFormat="1" applyFont="1" applyFill="1" applyAlignment="1">
      <alignment horizontal="center" vertical="center"/>
    </xf>
    <xf numFmtId="170" fontId="28" fillId="17" borderId="0" xfId="4" applyNumberFormat="1" applyFont="1" applyFill="1" applyAlignment="1">
      <alignment horizontal="center" vertical="center"/>
    </xf>
    <xf numFmtId="3" fontId="28" fillId="17" borderId="0" xfId="4" applyNumberFormat="1" applyFont="1" applyFill="1" applyAlignment="1">
      <alignment horizontal="center" vertical="center"/>
    </xf>
    <xf numFmtId="43" fontId="28" fillId="17" borderId="0" xfId="4" applyNumberFormat="1" applyFont="1" applyFill="1" applyAlignment="1">
      <alignment horizontal="center" vertical="center"/>
    </xf>
    <xf numFmtId="170" fontId="8" fillId="16" borderId="0" xfId="4" applyNumberFormat="1" applyFont="1" applyFill="1" applyAlignment="1">
      <alignment horizontal="left" vertical="center"/>
    </xf>
    <xf numFmtId="38" fontId="25" fillId="18" borderId="0" xfId="0" applyNumberFormat="1" applyFont="1" applyFill="1" applyAlignment="1">
      <alignment horizontal="center" vertical="center"/>
    </xf>
    <xf numFmtId="170" fontId="22" fillId="18" borderId="0" xfId="4" applyNumberFormat="1" applyFont="1" applyFill="1" applyAlignment="1">
      <alignment horizontal="center" vertical="center"/>
    </xf>
    <xf numFmtId="9" fontId="28" fillId="16" borderId="0" xfId="1" applyFont="1" applyFill="1" applyAlignment="1">
      <alignment horizontal="center" vertical="center"/>
    </xf>
    <xf numFmtId="3" fontId="22" fillId="18" borderId="0" xfId="4" applyNumberFormat="1" applyFont="1" applyFill="1" applyAlignment="1">
      <alignment horizontal="center" vertical="center"/>
    </xf>
    <xf numFmtId="38" fontId="22" fillId="13" borderId="0" xfId="0" applyNumberFormat="1" applyFont="1" applyFill="1" applyAlignment="1">
      <alignment horizontal="left" vertical="center"/>
    </xf>
    <xf numFmtId="0" fontId="30" fillId="19" borderId="0" xfId="0" applyFont="1" applyFill="1" applyAlignment="1">
      <alignment horizontal="center" vertical="center" wrapText="1"/>
    </xf>
    <xf numFmtId="164" fontId="0" fillId="19" borderId="14" xfId="0" applyNumberFormat="1" applyFill="1" applyBorder="1" applyAlignment="1">
      <alignment horizontal="center" vertical="center"/>
    </xf>
    <xf numFmtId="164" fontId="0" fillId="19" borderId="0" xfId="0" applyNumberFormat="1" applyFill="1" applyAlignment="1">
      <alignment horizontal="center" vertical="center"/>
    </xf>
    <xf numFmtId="9" fontId="20" fillId="16" borderId="0" xfId="1" applyFont="1" applyFill="1" applyBorder="1" applyAlignment="1">
      <alignment horizontal="center" vertical="center"/>
    </xf>
    <xf numFmtId="3" fontId="0" fillId="19" borderId="14" xfId="0" applyNumberFormat="1" applyFill="1" applyBorder="1" applyAlignment="1">
      <alignment horizontal="center" vertical="center"/>
    </xf>
    <xf numFmtId="43" fontId="0" fillId="19" borderId="14" xfId="0" applyNumberFormat="1" applyFill="1" applyBorder="1" applyAlignment="1">
      <alignment horizontal="center" vertical="center"/>
    </xf>
    <xf numFmtId="38" fontId="3" fillId="16" borderId="14" xfId="0" applyNumberFormat="1" applyFont="1" applyFill="1" applyBorder="1" applyAlignment="1">
      <alignment horizontal="center"/>
    </xf>
    <xf numFmtId="164" fontId="3" fillId="16" borderId="14" xfId="0" applyNumberFormat="1" applyFont="1" applyFill="1" applyBorder="1" applyAlignment="1">
      <alignment horizontal="center" vertical="center"/>
    </xf>
    <xf numFmtId="0" fontId="31" fillId="5" borderId="0" xfId="0" applyFont="1" applyFill="1"/>
    <xf numFmtId="164" fontId="0" fillId="0" borderId="0" xfId="0" applyNumberFormat="1" applyAlignment="1">
      <alignment horizontal="center" vertical="center"/>
    </xf>
    <xf numFmtId="164" fontId="3" fillId="0" borderId="0" xfId="3" applyNumberFormat="1" applyFont="1"/>
    <xf numFmtId="170" fontId="3" fillId="0" borderId="0" xfId="0" applyNumberFormat="1" applyFont="1"/>
    <xf numFmtId="170" fontId="32" fillId="17" borderId="0" xfId="4" applyNumberFormat="1" applyFont="1" applyFill="1" applyAlignment="1">
      <alignment horizontal="center" vertical="center"/>
    </xf>
    <xf numFmtId="38" fontId="0" fillId="0" borderId="0" xfId="0" applyNumberFormat="1" applyAlignment="1">
      <alignment horizontal="center" vertical="center"/>
    </xf>
    <xf numFmtId="38" fontId="3" fillId="0" borderId="0" xfId="0" applyNumberFormat="1" applyFont="1"/>
    <xf numFmtId="166" fontId="20" fillId="16" borderId="0" xfId="1" applyNumberFormat="1" applyFont="1" applyFill="1" applyBorder="1" applyAlignment="1">
      <alignment horizontal="center" vertical="center"/>
    </xf>
    <xf numFmtId="164" fontId="0" fillId="0" borderId="0" xfId="0" applyNumberFormat="1" applyAlignment="1">
      <alignment horizontal="right" vertical="center"/>
    </xf>
    <xf numFmtId="164" fontId="8" fillId="0" borderId="0" xfId="3" applyNumberFormat="1" applyFont="1" applyBorder="1" applyAlignment="1">
      <alignment horizontal="right"/>
    </xf>
    <xf numFmtId="38" fontId="0" fillId="5" borderId="14" xfId="0" applyNumberFormat="1" applyFill="1" applyBorder="1"/>
    <xf numFmtId="38" fontId="0" fillId="16" borderId="14" xfId="0" applyNumberFormat="1" applyFill="1" applyBorder="1"/>
    <xf numFmtId="38" fontId="0" fillId="16" borderId="0" xfId="0" applyNumberFormat="1" applyFill="1"/>
    <xf numFmtId="38" fontId="0" fillId="16" borderId="14" xfId="0" applyNumberFormat="1" applyFill="1" applyBorder="1" applyAlignment="1">
      <alignment horizontal="center" vertical="center"/>
    </xf>
    <xf numFmtId="38" fontId="3" fillId="16" borderId="14" xfId="0" applyNumberFormat="1" applyFont="1" applyFill="1" applyBorder="1"/>
    <xf numFmtId="164" fontId="0" fillId="5" borderId="14" xfId="0" applyNumberFormat="1" applyFill="1" applyBorder="1"/>
    <xf numFmtId="164" fontId="9" fillId="16" borderId="14" xfId="0" applyNumberFormat="1" applyFont="1" applyFill="1" applyBorder="1"/>
    <xf numFmtId="164" fontId="0" fillId="16" borderId="0" xfId="0" applyNumberFormat="1" applyFill="1"/>
    <xf numFmtId="164" fontId="0" fillId="16" borderId="14" xfId="0" applyNumberFormat="1" applyFill="1" applyBorder="1"/>
    <xf numFmtId="164" fontId="0" fillId="16" borderId="14" xfId="0" applyNumberFormat="1" applyFill="1" applyBorder="1" applyAlignment="1">
      <alignment horizontal="center" vertical="center"/>
    </xf>
    <xf numFmtId="9" fontId="0" fillId="16" borderId="0" xfId="1" applyFont="1" applyFill="1" applyBorder="1"/>
    <xf numFmtId="164" fontId="3" fillId="16" borderId="15" xfId="3" applyNumberFormat="1" applyFont="1" applyFill="1" applyBorder="1" applyAlignment="1">
      <alignment horizontal="center"/>
    </xf>
    <xf numFmtId="164" fontId="3" fillId="16" borderId="15" xfId="3" applyNumberFormat="1" applyFont="1" applyFill="1" applyBorder="1"/>
    <xf numFmtId="164" fontId="0" fillId="16" borderId="0" xfId="0" applyNumberFormat="1" applyFill="1" applyAlignment="1">
      <alignment horizontal="center" vertical="center"/>
    </xf>
    <xf numFmtId="164" fontId="0" fillId="16" borderId="0" xfId="3" applyNumberFormat="1" applyFont="1" applyFill="1" applyBorder="1"/>
    <xf numFmtId="164" fontId="0" fillId="16" borderId="0" xfId="3" applyNumberFormat="1" applyFont="1" applyFill="1" applyBorder="1" applyAlignment="1">
      <alignment horizontal="center" vertical="center"/>
    </xf>
    <xf numFmtId="9" fontId="3" fillId="16" borderId="14" xfId="1" applyFont="1" applyFill="1" applyBorder="1" applyAlignment="1">
      <alignment horizontal="center"/>
    </xf>
    <xf numFmtId="9" fontId="3" fillId="16" borderId="14" xfId="1" applyFont="1" applyFill="1" applyBorder="1"/>
    <xf numFmtId="10" fontId="3" fillId="16" borderId="14" xfId="1" applyNumberFormat="1" applyFont="1" applyFill="1" applyBorder="1"/>
    <xf numFmtId="9" fontId="3" fillId="16" borderId="0" xfId="1" applyFont="1" applyFill="1" applyBorder="1" applyAlignment="1">
      <alignment horizontal="center"/>
    </xf>
    <xf numFmtId="9" fontId="3" fillId="16" borderId="0" xfId="1" applyFont="1" applyFill="1" applyBorder="1"/>
    <xf numFmtId="10" fontId="3" fillId="16" borderId="0" xfId="1" applyNumberFormat="1" applyFont="1" applyFill="1" applyBorder="1"/>
    <xf numFmtId="38" fontId="3" fillId="19" borderId="14" xfId="0" applyNumberFormat="1" applyFont="1" applyFill="1" applyBorder="1" applyAlignment="1">
      <alignment horizontal="center" vertical="center"/>
    </xf>
    <xf numFmtId="164" fontId="3" fillId="19" borderId="14" xfId="0" applyNumberFormat="1" applyFont="1" applyFill="1" applyBorder="1" applyAlignment="1">
      <alignment horizontal="center" vertical="center"/>
    </xf>
    <xf numFmtId="164" fontId="3" fillId="16" borderId="14" xfId="3" applyNumberFormat="1" applyFont="1" applyFill="1" applyBorder="1" applyAlignment="1">
      <alignment horizontal="center"/>
    </xf>
    <xf numFmtId="164" fontId="3" fillId="16" borderId="14" xfId="3" applyNumberFormat="1" applyFont="1" applyFill="1" applyBorder="1"/>
    <xf numFmtId="170" fontId="8" fillId="0" borderId="0" xfId="4" applyNumberFormat="1" applyFont="1" applyAlignment="1">
      <alignment horizontal="right"/>
    </xf>
    <xf numFmtId="38" fontId="3" fillId="16" borderId="0" xfId="0" applyNumberFormat="1" applyFont="1" applyFill="1" applyAlignment="1">
      <alignment horizontal="center" vertical="center"/>
    </xf>
    <xf numFmtId="0" fontId="32" fillId="0" borderId="0" xfId="0" applyFont="1" applyAlignment="1">
      <alignment horizontal="center" vertical="center"/>
    </xf>
    <xf numFmtId="170" fontId="8" fillId="0" borderId="0" xfId="4" applyNumberFormat="1" applyFont="1" applyAlignment="1">
      <alignment horizontal="center" vertical="center"/>
    </xf>
    <xf numFmtId="40" fontId="3" fillId="17" borderId="0" xfId="0" applyNumberFormat="1" applyFont="1" applyFill="1" applyAlignment="1">
      <alignment horizontal="center" vertical="center"/>
    </xf>
    <xf numFmtId="170" fontId="8" fillId="17" borderId="0" xfId="4" applyNumberFormat="1" applyFont="1" applyFill="1" applyAlignment="1">
      <alignment horizontal="center"/>
    </xf>
    <xf numFmtId="170" fontId="20" fillId="0" borderId="0" xfId="4" applyNumberFormat="1" applyFont="1" applyAlignment="1">
      <alignment horizontal="right"/>
    </xf>
    <xf numFmtId="0" fontId="33" fillId="12" borderId="0" xfId="0" applyFont="1" applyFill="1" applyAlignment="1">
      <alignment horizontal="center" vertical="center"/>
    </xf>
    <xf numFmtId="9" fontId="20" fillId="19" borderId="0" xfId="1" applyFont="1" applyFill="1" applyBorder="1" applyAlignment="1">
      <alignment horizontal="center" vertical="center"/>
    </xf>
    <xf numFmtId="164" fontId="0" fillId="19" borderId="14" xfId="3" applyNumberFormat="1" applyFont="1" applyFill="1" applyBorder="1" applyAlignment="1">
      <alignment horizontal="center" vertical="center"/>
    </xf>
    <xf numFmtId="164" fontId="0" fillId="19" borderId="0" xfId="3" applyNumberFormat="1" applyFont="1" applyFill="1" applyBorder="1" applyAlignment="1">
      <alignment horizontal="center" vertical="center"/>
    </xf>
    <xf numFmtId="38" fontId="0" fillId="19" borderId="14" xfId="3" applyNumberFormat="1" applyFont="1" applyFill="1" applyBorder="1" applyAlignment="1">
      <alignment horizontal="center" vertical="center"/>
    </xf>
    <xf numFmtId="38" fontId="3" fillId="19" borderId="14" xfId="3" applyNumberFormat="1" applyFont="1" applyFill="1" applyBorder="1" applyAlignment="1">
      <alignment horizontal="center" vertical="center"/>
    </xf>
    <xf numFmtId="0" fontId="0" fillId="20" borderId="0" xfId="0" applyFill="1"/>
    <xf numFmtId="9" fontId="20" fillId="16" borderId="0" xfId="1" applyFont="1" applyFill="1" applyBorder="1" applyAlignment="1">
      <alignment horizontal="center"/>
    </xf>
    <xf numFmtId="0" fontId="0" fillId="20" borderId="0" xfId="0" applyFill="1" applyAlignment="1">
      <alignment horizontal="center" vertical="center"/>
    </xf>
    <xf numFmtId="164" fontId="0" fillId="20" borderId="0" xfId="3" applyNumberFormat="1" applyFont="1" applyFill="1"/>
    <xf numFmtId="164" fontId="0" fillId="20" borderId="0" xfId="3" applyNumberFormat="1" applyFont="1" applyFill="1" applyAlignment="1">
      <alignment horizontal="center" vertical="center"/>
    </xf>
    <xf numFmtId="0" fontId="34" fillId="0" borderId="0" xfId="0" applyFont="1" applyAlignment="1">
      <alignment horizontal="left"/>
    </xf>
    <xf numFmtId="38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  <xf numFmtId="9" fontId="0" fillId="0" borderId="0" xfId="1" applyFont="1" applyAlignment="1">
      <alignment horizontal="center" vertical="center"/>
    </xf>
    <xf numFmtId="0" fontId="31" fillId="0" borderId="0" xfId="0" applyFont="1" applyAlignment="1">
      <alignment horizontal="center"/>
    </xf>
    <xf numFmtId="38" fontId="3" fillId="0" borderId="0" xfId="0" applyNumberFormat="1" applyFont="1" applyAlignment="1">
      <alignment horizontal="center"/>
    </xf>
    <xf numFmtId="0" fontId="0" fillId="0" borderId="0" xfId="0" applyAlignment="1">
      <alignment horizontal="left" vertical="center"/>
    </xf>
    <xf numFmtId="38" fontId="0" fillId="5" borderId="0" xfId="0" applyNumberFormat="1" applyFill="1" applyAlignment="1">
      <alignment horizontal="center"/>
    </xf>
    <xf numFmtId="38" fontId="0" fillId="5" borderId="0" xfId="0" applyNumberFormat="1" applyFill="1" applyAlignment="1">
      <alignment horizontal="right"/>
    </xf>
    <xf numFmtId="9" fontId="20" fillId="16" borderId="0" xfId="1" applyFont="1" applyFill="1" applyBorder="1" applyAlignment="1">
      <alignment horizontal="right"/>
    </xf>
    <xf numFmtId="38" fontId="0" fillId="0" borderId="0" xfId="0" applyNumberFormat="1" applyAlignment="1">
      <alignment horizontal="right"/>
    </xf>
    <xf numFmtId="38" fontId="0" fillId="0" borderId="0" xfId="0" applyNumberFormat="1" applyAlignment="1">
      <alignment horizontal="right" vertical="center"/>
    </xf>
    <xf numFmtId="38" fontId="0" fillId="20" borderId="0" xfId="0" applyNumberFormat="1" applyFill="1"/>
    <xf numFmtId="38" fontId="0" fillId="20" borderId="0" xfId="0" applyNumberFormat="1" applyFill="1" applyAlignment="1">
      <alignment horizontal="center" vertical="center"/>
    </xf>
    <xf numFmtId="0" fontId="0" fillId="0" borderId="16" xfId="0" applyBorder="1"/>
    <xf numFmtId="0" fontId="0" fillId="16" borderId="0" xfId="0" applyFill="1"/>
    <xf numFmtId="9" fontId="0" fillId="16" borderId="14" xfId="1" applyFont="1" applyFill="1" applyBorder="1"/>
    <xf numFmtId="164" fontId="0" fillId="16" borderId="17" xfId="0" applyNumberFormat="1" applyFill="1" applyBorder="1" applyAlignment="1">
      <alignment horizontal="center"/>
    </xf>
    <xf numFmtId="10" fontId="0" fillId="16" borderId="14" xfId="1" applyNumberFormat="1" applyFont="1" applyFill="1" applyBorder="1"/>
    <xf numFmtId="10" fontId="0" fillId="16" borderId="0" xfId="1" applyNumberFormat="1" applyFont="1" applyFill="1" applyBorder="1"/>
    <xf numFmtId="10" fontId="0" fillId="16" borderId="14" xfId="1" applyNumberFormat="1" applyFont="1" applyFill="1" applyBorder="1" applyAlignment="1">
      <alignment horizontal="center" vertical="center"/>
    </xf>
    <xf numFmtId="10" fontId="3" fillId="16" borderId="17" xfId="1" applyNumberFormat="1" applyFont="1" applyFill="1" applyBorder="1" applyAlignment="1">
      <alignment horizontal="center"/>
    </xf>
    <xf numFmtId="0" fontId="35" fillId="0" borderId="0" xfId="0" applyFont="1"/>
    <xf numFmtId="10" fontId="35" fillId="16" borderId="14" xfId="1" applyNumberFormat="1" applyFont="1" applyFill="1" applyBorder="1"/>
    <xf numFmtId="0" fontId="0" fillId="20" borderId="0" xfId="0" applyFill="1" applyAlignment="1">
      <alignment horizontal="left"/>
    </xf>
    <xf numFmtId="38" fontId="0" fillId="20" borderId="0" xfId="0" applyNumberFormat="1" applyFill="1" applyAlignment="1">
      <alignment horizontal="right"/>
    </xf>
    <xf numFmtId="0" fontId="0" fillId="12" borderId="0" xfId="0" applyFill="1" applyAlignment="1">
      <alignment horizontal="right"/>
    </xf>
    <xf numFmtId="0" fontId="3" fillId="0" borderId="0" xfId="0" applyFont="1" applyAlignment="1">
      <alignment horizontal="right"/>
    </xf>
    <xf numFmtId="38" fontId="3" fillId="0" borderId="0" xfId="0" applyNumberFormat="1" applyFont="1" applyAlignment="1">
      <alignment horizontal="right"/>
    </xf>
    <xf numFmtId="43" fontId="0" fillId="20" borderId="0" xfId="0" applyNumberFormat="1" applyFill="1"/>
    <xf numFmtId="38" fontId="0" fillId="16" borderId="0" xfId="0" applyNumberFormat="1" applyFill="1" applyAlignment="1">
      <alignment horizontal="center" vertical="center"/>
    </xf>
    <xf numFmtId="164" fontId="9" fillId="0" borderId="0" xfId="0" applyNumberFormat="1" applyFont="1"/>
    <xf numFmtId="38" fontId="3" fillId="16" borderId="15" xfId="3" applyNumberFormat="1" applyFont="1" applyFill="1" applyBorder="1"/>
    <xf numFmtId="164" fontId="0" fillId="0" borderId="0" xfId="3" applyNumberFormat="1" applyFont="1" applyAlignment="1">
      <alignment vertical="center"/>
    </xf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43" fontId="0" fillId="0" borderId="0" xfId="0" applyNumberFormat="1" applyAlignment="1">
      <alignment vertical="center"/>
    </xf>
    <xf numFmtId="164" fontId="36" fillId="21" borderId="0" xfId="3" applyNumberFormat="1" applyFont="1" applyFill="1" applyAlignment="1">
      <alignment vertical="center"/>
    </xf>
    <xf numFmtId="38" fontId="25" fillId="13" borderId="0" xfId="0" applyNumberFormat="1" applyFont="1" applyFill="1" applyAlignment="1">
      <alignment horizontal="left" vertical="center"/>
    </xf>
    <xf numFmtId="0" fontId="36" fillId="17" borderId="0" xfId="0" applyFont="1" applyFill="1"/>
    <xf numFmtId="164" fontId="0" fillId="17" borderId="0" xfId="3" applyNumberFormat="1" applyFont="1" applyFill="1" applyBorder="1" applyAlignment="1">
      <alignment horizontal="center" vertical="center"/>
    </xf>
    <xf numFmtId="164" fontId="0" fillId="17" borderId="0" xfId="3" applyNumberFormat="1" applyFont="1" applyFill="1" applyAlignment="1">
      <alignment horizontal="center" vertical="center"/>
    </xf>
    <xf numFmtId="0" fontId="36" fillId="0" borderId="0" xfId="0" applyFont="1"/>
    <xf numFmtId="164" fontId="0" fillId="0" borderId="0" xfId="3" applyNumberFormat="1" applyFont="1" applyBorder="1" applyAlignment="1">
      <alignment horizontal="center" vertical="center"/>
    </xf>
    <xf numFmtId="164" fontId="19" fillId="22" borderId="14" xfId="3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left"/>
    </xf>
    <xf numFmtId="0" fontId="37" fillId="21" borderId="0" xfId="0" applyFont="1" applyFill="1" applyAlignment="1">
      <alignment horizontal="left" vertical="center"/>
    </xf>
    <xf numFmtId="164" fontId="20" fillId="0" borderId="0" xfId="3" applyNumberFormat="1" applyFont="1" applyFill="1" applyBorder="1" applyAlignment="1">
      <alignment horizontal="center" vertical="center"/>
    </xf>
    <xf numFmtId="0" fontId="38" fillId="0" borderId="0" xfId="0" applyFont="1" applyAlignment="1">
      <alignment horizontal="left" vertical="center"/>
    </xf>
    <xf numFmtId="9" fontId="0" fillId="17" borderId="0" xfId="1" applyFont="1" applyFill="1" applyAlignment="1">
      <alignment horizontal="center" vertical="center"/>
    </xf>
    <xf numFmtId="0" fontId="38" fillId="17" borderId="0" xfId="0" applyFont="1" applyFill="1" applyAlignment="1">
      <alignment horizontal="left" vertical="center"/>
    </xf>
    <xf numFmtId="170" fontId="0" fillId="0" borderId="0" xfId="0" applyNumberFormat="1"/>
    <xf numFmtId="9" fontId="1" fillId="0" borderId="0" xfId="1" applyFont="1" applyBorder="1"/>
    <xf numFmtId="39" fontId="3" fillId="23" borderId="14" xfId="0" applyNumberFormat="1" applyFont="1" applyFill="1" applyBorder="1" applyAlignment="1">
      <alignment horizontal="right"/>
    </xf>
    <xf numFmtId="38" fontId="21" fillId="13" borderId="0" xfId="0" applyNumberFormat="1" applyFont="1" applyFill="1" applyAlignment="1">
      <alignment horizontal="center" vertical="center"/>
    </xf>
    <xf numFmtId="43" fontId="28" fillId="16" borderId="0" xfId="3" applyFont="1" applyFill="1" applyAlignment="1">
      <alignment horizontal="center" vertical="center"/>
    </xf>
    <xf numFmtId="0" fontId="20" fillId="0" borderId="0" xfId="0" applyFont="1"/>
    <xf numFmtId="38" fontId="40" fillId="24" borderId="0" xfId="0" applyNumberFormat="1" applyFont="1" applyFill="1" applyAlignment="1">
      <alignment horizontal="center"/>
    </xf>
    <xf numFmtId="0" fontId="20" fillId="0" borderId="0" xfId="4" applyFont="1"/>
    <xf numFmtId="38" fontId="20" fillId="0" borderId="0" xfId="0" applyNumberFormat="1" applyFont="1"/>
    <xf numFmtId="164" fontId="41" fillId="0" borderId="0" xfId="3" applyNumberFormat="1" applyFont="1" applyFill="1" applyBorder="1" applyAlignment="1">
      <alignment vertical="justify"/>
    </xf>
    <xf numFmtId="0" fontId="41" fillId="0" borderId="0" xfId="4" applyFont="1"/>
    <xf numFmtId="0" fontId="21" fillId="25" borderId="0" xfId="0" applyFont="1" applyFill="1" applyAlignment="1">
      <alignment vertical="center"/>
    </xf>
    <xf numFmtId="0" fontId="25" fillId="25" borderId="0" xfId="0" applyFont="1" applyFill="1" applyAlignment="1">
      <alignment horizontal="center" vertical="justify"/>
    </xf>
    <xf numFmtId="0" fontId="20" fillId="26" borderId="0" xfId="4" applyFont="1" applyFill="1"/>
    <xf numFmtId="170" fontId="20" fillId="26" borderId="0" xfId="4" applyNumberFormat="1" applyFont="1" applyFill="1" applyAlignment="1">
      <alignment horizontal="right"/>
    </xf>
    <xf numFmtId="0" fontId="20" fillId="16" borderId="0" xfId="4" applyFont="1" applyFill="1"/>
    <xf numFmtId="170" fontId="20" fillId="16" borderId="0" xfId="4" applyNumberFormat="1" applyFont="1" applyFill="1" applyAlignment="1">
      <alignment horizontal="right"/>
    </xf>
    <xf numFmtId="0" fontId="41" fillId="27" borderId="0" xfId="4" applyFont="1" applyFill="1"/>
    <xf numFmtId="170" fontId="41" fillId="27" borderId="0" xfId="4" applyNumberFormat="1" applyFont="1" applyFill="1" applyAlignment="1">
      <alignment horizontal="right"/>
    </xf>
    <xf numFmtId="9" fontId="41" fillId="27" borderId="0" xfId="1" applyFont="1" applyFill="1" applyBorder="1" applyAlignment="1">
      <alignment horizontal="right"/>
    </xf>
    <xf numFmtId="9" fontId="20" fillId="0" borderId="0" xfId="1" applyFont="1" applyBorder="1"/>
    <xf numFmtId="164" fontId="20" fillId="0" borderId="0" xfId="3" applyNumberFormat="1" applyFont="1" applyBorder="1" applyAlignment="1">
      <alignment horizontal="right"/>
    </xf>
    <xf numFmtId="0" fontId="21" fillId="25" borderId="0" xfId="0" applyFont="1" applyFill="1" applyAlignment="1">
      <alignment horizontal="center" vertical="center"/>
    </xf>
    <xf numFmtId="0" fontId="25" fillId="25" borderId="0" xfId="0" applyFont="1" applyFill="1" applyAlignment="1">
      <alignment horizontal="center" vertical="center"/>
    </xf>
    <xf numFmtId="0" fontId="20" fillId="0" borderId="0" xfId="4" applyFont="1" applyAlignment="1">
      <alignment horizontal="center" vertical="center"/>
    </xf>
    <xf numFmtId="0" fontId="20" fillId="0" borderId="18" xfId="4" applyFont="1" applyBorder="1"/>
    <xf numFmtId="170" fontId="20" fillId="0" borderId="18" xfId="4" applyNumberFormat="1" applyFont="1" applyBorder="1" applyAlignment="1">
      <alignment horizontal="right"/>
    </xf>
    <xf numFmtId="0" fontId="41" fillId="27" borderId="0" xfId="4" applyFont="1" applyFill="1" applyAlignment="1">
      <alignment horizontal="center" vertical="center"/>
    </xf>
    <xf numFmtId="170" fontId="41" fillId="27" borderId="0" xfId="4" applyNumberFormat="1" applyFont="1" applyFill="1" applyAlignment="1">
      <alignment horizontal="center" vertical="center"/>
    </xf>
    <xf numFmtId="0" fontId="21" fillId="25" borderId="0" xfId="0" applyFont="1" applyFill="1" applyAlignment="1">
      <alignment horizontal="left" vertical="center"/>
    </xf>
    <xf numFmtId="0" fontId="20" fillId="0" borderId="0" xfId="4" applyFont="1" applyAlignment="1">
      <alignment vertical="center"/>
    </xf>
    <xf numFmtId="0" fontId="41" fillId="0" borderId="0" xfId="0" applyFont="1"/>
    <xf numFmtId="0" fontId="20" fillId="0" borderId="0" xfId="4" quotePrefix="1" applyFont="1"/>
    <xf numFmtId="170" fontId="20" fillId="27" borderId="0" xfId="4" applyNumberFormat="1" applyFont="1" applyFill="1" applyAlignment="1">
      <alignment horizontal="right"/>
    </xf>
    <xf numFmtId="0" fontId="2" fillId="28" borderId="0" xfId="0" applyFont="1" applyFill="1"/>
    <xf numFmtId="170" fontId="2" fillId="28" borderId="0" xfId="0" applyNumberFormat="1" applyFont="1" applyFill="1"/>
    <xf numFmtId="0" fontId="20" fillId="20" borderId="0" xfId="4" applyFont="1" applyFill="1"/>
    <xf numFmtId="170" fontId="20" fillId="20" borderId="0" xfId="4" applyNumberFormat="1" applyFont="1" applyFill="1" applyAlignment="1">
      <alignment horizontal="right"/>
    </xf>
    <xf numFmtId="10" fontId="20" fillId="20" borderId="0" xfId="1" applyNumberFormat="1" applyFont="1" applyFill="1" applyBorder="1" applyAlignment="1">
      <alignment horizontal="right"/>
    </xf>
    <xf numFmtId="170" fontId="0" fillId="20" borderId="0" xfId="0" applyNumberFormat="1" applyFill="1"/>
    <xf numFmtId="0" fontId="20" fillId="29" borderId="0" xfId="4" applyFont="1" applyFill="1"/>
    <xf numFmtId="0" fontId="41" fillId="29" borderId="0" xfId="4" applyFont="1" applyFill="1"/>
    <xf numFmtId="170" fontId="41" fillId="29" borderId="0" xfId="4" applyNumberFormat="1" applyFont="1" applyFill="1"/>
    <xf numFmtId="43" fontId="41" fillId="27" borderId="0" xfId="3" applyFont="1" applyFill="1" applyBorder="1"/>
    <xf numFmtId="0" fontId="21" fillId="24" borderId="0" xfId="0" applyFont="1" applyFill="1"/>
    <xf numFmtId="0" fontId="13" fillId="24" borderId="0" xfId="0" applyFont="1" applyFill="1" applyAlignment="1">
      <alignment horizontal="left"/>
    </xf>
    <xf numFmtId="0" fontId="13" fillId="0" borderId="0" xfId="0" applyFont="1" applyAlignment="1">
      <alignment horizontal="left"/>
    </xf>
    <xf numFmtId="38" fontId="13" fillId="0" borderId="0" xfId="0" applyNumberFormat="1" applyFont="1"/>
    <xf numFmtId="0" fontId="21" fillId="13" borderId="0" xfId="0" applyFont="1" applyFill="1" applyAlignment="1">
      <alignment vertical="justify" wrapText="1"/>
    </xf>
    <xf numFmtId="0" fontId="42" fillId="13" borderId="0" xfId="0" applyFont="1" applyFill="1" applyAlignment="1">
      <alignment vertical="justify"/>
    </xf>
    <xf numFmtId="38" fontId="43" fillId="13" borderId="0" xfId="0" applyNumberFormat="1" applyFont="1" applyFill="1" applyAlignment="1">
      <alignment horizontal="center" vertical="center"/>
    </xf>
    <xf numFmtId="0" fontId="44" fillId="13" borderId="0" xfId="0" applyFont="1" applyFill="1" applyAlignment="1">
      <alignment horizontal="left" vertical="justify"/>
    </xf>
    <xf numFmtId="0" fontId="12" fillId="13" borderId="0" xfId="0" applyFont="1" applyFill="1" applyAlignment="1">
      <alignment horizontal="left" vertical="justify"/>
    </xf>
    <xf numFmtId="164" fontId="45" fillId="0" borderId="0" xfId="3" applyNumberFormat="1" applyFont="1" applyFill="1" applyBorder="1" applyAlignment="1">
      <alignment vertical="justify"/>
    </xf>
    <xf numFmtId="0" fontId="21" fillId="25" borderId="0" xfId="0" applyFont="1" applyFill="1" applyAlignment="1">
      <alignment horizontal="center" vertical="justify"/>
    </xf>
    <xf numFmtId="0" fontId="13" fillId="26" borderId="0" xfId="4" applyFont="1" applyFill="1"/>
    <xf numFmtId="170" fontId="13" fillId="26" borderId="0" xfId="4" applyNumberFormat="1" applyFont="1" applyFill="1" applyAlignment="1">
      <alignment horizontal="right"/>
    </xf>
    <xf numFmtId="0" fontId="13" fillId="16" borderId="0" xfId="4" applyFont="1" applyFill="1"/>
    <xf numFmtId="170" fontId="13" fillId="16" borderId="0" xfId="4" applyNumberFormat="1" applyFont="1" applyFill="1" applyAlignment="1">
      <alignment horizontal="right"/>
    </xf>
    <xf numFmtId="9" fontId="13" fillId="16" borderId="0" xfId="1" applyFont="1" applyFill="1" applyBorder="1" applyAlignment="1">
      <alignment horizontal="right"/>
    </xf>
    <xf numFmtId="166" fontId="13" fillId="16" borderId="0" xfId="1" applyNumberFormat="1" applyFont="1" applyFill="1" applyBorder="1" applyAlignment="1">
      <alignment horizontal="right"/>
    </xf>
    <xf numFmtId="0" fontId="45" fillId="27" borderId="0" xfId="4" applyFont="1" applyFill="1"/>
    <xf numFmtId="170" fontId="45" fillId="27" borderId="0" xfId="4" applyNumberFormat="1" applyFont="1" applyFill="1" applyAlignment="1">
      <alignment horizontal="right"/>
    </xf>
    <xf numFmtId="9" fontId="45" fillId="27" borderId="0" xfId="1" applyFont="1" applyFill="1" applyBorder="1"/>
    <xf numFmtId="9" fontId="45" fillId="27" borderId="0" xfId="1" applyFont="1" applyFill="1" applyBorder="1" applyAlignment="1">
      <alignment horizontal="right"/>
    </xf>
    <xf numFmtId="166" fontId="45" fillId="27" borderId="0" xfId="1" applyNumberFormat="1" applyFont="1" applyFill="1" applyBorder="1" applyAlignment="1">
      <alignment horizontal="right"/>
    </xf>
    <xf numFmtId="0" fontId="22" fillId="25" borderId="0" xfId="0" applyFont="1" applyFill="1" applyAlignment="1">
      <alignment horizontal="left" vertical="justify" wrapText="1"/>
    </xf>
    <xf numFmtId="3" fontId="0" fillId="3" borderId="0" xfId="0" applyNumberFormat="1" applyFill="1" applyAlignment="1">
      <alignment horizontal="center"/>
    </xf>
    <xf numFmtId="9" fontId="0" fillId="3" borderId="0" xfId="1" applyFont="1" applyFill="1" applyAlignment="1">
      <alignment horizontal="center"/>
    </xf>
    <xf numFmtId="9" fontId="5" fillId="3" borderId="0" xfId="1" applyFont="1" applyFill="1" applyAlignment="1">
      <alignment horizontal="center"/>
    </xf>
    <xf numFmtId="166" fontId="3" fillId="3" borderId="0" xfId="1" applyNumberFormat="1" applyFont="1" applyFill="1" applyAlignment="1">
      <alignment horizontal="center"/>
    </xf>
    <xf numFmtId="9" fontId="3" fillId="3" borderId="0" xfId="1" applyFont="1" applyFill="1" applyAlignment="1">
      <alignment horizontal="center"/>
    </xf>
    <xf numFmtId="166" fontId="8" fillId="3" borderId="0" xfId="1" applyNumberFormat="1" applyFont="1" applyFill="1" applyAlignment="1">
      <alignment horizontal="center"/>
    </xf>
    <xf numFmtId="0" fontId="17" fillId="2" borderId="19" xfId="0" applyFont="1" applyFill="1" applyBorder="1" applyAlignment="1">
      <alignment vertical="center"/>
    </xf>
    <xf numFmtId="0" fontId="47" fillId="7" borderId="0" xfId="0" applyFont="1" applyFill="1"/>
    <xf numFmtId="0" fontId="47" fillId="25" borderId="0" xfId="0" applyFont="1" applyFill="1"/>
    <xf numFmtId="0" fontId="0" fillId="0" borderId="13" xfId="0" applyBorder="1"/>
    <xf numFmtId="0" fontId="21" fillId="6" borderId="13" xfId="0" applyFont="1" applyFill="1" applyBorder="1" applyAlignment="1">
      <alignment vertical="center"/>
    </xf>
    <xf numFmtId="0" fontId="48" fillId="6" borderId="0" xfId="0" applyFont="1" applyFill="1" applyAlignment="1">
      <alignment horizontal="center" vertical="center"/>
    </xf>
    <xf numFmtId="0" fontId="48" fillId="25" borderId="0" xfId="0" applyFont="1" applyFill="1" applyAlignment="1">
      <alignment horizontal="center" vertical="center"/>
    </xf>
    <xf numFmtId="37" fontId="10" fillId="6" borderId="0" xfId="0" applyNumberFormat="1" applyFont="1" applyFill="1" applyAlignment="1">
      <alignment horizontal="center" vertical="center"/>
    </xf>
    <xf numFmtId="0" fontId="48" fillId="6" borderId="0" xfId="0" applyFont="1" applyFill="1" applyAlignment="1">
      <alignment vertical="center"/>
    </xf>
    <xf numFmtId="17" fontId="21" fillId="25" borderId="20" xfId="0" applyNumberFormat="1" applyFont="1" applyFill="1" applyBorder="1" applyAlignment="1">
      <alignment horizontal="center" vertical="center" wrapText="1"/>
    </xf>
    <xf numFmtId="0" fontId="21" fillId="25" borderId="0" xfId="0" applyFont="1" applyFill="1" applyAlignment="1">
      <alignment vertical="center" wrapText="1"/>
    </xf>
    <xf numFmtId="0" fontId="21" fillId="25" borderId="20" xfId="0" applyFont="1" applyFill="1" applyBorder="1" applyAlignment="1">
      <alignment horizontal="center" vertical="center" wrapText="1"/>
    </xf>
    <xf numFmtId="0" fontId="21" fillId="31" borderId="0" xfId="0" applyFont="1" applyFill="1" applyAlignment="1">
      <alignment vertical="center" wrapText="1"/>
    </xf>
    <xf numFmtId="9" fontId="21" fillId="31" borderId="0" xfId="1" applyFont="1" applyFill="1" applyBorder="1" applyAlignment="1">
      <alignment horizontal="center" vertical="center" wrapText="1"/>
    </xf>
    <xf numFmtId="0" fontId="21" fillId="6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17" fontId="21" fillId="2" borderId="20" xfId="0" applyNumberFormat="1" applyFont="1" applyFill="1" applyBorder="1" applyAlignment="1">
      <alignment horizontal="center" vertical="center" wrapText="1"/>
    </xf>
    <xf numFmtId="0" fontId="21" fillId="2" borderId="20" xfId="0" applyFont="1" applyFill="1" applyBorder="1" applyAlignment="1">
      <alignment horizontal="center" vertical="center" wrapText="1"/>
    </xf>
    <xf numFmtId="17" fontId="21" fillId="32" borderId="20" xfId="0" applyNumberFormat="1" applyFont="1" applyFill="1" applyBorder="1" applyAlignment="1">
      <alignment horizontal="center" vertical="center" wrapText="1"/>
    </xf>
    <xf numFmtId="17" fontId="21" fillId="33" borderId="20" xfId="0" applyNumberFormat="1" applyFont="1" applyFill="1" applyBorder="1" applyAlignment="1">
      <alignment horizontal="center" vertical="center"/>
    </xf>
    <xf numFmtId="17" fontId="21" fillId="33" borderId="20" xfId="0" applyNumberFormat="1" applyFont="1" applyFill="1" applyBorder="1" applyAlignment="1">
      <alignment horizontal="center" vertical="center" wrapText="1"/>
    </xf>
    <xf numFmtId="17" fontId="21" fillId="19" borderId="20" xfId="0" applyNumberFormat="1" applyFont="1" applyFill="1" applyBorder="1" applyAlignment="1">
      <alignment horizontal="center" vertical="center"/>
    </xf>
    <xf numFmtId="17" fontId="21" fillId="19" borderId="20" xfId="0" applyNumberFormat="1" applyFont="1" applyFill="1" applyBorder="1" applyAlignment="1">
      <alignment horizontal="center" vertical="center" wrapText="1"/>
    </xf>
    <xf numFmtId="0" fontId="21" fillId="19" borderId="20" xfId="0" applyFont="1" applyFill="1" applyBorder="1" applyAlignment="1">
      <alignment horizontal="center" vertical="center" wrapText="1"/>
    </xf>
    <xf numFmtId="17" fontId="21" fillId="34" borderId="20" xfId="0" applyNumberFormat="1" applyFont="1" applyFill="1" applyBorder="1" applyAlignment="1">
      <alignment horizontal="center" vertical="center"/>
    </xf>
    <xf numFmtId="17" fontId="21" fillId="34" borderId="20" xfId="0" applyNumberFormat="1" applyFont="1" applyFill="1" applyBorder="1" applyAlignment="1">
      <alignment horizontal="center" vertical="center" wrapText="1"/>
    </xf>
    <xf numFmtId="0" fontId="21" fillId="34" borderId="20" xfId="0" applyFont="1" applyFill="1" applyBorder="1" applyAlignment="1">
      <alignment horizontal="center" vertical="center" wrapText="1"/>
    </xf>
    <xf numFmtId="17" fontId="21" fillId="15" borderId="20" xfId="0" applyNumberFormat="1" applyFont="1" applyFill="1" applyBorder="1" applyAlignment="1">
      <alignment horizontal="center" vertical="center" wrapText="1"/>
    </xf>
    <xf numFmtId="0" fontId="21" fillId="15" borderId="20" xfId="0" applyFont="1" applyFill="1" applyBorder="1" applyAlignment="1">
      <alignment horizontal="center" vertical="center" wrapText="1"/>
    </xf>
    <xf numFmtId="17" fontId="21" fillId="35" borderId="20" xfId="0" applyNumberFormat="1" applyFont="1" applyFill="1" applyBorder="1" applyAlignment="1">
      <alignment horizontal="center" vertical="center"/>
    </xf>
    <xf numFmtId="0" fontId="21" fillId="35" borderId="20" xfId="0" applyFont="1" applyFill="1" applyBorder="1" applyAlignment="1">
      <alignment horizontal="center" vertical="center" wrapText="1"/>
    </xf>
    <xf numFmtId="17" fontId="21" fillId="36" borderId="20" xfId="0" applyNumberFormat="1" applyFont="1" applyFill="1" applyBorder="1" applyAlignment="1">
      <alignment horizontal="center" vertical="center"/>
    </xf>
    <xf numFmtId="0" fontId="21" fillId="36" borderId="20" xfId="0" applyFont="1" applyFill="1" applyBorder="1" applyAlignment="1">
      <alignment horizontal="center" vertical="center" wrapText="1"/>
    </xf>
    <xf numFmtId="0" fontId="21" fillId="31" borderId="20" xfId="0" applyFont="1" applyFill="1" applyBorder="1" applyAlignment="1">
      <alignment horizontal="center" vertical="center" wrapText="1"/>
    </xf>
    <xf numFmtId="0" fontId="10" fillId="31" borderId="6" xfId="0" applyFont="1" applyFill="1" applyBorder="1" applyAlignment="1">
      <alignment horizontal="center" vertical="center"/>
    </xf>
    <xf numFmtId="0" fontId="10" fillId="31" borderId="0" xfId="0" applyFont="1" applyFill="1" applyAlignment="1">
      <alignment horizontal="left" vertical="center"/>
    </xf>
    <xf numFmtId="0" fontId="10" fillId="31" borderId="0" xfId="0" applyFont="1" applyFill="1" applyAlignment="1">
      <alignment vertical="center"/>
    </xf>
    <xf numFmtId="43" fontId="10" fillId="31" borderId="0" xfId="0" applyNumberFormat="1" applyFont="1" applyFill="1" applyAlignment="1">
      <alignment horizontal="left" vertical="center"/>
    </xf>
    <xf numFmtId="37" fontId="10" fillId="25" borderId="23" xfId="3" applyNumberFormat="1" applyFont="1" applyFill="1" applyBorder="1" applyAlignment="1">
      <alignment horizontal="center" vertical="center"/>
    </xf>
    <xf numFmtId="37" fontId="10" fillId="2" borderId="23" xfId="3" applyNumberFormat="1" applyFont="1" applyFill="1" applyBorder="1" applyAlignment="1">
      <alignment horizontal="center" vertical="center"/>
    </xf>
    <xf numFmtId="37" fontId="10" fillId="32" borderId="23" xfId="3" applyNumberFormat="1" applyFont="1" applyFill="1" applyBorder="1" applyAlignment="1">
      <alignment horizontal="center" vertical="center"/>
    </xf>
    <xf numFmtId="37" fontId="10" fillId="33" borderId="23" xfId="3" applyNumberFormat="1" applyFont="1" applyFill="1" applyBorder="1" applyAlignment="1">
      <alignment horizontal="center" vertical="center"/>
    </xf>
    <xf numFmtId="37" fontId="10" fillId="19" borderId="23" xfId="3" applyNumberFormat="1" applyFont="1" applyFill="1" applyBorder="1" applyAlignment="1">
      <alignment horizontal="center" vertical="center"/>
    </xf>
    <xf numFmtId="37" fontId="10" fillId="34" borderId="23" xfId="3" applyNumberFormat="1" applyFont="1" applyFill="1" applyBorder="1" applyAlignment="1">
      <alignment horizontal="center" vertical="center"/>
    </xf>
    <xf numFmtId="37" fontId="10" fillId="15" borderId="23" xfId="3" applyNumberFormat="1" applyFont="1" applyFill="1" applyBorder="1" applyAlignment="1">
      <alignment horizontal="center" vertical="center"/>
    </xf>
    <xf numFmtId="37" fontId="10" fillId="35" borderId="23" xfId="3" applyNumberFormat="1" applyFont="1" applyFill="1" applyBorder="1" applyAlignment="1">
      <alignment horizontal="center" vertical="center"/>
    </xf>
    <xf numFmtId="37" fontId="10" fillId="36" borderId="23" xfId="3" applyNumberFormat="1" applyFont="1" applyFill="1" applyBorder="1" applyAlignment="1">
      <alignment horizontal="center" vertical="center"/>
    </xf>
    <xf numFmtId="37" fontId="10" fillId="31" borderId="23" xfId="3" applyNumberFormat="1" applyFont="1" applyFill="1" applyBorder="1" applyAlignment="1">
      <alignment horizontal="center" vertical="center"/>
    </xf>
    <xf numFmtId="9" fontId="49" fillId="6" borderId="0" xfId="1" applyFont="1" applyFill="1" applyBorder="1" applyAlignment="1" applyProtection="1">
      <alignment horizontal="center" vertical="center"/>
      <protection locked="0"/>
    </xf>
    <xf numFmtId="0" fontId="50" fillId="0" borderId="0" xfId="0" applyFont="1" applyAlignment="1">
      <alignment horizontal="center" vertical="center"/>
    </xf>
    <xf numFmtId="0" fontId="13" fillId="30" borderId="6" xfId="0" applyFont="1" applyFill="1" applyBorder="1"/>
    <xf numFmtId="0" fontId="51" fillId="3" borderId="0" xfId="0" applyFont="1" applyFill="1" applyAlignment="1">
      <alignment horizontal="center"/>
    </xf>
    <xf numFmtId="0" fontId="52" fillId="3" borderId="0" xfId="0" applyFont="1" applyFill="1" applyAlignment="1">
      <alignment horizontal="center"/>
    </xf>
    <xf numFmtId="37" fontId="35" fillId="3" borderId="0" xfId="3" applyNumberFormat="1" applyFont="1" applyFill="1" applyBorder="1" applyAlignment="1">
      <alignment horizontal="center"/>
    </xf>
    <xf numFmtId="37" fontId="35" fillId="25" borderId="0" xfId="3" applyNumberFormat="1" applyFont="1" applyFill="1" applyBorder="1" applyAlignment="1">
      <alignment horizontal="center"/>
    </xf>
    <xf numFmtId="0" fontId="3" fillId="30" borderId="6" xfId="0" applyFont="1" applyFill="1" applyBorder="1"/>
    <xf numFmtId="0" fontId="28" fillId="3" borderId="0" xfId="0" applyFont="1" applyFill="1" applyAlignment="1">
      <alignment horizontal="center"/>
    </xf>
    <xf numFmtId="0" fontId="28" fillId="37" borderId="0" xfId="0" applyFont="1" applyFill="1" applyAlignment="1">
      <alignment horizontal="left" vertical="center" indent="1"/>
    </xf>
    <xf numFmtId="0" fontId="28" fillId="37" borderId="0" xfId="0" applyFont="1" applyFill="1" applyAlignment="1">
      <alignment horizontal="center"/>
    </xf>
    <xf numFmtId="164" fontId="28" fillId="0" borderId="23" xfId="3" applyNumberFormat="1" applyFont="1" applyBorder="1" applyAlignment="1" applyProtection="1">
      <alignment horizontal="center" vertical="center"/>
      <protection locked="0"/>
    </xf>
    <xf numFmtId="164" fontId="28" fillId="0" borderId="0" xfId="3" applyNumberFormat="1" applyFont="1" applyBorder="1" applyAlignment="1" applyProtection="1">
      <alignment horizontal="center" vertical="center"/>
      <protection locked="0"/>
    </xf>
    <xf numFmtId="0" fontId="53" fillId="26" borderId="24" xfId="0" applyFont="1" applyFill="1" applyBorder="1" applyAlignment="1">
      <alignment horizontal="center"/>
    </xf>
    <xf numFmtId="0" fontId="53" fillId="26" borderId="24" xfId="0" applyFont="1" applyFill="1" applyBorder="1"/>
    <xf numFmtId="9" fontId="22" fillId="6" borderId="0" xfId="1" applyFont="1" applyFill="1" applyBorder="1" applyAlignment="1" applyProtection="1">
      <alignment horizontal="center" vertical="center"/>
      <protection locked="0"/>
    </xf>
    <xf numFmtId="43" fontId="53" fillId="26" borderId="24" xfId="0" applyNumberFormat="1" applyFont="1" applyFill="1" applyBorder="1" applyAlignment="1">
      <alignment horizontal="center"/>
    </xf>
    <xf numFmtId="37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2" fillId="7" borderId="0" xfId="0" applyNumberFormat="1" applyFont="1" applyFill="1"/>
    <xf numFmtId="37" fontId="35" fillId="25" borderId="0" xfId="3" applyNumberFormat="1" applyFont="1" applyFill="1" applyBorder="1" applyAlignment="1">
      <alignment horizontal="center" vertical="center"/>
    </xf>
    <xf numFmtId="171" fontId="0" fillId="0" borderId="0" xfId="0" applyNumberFormat="1" applyAlignment="1">
      <alignment horizontal="center" vertical="center"/>
    </xf>
    <xf numFmtId="164" fontId="28" fillId="3" borderId="23" xfId="3" applyNumberFormat="1" applyFont="1" applyFill="1" applyBorder="1" applyAlignment="1" applyProtection="1">
      <alignment horizontal="center" vertical="center"/>
      <protection locked="0"/>
    </xf>
    <xf numFmtId="0" fontId="56" fillId="3" borderId="29" xfId="0" applyFont="1" applyFill="1" applyBorder="1" applyAlignment="1">
      <alignment horizontal="center" vertical="center" wrapText="1"/>
    </xf>
    <xf numFmtId="0" fontId="56" fillId="3" borderId="30" xfId="0" applyFont="1" applyFill="1" applyBorder="1" applyAlignment="1">
      <alignment horizontal="center" vertical="center" wrapText="1"/>
    </xf>
    <xf numFmtId="0" fontId="57" fillId="3" borderId="28" xfId="0" applyFont="1" applyFill="1" applyBorder="1" applyAlignment="1">
      <alignment vertical="center" wrapText="1"/>
    </xf>
    <xf numFmtId="0" fontId="58" fillId="26" borderId="30" xfId="0" applyFont="1" applyFill="1" applyBorder="1" applyAlignment="1">
      <alignment horizontal="center" vertical="center" wrapText="1"/>
    </xf>
    <xf numFmtId="0" fontId="58" fillId="0" borderId="30" xfId="0" applyFont="1" applyBorder="1" applyAlignment="1">
      <alignment horizontal="center" vertical="center" wrapText="1"/>
    </xf>
    <xf numFmtId="0" fontId="57" fillId="3" borderId="31" xfId="0" applyFont="1" applyFill="1" applyBorder="1" applyAlignment="1">
      <alignment vertical="center" wrapText="1"/>
    </xf>
    <xf numFmtId="0" fontId="57" fillId="3" borderId="3" xfId="0" applyFont="1" applyFill="1" applyBorder="1" applyAlignment="1">
      <alignment vertical="center" wrapText="1"/>
    </xf>
    <xf numFmtId="0" fontId="59" fillId="22" borderId="28" xfId="0" applyFont="1" applyFill="1" applyBorder="1" applyAlignment="1">
      <alignment horizontal="center" vertical="center" wrapText="1"/>
    </xf>
    <xf numFmtId="0" fontId="59" fillId="22" borderId="29" xfId="0" applyFont="1" applyFill="1" applyBorder="1" applyAlignment="1">
      <alignment horizontal="center" vertical="center" wrapText="1"/>
    </xf>
    <xf numFmtId="0" fontId="59" fillId="22" borderId="30" xfId="0" applyFont="1" applyFill="1" applyBorder="1" applyAlignment="1">
      <alignment horizontal="center" vertical="center" wrapText="1"/>
    </xf>
    <xf numFmtId="0" fontId="54" fillId="22" borderId="28" xfId="0" applyFont="1" applyFill="1" applyBorder="1" applyAlignment="1">
      <alignment horizontal="center" vertical="center" wrapText="1"/>
    </xf>
    <xf numFmtId="3" fontId="54" fillId="22" borderId="29" xfId="0" applyNumberFormat="1" applyFont="1" applyFill="1" applyBorder="1" applyAlignment="1">
      <alignment horizontal="center" vertical="center" wrapText="1"/>
    </xf>
    <xf numFmtId="3" fontId="54" fillId="22" borderId="30" xfId="0" applyNumberFormat="1" applyFont="1" applyFill="1" applyBorder="1" applyAlignment="1">
      <alignment horizontal="center" vertical="center" wrapText="1"/>
    </xf>
    <xf numFmtId="0" fontId="4" fillId="23" borderId="0" xfId="0" applyFont="1" applyFill="1"/>
    <xf numFmtId="0" fontId="0" fillId="23" borderId="0" xfId="0" applyFill="1"/>
    <xf numFmtId="3" fontId="0" fillId="23" borderId="0" xfId="0" applyNumberFormat="1" applyFill="1"/>
    <xf numFmtId="164" fontId="1" fillId="23" borderId="0" xfId="2" applyNumberFormat="1" applyFont="1" applyFill="1"/>
    <xf numFmtId="43" fontId="0" fillId="23" borderId="0" xfId="0" applyNumberFormat="1" applyFill="1"/>
    <xf numFmtId="3" fontId="0" fillId="23" borderId="0" xfId="0" applyNumberFormat="1" applyFill="1" applyAlignment="1">
      <alignment horizontal="center"/>
    </xf>
    <xf numFmtId="43" fontId="0" fillId="23" borderId="0" xfId="3" applyFont="1" applyFill="1"/>
    <xf numFmtId="9" fontId="0" fillId="23" borderId="0" xfId="1" applyFont="1" applyFill="1"/>
    <xf numFmtId="4" fontId="0" fillId="23" borderId="0" xfId="0" applyNumberFormat="1" applyFill="1"/>
    <xf numFmtId="164" fontId="0" fillId="23" borderId="0" xfId="0" applyNumberFormat="1" applyFill="1"/>
    <xf numFmtId="0" fontId="3" fillId="23" borderId="3" xfId="0" applyFont="1" applyFill="1" applyBorder="1" applyAlignment="1">
      <alignment horizontal="center"/>
    </xf>
    <xf numFmtId="3" fontId="3" fillId="23" borderId="3" xfId="0" applyNumberFormat="1" applyFont="1" applyFill="1" applyBorder="1" applyAlignment="1">
      <alignment horizontal="center"/>
    </xf>
    <xf numFmtId="0" fontId="3" fillId="23" borderId="1" xfId="0" applyFont="1" applyFill="1" applyBorder="1"/>
    <xf numFmtId="0" fontId="0" fillId="23" borderId="0" xfId="0" applyFill="1" applyAlignment="1">
      <alignment horizontal="center" vertical="center"/>
    </xf>
    <xf numFmtId="0" fontId="3" fillId="23" borderId="0" xfId="0" applyFont="1" applyFill="1"/>
    <xf numFmtId="43" fontId="1" fillId="23" borderId="0" xfId="2" applyFont="1" applyFill="1"/>
    <xf numFmtId="164" fontId="0" fillId="23" borderId="0" xfId="2" applyNumberFormat="1" applyFont="1" applyFill="1"/>
    <xf numFmtId="164" fontId="3" fillId="23" borderId="0" xfId="2" applyNumberFormat="1" applyFont="1" applyFill="1"/>
    <xf numFmtId="164" fontId="9" fillId="23" borderId="0" xfId="2" applyNumberFormat="1" applyFont="1" applyFill="1"/>
    <xf numFmtId="37" fontId="3" fillId="23" borderId="0" xfId="2" applyNumberFormat="1" applyFont="1" applyFill="1"/>
    <xf numFmtId="37" fontId="0" fillId="23" borderId="0" xfId="0" applyNumberFormat="1" applyFill="1"/>
    <xf numFmtId="169" fontId="0" fillId="23" borderId="0" xfId="0" applyNumberFormat="1" applyFill="1"/>
    <xf numFmtId="0" fontId="0" fillId="23" borderId="0" xfId="0" applyFill="1" applyAlignment="1">
      <alignment horizontal="center"/>
    </xf>
    <xf numFmtId="37" fontId="3" fillId="23" borderId="0" xfId="0" applyNumberFormat="1" applyFont="1" applyFill="1" applyAlignment="1">
      <alignment horizontal="center"/>
    </xf>
    <xf numFmtId="39" fontId="0" fillId="23" borderId="0" xfId="0" applyNumberFormat="1" applyFill="1"/>
    <xf numFmtId="0" fontId="0" fillId="23" borderId="0" xfId="0" applyFill="1" applyAlignment="1">
      <alignment horizontal="right"/>
    </xf>
    <xf numFmtId="0" fontId="3" fillId="23" borderId="0" xfId="0" applyFont="1" applyFill="1" applyAlignment="1">
      <alignment horizontal="center"/>
    </xf>
    <xf numFmtId="0" fontId="0" fillId="23" borderId="0" xfId="0" applyFill="1" applyAlignment="1">
      <alignment horizontal="left"/>
    </xf>
    <xf numFmtId="168" fontId="0" fillId="23" borderId="0" xfId="3" applyNumberFormat="1" applyFont="1" applyFill="1"/>
    <xf numFmtId="3" fontId="60" fillId="23" borderId="0" xfId="0" applyNumberFormat="1" applyFont="1" applyFill="1"/>
    <xf numFmtId="3" fontId="60" fillId="3" borderId="0" xfId="0" applyNumberFormat="1" applyFont="1" applyFill="1"/>
    <xf numFmtId="9" fontId="60" fillId="3" borderId="0" xfId="1" applyFont="1" applyFill="1"/>
    <xf numFmtId="166" fontId="61" fillId="3" borderId="0" xfId="1" applyNumberFormat="1" applyFont="1" applyFill="1"/>
    <xf numFmtId="9" fontId="61" fillId="3" borderId="0" xfId="1" applyFont="1" applyFill="1"/>
    <xf numFmtId="0" fontId="60" fillId="23" borderId="0" xfId="0" applyFont="1" applyFill="1"/>
    <xf numFmtId="168" fontId="60" fillId="23" borderId="0" xfId="3" applyNumberFormat="1" applyFont="1" applyFill="1" applyAlignment="1">
      <alignment horizontal="center"/>
    </xf>
    <xf numFmtId="168" fontId="60" fillId="23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25" fillId="2" borderId="0" xfId="0" applyFont="1" applyFill="1" applyAlignment="1">
      <alignment vertical="center"/>
    </xf>
    <xf numFmtId="166" fontId="0" fillId="16" borderId="0" xfId="1" applyNumberFormat="1" applyFont="1" applyFill="1" applyBorder="1"/>
    <xf numFmtId="0" fontId="3" fillId="38" borderId="14" xfId="0" applyFont="1" applyFill="1" applyBorder="1" applyAlignment="1">
      <alignment horizontal="center" vertical="center" wrapText="1"/>
    </xf>
    <xf numFmtId="38" fontId="8" fillId="0" borderId="32" xfId="0" applyNumberFormat="1" applyFont="1" applyBorder="1" applyAlignment="1">
      <alignment horizontal="center"/>
    </xf>
    <xf numFmtId="38" fontId="8" fillId="0" borderId="32" xfId="0" applyNumberFormat="1" applyFont="1" applyBorder="1" applyAlignment="1">
      <alignment horizontal="right"/>
    </xf>
    <xf numFmtId="0" fontId="8" fillId="0" borderId="33" xfId="0" applyFont="1" applyBorder="1" applyAlignment="1">
      <alignment horizontal="center"/>
    </xf>
    <xf numFmtId="38" fontId="8" fillId="0" borderId="34" xfId="0" applyNumberFormat="1" applyFont="1" applyBorder="1" applyAlignment="1">
      <alignment horizontal="center"/>
    </xf>
    <xf numFmtId="38" fontId="8" fillId="0" borderId="34" xfId="0" applyNumberFormat="1" applyFont="1" applyBorder="1" applyAlignment="1">
      <alignment horizontal="right"/>
    </xf>
    <xf numFmtId="0" fontId="8" fillId="0" borderId="35" xfId="0" applyFont="1" applyBorder="1" applyAlignment="1">
      <alignment horizontal="center"/>
    </xf>
    <xf numFmtId="38" fontId="8" fillId="0" borderId="36" xfId="0" applyNumberFormat="1" applyFont="1" applyBorder="1" applyAlignment="1">
      <alignment horizontal="center"/>
    </xf>
    <xf numFmtId="38" fontId="8" fillId="0" borderId="36" xfId="0" applyNumberFormat="1" applyFont="1" applyBorder="1" applyAlignment="1">
      <alignment horizontal="right"/>
    </xf>
    <xf numFmtId="0" fontId="8" fillId="0" borderId="37" xfId="0" applyFont="1" applyBorder="1" applyAlignment="1">
      <alignment horizontal="center"/>
    </xf>
    <xf numFmtId="38" fontId="28" fillId="0" borderId="0" xfId="0" applyNumberFormat="1" applyFont="1"/>
    <xf numFmtId="38" fontId="28" fillId="38" borderId="14" xfId="0" applyNumberFormat="1" applyFont="1" applyFill="1" applyBorder="1" applyAlignment="1">
      <alignment horizontal="center"/>
    </xf>
    <xf numFmtId="0" fontId="28" fillId="38" borderId="14" xfId="0" applyFont="1" applyFill="1" applyBorder="1"/>
    <xf numFmtId="0" fontId="28" fillId="38" borderId="14" xfId="0" applyFont="1" applyFill="1" applyBorder="1" applyAlignment="1">
      <alignment horizontal="center"/>
    </xf>
    <xf numFmtId="0" fontId="28" fillId="0" borderId="0" xfId="0" applyFont="1"/>
    <xf numFmtId="38" fontId="8" fillId="0" borderId="38" xfId="0" applyNumberFormat="1" applyFont="1" applyBorder="1" applyAlignment="1">
      <alignment horizontal="center"/>
    </xf>
    <xf numFmtId="38" fontId="8" fillId="0" borderId="38" xfId="0" applyNumberFormat="1" applyFont="1" applyBorder="1" applyAlignment="1">
      <alignment horizontal="right"/>
    </xf>
    <xf numFmtId="0" fontId="8" fillId="0" borderId="39" xfId="0" applyFont="1" applyBorder="1" applyAlignment="1">
      <alignment horizontal="center"/>
    </xf>
    <xf numFmtId="38" fontId="8" fillId="0" borderId="40" xfId="0" applyNumberFormat="1" applyFont="1" applyBorder="1" applyAlignment="1">
      <alignment horizontal="center" vertical="center"/>
    </xf>
    <xf numFmtId="38" fontId="8" fillId="0" borderId="40" xfId="0" applyNumberFormat="1" applyFont="1" applyBorder="1" applyAlignment="1">
      <alignment horizontal="right" vertical="center"/>
    </xf>
    <xf numFmtId="0" fontId="8" fillId="0" borderId="41" xfId="0" applyFont="1" applyBorder="1" applyAlignment="1">
      <alignment horizontal="center" vertical="center"/>
    </xf>
    <xf numFmtId="38" fontId="8" fillId="0" borderId="42" xfId="0" applyNumberFormat="1" applyFont="1" applyBorder="1" applyAlignment="1">
      <alignment horizontal="center"/>
    </xf>
    <xf numFmtId="38" fontId="8" fillId="0" borderId="42" xfId="0" applyNumberFormat="1" applyFont="1" applyBorder="1" applyAlignment="1">
      <alignment horizontal="right"/>
    </xf>
    <xf numFmtId="0" fontId="8" fillId="0" borderId="43" xfId="0" applyFont="1" applyBorder="1" applyAlignment="1">
      <alignment horizontal="center"/>
    </xf>
    <xf numFmtId="38" fontId="28" fillId="38" borderId="14" xfId="0" applyNumberFormat="1" applyFont="1" applyFill="1" applyBorder="1"/>
    <xf numFmtId="38" fontId="8" fillId="0" borderId="40" xfId="0" applyNumberFormat="1" applyFont="1" applyBorder="1" applyAlignment="1">
      <alignment horizontal="center"/>
    </xf>
    <xf numFmtId="38" fontId="8" fillId="0" borderId="40" xfId="0" applyNumberFormat="1" applyFont="1" applyBorder="1" applyAlignment="1">
      <alignment horizontal="right"/>
    </xf>
    <xf numFmtId="0" fontId="8" fillId="0" borderId="41" xfId="0" applyFont="1" applyBorder="1" applyAlignment="1">
      <alignment horizontal="center"/>
    </xf>
    <xf numFmtId="0" fontId="3" fillId="0" borderId="0" xfId="0" applyFont="1" applyAlignment="1">
      <alignment horizontal="center"/>
    </xf>
    <xf numFmtId="10" fontId="3" fillId="3" borderId="0" xfId="1" applyNumberFormat="1" applyFont="1" applyFill="1" applyAlignment="1">
      <alignment horizontal="center"/>
    </xf>
    <xf numFmtId="37" fontId="63" fillId="23" borderId="0" xfId="0" applyNumberFormat="1" applyFont="1" applyFill="1"/>
    <xf numFmtId="0" fontId="63" fillId="23" borderId="0" xfId="0" applyFont="1" applyFill="1"/>
    <xf numFmtId="167" fontId="3" fillId="23" borderId="3" xfId="0" applyNumberFormat="1" applyFont="1" applyFill="1" applyBorder="1" applyAlignment="1">
      <alignment horizontal="center" vertical="center"/>
    </xf>
    <xf numFmtId="9" fontId="1" fillId="3" borderId="0" xfId="1" applyFont="1" applyFill="1"/>
    <xf numFmtId="164" fontId="64" fillId="23" borderId="0" xfId="2" applyNumberFormat="1" applyFont="1" applyFill="1"/>
    <xf numFmtId="3" fontId="65" fillId="23" borderId="0" xfId="0" applyNumberFormat="1" applyFont="1" applyFill="1"/>
    <xf numFmtId="3" fontId="65" fillId="3" borderId="0" xfId="0" applyNumberFormat="1" applyFont="1" applyFill="1"/>
    <xf numFmtId="9" fontId="65" fillId="3" borderId="0" xfId="1" applyFont="1" applyFill="1"/>
    <xf numFmtId="0" fontId="65" fillId="23" borderId="0" xfId="0" applyFont="1" applyFill="1"/>
    <xf numFmtId="10" fontId="5" fillId="3" borderId="0" xfId="1" applyNumberFormat="1" applyFont="1" applyFill="1"/>
    <xf numFmtId="43" fontId="66" fillId="23" borderId="0" xfId="3" applyFont="1" applyFill="1"/>
    <xf numFmtId="43" fontId="60" fillId="23" borderId="0" xfId="3" applyFont="1" applyFill="1"/>
    <xf numFmtId="167" fontId="3" fillId="31" borderId="3" xfId="0" applyNumberFormat="1" applyFont="1" applyFill="1" applyBorder="1" applyAlignment="1">
      <alignment horizontal="center" vertical="center"/>
    </xf>
    <xf numFmtId="164" fontId="0" fillId="23" borderId="0" xfId="3" applyNumberFormat="1" applyFont="1" applyFill="1"/>
    <xf numFmtId="164" fontId="63" fillId="23" borderId="0" xfId="3" applyNumberFormat="1" applyFont="1" applyFill="1"/>
    <xf numFmtId="0" fontId="3" fillId="38" borderId="0" xfId="0" applyFont="1" applyFill="1"/>
    <xf numFmtId="37" fontId="3" fillId="38" borderId="0" xfId="2" applyNumberFormat="1" applyFont="1" applyFill="1"/>
    <xf numFmtId="9" fontId="3" fillId="38" borderId="0" xfId="1" applyFont="1" applyFill="1"/>
    <xf numFmtId="164" fontId="0" fillId="38" borderId="0" xfId="2" applyNumberFormat="1" applyFont="1" applyFill="1"/>
    <xf numFmtId="3" fontId="0" fillId="38" borderId="0" xfId="0" applyNumberFormat="1" applyFill="1"/>
    <xf numFmtId="9" fontId="5" fillId="38" borderId="0" xfId="1" applyFont="1" applyFill="1"/>
    <xf numFmtId="166" fontId="3" fillId="38" borderId="0" xfId="1" applyNumberFormat="1" applyFont="1" applyFill="1" applyAlignment="1">
      <alignment horizontal="center"/>
    </xf>
    <xf numFmtId="0" fontId="0" fillId="38" borderId="0" xfId="0" applyFill="1"/>
    <xf numFmtId="9" fontId="3" fillId="38" borderId="0" xfId="1" applyFont="1" applyFill="1" applyAlignment="1">
      <alignment horizontal="center"/>
    </xf>
    <xf numFmtId="37" fontId="0" fillId="38" borderId="0" xfId="0" applyNumberFormat="1" applyFill="1"/>
    <xf numFmtId="166" fontId="8" fillId="38" borderId="0" xfId="1" applyNumberFormat="1" applyFont="1" applyFill="1"/>
    <xf numFmtId="166" fontId="5" fillId="38" borderId="0" xfId="1" applyNumberFormat="1" applyFont="1" applyFill="1"/>
    <xf numFmtId="166" fontId="8" fillId="38" borderId="0" xfId="1" applyNumberFormat="1" applyFont="1" applyFill="1" applyAlignment="1">
      <alignment horizontal="center"/>
    </xf>
    <xf numFmtId="9" fontId="8" fillId="38" borderId="0" xfId="1" applyFont="1" applyFill="1"/>
    <xf numFmtId="167" fontId="3" fillId="38" borderId="3" xfId="0" applyNumberFormat="1" applyFont="1" applyFill="1" applyBorder="1" applyAlignment="1">
      <alignment horizontal="center" vertical="center"/>
    </xf>
    <xf numFmtId="3" fontId="0" fillId="0" borderId="0" xfId="0" applyNumberFormat="1"/>
    <xf numFmtId="164" fontId="1" fillId="5" borderId="0" xfId="2" applyNumberFormat="1" applyFont="1" applyFill="1"/>
    <xf numFmtId="3" fontId="67" fillId="23" borderId="0" xfId="0" applyNumberFormat="1" applyFont="1" applyFill="1"/>
    <xf numFmtId="9" fontId="0" fillId="23" borderId="0" xfId="1" applyFont="1" applyFill="1" applyAlignment="1">
      <alignment horizontal="right"/>
    </xf>
    <xf numFmtId="167" fontId="3" fillId="39" borderId="3" xfId="0" applyNumberFormat="1" applyFont="1" applyFill="1" applyBorder="1" applyAlignment="1">
      <alignment horizontal="center" vertical="center"/>
    </xf>
    <xf numFmtId="164" fontId="1" fillId="39" borderId="0" xfId="2" applyNumberFormat="1" applyFont="1" applyFill="1"/>
    <xf numFmtId="166" fontId="3" fillId="3" borderId="0" xfId="1" applyNumberFormat="1" applyFont="1" applyFill="1"/>
    <xf numFmtId="164" fontId="0" fillId="23" borderId="0" xfId="0" applyNumberFormat="1" applyFill="1" applyAlignment="1">
      <alignment horizontal="center" vertical="center"/>
    </xf>
    <xf numFmtId="164" fontId="0" fillId="23" borderId="0" xfId="3" applyNumberFormat="1" applyFont="1" applyFill="1" applyAlignment="1">
      <alignment horizontal="center" vertical="center"/>
    </xf>
    <xf numFmtId="43" fontId="0" fillId="23" borderId="0" xfId="3" applyFont="1" applyFill="1" applyAlignment="1">
      <alignment horizontal="center" vertical="center"/>
    </xf>
    <xf numFmtId="164" fontId="3" fillId="5" borderId="0" xfId="2" applyNumberFormat="1" applyFont="1" applyFill="1"/>
    <xf numFmtId="0" fontId="3" fillId="0" borderId="14" xfId="0" applyFont="1" applyBorder="1" applyAlignment="1">
      <alignment horizontal="center"/>
    </xf>
    <xf numFmtId="0" fontId="32" fillId="0" borderId="0" xfId="0" applyFont="1"/>
    <xf numFmtId="164" fontId="32" fillId="0" borderId="0" xfId="3" applyNumberFormat="1" applyFont="1"/>
    <xf numFmtId="0" fontId="32" fillId="0" borderId="0" xfId="0" applyFont="1" applyAlignment="1">
      <alignment horizontal="left"/>
    </xf>
    <xf numFmtId="0" fontId="35" fillId="0" borderId="15" xfId="0" applyFont="1" applyBorder="1" applyAlignment="1">
      <alignment horizontal="center"/>
    </xf>
    <xf numFmtId="164" fontId="32" fillId="3" borderId="45" xfId="3" applyNumberFormat="1" applyFont="1" applyFill="1" applyBorder="1"/>
    <xf numFmtId="164" fontId="32" fillId="3" borderId="46" xfId="3" applyNumberFormat="1" applyFont="1" applyFill="1" applyBorder="1"/>
    <xf numFmtId="164" fontId="32" fillId="3" borderId="44" xfId="3" applyNumberFormat="1" applyFont="1" applyFill="1" applyBorder="1"/>
    <xf numFmtId="164" fontId="32" fillId="3" borderId="3" xfId="3" applyNumberFormat="1" applyFont="1" applyFill="1" applyBorder="1"/>
    <xf numFmtId="0" fontId="35" fillId="0" borderId="47" xfId="0" applyFont="1" applyBorder="1" applyAlignment="1">
      <alignment horizontal="center"/>
    </xf>
    <xf numFmtId="0" fontId="35" fillId="0" borderId="48" xfId="0" applyFont="1" applyBorder="1" applyAlignment="1">
      <alignment horizontal="center"/>
    </xf>
    <xf numFmtId="0" fontId="32" fillId="0" borderId="49" xfId="0" applyFont="1" applyBorder="1"/>
    <xf numFmtId="164" fontId="32" fillId="0" borderId="0" xfId="3" applyNumberFormat="1" applyFont="1" applyBorder="1"/>
    <xf numFmtId="0" fontId="32" fillId="0" borderId="50" xfId="0" applyFont="1" applyBorder="1"/>
    <xf numFmtId="0" fontId="8" fillId="0" borderId="49" xfId="0" applyFont="1" applyBorder="1" applyAlignment="1">
      <alignment horizontal="right"/>
    </xf>
    <xf numFmtId="0" fontId="32" fillId="0" borderId="49" xfId="0" applyFont="1" applyBorder="1" applyAlignment="1">
      <alignment horizontal="left"/>
    </xf>
    <xf numFmtId="43" fontId="0" fillId="0" borderId="50" xfId="3" applyFont="1" applyBorder="1"/>
    <xf numFmtId="0" fontId="68" fillId="0" borderId="49" xfId="0" applyFont="1" applyBorder="1"/>
    <xf numFmtId="0" fontId="0" fillId="0" borderId="50" xfId="0" applyBorder="1"/>
    <xf numFmtId="0" fontId="28" fillId="36" borderId="50" xfId="0" applyFont="1" applyFill="1" applyBorder="1"/>
    <xf numFmtId="0" fontId="8" fillId="0" borderId="51" xfId="0" applyFont="1" applyBorder="1" applyAlignment="1">
      <alignment horizontal="right"/>
    </xf>
    <xf numFmtId="164" fontId="32" fillId="0" borderId="12" xfId="3" applyNumberFormat="1" applyFont="1" applyBorder="1"/>
    <xf numFmtId="0" fontId="28" fillId="36" borderId="52" xfId="0" applyFont="1" applyFill="1" applyBorder="1"/>
    <xf numFmtId="0" fontId="35" fillId="0" borderId="14" xfId="0" applyFont="1" applyBorder="1"/>
    <xf numFmtId="0" fontId="32" fillId="5" borderId="0" xfId="0" applyFont="1" applyFill="1"/>
    <xf numFmtId="0" fontId="0" fillId="5" borderId="0" xfId="0" applyFill="1"/>
    <xf numFmtId="164" fontId="32" fillId="0" borderId="0" xfId="3" applyNumberFormat="1" applyFont="1" applyFill="1" applyBorder="1"/>
    <xf numFmtId="43" fontId="0" fillId="0" borderId="50" xfId="3" applyFont="1" applyBorder="1" applyAlignment="1">
      <alignment horizontal="left"/>
    </xf>
    <xf numFmtId="43" fontId="0" fillId="23" borderId="0" xfId="3" applyFont="1" applyFill="1" applyAlignment="1">
      <alignment horizontal="right"/>
    </xf>
    <xf numFmtId="0" fontId="32" fillId="5" borderId="50" xfId="0" applyFont="1" applyFill="1" applyBorder="1"/>
    <xf numFmtId="164" fontId="32" fillId="5" borderId="45" xfId="3" applyNumberFormat="1" applyFont="1" applyFill="1" applyBorder="1"/>
    <xf numFmtId="164" fontId="0" fillId="23" borderId="0" xfId="1" applyNumberFormat="1" applyFont="1" applyFill="1"/>
    <xf numFmtId="164" fontId="0" fillId="23" borderId="0" xfId="3" applyNumberFormat="1" applyFont="1" applyFill="1" applyAlignment="1">
      <alignment horizontal="center"/>
    </xf>
    <xf numFmtId="164" fontId="0" fillId="23" borderId="0" xfId="3" applyNumberFormat="1" applyFont="1" applyFill="1" applyAlignment="1">
      <alignment horizontal="right"/>
    </xf>
    <xf numFmtId="164" fontId="32" fillId="5" borderId="0" xfId="3" applyNumberFormat="1" applyFont="1" applyFill="1" applyBorder="1"/>
    <xf numFmtId="0" fontId="9" fillId="23" borderId="0" xfId="0" applyFont="1" applyFill="1"/>
    <xf numFmtId="9" fontId="3" fillId="23" borderId="0" xfId="1" applyFont="1" applyFill="1" applyAlignment="1">
      <alignment horizontal="right"/>
    </xf>
    <xf numFmtId="164" fontId="69" fillId="5" borderId="0" xfId="3" applyNumberFormat="1" applyFont="1" applyFill="1" applyBorder="1"/>
    <xf numFmtId="9" fontId="3" fillId="23" borderId="0" xfId="1" applyFont="1" applyFill="1"/>
    <xf numFmtId="43" fontId="3" fillId="23" borderId="0" xfId="3" applyFont="1" applyFill="1"/>
    <xf numFmtId="10" fontId="0" fillId="23" borderId="0" xfId="1" applyNumberFormat="1" applyFont="1" applyFill="1" applyAlignment="1">
      <alignment horizontal="right"/>
    </xf>
    <xf numFmtId="165" fontId="2" fillId="2" borderId="54" xfId="0" applyNumberFormat="1" applyFont="1" applyFill="1" applyBorder="1" applyAlignment="1">
      <alignment horizontal="center" vertical="center" wrapText="1"/>
    </xf>
    <xf numFmtId="9" fontId="0" fillId="3" borderId="0" xfId="1" applyFont="1" applyFill="1" applyBorder="1"/>
    <xf numFmtId="9" fontId="0" fillId="3" borderId="53" xfId="1" applyFont="1" applyFill="1" applyBorder="1"/>
    <xf numFmtId="164" fontId="1" fillId="23" borderId="54" xfId="2" applyNumberFormat="1" applyFont="1" applyFill="1" applyBorder="1"/>
    <xf numFmtId="164" fontId="1" fillId="23" borderId="0" xfId="2" applyNumberFormat="1" applyFont="1" applyFill="1" applyBorder="1"/>
    <xf numFmtId="164" fontId="3" fillId="23" borderId="54" xfId="2" applyNumberFormat="1" applyFont="1" applyFill="1" applyBorder="1"/>
    <xf numFmtId="164" fontId="3" fillId="23" borderId="0" xfId="2" applyNumberFormat="1" applyFont="1" applyFill="1" applyBorder="1"/>
    <xf numFmtId="9" fontId="20" fillId="3" borderId="0" xfId="1" applyFont="1" applyFill="1" applyBorder="1"/>
    <xf numFmtId="37" fontId="3" fillId="3" borderId="54" xfId="2" applyNumberFormat="1" applyFont="1" applyFill="1" applyBorder="1"/>
    <xf numFmtId="9" fontId="3" fillId="3" borderId="0" xfId="1" applyFont="1" applyFill="1" applyBorder="1"/>
    <xf numFmtId="37" fontId="3" fillId="3" borderId="0" xfId="2" applyNumberFormat="1" applyFont="1" applyFill="1" applyBorder="1"/>
    <xf numFmtId="9" fontId="3" fillId="3" borderId="53" xfId="1" applyFont="1" applyFill="1" applyBorder="1"/>
    <xf numFmtId="37" fontId="3" fillId="38" borderId="54" xfId="2" applyNumberFormat="1" applyFont="1" applyFill="1" applyBorder="1"/>
    <xf numFmtId="9" fontId="3" fillId="38" borderId="0" xfId="1" applyFont="1" applyFill="1" applyBorder="1"/>
    <xf numFmtId="37" fontId="3" fillId="38" borderId="0" xfId="2" applyNumberFormat="1" applyFont="1" applyFill="1" applyBorder="1"/>
    <xf numFmtId="9" fontId="3" fillId="38" borderId="53" xfId="1" applyFont="1" applyFill="1" applyBorder="1"/>
    <xf numFmtId="37" fontId="3" fillId="23" borderId="54" xfId="2" applyNumberFormat="1" applyFont="1" applyFill="1" applyBorder="1"/>
    <xf numFmtId="37" fontId="3" fillId="23" borderId="0" xfId="2" applyNumberFormat="1" applyFont="1" applyFill="1" applyBorder="1"/>
    <xf numFmtId="167" fontId="3" fillId="38" borderId="55" xfId="0" applyNumberFormat="1" applyFont="1" applyFill="1" applyBorder="1" applyAlignment="1">
      <alignment horizontal="center" vertical="center"/>
    </xf>
    <xf numFmtId="9" fontId="0" fillId="23" borderId="56" xfId="1" applyFont="1" applyFill="1" applyBorder="1"/>
    <xf numFmtId="167" fontId="3" fillId="38" borderId="57" xfId="0" applyNumberFormat="1" applyFont="1" applyFill="1" applyBorder="1" applyAlignment="1">
      <alignment horizontal="center" vertical="center"/>
    </xf>
    <xf numFmtId="9" fontId="0" fillId="23" borderId="58" xfId="1" applyFont="1" applyFill="1" applyBorder="1"/>
    <xf numFmtId="37" fontId="3" fillId="38" borderId="59" xfId="2" applyNumberFormat="1" applyFont="1" applyFill="1" applyBorder="1"/>
    <xf numFmtId="9" fontId="3" fillId="38" borderId="60" xfId="1" applyFont="1" applyFill="1" applyBorder="1"/>
    <xf numFmtId="37" fontId="3" fillId="38" borderId="60" xfId="2" applyNumberFormat="1" applyFont="1" applyFill="1" applyBorder="1"/>
    <xf numFmtId="9" fontId="3" fillId="38" borderId="61" xfId="1" applyFont="1" applyFill="1" applyBorder="1"/>
    <xf numFmtId="164" fontId="0" fillId="3" borderId="0" xfId="1" applyNumberFormat="1" applyFont="1" applyFill="1"/>
    <xf numFmtId="164" fontId="0" fillId="3" borderId="0" xfId="3" applyNumberFormat="1" applyFont="1" applyFill="1"/>
    <xf numFmtId="9" fontId="0" fillId="23" borderId="0" xfId="3" applyNumberFormat="1" applyFont="1" applyFill="1"/>
    <xf numFmtId="43" fontId="63" fillId="23" borderId="0" xfId="0" applyNumberFormat="1" applyFont="1" applyFill="1"/>
    <xf numFmtId="164" fontId="0" fillId="23" borderId="0" xfId="1" applyNumberFormat="1" applyFont="1" applyFill="1" applyAlignment="1">
      <alignment horizontal="right"/>
    </xf>
    <xf numFmtId="166" fontId="3" fillId="38" borderId="0" xfId="1" applyNumberFormat="1" applyFont="1" applyFill="1"/>
    <xf numFmtId="10" fontId="69" fillId="23" borderId="0" xfId="1" applyNumberFormat="1" applyFont="1" applyFill="1" applyAlignment="1"/>
    <xf numFmtId="10" fontId="28" fillId="23" borderId="0" xfId="1" applyNumberFormat="1" applyFont="1" applyFill="1" applyAlignment="1">
      <alignment horizontal="center"/>
    </xf>
    <xf numFmtId="10" fontId="28" fillId="23" borderId="62" xfId="1" applyNumberFormat="1" applyFont="1" applyFill="1" applyBorder="1" applyAlignment="1">
      <alignment horizontal="center"/>
    </xf>
    <xf numFmtId="0" fontId="9" fillId="0" borderId="0" xfId="0" applyFont="1"/>
    <xf numFmtId="164" fontId="9" fillId="39" borderId="0" xfId="2" applyNumberFormat="1" applyFont="1" applyFill="1"/>
    <xf numFmtId="4" fontId="0" fillId="15" borderId="0" xfId="0" applyNumberFormat="1" applyFill="1"/>
    <xf numFmtId="9" fontId="0" fillId="23" borderId="0" xfId="1" applyFont="1" applyFill="1" applyBorder="1"/>
    <xf numFmtId="9" fontId="0" fillId="23" borderId="63" xfId="1" applyFont="1" applyFill="1" applyBorder="1"/>
    <xf numFmtId="165" fontId="2" fillId="2" borderId="6" xfId="0" applyNumberFormat="1" applyFont="1" applyFill="1" applyBorder="1" applyAlignment="1">
      <alignment horizontal="center" vertical="center" wrapText="1"/>
    </xf>
    <xf numFmtId="9" fontId="0" fillId="3" borderId="63" xfId="1" applyFont="1" applyFill="1" applyBorder="1"/>
    <xf numFmtId="164" fontId="1" fillId="23" borderId="6" xfId="2" applyNumberFormat="1" applyFont="1" applyFill="1" applyBorder="1"/>
    <xf numFmtId="164" fontId="3" fillId="23" borderId="6" xfId="2" applyNumberFormat="1" applyFont="1" applyFill="1" applyBorder="1"/>
    <xf numFmtId="37" fontId="3" fillId="3" borderId="6" xfId="2" applyNumberFormat="1" applyFont="1" applyFill="1" applyBorder="1"/>
    <xf numFmtId="9" fontId="3" fillId="3" borderId="63" xfId="1" applyFont="1" applyFill="1" applyBorder="1"/>
    <xf numFmtId="37" fontId="3" fillId="38" borderId="6" xfId="2" applyNumberFormat="1" applyFont="1" applyFill="1" applyBorder="1"/>
    <xf numFmtId="37" fontId="3" fillId="23" borderId="6" xfId="2" applyNumberFormat="1" applyFont="1" applyFill="1" applyBorder="1"/>
    <xf numFmtId="0" fontId="0" fillId="0" borderId="6" xfId="0" applyBorder="1"/>
    <xf numFmtId="0" fontId="0" fillId="0" borderId="63" xfId="0" applyBorder="1"/>
    <xf numFmtId="9" fontId="0" fillId="23" borderId="13" xfId="1" applyFont="1" applyFill="1" applyBorder="1"/>
    <xf numFmtId="10" fontId="28" fillId="23" borderId="65" xfId="1" applyNumberFormat="1" applyFont="1" applyFill="1" applyBorder="1" applyAlignment="1">
      <alignment horizontal="center"/>
    </xf>
    <xf numFmtId="9" fontId="0" fillId="23" borderId="66" xfId="1" applyFont="1" applyFill="1" applyBorder="1"/>
    <xf numFmtId="0" fontId="0" fillId="0" borderId="66" xfId="0" applyBorder="1"/>
    <xf numFmtId="37" fontId="3" fillId="38" borderId="67" xfId="2" applyNumberFormat="1" applyFont="1" applyFill="1" applyBorder="1"/>
    <xf numFmtId="9" fontId="3" fillId="38" borderId="4" xfId="1" applyFont="1" applyFill="1" applyBorder="1"/>
    <xf numFmtId="37" fontId="3" fillId="38" borderId="4" xfId="2" applyNumberFormat="1" applyFont="1" applyFill="1" applyBorder="1"/>
    <xf numFmtId="9" fontId="3" fillId="38" borderId="68" xfId="1" applyFont="1" applyFill="1" applyBorder="1"/>
    <xf numFmtId="0" fontId="0" fillId="0" borderId="67" xfId="0" applyBorder="1"/>
    <xf numFmtId="0" fontId="0" fillId="0" borderId="4" xfId="0" applyBorder="1"/>
    <xf numFmtId="0" fontId="0" fillId="0" borderId="68" xfId="0" applyBorder="1"/>
    <xf numFmtId="165" fontId="2" fillId="2" borderId="45" xfId="0" applyNumberFormat="1" applyFont="1" applyFill="1" applyBorder="1" applyAlignment="1">
      <alignment horizontal="center" vertical="center" wrapText="1"/>
    </xf>
    <xf numFmtId="164" fontId="1" fillId="23" borderId="45" xfId="2" applyNumberFormat="1" applyFont="1" applyFill="1" applyBorder="1"/>
    <xf numFmtId="164" fontId="3" fillId="23" borderId="45" xfId="2" applyNumberFormat="1" applyFont="1" applyFill="1" applyBorder="1"/>
    <xf numFmtId="37" fontId="3" fillId="3" borderId="45" xfId="2" applyNumberFormat="1" applyFont="1" applyFill="1" applyBorder="1"/>
    <xf numFmtId="37" fontId="3" fillId="38" borderId="45" xfId="2" applyNumberFormat="1" applyFont="1" applyFill="1" applyBorder="1"/>
    <xf numFmtId="37" fontId="3" fillId="23" borderId="45" xfId="2" applyNumberFormat="1" applyFont="1" applyFill="1" applyBorder="1"/>
    <xf numFmtId="164" fontId="1" fillId="39" borderId="45" xfId="2" applyNumberFormat="1" applyFont="1" applyFill="1" applyBorder="1"/>
    <xf numFmtId="37" fontId="3" fillId="38" borderId="44" xfId="2" applyNumberFormat="1" applyFont="1" applyFill="1" applyBorder="1"/>
    <xf numFmtId="0" fontId="70" fillId="0" borderId="0" xfId="5"/>
    <xf numFmtId="0" fontId="71" fillId="40" borderId="0" xfId="5" applyFont="1" applyFill="1" applyAlignment="1">
      <alignment horizontal="left"/>
    </xf>
    <xf numFmtId="0" fontId="71" fillId="40" borderId="0" xfId="5" applyFont="1" applyFill="1" applyAlignment="1">
      <alignment horizontal="right"/>
    </xf>
    <xf numFmtId="0" fontId="72" fillId="0" borderId="0" xfId="5" applyFont="1" applyAlignment="1">
      <alignment horizontal="left"/>
    </xf>
    <xf numFmtId="0" fontId="70" fillId="0" borderId="0" xfId="5" applyAlignment="1">
      <alignment horizontal="right"/>
    </xf>
    <xf numFmtId="0" fontId="72" fillId="0" borderId="0" xfId="5" applyFont="1" applyAlignment="1">
      <alignment horizontal="right"/>
    </xf>
    <xf numFmtId="0" fontId="73" fillId="0" borderId="0" xfId="5" applyFont="1" applyAlignment="1">
      <alignment horizontal="left"/>
    </xf>
    <xf numFmtId="4" fontId="73" fillId="0" borderId="0" xfId="5" applyNumberFormat="1" applyFont="1" applyAlignment="1">
      <alignment horizontal="right"/>
    </xf>
    <xf numFmtId="43" fontId="0" fillId="0" borderId="0" xfId="6" applyFont="1" applyFill="1" applyAlignment="1" applyProtection="1"/>
    <xf numFmtId="0" fontId="70" fillId="0" borderId="0" xfId="5" applyAlignment="1">
      <alignment horizontal="left"/>
    </xf>
    <xf numFmtId="4" fontId="70" fillId="0" borderId="0" xfId="5" applyNumberFormat="1" applyAlignment="1">
      <alignment horizontal="right"/>
    </xf>
    <xf numFmtId="0" fontId="73" fillId="0" borderId="14" xfId="5" applyFont="1" applyBorder="1" applyAlignment="1">
      <alignment horizontal="left"/>
    </xf>
    <xf numFmtId="0" fontId="73" fillId="0" borderId="14" xfId="5" applyFont="1" applyBorder="1" applyAlignment="1">
      <alignment horizontal="right"/>
    </xf>
    <xf numFmtId="4" fontId="73" fillId="0" borderId="14" xfId="5" applyNumberFormat="1" applyFont="1" applyBorder="1" applyAlignment="1">
      <alignment horizontal="right"/>
    </xf>
    <xf numFmtId="9" fontId="73" fillId="0" borderId="14" xfId="7" applyFont="1" applyFill="1" applyBorder="1" applyAlignment="1" applyProtection="1"/>
    <xf numFmtId="0" fontId="73" fillId="0" borderId="14" xfId="5" applyFont="1" applyBorder="1"/>
    <xf numFmtId="4" fontId="73" fillId="0" borderId="14" xfId="5" applyNumberFormat="1" applyFont="1" applyBorder="1"/>
    <xf numFmtId="166" fontId="8" fillId="3" borderId="0" xfId="1" applyNumberFormat="1" applyFont="1" applyFill="1" applyBorder="1"/>
    <xf numFmtId="166" fontId="73" fillId="0" borderId="14" xfId="7" applyNumberFormat="1" applyFont="1" applyFill="1" applyBorder="1" applyAlignment="1" applyProtection="1"/>
    <xf numFmtId="164" fontId="74" fillId="0" borderId="0" xfId="3" applyNumberFormat="1" applyFont="1"/>
    <xf numFmtId="0" fontId="74" fillId="0" borderId="0" xfId="5" applyFont="1"/>
    <xf numFmtId="166" fontId="8" fillId="38" borderId="0" xfId="1" applyNumberFormat="1" applyFont="1" applyFill="1" applyBorder="1"/>
    <xf numFmtId="0" fontId="75" fillId="0" borderId="0" xfId="5" applyFont="1"/>
    <xf numFmtId="164" fontId="1" fillId="21" borderId="6" xfId="2" applyNumberFormat="1" applyFont="1" applyFill="1" applyBorder="1"/>
    <xf numFmtId="164" fontId="1" fillId="21" borderId="45" xfId="2" applyNumberFormat="1" applyFont="1" applyFill="1" applyBorder="1"/>
    <xf numFmtId="166" fontId="8" fillId="38" borderId="63" xfId="1" applyNumberFormat="1" applyFont="1" applyFill="1" applyBorder="1"/>
    <xf numFmtId="166" fontId="8" fillId="3" borderId="63" xfId="1" applyNumberFormat="1" applyFont="1" applyFill="1" applyBorder="1"/>
    <xf numFmtId="10" fontId="28" fillId="31" borderId="64" xfId="1" applyNumberFormat="1" applyFont="1" applyFill="1" applyBorder="1" applyAlignment="1">
      <alignment horizontal="center"/>
    </xf>
    <xf numFmtId="10" fontId="28" fillId="31" borderId="3" xfId="1" applyNumberFormat="1" applyFont="1" applyFill="1" applyBorder="1" applyAlignment="1">
      <alignment horizontal="center"/>
    </xf>
    <xf numFmtId="9" fontId="20" fillId="3" borderId="0" xfId="1" applyFont="1" applyFill="1"/>
    <xf numFmtId="168" fontId="0" fillId="23" borderId="0" xfId="3" applyNumberFormat="1" applyFont="1" applyFill="1" applyAlignment="1">
      <alignment horizontal="right"/>
    </xf>
    <xf numFmtId="172" fontId="0" fillId="23" borderId="0" xfId="3" applyNumberFormat="1" applyFont="1" applyFill="1"/>
    <xf numFmtId="9" fontId="0" fillId="23" borderId="0" xfId="1" applyFont="1" applyFill="1" applyAlignment="1">
      <alignment horizontal="left"/>
    </xf>
    <xf numFmtId="43" fontId="0" fillId="0" borderId="0" xfId="6" applyFont="1" applyFill="1" applyAlignment="1" applyProtection="1">
      <alignment horizontal="right"/>
    </xf>
    <xf numFmtId="166" fontId="61" fillId="38" borderId="0" xfId="1" applyNumberFormat="1" applyFont="1" applyFill="1" applyBorder="1"/>
    <xf numFmtId="9" fontId="8" fillId="3" borderId="0" xfId="1" applyFont="1" applyFill="1" applyBorder="1"/>
    <xf numFmtId="164" fontId="1" fillId="21" borderId="0" xfId="2" applyNumberFormat="1" applyFont="1" applyFill="1" applyBorder="1"/>
    <xf numFmtId="10" fontId="28" fillId="31" borderId="65" xfId="1" applyNumberFormat="1" applyFont="1" applyFill="1" applyBorder="1" applyAlignment="1">
      <alignment horizontal="center"/>
    </xf>
    <xf numFmtId="10" fontId="22" fillId="2" borderId="65" xfId="1" applyNumberFormat="1" applyFont="1" applyFill="1" applyBorder="1" applyAlignment="1">
      <alignment horizontal="center"/>
    </xf>
    <xf numFmtId="0" fontId="76" fillId="0" borderId="0" xfId="0" applyFont="1" applyAlignment="1">
      <alignment horizontal="left" vertical="center"/>
    </xf>
    <xf numFmtId="0" fontId="3" fillId="23" borderId="1" xfId="0" applyFont="1" applyFill="1" applyBorder="1" applyAlignment="1">
      <alignment horizontal="center"/>
    </xf>
    <xf numFmtId="0" fontId="3" fillId="23" borderId="2" xfId="0" applyFont="1" applyFill="1" applyBorder="1" applyAlignment="1">
      <alignment horizontal="center"/>
    </xf>
    <xf numFmtId="0" fontId="3" fillId="31" borderId="1" xfId="0" applyFont="1" applyFill="1" applyBorder="1" applyAlignment="1">
      <alignment horizontal="center"/>
    </xf>
    <xf numFmtId="0" fontId="3" fillId="31" borderId="2" xfId="0" applyFont="1" applyFill="1" applyBorder="1" applyAlignment="1">
      <alignment horizontal="center"/>
    </xf>
    <xf numFmtId="17" fontId="3" fillId="23" borderId="1" xfId="0" applyNumberFormat="1" applyFont="1" applyFill="1" applyBorder="1" applyAlignment="1">
      <alignment horizontal="center"/>
    </xf>
    <xf numFmtId="0" fontId="3" fillId="23" borderId="4" xfId="0" applyFont="1" applyFill="1" applyBorder="1" applyAlignment="1">
      <alignment horizontal="center"/>
    </xf>
    <xf numFmtId="0" fontId="71" fillId="40" borderId="0" xfId="5" applyFont="1" applyFill="1" applyAlignment="1">
      <alignment horizontal="center"/>
    </xf>
    <xf numFmtId="0" fontId="70" fillId="0" borderId="0" xfId="5" applyAlignment="1">
      <alignment horizontal="right"/>
    </xf>
    <xf numFmtId="38" fontId="21" fillId="13" borderId="0" xfId="0" applyNumberFormat="1" applyFont="1" applyFill="1" applyAlignment="1">
      <alignment horizontal="left" vertical="center"/>
    </xf>
    <xf numFmtId="38" fontId="21" fillId="13" borderId="0" xfId="0" applyNumberFormat="1" applyFont="1" applyFill="1" applyAlignment="1">
      <alignment horizontal="center" vertical="center"/>
    </xf>
    <xf numFmtId="0" fontId="54" fillId="22" borderId="25" xfId="0" applyFont="1" applyFill="1" applyBorder="1" applyAlignment="1">
      <alignment horizontal="center" vertical="center" wrapText="1"/>
    </xf>
    <xf numFmtId="0" fontId="54" fillId="22" borderId="28" xfId="0" applyFont="1" applyFill="1" applyBorder="1" applyAlignment="1">
      <alignment horizontal="center" vertical="center" wrapText="1"/>
    </xf>
    <xf numFmtId="0" fontId="55" fillId="22" borderId="26" xfId="0" applyFont="1" applyFill="1" applyBorder="1" applyAlignment="1">
      <alignment horizontal="center" vertical="center" wrapText="1"/>
    </xf>
    <xf numFmtId="0" fontId="55" fillId="22" borderId="27" xfId="0" applyFont="1" applyFill="1" applyBorder="1" applyAlignment="1">
      <alignment horizontal="center" vertical="center" wrapText="1"/>
    </xf>
    <xf numFmtId="0" fontId="62" fillId="0" borderId="12" xfId="0" applyFont="1" applyBorder="1" applyAlignment="1">
      <alignment horizontal="center"/>
    </xf>
    <xf numFmtId="0" fontId="21" fillId="30" borderId="6" xfId="0" applyFont="1" applyFill="1" applyBorder="1" applyAlignment="1">
      <alignment horizontal="center" vertical="center"/>
    </xf>
    <xf numFmtId="0" fontId="21" fillId="30" borderId="0" xfId="0" applyFont="1" applyFill="1" applyAlignment="1">
      <alignment horizontal="center" vertical="center"/>
    </xf>
    <xf numFmtId="0" fontId="21" fillId="30" borderId="21" xfId="0" applyFont="1" applyFill="1" applyBorder="1" applyAlignment="1">
      <alignment horizontal="center" vertical="center"/>
    </xf>
    <xf numFmtId="0" fontId="21" fillId="30" borderId="22" xfId="0" applyFont="1" applyFill="1" applyBorder="1" applyAlignment="1">
      <alignment horizontal="center" vertical="center"/>
    </xf>
    <xf numFmtId="0" fontId="21" fillId="31" borderId="20" xfId="0" applyFont="1" applyFill="1" applyBorder="1" applyAlignment="1">
      <alignment horizontal="center" vertical="center"/>
    </xf>
  </cellXfs>
  <cellStyles count="8">
    <cellStyle name="Comma" xfId="3" builtinId="3"/>
    <cellStyle name="Comma 15" xfId="2" xr:uid="{00000000-0005-0000-0000-000001000000}"/>
    <cellStyle name="Comma 2" xfId="6" xr:uid="{79AECFB5-5D3C-4A25-B082-34F2EC205E9E}"/>
    <cellStyle name="Normal" xfId="0" builtinId="0"/>
    <cellStyle name="Normal 2" xfId="5" xr:uid="{7E60DC88-75DE-4A63-A07C-50B6FBAA2106}"/>
    <cellStyle name="Normal 4" xfId="4" xr:uid="{00000000-0005-0000-0000-000003000000}"/>
    <cellStyle name="Percent" xfId="1" builtinId="5"/>
    <cellStyle name="Percent 2" xfId="7" xr:uid="{AEBCB3CE-AE0B-46FC-9232-8C5DA44CE51D}"/>
  </cellStyles>
  <dxfs count="43"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auto="1"/>
      </font>
      <fill>
        <patternFill patternType="none"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externalLink" Target="externalLinks/externalLink12.xml"/><Relationship Id="rId39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7.xml"/><Relationship Id="rId34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28.xml"/><Relationship Id="rId47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36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9" Type="http://schemas.openxmlformats.org/officeDocument/2006/relationships/externalLink" Target="externalLinks/externalLink15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18.xml"/><Relationship Id="rId37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26.xml"/><Relationship Id="rId45" Type="http://schemas.openxmlformats.org/officeDocument/2006/relationships/externalLink" Target="externalLinks/externalLink31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31" Type="http://schemas.openxmlformats.org/officeDocument/2006/relationships/externalLink" Target="externalLinks/externalLink17.xml"/><Relationship Id="rId44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3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8.xml"/><Relationship Id="rId27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16.xml"/><Relationship Id="rId35" Type="http://schemas.openxmlformats.org/officeDocument/2006/relationships/externalLink" Target="externalLinks/externalLink21.xml"/><Relationship Id="rId43" Type="http://schemas.openxmlformats.org/officeDocument/2006/relationships/externalLink" Target="externalLinks/externalLink29.xml"/><Relationship Id="rId48" Type="http://schemas.openxmlformats.org/officeDocument/2006/relationships/externalLink" Target="externalLinks/externalLink34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7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externalLink" Target="externalLinks/externalLink11.xml"/><Relationship Id="rId33" Type="http://schemas.openxmlformats.org/officeDocument/2006/relationships/externalLink" Target="externalLinks/externalLink19.xml"/><Relationship Id="rId38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32.xml"/><Relationship Id="rId20" Type="http://schemas.openxmlformats.org/officeDocument/2006/relationships/externalLink" Target="externalLinks/externalLink6.xml"/><Relationship Id="rId41" Type="http://schemas.openxmlformats.org/officeDocument/2006/relationships/externalLink" Target="externalLinks/externalLink27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1.xml"/><Relationship Id="rId23" Type="http://schemas.openxmlformats.org/officeDocument/2006/relationships/externalLink" Target="externalLinks/externalLink9.xml"/><Relationship Id="rId28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22.xml"/><Relationship Id="rId49" Type="http://schemas.openxmlformats.org/officeDocument/2006/relationships/externalLink" Target="externalLinks/externalLink3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'Cover &amp; Index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19050</xdr:rowOff>
    </xdr:from>
    <xdr:to>
      <xdr:col>3</xdr:col>
      <xdr:colOff>201084</xdr:colOff>
      <xdr:row>2</xdr:row>
      <xdr:rowOff>2</xdr:rowOff>
    </xdr:to>
    <xdr:pic>
      <xdr:nvPicPr>
        <xdr:cNvPr id="2" name="Picture 7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457200"/>
          <a:ext cx="2838451" cy="4381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76200</xdr:rowOff>
    </xdr:from>
    <xdr:to>
      <xdr:col>2</xdr:col>
      <xdr:colOff>0</xdr:colOff>
      <xdr:row>2</xdr:row>
      <xdr:rowOff>152418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666875" y="76200"/>
          <a:ext cx="0" cy="561993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Back</a:t>
          </a:r>
          <a:r>
            <a:rPr lang="en-US" sz="1100" baseline="0"/>
            <a:t> to Index</a:t>
          </a:r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inancial%20control\2008%20Accounts\Feb.2008\NDT_New_consilidation_Feb_200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0.113\team$\Financial%20control\2008%20Accounts\Feb.2008\NDT_New_consilidation_Feb_200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mkourany\Application%20Data\Microsoft\Excel\MBCC%20May%20Sheets\Financial%20control\2008%20Accounts\Feb.2008\NDT_New_consilidation_Feb_2008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mkourany\Desktop\Desktop\Desktop\CTC\Aug-012\final\MBCC%20May%20Sheets\Financial%20control\2008%20Accounts\Feb.2008\NDT_New_consilidation_Feb_2008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Financial%20control\2008%20Accounts\Feb.2008\NDT_New_consilidation_Feb_2008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.%20Adham\Financial%20control\2008%20Accounts\Feb.2008\NDT_New_consilidation_Feb_20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nancial\financial\Financial%20control\2008%20Accounts\Feb.2008\NDT_New_consilidation_Feb_2008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WINDOWS\Desktop\References\Tanks\DATAIN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0.113\team$\Users\AKMAL~1.ELR\AppData\Local\Temp\notesFCBCEE\financial\financial\Financial%20control\2008%20Accounts\Feb.2008\NDT_New_consilidation_Feb_2008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1999%20BUDGET\TOTAL%20BUDGET%2099%20-%20SEP1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a2005\Financial%20Dept\DESC\Al%20Qalaa\Management_5YP_LC_3_5YP_2018_V1_CS01%20-V1%20Cons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PLAN%2099\JUL%2099\JUN99\PLAN98\JUN98\JUN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Ref_T%20001%20To%20T%201000\2.016-09_abu%20zabal\painting_calc.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AP%20reports\Files%20sent%20to%20Qalaa\Finance%20files\&#1576;&#1610;&#1575;&#1606;&#1575;&#1578;%20&#1575;&#1604;&#1593;&#1575;&#1605;%20&#1575;&#1604;&#1605;&#1575;&#1604;&#1609;%202016\&#1576;&#1610;&#1575;&#1606;&#1575;&#1578;%20&#1605;&#1575;&#1610;&#1608;%202016\Management_ACT_LC_3_CS01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nancial\financial\WIN95\TEMP\PLAN%2099\JUN99\TOTAL%20BUDGET%2099%20-%20JUN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95\TEMP\PLAN%2099\JUN99\TOTAL%20BUDGET%2099%20-%20JUN0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amr\Desktop\HIST_JFM_ACT_NODE_N_CH01_CH01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My%20documents\Ashraf\Quotations\2003\2.003-03\My%20documents\Ashraf\Data\Vpartlst00-DSD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sktop\2016%20Budget\final%20BOD%20Dec-015\2016%20Budget%20Final\Revised\BP-016%20Final\Management_5YP_LC_3_5YP_2016_V2_CS01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arid\2000%20hsbc%20ca\2000%20HSBC%20Cash%20Flow\Interland%20Cash%20Flow%20200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0.113\team$\Users\rshaheen\Desktop\July%20Reporting\Z04\ASA%20Rev%20YT-July%2014,08,%202011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esham%20Doc\ASSETS\Fixed%20Assets%20200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ahba\e\1.057-00\1.057-0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SFNT\AFESKANDER\EXCEL\&#44036;&#51217;&#48708;Z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inancial%20Control\2008%20Accounts\Feb.2008\NDT_New_consilidation_Feb_2008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ahmoud%20Jop\2016\Qalaa%20Report\June\Management_ACT_LC_3\Management_ACT_LC_3_CS02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nancial\financial\ASA\Projects%20Follow%20up\April%2008%20projects\Prpjects%20YTD%20April%2008%20Adjusted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SA\Projects%20Follow%20up\April%2008%20projects\Prpjects%20YTD%20April%2008%20Adjusted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\1Estimations\Quot-2002\1000\1.051a-0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00-%20Business%20Plan\BOD%20PRESENTATION%20AND%20RELATED%20FILES\DOCUME~1\yaser\LOCALS~1\Temp\notesE1EF34\trial%20Sep%202008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00-%20Business%20Plan\BOD%20PRESENTATION%20AND%20RELATED%20FILES\DOCUME~1\yaser\LOCALS~1\Temp\notesE1EF34\trial%204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hallah.ASECARESCO\My%20Documents\Book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a2005\Financial%20Dept\Financial\Year%202021\Budget%202021%2021.01.2021\Budget%202022\ASA%20BP%202022%20-%202035-V17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a2005\Financial%20Dept\Users\AHMED.NASR\Desktop\Budget%202021%20and%202022\2021\ASA%20BP%202021%20-%202035%20v23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\Desktop\ASA&amp;NDT%202020\BP2020\Sept2020\ASA%20BP%20202012%20Y%20SeptFinal%20sent%20%20NDT%20CBE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a2005\Financial%20Dept\Financial\Year%202021\Budget%202021%2021.01.2021\Budget%202022\ASA%20BP%202022%20-%202035-V15-AMR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a2005\Financial%20Dept\Financial\Year%202021\Budget%202021%2021.01.2021\ASA%20New%20BP\ASA%20BP%202021%20-%202035%20v21%20-%20Copy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a2005\Financial%20Dept\Financial\Year%202021\Budget%202021%2021.01.2021\Budget%202022\ASA%20BP%202022%20-%202035-V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Chk_File"/>
      <sheetName val="Data"/>
      <sheetName val="elimination entries"/>
      <sheetName val="BS LD"/>
      <sheetName val="IS"/>
      <sheetName val="Fixed assets"/>
      <sheetName val="FA Surplus"/>
      <sheetName val="Imperment"/>
      <sheetName val="Provisions"/>
      <sheetName val="RP Balance"/>
      <sheetName val="Fixed assets R F"/>
      <sheetName val="Equity"/>
      <sheetName val="Magority Interest"/>
      <sheetName val="Minority Interest"/>
      <sheetName val="EE at date of acq."/>
      <sheetName val="Inv. since date of acqusition"/>
      <sheetName val="Sigments"/>
      <sheetName val="Balance Sheet"/>
      <sheetName val="Income Statement"/>
      <sheetName val="Shareholders' Equit"/>
      <sheetName val="Cash flow"/>
      <sheetName val="CITADAL"/>
    </sheetNames>
    <sheetDataSet>
      <sheetData sheetId="0" refreshError="1"/>
      <sheetData sheetId="1" refreshError="1"/>
      <sheetData sheetId="2" refreshError="1"/>
      <sheetData sheetId="3" refreshError="1">
        <row r="8">
          <cell r="B8">
            <v>30101000</v>
          </cell>
          <cell r="C8" t="str">
            <v>Dr.</v>
          </cell>
          <cell r="D8" t="str">
            <v>Dr. Owners Equity</v>
          </cell>
          <cell r="F8" t="str">
            <v>Capital</v>
          </cell>
          <cell r="J8">
            <v>0</v>
          </cell>
          <cell r="K8">
            <v>0</v>
          </cell>
          <cell r="L8">
            <v>0</v>
          </cell>
        </row>
        <row r="9">
          <cell r="B9">
            <v>30301000</v>
          </cell>
          <cell r="C9" t="str">
            <v>Dr.</v>
          </cell>
          <cell r="D9" t="str">
            <v>Dr. Owners Equity</v>
          </cell>
          <cell r="F9" t="str">
            <v>Reserves</v>
          </cell>
          <cell r="J9">
            <v>0</v>
          </cell>
          <cell r="K9">
            <v>0</v>
          </cell>
          <cell r="L9">
            <v>0</v>
          </cell>
        </row>
        <row r="10">
          <cell r="B10">
            <v>30401000</v>
          </cell>
          <cell r="C10" t="str">
            <v>Dr.</v>
          </cell>
          <cell r="D10" t="str">
            <v>Dr. Owners Equity</v>
          </cell>
          <cell r="F10" t="str">
            <v>RE + NP - RE 6Months Nincome</v>
          </cell>
          <cell r="J10">
            <v>0</v>
          </cell>
          <cell r="K10">
            <v>0</v>
          </cell>
          <cell r="L10">
            <v>0</v>
          </cell>
        </row>
        <row r="11">
          <cell r="B11">
            <v>10100100</v>
          </cell>
          <cell r="C11" t="str">
            <v>Dr.</v>
          </cell>
          <cell r="D11" t="str">
            <v>Dr. Fixed asset (surplus)</v>
          </cell>
          <cell r="F11" t="str">
            <v>Land</v>
          </cell>
          <cell r="J11">
            <v>0</v>
          </cell>
          <cell r="K11">
            <v>0</v>
          </cell>
          <cell r="L11">
            <v>0</v>
          </cell>
        </row>
        <row r="12">
          <cell r="B12">
            <v>10100110</v>
          </cell>
          <cell r="C12" t="str">
            <v>Dr.</v>
          </cell>
          <cell r="D12" t="str">
            <v>Dr. Fixed asset (surplus)</v>
          </cell>
          <cell r="F12" t="str">
            <v>Buildings and constructions</v>
          </cell>
          <cell r="J12">
            <v>0</v>
          </cell>
          <cell r="K12">
            <v>0</v>
          </cell>
          <cell r="L12">
            <v>0</v>
          </cell>
        </row>
        <row r="13">
          <cell r="B13">
            <v>10100120</v>
          </cell>
          <cell r="C13" t="str">
            <v>Dr.</v>
          </cell>
          <cell r="D13" t="str">
            <v>Dr. Fixed asset (surplus)</v>
          </cell>
          <cell r="F13" t="str">
            <v>Machinery and equipment</v>
          </cell>
          <cell r="J13">
            <v>0</v>
          </cell>
          <cell r="K13">
            <v>0</v>
          </cell>
          <cell r="L13">
            <v>0</v>
          </cell>
        </row>
        <row r="14">
          <cell r="B14">
            <v>10100190</v>
          </cell>
          <cell r="C14" t="str">
            <v>Dr.</v>
          </cell>
          <cell r="D14" t="str">
            <v>Dr. Fixed asset (surplus)</v>
          </cell>
          <cell r="F14" t="str">
            <v>Vehicles and Transportation means</v>
          </cell>
          <cell r="J14">
            <v>0</v>
          </cell>
          <cell r="K14">
            <v>0</v>
          </cell>
          <cell r="L14">
            <v>0</v>
          </cell>
        </row>
        <row r="15">
          <cell r="B15">
            <v>10100160</v>
          </cell>
          <cell r="C15" t="str">
            <v>Dr.</v>
          </cell>
          <cell r="D15" t="str">
            <v>Dr. Fixed asset (surplus)</v>
          </cell>
          <cell r="F15" t="str">
            <v>Furniture and Office Equipments</v>
          </cell>
          <cell r="J15">
            <v>0</v>
          </cell>
          <cell r="K15">
            <v>0</v>
          </cell>
          <cell r="L15">
            <v>0</v>
          </cell>
        </row>
        <row r="16">
          <cell r="B16">
            <v>10100150</v>
          </cell>
          <cell r="C16" t="str">
            <v>Dr.</v>
          </cell>
          <cell r="D16" t="str">
            <v>Dr. Fixed asset (surplus)</v>
          </cell>
          <cell r="F16" t="str">
            <v>Safty &amp; Equipments</v>
          </cell>
          <cell r="J16">
            <v>0</v>
          </cell>
          <cell r="K16">
            <v>0</v>
          </cell>
          <cell r="L16">
            <v>0</v>
          </cell>
        </row>
        <row r="17">
          <cell r="B17">
            <v>10400100</v>
          </cell>
          <cell r="C17" t="str">
            <v>Dr.</v>
          </cell>
          <cell r="D17" t="str">
            <v>Dr/Cr. Goodwill Balance Sheet</v>
          </cell>
          <cell r="J17">
            <v>0</v>
          </cell>
          <cell r="K17">
            <v>0</v>
          </cell>
          <cell r="L17">
            <v>0</v>
          </cell>
        </row>
        <row r="18">
          <cell r="B18">
            <v>39101000</v>
          </cell>
          <cell r="C18" t="str">
            <v>Cr.</v>
          </cell>
          <cell r="E18" t="str">
            <v>Cr Minority interest</v>
          </cell>
          <cell r="G18" t="str">
            <v>Capital</v>
          </cell>
          <cell r="J18">
            <v>0</v>
          </cell>
          <cell r="K18">
            <v>0</v>
          </cell>
          <cell r="L18">
            <v>0</v>
          </cell>
        </row>
        <row r="19">
          <cell r="B19">
            <v>39301000</v>
          </cell>
          <cell r="C19" t="str">
            <v>Cr.</v>
          </cell>
          <cell r="E19" t="str">
            <v>Cr Minority interest</v>
          </cell>
          <cell r="G19" t="str">
            <v>Reserves</v>
          </cell>
          <cell r="J19">
            <v>0</v>
          </cell>
          <cell r="K19">
            <v>0</v>
          </cell>
          <cell r="L19">
            <v>0</v>
          </cell>
        </row>
        <row r="20">
          <cell r="B20">
            <v>39401000</v>
          </cell>
          <cell r="C20" t="str">
            <v>Cr.</v>
          </cell>
          <cell r="E20" t="str">
            <v>Cr Minority interest</v>
          </cell>
          <cell r="G20" t="str">
            <v>RE</v>
          </cell>
          <cell r="J20">
            <v>0</v>
          </cell>
          <cell r="K20">
            <v>0</v>
          </cell>
          <cell r="L20">
            <v>0</v>
          </cell>
        </row>
        <row r="21">
          <cell r="B21">
            <v>39401020</v>
          </cell>
          <cell r="C21" t="str">
            <v>Cr.</v>
          </cell>
          <cell r="E21" t="str">
            <v>Cr Minority interest</v>
          </cell>
          <cell r="G21" t="str">
            <v>Fixed assets revaluation</v>
          </cell>
          <cell r="J21">
            <v>0</v>
          </cell>
          <cell r="K21">
            <v>0</v>
          </cell>
          <cell r="L21">
            <v>0</v>
          </cell>
        </row>
        <row r="22">
          <cell r="B22">
            <v>10300108</v>
          </cell>
          <cell r="C22" t="str">
            <v>Cr.</v>
          </cell>
          <cell r="E22" t="str">
            <v>Cr. Investment</v>
          </cell>
          <cell r="G22" t="str">
            <v>Esaco</v>
          </cell>
          <cell r="J22">
            <v>0</v>
          </cell>
          <cell r="K22">
            <v>0</v>
          </cell>
          <cell r="L22">
            <v>0</v>
          </cell>
        </row>
        <row r="25">
          <cell r="B25">
            <v>30101000</v>
          </cell>
          <cell r="C25" t="str">
            <v>Cr.</v>
          </cell>
          <cell r="D25" t="str">
            <v>Dr. Capital</v>
          </cell>
          <cell r="J25">
            <v>0</v>
          </cell>
          <cell r="K25">
            <v>0</v>
          </cell>
          <cell r="L25">
            <v>0</v>
          </cell>
        </row>
        <row r="26">
          <cell r="B26">
            <v>30201000</v>
          </cell>
          <cell r="C26" t="str">
            <v>Cr.</v>
          </cell>
          <cell r="D26" t="str">
            <v>Dr. Payment under capital increase</v>
          </cell>
          <cell r="J26">
            <v>0</v>
          </cell>
          <cell r="K26">
            <v>-5000000</v>
          </cell>
          <cell r="L26">
            <v>-5000000</v>
          </cell>
        </row>
        <row r="27">
          <cell r="B27">
            <v>10300102</v>
          </cell>
          <cell r="C27" t="str">
            <v>Cr.</v>
          </cell>
          <cell r="E27" t="str">
            <v>Cr. Investment</v>
          </cell>
          <cell r="H27" t="str">
            <v>Aresco</v>
          </cell>
          <cell r="J27">
            <v>0</v>
          </cell>
          <cell r="K27">
            <v>0</v>
          </cell>
          <cell r="L27">
            <v>0</v>
          </cell>
        </row>
        <row r="28">
          <cell r="B28">
            <v>10300107</v>
          </cell>
          <cell r="C28" t="str">
            <v>Dr.</v>
          </cell>
          <cell r="E28" t="str">
            <v>Cr. Investment</v>
          </cell>
          <cell r="H28" t="str">
            <v>Ach</v>
          </cell>
          <cell r="J28">
            <v>0</v>
          </cell>
          <cell r="K28">
            <v>0</v>
          </cell>
          <cell r="L28">
            <v>0</v>
          </cell>
        </row>
        <row r="29">
          <cell r="B29">
            <v>10300106</v>
          </cell>
          <cell r="C29" t="str">
            <v>Cr.</v>
          </cell>
          <cell r="E29" t="str">
            <v>Cr. Investment</v>
          </cell>
          <cell r="H29" t="str">
            <v>United</v>
          </cell>
          <cell r="J29">
            <v>0</v>
          </cell>
          <cell r="K29">
            <v>0</v>
          </cell>
          <cell r="L29">
            <v>0</v>
          </cell>
        </row>
        <row r="30">
          <cell r="B30">
            <v>10302007</v>
          </cell>
          <cell r="C30" t="str">
            <v>Dr.</v>
          </cell>
          <cell r="E30" t="str">
            <v>Cr. Payment under Investment</v>
          </cell>
          <cell r="H30" t="str">
            <v>Ach</v>
          </cell>
          <cell r="J30">
            <v>0</v>
          </cell>
          <cell r="K30">
            <v>0</v>
          </cell>
          <cell r="L30">
            <v>0</v>
          </cell>
        </row>
        <row r="31">
          <cell r="B31">
            <v>10302006</v>
          </cell>
          <cell r="C31" t="str">
            <v>Dr.</v>
          </cell>
          <cell r="E31" t="str">
            <v>Cr. Payment under Investment</v>
          </cell>
          <cell r="H31" t="str">
            <v>United</v>
          </cell>
          <cell r="J31">
            <v>5000000</v>
          </cell>
          <cell r="K31">
            <v>0</v>
          </cell>
          <cell r="L31">
            <v>5000000</v>
          </cell>
        </row>
        <row r="32">
          <cell r="B32">
            <v>39101000</v>
          </cell>
          <cell r="C32" t="str">
            <v>Dr.</v>
          </cell>
          <cell r="E32" t="str">
            <v>Cr. Minority interest</v>
          </cell>
          <cell r="G32" t="str">
            <v>Capital</v>
          </cell>
          <cell r="J32">
            <v>0</v>
          </cell>
          <cell r="K32">
            <v>0</v>
          </cell>
          <cell r="L32">
            <v>0</v>
          </cell>
        </row>
        <row r="33">
          <cell r="B33">
            <v>39201000</v>
          </cell>
          <cell r="C33" t="str">
            <v>Dr.</v>
          </cell>
          <cell r="E33" t="str">
            <v>Cr. Minority interest</v>
          </cell>
          <cell r="G33" t="str">
            <v>Reserves for capital increase</v>
          </cell>
          <cell r="J33">
            <v>0</v>
          </cell>
          <cell r="K33">
            <v>0</v>
          </cell>
          <cell r="L33">
            <v>0</v>
          </cell>
        </row>
        <row r="37">
          <cell r="B37">
            <v>30301000</v>
          </cell>
          <cell r="C37" t="str">
            <v>Dr.</v>
          </cell>
          <cell r="D37" t="str">
            <v>Dr.</v>
          </cell>
          <cell r="E37" t="str">
            <v>Reserves</v>
          </cell>
          <cell r="J37">
            <v>0</v>
          </cell>
          <cell r="K37">
            <v>0</v>
          </cell>
          <cell r="L37">
            <v>0</v>
          </cell>
        </row>
        <row r="38">
          <cell r="B38">
            <v>30401000</v>
          </cell>
          <cell r="C38" t="str">
            <v>Cr.</v>
          </cell>
          <cell r="E38" t="str">
            <v>Cr. Retained earnings</v>
          </cell>
          <cell r="J38">
            <v>0</v>
          </cell>
          <cell r="K38">
            <v>0</v>
          </cell>
          <cell r="L38">
            <v>0</v>
          </cell>
        </row>
        <row r="42">
          <cell r="B42">
            <v>39401000</v>
          </cell>
          <cell r="C42" t="str">
            <v>Dr.</v>
          </cell>
          <cell r="D42" t="str">
            <v>Dr. Minority Interest</v>
          </cell>
          <cell r="F42" t="str">
            <v>Retained earnings</v>
          </cell>
          <cell r="H42" t="str">
            <v>ACH</v>
          </cell>
          <cell r="J42">
            <v>0</v>
          </cell>
          <cell r="K42">
            <v>0</v>
          </cell>
          <cell r="L42">
            <v>0</v>
          </cell>
        </row>
        <row r="43">
          <cell r="B43">
            <v>39301000</v>
          </cell>
          <cell r="C43" t="str">
            <v>Cr.</v>
          </cell>
          <cell r="E43" t="str">
            <v>Dr. Minority interest</v>
          </cell>
          <cell r="G43" t="str">
            <v>Reserves</v>
          </cell>
          <cell r="H43" t="str">
            <v>ACH</v>
          </cell>
          <cell r="J43">
            <v>0</v>
          </cell>
          <cell r="K43">
            <v>0</v>
          </cell>
          <cell r="L43">
            <v>0</v>
          </cell>
        </row>
        <row r="47">
          <cell r="B47">
            <v>401</v>
          </cell>
          <cell r="C47" t="str">
            <v>Dr.</v>
          </cell>
          <cell r="D47" t="str">
            <v>Dr. Sales intercompany</v>
          </cell>
          <cell r="J47">
            <v>19919547.48</v>
          </cell>
          <cell r="K47">
            <v>0</v>
          </cell>
          <cell r="L47">
            <v>19919547.48</v>
          </cell>
        </row>
        <row r="48">
          <cell r="B48">
            <v>415</v>
          </cell>
          <cell r="C48" t="str">
            <v>Dr.</v>
          </cell>
          <cell r="D48" t="str">
            <v>Dr. Otheer operating Income - Asec Eng</v>
          </cell>
          <cell r="J48">
            <v>0</v>
          </cell>
          <cell r="K48">
            <v>0</v>
          </cell>
          <cell r="L48">
            <v>0</v>
          </cell>
        </row>
        <row r="49">
          <cell r="B49">
            <v>201</v>
          </cell>
          <cell r="C49" t="str">
            <v>Cr.</v>
          </cell>
          <cell r="E49" t="str">
            <v>Cr. COGS intercompany</v>
          </cell>
          <cell r="J49">
            <v>0</v>
          </cell>
          <cell r="K49">
            <v>-19919547.48</v>
          </cell>
          <cell r="L49">
            <v>-19919547.48</v>
          </cell>
        </row>
        <row r="50">
          <cell r="B50">
            <v>215</v>
          </cell>
          <cell r="C50" t="str">
            <v>Cr.</v>
          </cell>
          <cell r="E50" t="str">
            <v>Cr. Otheer operating Cost - Asec Eng</v>
          </cell>
          <cell r="J50">
            <v>0</v>
          </cell>
          <cell r="K50">
            <v>0</v>
          </cell>
          <cell r="L50">
            <v>0</v>
          </cell>
        </row>
        <row r="53">
          <cell r="B53">
            <v>402</v>
          </cell>
          <cell r="C53" t="str">
            <v>Dr.</v>
          </cell>
          <cell r="D53" t="str">
            <v>Dr. Sales intercompany</v>
          </cell>
          <cell r="J53">
            <v>0</v>
          </cell>
          <cell r="K53">
            <v>0</v>
          </cell>
          <cell r="L53">
            <v>0</v>
          </cell>
        </row>
        <row r="54">
          <cell r="B54">
            <v>201</v>
          </cell>
          <cell r="C54" t="str">
            <v>Cr.</v>
          </cell>
          <cell r="E54" t="str">
            <v>Cr. COGS</v>
          </cell>
          <cell r="J54">
            <v>0</v>
          </cell>
          <cell r="K54">
            <v>0</v>
          </cell>
          <cell r="L54">
            <v>0</v>
          </cell>
        </row>
        <row r="55">
          <cell r="B55">
            <v>10200100</v>
          </cell>
          <cell r="C55" t="str">
            <v>Cr.</v>
          </cell>
          <cell r="E55" t="str">
            <v>Cr. PUC</v>
          </cell>
          <cell r="J55">
            <v>0</v>
          </cell>
          <cell r="K55">
            <v>0</v>
          </cell>
          <cell r="L55">
            <v>0</v>
          </cell>
        </row>
        <row r="59">
          <cell r="B59">
            <v>401</v>
          </cell>
          <cell r="C59" t="str">
            <v>Dr.</v>
          </cell>
          <cell r="D59" t="str">
            <v>Dr. Dividends Income (P&amp;L)</v>
          </cell>
          <cell r="J59">
            <v>0</v>
          </cell>
          <cell r="K59">
            <v>0</v>
          </cell>
          <cell r="L59">
            <v>0</v>
          </cell>
        </row>
        <row r="60">
          <cell r="B60">
            <v>39401000</v>
          </cell>
          <cell r="C60" t="str">
            <v>Dr.</v>
          </cell>
          <cell r="D60" t="str">
            <v>Dr. Minority interest</v>
          </cell>
          <cell r="F60" t="str">
            <v>Retained earnings</v>
          </cell>
          <cell r="J60">
            <v>0</v>
          </cell>
          <cell r="K60">
            <v>0</v>
          </cell>
          <cell r="L60">
            <v>0</v>
          </cell>
        </row>
        <row r="61">
          <cell r="B61">
            <v>30401000</v>
          </cell>
          <cell r="C61" t="str">
            <v>Cr.</v>
          </cell>
          <cell r="E61" t="str">
            <v>Cr. Retained earnings subsidiaries</v>
          </cell>
          <cell r="J61">
            <v>0</v>
          </cell>
          <cell r="K61">
            <v>0</v>
          </cell>
          <cell r="L61">
            <v>0</v>
          </cell>
        </row>
        <row r="65">
          <cell r="B65">
            <v>210</v>
          </cell>
          <cell r="C65" t="str">
            <v>Dr.</v>
          </cell>
          <cell r="D65" t="str">
            <v>Dr. Depreciation</v>
          </cell>
          <cell r="F65" t="str">
            <v>COGS</v>
          </cell>
          <cell r="J65">
            <v>3565269.3509806683</v>
          </cell>
          <cell r="K65">
            <v>0</v>
          </cell>
          <cell r="L65">
            <v>3565269.3509806683</v>
          </cell>
        </row>
        <row r="66">
          <cell r="B66">
            <v>211</v>
          </cell>
          <cell r="C66" t="str">
            <v>Dr.</v>
          </cell>
          <cell r="D66" t="str">
            <v>Dr. Depreciation</v>
          </cell>
          <cell r="F66" t="str">
            <v>G&amp;A</v>
          </cell>
          <cell r="J66">
            <v>425128.37905135209</v>
          </cell>
          <cell r="K66">
            <v>0</v>
          </cell>
          <cell r="L66">
            <v>425128.37905135209</v>
          </cell>
        </row>
        <row r="67">
          <cell r="C67" t="str">
            <v>Dr.</v>
          </cell>
          <cell r="D67" t="str">
            <v>Dr. Minority interest</v>
          </cell>
          <cell r="F67" t="str">
            <v>B Sheet - N Income</v>
          </cell>
          <cell r="J67">
            <v>184360.22081725096</v>
          </cell>
          <cell r="K67">
            <v>0</v>
          </cell>
          <cell r="L67">
            <v>184360.22081725096</v>
          </cell>
        </row>
        <row r="68">
          <cell r="B68">
            <v>910</v>
          </cell>
          <cell r="C68" t="str">
            <v>Cr.</v>
          </cell>
          <cell r="E68" t="str">
            <v>Cr. Minority interest</v>
          </cell>
          <cell r="G68" t="str">
            <v>Current period net income</v>
          </cell>
          <cell r="J68">
            <v>0</v>
          </cell>
          <cell r="K68">
            <v>-184360.22081725096</v>
          </cell>
          <cell r="L68">
            <v>-184360.22081725096</v>
          </cell>
        </row>
        <row r="69">
          <cell r="B69">
            <v>20200100</v>
          </cell>
          <cell r="C69" t="str">
            <v>Cr.</v>
          </cell>
          <cell r="E69" t="str">
            <v>Cr F A Surplus Dep</v>
          </cell>
          <cell r="G69" t="str">
            <v>Land</v>
          </cell>
          <cell r="J69">
            <v>0</v>
          </cell>
          <cell r="K69">
            <v>0</v>
          </cell>
          <cell r="L69">
            <v>0</v>
          </cell>
        </row>
        <row r="70">
          <cell r="B70">
            <v>20200110</v>
          </cell>
          <cell r="C70" t="str">
            <v>Cr.</v>
          </cell>
          <cell r="E70" t="str">
            <v>Cr F A Surplus Dep</v>
          </cell>
          <cell r="G70" t="str">
            <v>Buildings and constructions</v>
          </cell>
          <cell r="J70">
            <v>0</v>
          </cell>
          <cell r="K70">
            <v>-175664.73100901794</v>
          </cell>
          <cell r="L70">
            <v>-175664.73100901794</v>
          </cell>
        </row>
        <row r="71">
          <cell r="B71">
            <v>20200120</v>
          </cell>
          <cell r="C71" t="str">
            <v>Cr.</v>
          </cell>
          <cell r="E71" t="str">
            <v>Cr F A Surplus Dep</v>
          </cell>
          <cell r="G71" t="str">
            <v>Machinery and equipment</v>
          </cell>
          <cell r="J71">
            <v>0</v>
          </cell>
          <cell r="K71">
            <v>-3182053.6262731822</v>
          </cell>
          <cell r="L71">
            <v>-3182053.6262731822</v>
          </cell>
        </row>
        <row r="72">
          <cell r="B72">
            <v>20200190</v>
          </cell>
          <cell r="C72" t="str">
            <v>Cr.</v>
          </cell>
          <cell r="E72" t="str">
            <v>Cr F A Surplus Dep</v>
          </cell>
          <cell r="G72" t="str">
            <v>Vehicles and Transportation means</v>
          </cell>
          <cell r="J72">
            <v>0</v>
          </cell>
          <cell r="K72">
            <v>-69263.06000925292</v>
          </cell>
          <cell r="L72">
            <v>-69263.06000925292</v>
          </cell>
        </row>
        <row r="73">
          <cell r="B73">
            <v>20200160</v>
          </cell>
          <cell r="C73" t="str">
            <v>Cr.</v>
          </cell>
          <cell r="E73" t="str">
            <v>Cr F A Surplus Dep</v>
          </cell>
          <cell r="G73" t="str">
            <v>Furniture and Office Equipments</v>
          </cell>
          <cell r="J73">
            <v>0</v>
          </cell>
          <cell r="K73">
            <v>-400288.69580389827</v>
          </cell>
          <cell r="L73">
            <v>-400288.69580389827</v>
          </cell>
        </row>
        <row r="74">
          <cell r="B74">
            <v>20200150</v>
          </cell>
          <cell r="C74" t="str">
            <v>Cr.</v>
          </cell>
          <cell r="E74" t="str">
            <v>Cr F A Surplus Dep</v>
          </cell>
          <cell r="G74" t="str">
            <v>Safty &amp; Equipments</v>
          </cell>
          <cell r="J74">
            <v>0</v>
          </cell>
          <cell r="K74">
            <v>-163127.61693666838</v>
          </cell>
          <cell r="L74">
            <v>-163127.61693666838</v>
          </cell>
        </row>
        <row r="78">
          <cell r="B78">
            <v>210</v>
          </cell>
          <cell r="C78" t="str">
            <v>Dr.</v>
          </cell>
          <cell r="D78" t="str">
            <v>Dr. Depreciation</v>
          </cell>
          <cell r="F78" t="str">
            <v>COGS</v>
          </cell>
          <cell r="J78">
            <v>-2613.4147885919715</v>
          </cell>
          <cell r="K78">
            <v>0</v>
          </cell>
          <cell r="L78">
            <v>-2613.4147885919715</v>
          </cell>
        </row>
        <row r="79">
          <cell r="B79">
            <v>211</v>
          </cell>
          <cell r="C79" t="str">
            <v>Dr.</v>
          </cell>
          <cell r="D79" t="str">
            <v>Dr. Depreciation</v>
          </cell>
          <cell r="F79" t="str">
            <v>G&amp;A</v>
          </cell>
          <cell r="J79">
            <v>-1768.4924971474079</v>
          </cell>
          <cell r="K79">
            <v>0</v>
          </cell>
          <cell r="L79">
            <v>-1768.4924971474079</v>
          </cell>
        </row>
        <row r="80">
          <cell r="C80" t="str">
            <v>Dr.</v>
          </cell>
          <cell r="D80" t="str">
            <v>Dr. Minority interest</v>
          </cell>
          <cell r="F80" t="str">
            <v>B Sheet - N Income</v>
          </cell>
          <cell r="J80">
            <v>490.63834203071906</v>
          </cell>
          <cell r="K80">
            <v>0</v>
          </cell>
          <cell r="L80">
            <v>490.63834203071906</v>
          </cell>
        </row>
        <row r="81">
          <cell r="B81">
            <v>20200100</v>
          </cell>
          <cell r="C81" t="str">
            <v>Dr.</v>
          </cell>
          <cell r="D81" t="str">
            <v>Dr. F A Surplus Dep</v>
          </cell>
          <cell r="F81" t="str">
            <v>Land</v>
          </cell>
          <cell r="J81">
            <v>0</v>
          </cell>
          <cell r="K81">
            <v>0</v>
          </cell>
          <cell r="L81">
            <v>0</v>
          </cell>
        </row>
        <row r="82">
          <cell r="B82">
            <v>20200110</v>
          </cell>
          <cell r="C82" t="str">
            <v>Dr.</v>
          </cell>
          <cell r="D82" t="str">
            <v>Dr. F A Surplus Dep</v>
          </cell>
          <cell r="F82" t="str">
            <v>Buildings and constructions</v>
          </cell>
          <cell r="J82">
            <v>0</v>
          </cell>
          <cell r="K82">
            <v>0</v>
          </cell>
          <cell r="L82">
            <v>0</v>
          </cell>
        </row>
        <row r="83">
          <cell r="B83">
            <v>20200120</v>
          </cell>
          <cell r="C83" t="str">
            <v>Dr.</v>
          </cell>
          <cell r="D83" t="str">
            <v>Dr. F A Surplus Dep</v>
          </cell>
          <cell r="F83" t="str">
            <v>Machinery and equipment</v>
          </cell>
          <cell r="J83">
            <v>0</v>
          </cell>
          <cell r="K83">
            <v>0</v>
          </cell>
          <cell r="L83">
            <v>0</v>
          </cell>
        </row>
        <row r="84">
          <cell r="B84">
            <v>20200190</v>
          </cell>
          <cell r="C84" t="str">
            <v>Dr.</v>
          </cell>
          <cell r="D84" t="str">
            <v>Dr. F A Surplus Dep</v>
          </cell>
          <cell r="F84" t="str">
            <v>Vehicles and Transportation means</v>
          </cell>
          <cell r="J84">
            <v>-22002.422198291879</v>
          </cell>
          <cell r="K84">
            <v>0</v>
          </cell>
          <cell r="L84">
            <v>-22002.422198291879</v>
          </cell>
        </row>
        <row r="85">
          <cell r="B85">
            <v>20200160</v>
          </cell>
          <cell r="C85" t="str">
            <v>Dr.</v>
          </cell>
          <cell r="D85" t="str">
            <v>Dr. F A Surplus Dep</v>
          </cell>
          <cell r="F85" t="str">
            <v>Furniture and Office Equipments</v>
          </cell>
          <cell r="J85">
            <v>5351.174512482231</v>
          </cell>
          <cell r="K85">
            <v>0</v>
          </cell>
          <cell r="L85">
            <v>5351.174512482231</v>
          </cell>
        </row>
        <row r="86">
          <cell r="B86">
            <v>20200150</v>
          </cell>
          <cell r="C86" t="str">
            <v>Dr.</v>
          </cell>
          <cell r="D86" t="str">
            <v>Dr. F A Surplus Dep</v>
          </cell>
          <cell r="F86" t="str">
            <v>Safty &amp; Equipments</v>
          </cell>
          <cell r="J86">
            <v>0</v>
          </cell>
          <cell r="K86">
            <v>0</v>
          </cell>
          <cell r="L86">
            <v>0</v>
          </cell>
        </row>
        <row r="87">
          <cell r="B87">
            <v>10100100</v>
          </cell>
          <cell r="C87" t="str">
            <v>Cr.</v>
          </cell>
          <cell r="E87" t="str">
            <v>Cr F A Surplus</v>
          </cell>
          <cell r="G87" t="str">
            <v>Land</v>
          </cell>
          <cell r="J87">
            <v>0</v>
          </cell>
          <cell r="K87">
            <v>0</v>
          </cell>
          <cell r="L87">
            <v>0</v>
          </cell>
        </row>
        <row r="88">
          <cell r="B88">
            <v>10100110</v>
          </cell>
          <cell r="C88" t="str">
            <v>Cr.</v>
          </cell>
          <cell r="E88" t="str">
            <v>Cr F A Surplus</v>
          </cell>
          <cell r="G88" t="str">
            <v>Buildings and constructions</v>
          </cell>
          <cell r="J88">
            <v>0</v>
          </cell>
          <cell r="K88">
            <v>0</v>
          </cell>
          <cell r="L88">
            <v>0</v>
          </cell>
        </row>
        <row r="89">
          <cell r="B89">
            <v>10100120</v>
          </cell>
          <cell r="C89" t="str">
            <v>Cr.</v>
          </cell>
          <cell r="E89" t="str">
            <v>Cr F A Surplus</v>
          </cell>
          <cell r="G89" t="str">
            <v>Machinery and equipment</v>
          </cell>
          <cell r="J89">
            <v>0</v>
          </cell>
          <cell r="K89">
            <v>0</v>
          </cell>
          <cell r="L89">
            <v>0</v>
          </cell>
        </row>
        <row r="90">
          <cell r="B90">
            <v>10100190</v>
          </cell>
          <cell r="C90" t="str">
            <v>Cr.</v>
          </cell>
          <cell r="E90" t="str">
            <v>Cr F A Surplus</v>
          </cell>
          <cell r="G90" t="str">
            <v>Vehicles and Transportation means</v>
          </cell>
          <cell r="J90">
            <v>0</v>
          </cell>
          <cell r="K90">
            <v>27792.533303105531</v>
          </cell>
          <cell r="L90">
            <v>27792.533303105531</v>
          </cell>
        </row>
        <row r="91">
          <cell r="B91">
            <v>10100160</v>
          </cell>
          <cell r="C91" t="str">
            <v>Cr.</v>
          </cell>
          <cell r="E91" t="str">
            <v>Cr F A Surplus</v>
          </cell>
          <cell r="G91" t="str">
            <v>Furniture and Office Equipments</v>
          </cell>
          <cell r="J91">
            <v>0</v>
          </cell>
          <cell r="K91">
            <v>-6759.3783315565033</v>
          </cell>
          <cell r="L91">
            <v>-6759.3783315565033</v>
          </cell>
        </row>
        <row r="92">
          <cell r="B92">
            <v>10100150</v>
          </cell>
          <cell r="C92" t="str">
            <v>Cr.</v>
          </cell>
          <cell r="E92" t="str">
            <v>Cr F A Surplus</v>
          </cell>
          <cell r="G92" t="str">
            <v>Safty &amp; Equipments</v>
          </cell>
          <cell r="J92">
            <v>0</v>
          </cell>
          <cell r="K92">
            <v>0</v>
          </cell>
          <cell r="L92">
            <v>0</v>
          </cell>
        </row>
        <row r="93">
          <cell r="B93">
            <v>910</v>
          </cell>
          <cell r="C93" t="str">
            <v>Cr.</v>
          </cell>
          <cell r="E93" t="str">
            <v>Cr. Minority interest</v>
          </cell>
          <cell r="G93" t="str">
            <v>Current period net income</v>
          </cell>
          <cell r="J93">
            <v>0</v>
          </cell>
          <cell r="K93">
            <v>-490.63834203071906</v>
          </cell>
          <cell r="L93">
            <v>-490.63834203071906</v>
          </cell>
        </row>
        <row r="94">
          <cell r="J94">
            <v>0</v>
          </cell>
          <cell r="K94">
            <v>0</v>
          </cell>
          <cell r="L94">
            <v>0</v>
          </cell>
        </row>
        <row r="98">
          <cell r="B98">
            <v>30401000</v>
          </cell>
          <cell r="C98" t="str">
            <v>Dr.</v>
          </cell>
          <cell r="D98" t="str">
            <v>Dr. Retained earnings</v>
          </cell>
          <cell r="J98">
            <v>0</v>
          </cell>
          <cell r="L98">
            <v>0</v>
          </cell>
        </row>
        <row r="99">
          <cell r="B99">
            <v>39401000</v>
          </cell>
          <cell r="C99" t="str">
            <v>Dr.</v>
          </cell>
          <cell r="D99" t="str">
            <v>Dr. Minority interest</v>
          </cell>
          <cell r="F99" t="str">
            <v>RE</v>
          </cell>
          <cell r="J99">
            <v>0</v>
          </cell>
          <cell r="K99">
            <v>0</v>
          </cell>
          <cell r="L99">
            <v>0</v>
          </cell>
        </row>
        <row r="100">
          <cell r="B100">
            <v>20200100</v>
          </cell>
          <cell r="C100" t="str">
            <v>Dr.</v>
          </cell>
          <cell r="D100" t="str">
            <v>Dr. F A Surplus Dep</v>
          </cell>
          <cell r="F100" t="str">
            <v>Land</v>
          </cell>
          <cell r="J100">
            <v>0</v>
          </cell>
          <cell r="K100">
            <v>0</v>
          </cell>
          <cell r="L100">
            <v>0</v>
          </cell>
        </row>
        <row r="101">
          <cell r="B101">
            <v>20200110</v>
          </cell>
          <cell r="C101" t="str">
            <v>Dr.</v>
          </cell>
          <cell r="D101" t="str">
            <v>Dr. F A Surplus Dep</v>
          </cell>
          <cell r="F101" t="str">
            <v>Buildings and constructions</v>
          </cell>
          <cell r="J101">
            <v>0</v>
          </cell>
          <cell r="K101">
            <v>0</v>
          </cell>
          <cell r="L101">
            <v>0</v>
          </cell>
        </row>
        <row r="102">
          <cell r="B102">
            <v>20200120</v>
          </cell>
          <cell r="C102" t="str">
            <v>Dr.</v>
          </cell>
          <cell r="D102" t="str">
            <v>Dr. F A Surplus Dep</v>
          </cell>
          <cell r="F102" t="str">
            <v>Machinery and equipment</v>
          </cell>
          <cell r="J102">
            <v>0</v>
          </cell>
          <cell r="K102">
            <v>0</v>
          </cell>
          <cell r="L102">
            <v>0</v>
          </cell>
        </row>
        <row r="103">
          <cell r="B103">
            <v>20200190</v>
          </cell>
          <cell r="C103" t="str">
            <v>Dr.</v>
          </cell>
          <cell r="D103" t="str">
            <v>Dr. F A Surplus Dep</v>
          </cell>
          <cell r="F103" t="str">
            <v>Vehicles and Transportation means</v>
          </cell>
          <cell r="J103">
            <v>0</v>
          </cell>
          <cell r="K103">
            <v>0</v>
          </cell>
          <cell r="L103">
            <v>0</v>
          </cell>
        </row>
        <row r="104">
          <cell r="B104">
            <v>20200160</v>
          </cell>
          <cell r="C104" t="str">
            <v>Dr.</v>
          </cell>
          <cell r="D104" t="str">
            <v>Dr. F A Surplus Dep</v>
          </cell>
          <cell r="F104" t="str">
            <v>Furniture and Office Equipments</v>
          </cell>
          <cell r="J104">
            <v>0</v>
          </cell>
          <cell r="K104">
            <v>0</v>
          </cell>
          <cell r="L104">
            <v>0</v>
          </cell>
        </row>
        <row r="105">
          <cell r="B105">
            <v>20200150</v>
          </cell>
          <cell r="C105" t="str">
            <v>Dr.</v>
          </cell>
          <cell r="D105" t="str">
            <v>Dr. F A Surplus Dep</v>
          </cell>
          <cell r="F105" t="str">
            <v>Safty &amp; Equipments</v>
          </cell>
          <cell r="J105">
            <v>0</v>
          </cell>
          <cell r="K105">
            <v>0</v>
          </cell>
          <cell r="L105">
            <v>0</v>
          </cell>
        </row>
        <row r="106">
          <cell r="B106">
            <v>10100100</v>
          </cell>
          <cell r="C106" t="str">
            <v>Cr.</v>
          </cell>
          <cell r="E106" t="str">
            <v>Cr F A Surplus</v>
          </cell>
          <cell r="G106" t="str">
            <v>Land</v>
          </cell>
          <cell r="J106">
            <v>0</v>
          </cell>
          <cell r="K106">
            <v>0</v>
          </cell>
          <cell r="L106">
            <v>0</v>
          </cell>
        </row>
        <row r="107">
          <cell r="B107">
            <v>10100110</v>
          </cell>
          <cell r="C107" t="str">
            <v>Cr.</v>
          </cell>
          <cell r="E107" t="str">
            <v>Cr F A Surplus</v>
          </cell>
          <cell r="G107" t="str">
            <v>Buildings and constructions</v>
          </cell>
          <cell r="J107">
            <v>0</v>
          </cell>
          <cell r="K107">
            <v>0</v>
          </cell>
          <cell r="L107">
            <v>0</v>
          </cell>
        </row>
        <row r="108">
          <cell r="B108">
            <v>10100120</v>
          </cell>
          <cell r="C108" t="str">
            <v>Cr.</v>
          </cell>
          <cell r="E108" t="str">
            <v>Cr F A Surplus</v>
          </cell>
          <cell r="G108" t="str">
            <v>Machinery and equipment</v>
          </cell>
          <cell r="J108">
            <v>0</v>
          </cell>
          <cell r="K108">
            <v>0</v>
          </cell>
          <cell r="L108">
            <v>0</v>
          </cell>
        </row>
        <row r="109">
          <cell r="B109">
            <v>10100190</v>
          </cell>
          <cell r="C109" t="str">
            <v>Cr.</v>
          </cell>
          <cell r="E109" t="str">
            <v>Cr F A Surplus</v>
          </cell>
          <cell r="G109" t="str">
            <v>Vehicles and Transportation means</v>
          </cell>
          <cell r="J109">
            <v>0</v>
          </cell>
          <cell r="K109">
            <v>0</v>
          </cell>
          <cell r="L109">
            <v>0</v>
          </cell>
        </row>
        <row r="110">
          <cell r="B110">
            <v>10100160</v>
          </cell>
          <cell r="C110" t="str">
            <v>Cr.</v>
          </cell>
          <cell r="E110" t="str">
            <v>Cr F A Surplus</v>
          </cell>
          <cell r="G110" t="str">
            <v>Furniture and Office Equipments</v>
          </cell>
          <cell r="J110">
            <v>0</v>
          </cell>
          <cell r="K110">
            <v>0</v>
          </cell>
          <cell r="L110">
            <v>0</v>
          </cell>
        </row>
        <row r="111">
          <cell r="B111">
            <v>10100150</v>
          </cell>
          <cell r="C111" t="str">
            <v>Cr.</v>
          </cell>
          <cell r="E111" t="str">
            <v>Cr F A Surplus</v>
          </cell>
          <cell r="G111" t="str">
            <v>Safty &amp; Equipments</v>
          </cell>
          <cell r="J111">
            <v>0</v>
          </cell>
          <cell r="K111">
            <v>0</v>
          </cell>
          <cell r="L111">
            <v>0</v>
          </cell>
        </row>
        <row r="115">
          <cell r="B115">
            <v>910</v>
          </cell>
          <cell r="C115" t="str">
            <v>Dr.</v>
          </cell>
          <cell r="D115" t="str">
            <v>Dr. Minority interest income S</v>
          </cell>
          <cell r="J115">
            <v>2484740.7185544837</v>
          </cell>
          <cell r="K115">
            <v>0</v>
          </cell>
          <cell r="L115">
            <v>2484740.7185544837</v>
          </cell>
        </row>
        <row r="116">
          <cell r="C116" t="str">
            <v>Cr.</v>
          </cell>
          <cell r="E116" t="str">
            <v>Cr. Minority interest interest B Sheet</v>
          </cell>
          <cell r="J116">
            <v>0</v>
          </cell>
          <cell r="K116">
            <v>-2484740.7185544837</v>
          </cell>
          <cell r="L116">
            <v>-2484740.7185544837</v>
          </cell>
        </row>
        <row r="120">
          <cell r="B120">
            <v>39601000</v>
          </cell>
          <cell r="C120" t="str">
            <v>Dr.</v>
          </cell>
          <cell r="D120" t="str">
            <v>Dr.Minority interest</v>
          </cell>
          <cell r="F120" t="str">
            <v>Unreaslized gain</v>
          </cell>
          <cell r="J120">
            <v>2779480.828018581</v>
          </cell>
          <cell r="K120">
            <v>0</v>
          </cell>
          <cell r="L120">
            <v>2779480.828018581</v>
          </cell>
        </row>
        <row r="121">
          <cell r="B121">
            <v>39701000</v>
          </cell>
          <cell r="C121" t="str">
            <v>Dr.</v>
          </cell>
          <cell r="D121" t="str">
            <v>Dr.Minority interest</v>
          </cell>
          <cell r="F121" t="str">
            <v>Translation Adj</v>
          </cell>
          <cell r="J121">
            <v>2699546.5837216289</v>
          </cell>
          <cell r="K121">
            <v>0</v>
          </cell>
          <cell r="L121">
            <v>2699546.5837216289</v>
          </cell>
        </row>
        <row r="122">
          <cell r="B122">
            <v>30501000</v>
          </cell>
          <cell r="C122" t="str">
            <v>Cr.</v>
          </cell>
          <cell r="E122" t="str">
            <v>Cr. Other changes  equity</v>
          </cell>
          <cell r="H122" t="str">
            <v>Unreaslized gain</v>
          </cell>
          <cell r="J122">
            <v>0</v>
          </cell>
          <cell r="K122">
            <v>-2779480.828018581</v>
          </cell>
          <cell r="L122">
            <v>-2779480.828018581</v>
          </cell>
        </row>
        <row r="123">
          <cell r="B123">
            <v>30601000</v>
          </cell>
          <cell r="C123" t="str">
            <v>Cr.</v>
          </cell>
          <cell r="E123" t="str">
            <v>Cr. Other changes  equity</v>
          </cell>
          <cell r="H123" t="str">
            <v>Translation Adj</v>
          </cell>
          <cell r="J123">
            <v>0</v>
          </cell>
          <cell r="K123">
            <v>-2699546.5837216289</v>
          </cell>
          <cell r="L123">
            <v>-2699546.5837216289</v>
          </cell>
        </row>
        <row r="127">
          <cell r="B127">
            <v>39401000</v>
          </cell>
          <cell r="C127" t="str">
            <v>Dr.</v>
          </cell>
          <cell r="D127" t="str">
            <v>Dr. Minority interest</v>
          </cell>
          <cell r="F127" t="str">
            <v>Retained earnings</v>
          </cell>
          <cell r="H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B128">
            <v>30401000</v>
          </cell>
          <cell r="C128" t="str">
            <v>Cr.</v>
          </cell>
          <cell r="E128" t="str">
            <v>Cr. Retained earnings</v>
          </cell>
          <cell r="J128">
            <v>0</v>
          </cell>
          <cell r="K128">
            <v>0</v>
          </cell>
          <cell r="L128">
            <v>0</v>
          </cell>
        </row>
        <row r="132">
          <cell r="B132">
            <v>30401000</v>
          </cell>
          <cell r="C132" t="str">
            <v>Dr.</v>
          </cell>
          <cell r="D132" t="str">
            <v>Dr. Retained earnings</v>
          </cell>
          <cell r="J132">
            <v>0</v>
          </cell>
          <cell r="K132">
            <v>0</v>
          </cell>
          <cell r="L132">
            <v>0</v>
          </cell>
        </row>
        <row r="133">
          <cell r="B133">
            <v>39401000</v>
          </cell>
          <cell r="C133" t="str">
            <v>Cr.</v>
          </cell>
          <cell r="E133" t="str">
            <v>Cr. Minority interest</v>
          </cell>
          <cell r="G133" t="str">
            <v>Retained earnings</v>
          </cell>
          <cell r="J133">
            <v>0</v>
          </cell>
          <cell r="K133">
            <v>0</v>
          </cell>
          <cell r="L133">
            <v>0</v>
          </cell>
        </row>
        <row r="136">
          <cell r="B136">
            <v>10302004</v>
          </cell>
          <cell r="C136" t="str">
            <v>Dr.</v>
          </cell>
          <cell r="D136" t="str">
            <v>Dr. Payment Under investment</v>
          </cell>
          <cell r="G136" t="str">
            <v>asa</v>
          </cell>
          <cell r="J136">
            <v>0</v>
          </cell>
          <cell r="K136">
            <v>0</v>
          </cell>
          <cell r="L136">
            <v>0</v>
          </cell>
        </row>
        <row r="137">
          <cell r="B137">
            <v>10302002</v>
          </cell>
          <cell r="C137" t="str">
            <v>Dr.</v>
          </cell>
          <cell r="D137" t="str">
            <v>Dr. Payment Under investment</v>
          </cell>
          <cell r="G137" t="str">
            <v>aresco</v>
          </cell>
          <cell r="J137">
            <v>0</v>
          </cell>
          <cell r="K137">
            <v>0</v>
          </cell>
          <cell r="L137">
            <v>0</v>
          </cell>
        </row>
        <row r="138">
          <cell r="B138">
            <v>10300104</v>
          </cell>
          <cell r="C138" t="str">
            <v>Cr.</v>
          </cell>
          <cell r="E138" t="str">
            <v>Cr. Investment - ASA</v>
          </cell>
          <cell r="J138">
            <v>0</v>
          </cell>
          <cell r="K138">
            <v>0</v>
          </cell>
          <cell r="L138">
            <v>0</v>
          </cell>
        </row>
        <row r="139">
          <cell r="B139">
            <v>30201000</v>
          </cell>
          <cell r="C139" t="str">
            <v>Cr.</v>
          </cell>
          <cell r="E139" t="str">
            <v>Cr. Reserves for capital increase - Aresco</v>
          </cell>
          <cell r="J139">
            <v>0</v>
          </cell>
          <cell r="K139">
            <v>0</v>
          </cell>
          <cell r="L139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C144">
            <v>0</v>
          </cell>
          <cell r="E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B145">
            <v>0</v>
          </cell>
          <cell r="C145">
            <v>0</v>
          </cell>
          <cell r="E145">
            <v>0</v>
          </cell>
          <cell r="J145">
            <v>0</v>
          </cell>
          <cell r="K145">
            <v>0</v>
          </cell>
          <cell r="L145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F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B151">
            <v>10300107</v>
          </cell>
          <cell r="C151" t="str">
            <v>Dr.</v>
          </cell>
          <cell r="D151" t="str">
            <v xml:space="preserve"> Investment</v>
          </cell>
          <cell r="F151">
            <v>0</v>
          </cell>
          <cell r="G151" t="str">
            <v>Ach</v>
          </cell>
          <cell r="J151">
            <v>695720205</v>
          </cell>
          <cell r="K151">
            <v>0</v>
          </cell>
          <cell r="L151">
            <v>695720205</v>
          </cell>
        </row>
        <row r="152">
          <cell r="B152">
            <v>10302007</v>
          </cell>
          <cell r="C152" t="str">
            <v>Dr.</v>
          </cell>
          <cell r="D152" t="str">
            <v xml:space="preserve"> Payment under Investment</v>
          </cell>
          <cell r="G152" t="str">
            <v>Ach</v>
          </cell>
          <cell r="J152">
            <v>231906735</v>
          </cell>
          <cell r="K152">
            <v>0</v>
          </cell>
          <cell r="L152">
            <v>231906735</v>
          </cell>
        </row>
        <row r="153">
          <cell r="B153">
            <v>39101000</v>
          </cell>
          <cell r="C153" t="str">
            <v>Dr.</v>
          </cell>
          <cell r="D153" t="str">
            <v xml:space="preserve"> Minority interest</v>
          </cell>
          <cell r="E153">
            <v>0</v>
          </cell>
          <cell r="F153" t="str">
            <v>Capital</v>
          </cell>
          <cell r="G153">
            <v>0</v>
          </cell>
          <cell r="J153">
            <v>668437950</v>
          </cell>
          <cell r="K153">
            <v>0</v>
          </cell>
          <cell r="L153">
            <v>668437950</v>
          </cell>
        </row>
        <row r="154">
          <cell r="B154">
            <v>39201000</v>
          </cell>
          <cell r="C154" t="str">
            <v>Dr.</v>
          </cell>
          <cell r="D154" t="str">
            <v xml:space="preserve"> Minority interest</v>
          </cell>
          <cell r="E154">
            <v>0</v>
          </cell>
          <cell r="F154" t="str">
            <v>Reserves for capital increase</v>
          </cell>
          <cell r="G154">
            <v>0</v>
          </cell>
          <cell r="J154">
            <v>222812650</v>
          </cell>
          <cell r="K154">
            <v>0</v>
          </cell>
          <cell r="L154">
            <v>222812650</v>
          </cell>
        </row>
        <row r="155">
          <cell r="B155">
            <v>30101000</v>
          </cell>
          <cell r="C155" t="str">
            <v>Cr.</v>
          </cell>
          <cell r="E155" t="str">
            <v xml:space="preserve"> Capital</v>
          </cell>
          <cell r="G155">
            <v>0</v>
          </cell>
          <cell r="J155">
            <v>0</v>
          </cell>
          <cell r="K155">
            <v>-1364158155</v>
          </cell>
          <cell r="L155">
            <v>-1364158155</v>
          </cell>
        </row>
        <row r="156">
          <cell r="B156">
            <v>30201000</v>
          </cell>
          <cell r="C156" t="str">
            <v>Cr.</v>
          </cell>
          <cell r="E156" t="str">
            <v xml:space="preserve"> Payment under capital increase</v>
          </cell>
          <cell r="G156">
            <v>0</v>
          </cell>
          <cell r="J156">
            <v>0</v>
          </cell>
          <cell r="K156">
            <v>-454719385</v>
          </cell>
          <cell r="L156">
            <v>-454719385</v>
          </cell>
        </row>
        <row r="157">
          <cell r="B157">
            <v>0</v>
          </cell>
          <cell r="C157">
            <v>0</v>
          </cell>
          <cell r="E157">
            <v>0</v>
          </cell>
          <cell r="G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>
            <v>0</v>
          </cell>
          <cell r="C158">
            <v>0</v>
          </cell>
          <cell r="E158">
            <v>0</v>
          </cell>
          <cell r="G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>
            <v>0</v>
          </cell>
          <cell r="C159">
            <v>0</v>
          </cell>
          <cell r="E159">
            <v>0</v>
          </cell>
          <cell r="J159">
            <v>1818877540</v>
          </cell>
          <cell r="K159">
            <v>-1818877540</v>
          </cell>
          <cell r="L159">
            <v>0</v>
          </cell>
        </row>
        <row r="160">
          <cell r="B160">
            <v>0</v>
          </cell>
          <cell r="C160" t="str">
            <v xml:space="preserve">Reversal 2006 - 2007 Minority interes in Net Profit elmination entry </v>
          </cell>
          <cell r="E160">
            <v>0</v>
          </cell>
          <cell r="J160">
            <v>0</v>
          </cell>
          <cell r="K160">
            <v>0</v>
          </cell>
          <cell r="L160">
            <v>0</v>
          </cell>
        </row>
        <row r="163">
          <cell r="B163">
            <v>0</v>
          </cell>
          <cell r="C163">
            <v>0</v>
          </cell>
          <cell r="D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>
            <v>0</v>
          </cell>
          <cell r="C164">
            <v>0</v>
          </cell>
          <cell r="E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B165">
            <v>0</v>
          </cell>
          <cell r="C165">
            <v>0</v>
          </cell>
          <cell r="E165">
            <v>0</v>
          </cell>
          <cell r="G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B166">
            <v>0</v>
          </cell>
          <cell r="C166">
            <v>0</v>
          </cell>
          <cell r="E166">
            <v>0</v>
          </cell>
          <cell r="G166">
            <v>0</v>
          </cell>
          <cell r="J166">
            <v>11764025.343122082</v>
          </cell>
          <cell r="K166">
            <v>-11764025.343122082</v>
          </cell>
          <cell r="L166">
            <v>0</v>
          </cell>
        </row>
        <row r="167">
          <cell r="B167">
            <v>0</v>
          </cell>
          <cell r="C167" t="str">
            <v>Record 2006 ACH investment income under the equity method ( 51% of net income less movement in RE)</v>
          </cell>
          <cell r="E167">
            <v>0</v>
          </cell>
          <cell r="G167">
            <v>0</v>
          </cell>
          <cell r="J167">
            <v>0</v>
          </cell>
          <cell r="K167">
            <v>0</v>
          </cell>
          <cell r="L167">
            <v>0</v>
          </cell>
        </row>
        <row r="170">
          <cell r="B170">
            <v>0</v>
          </cell>
          <cell r="C170">
            <v>0</v>
          </cell>
          <cell r="D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B171">
            <v>0</v>
          </cell>
          <cell r="C171">
            <v>0</v>
          </cell>
          <cell r="E171">
            <v>0</v>
          </cell>
          <cell r="J171">
            <v>12244173.334775636</v>
          </cell>
          <cell r="K171">
            <v>-12244173.334775636</v>
          </cell>
          <cell r="L171">
            <v>0</v>
          </cell>
        </row>
        <row r="174">
          <cell r="B174">
            <v>30301000</v>
          </cell>
          <cell r="C174" t="str">
            <v>Cr.</v>
          </cell>
          <cell r="D174" t="str">
            <v>Owners Equity</v>
          </cell>
          <cell r="F174" t="str">
            <v>Reserves</v>
          </cell>
          <cell r="J174">
            <v>0</v>
          </cell>
          <cell r="K174">
            <v>-290353</v>
          </cell>
          <cell r="L174">
            <v>-290353</v>
          </cell>
        </row>
        <row r="175">
          <cell r="B175">
            <v>39301000</v>
          </cell>
          <cell r="C175" t="str">
            <v>Dr.</v>
          </cell>
          <cell r="D175" t="str">
            <v>Minority Interest</v>
          </cell>
          <cell r="E175">
            <v>0</v>
          </cell>
          <cell r="F175" t="str">
            <v>Reserves</v>
          </cell>
          <cell r="J175">
            <v>142273.06664185869</v>
          </cell>
          <cell r="K175">
            <v>0</v>
          </cell>
          <cell r="L175">
            <v>142273.06664185869</v>
          </cell>
        </row>
        <row r="178">
          <cell r="B178">
            <v>0</v>
          </cell>
          <cell r="C178">
            <v>0</v>
          </cell>
          <cell r="D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>
            <v>10200100</v>
          </cell>
          <cell r="C179" t="str">
            <v>Dr.</v>
          </cell>
          <cell r="D179" t="str">
            <v>PUC Ach</v>
          </cell>
          <cell r="E179">
            <v>0</v>
          </cell>
          <cell r="J179">
            <v>8170545</v>
          </cell>
          <cell r="K179">
            <v>0</v>
          </cell>
          <cell r="L179">
            <v>8170545</v>
          </cell>
        </row>
        <row r="182">
          <cell r="B182">
            <v>0</v>
          </cell>
          <cell r="C182">
            <v>0</v>
          </cell>
          <cell r="D182">
            <v>0</v>
          </cell>
          <cell r="F182">
            <v>0</v>
          </cell>
          <cell r="J182">
            <v>8170545</v>
          </cell>
          <cell r="K182">
            <v>-8170545</v>
          </cell>
          <cell r="L182">
            <v>0</v>
          </cell>
        </row>
        <row r="183">
          <cell r="B183">
            <v>0</v>
          </cell>
          <cell r="C183" t="str">
            <v>Free Entry</v>
          </cell>
          <cell r="D183">
            <v>0</v>
          </cell>
          <cell r="F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>
            <v>0</v>
          </cell>
          <cell r="C184">
            <v>0</v>
          </cell>
          <cell r="D184">
            <v>0</v>
          </cell>
          <cell r="F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>
            <v>0</v>
          </cell>
          <cell r="C185">
            <v>0</v>
          </cell>
          <cell r="D185">
            <v>0</v>
          </cell>
          <cell r="F185">
            <v>0</v>
          </cell>
          <cell r="J185">
            <v>0</v>
          </cell>
          <cell r="K185">
            <v>0</v>
          </cell>
          <cell r="L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F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>
            <v>0</v>
          </cell>
          <cell r="C187">
            <v>0</v>
          </cell>
          <cell r="D187">
            <v>0</v>
          </cell>
          <cell r="F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>
            <v>0</v>
          </cell>
          <cell r="C188">
            <v>0</v>
          </cell>
          <cell r="E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>
            <v>0</v>
          </cell>
          <cell r="C189">
            <v>0</v>
          </cell>
          <cell r="E189">
            <v>0</v>
          </cell>
          <cell r="J189">
            <v>0</v>
          </cell>
          <cell r="K189">
            <v>0</v>
          </cell>
          <cell r="L189">
            <v>0</v>
          </cell>
        </row>
        <row r="192">
          <cell r="B192">
            <v>0</v>
          </cell>
          <cell r="C192">
            <v>0</v>
          </cell>
          <cell r="D192">
            <v>0</v>
          </cell>
          <cell r="F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B193">
            <v>0</v>
          </cell>
          <cell r="C193" t="str">
            <v>Free Entry</v>
          </cell>
          <cell r="D193">
            <v>0</v>
          </cell>
          <cell r="F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F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>
            <v>0</v>
          </cell>
          <cell r="C195">
            <v>0</v>
          </cell>
          <cell r="D195">
            <v>0</v>
          </cell>
          <cell r="F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F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F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B198">
            <v>0</v>
          </cell>
          <cell r="C198">
            <v>0</v>
          </cell>
          <cell r="E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B199">
            <v>0</v>
          </cell>
          <cell r="C199">
            <v>0</v>
          </cell>
          <cell r="E199">
            <v>0</v>
          </cell>
          <cell r="J199">
            <v>0</v>
          </cell>
          <cell r="K199">
            <v>0</v>
          </cell>
          <cell r="L199">
            <v>0</v>
          </cell>
        </row>
        <row r="202">
          <cell r="B202">
            <v>0</v>
          </cell>
          <cell r="C202">
            <v>0</v>
          </cell>
          <cell r="D202">
            <v>0</v>
          </cell>
          <cell r="J202">
            <v>0</v>
          </cell>
          <cell r="K202">
            <v>0</v>
          </cell>
          <cell r="L202">
            <v>0</v>
          </cell>
        </row>
        <row r="203">
          <cell r="B203">
            <v>0</v>
          </cell>
          <cell r="C203" t="str">
            <v>Minority interest portion in 2007 ditrupution to BOD not recorded in 2007 F S</v>
          </cell>
          <cell r="E203">
            <v>0</v>
          </cell>
          <cell r="J203">
            <v>0</v>
          </cell>
          <cell r="K203">
            <v>0</v>
          </cell>
          <cell r="L203">
            <v>0</v>
          </cell>
        </row>
        <row r="204">
          <cell r="B204">
            <v>30401000</v>
          </cell>
          <cell r="C204" t="str">
            <v>Dr.</v>
          </cell>
          <cell r="D204" t="str">
            <v>Dr Re</v>
          </cell>
          <cell r="J204">
            <v>111385</v>
          </cell>
          <cell r="K204">
            <v>0</v>
          </cell>
          <cell r="L204">
            <v>111385</v>
          </cell>
        </row>
        <row r="205">
          <cell r="B205">
            <v>39401000</v>
          </cell>
          <cell r="C205" t="str">
            <v>Cr.</v>
          </cell>
          <cell r="E205" t="str">
            <v>Cr. Minority interest RE</v>
          </cell>
          <cell r="J205">
            <v>0</v>
          </cell>
          <cell r="K205">
            <v>-111385</v>
          </cell>
          <cell r="L205">
            <v>-111385</v>
          </cell>
        </row>
        <row r="206">
          <cell r="C206">
            <v>0</v>
          </cell>
          <cell r="J206">
            <v>0</v>
          </cell>
          <cell r="K206">
            <v>0</v>
          </cell>
          <cell r="L206">
            <v>0</v>
          </cell>
        </row>
        <row r="207">
          <cell r="C207">
            <v>0</v>
          </cell>
          <cell r="J207">
            <v>0</v>
          </cell>
          <cell r="K207">
            <v>0</v>
          </cell>
          <cell r="L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</row>
        <row r="212">
          <cell r="J212">
            <v>111385</v>
          </cell>
          <cell r="K212">
            <v>-111385</v>
          </cell>
          <cell r="L212">
            <v>0</v>
          </cell>
        </row>
        <row r="213">
          <cell r="C213" t="str">
            <v>Free Entry</v>
          </cell>
          <cell r="J213">
            <v>0</v>
          </cell>
          <cell r="K213">
            <v>0</v>
          </cell>
          <cell r="L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</row>
        <row r="223">
          <cell r="C223" t="str">
            <v>Free Entry</v>
          </cell>
          <cell r="J223">
            <v>0</v>
          </cell>
          <cell r="K223">
            <v>0</v>
          </cell>
          <cell r="L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</row>
        <row r="233">
          <cell r="C233" t="str">
            <v>Free Entry</v>
          </cell>
          <cell r="J233">
            <v>0</v>
          </cell>
          <cell r="K233">
            <v>0</v>
          </cell>
          <cell r="L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</row>
        <row r="243">
          <cell r="C243" t="str">
            <v>Free Entry</v>
          </cell>
          <cell r="J243">
            <v>0</v>
          </cell>
          <cell r="K243">
            <v>0</v>
          </cell>
          <cell r="L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</row>
        <row r="253">
          <cell r="C253" t="str">
            <v>Free Entry</v>
          </cell>
          <cell r="J253">
            <v>0</v>
          </cell>
          <cell r="K253">
            <v>0</v>
          </cell>
          <cell r="L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</row>
        <row r="263">
          <cell r="C263" t="str">
            <v>Free Entry</v>
          </cell>
          <cell r="J263">
            <v>0</v>
          </cell>
          <cell r="K263">
            <v>0</v>
          </cell>
          <cell r="L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</row>
        <row r="268">
          <cell r="J268">
            <v>0</v>
          </cell>
          <cell r="K268">
            <v>0</v>
          </cell>
          <cell r="L268">
            <v>0</v>
          </cell>
        </row>
        <row r="269">
          <cell r="J269">
            <v>0</v>
          </cell>
          <cell r="K269">
            <v>0</v>
          </cell>
          <cell r="L269">
            <v>0</v>
          </cell>
        </row>
        <row r="277">
          <cell r="B277">
            <v>0</v>
          </cell>
          <cell r="D277">
            <v>0</v>
          </cell>
          <cell r="J277">
            <v>0</v>
          </cell>
          <cell r="L277">
            <v>0</v>
          </cell>
        </row>
        <row r="278">
          <cell r="B278">
            <v>0</v>
          </cell>
          <cell r="C278" t="str">
            <v>e. Record Inter Cpmpany (ACH-ARESCO ) Advanced Payments balance</v>
          </cell>
          <cell r="D278">
            <v>0</v>
          </cell>
          <cell r="J278">
            <v>0</v>
          </cell>
          <cell r="L278">
            <v>0</v>
          </cell>
        </row>
        <row r="279">
          <cell r="B279">
            <v>20800100</v>
          </cell>
          <cell r="D279" t="str">
            <v>Dr. Advances from customers</v>
          </cell>
          <cell r="E279">
            <v>0</v>
          </cell>
          <cell r="J279">
            <v>0</v>
          </cell>
          <cell r="K279">
            <v>0</v>
          </cell>
          <cell r="L279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</row>
        <row r="283">
          <cell r="C283" t="str">
            <v>Free Entry</v>
          </cell>
          <cell r="J283">
            <v>0</v>
          </cell>
          <cell r="K283">
            <v>0</v>
          </cell>
          <cell r="L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</row>
        <row r="293">
          <cell r="C293" t="str">
            <v>Free Entry</v>
          </cell>
          <cell r="J293">
            <v>0</v>
          </cell>
          <cell r="K293">
            <v>0</v>
          </cell>
          <cell r="L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</row>
        <row r="303">
          <cell r="C303" t="str">
            <v>Free Entry</v>
          </cell>
          <cell r="J303">
            <v>0</v>
          </cell>
          <cell r="K303">
            <v>0</v>
          </cell>
          <cell r="L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Chk_File"/>
      <sheetName val="Data"/>
      <sheetName val="elimination entries"/>
      <sheetName val="BS LD"/>
      <sheetName val="IS"/>
      <sheetName val="Fixed assets"/>
      <sheetName val="FA Surplus"/>
      <sheetName val="Imperment"/>
      <sheetName val="Provisions"/>
      <sheetName val="RP Balance"/>
      <sheetName val="Fixed assets R F"/>
      <sheetName val="Equity"/>
      <sheetName val="Magority Interest"/>
      <sheetName val="Minority Interest"/>
      <sheetName val="EE at date of acq."/>
      <sheetName val="Inv. since date of acqusition"/>
      <sheetName val="Sigments"/>
      <sheetName val="Balance Sheet"/>
      <sheetName val="Income Statement"/>
      <sheetName val="Shareholders' Equit"/>
      <sheetName val="Cash flow"/>
      <sheetName val="CITADAL"/>
    </sheetNames>
    <sheetDataSet>
      <sheetData sheetId="0" refreshError="1"/>
      <sheetData sheetId="1" refreshError="1"/>
      <sheetData sheetId="2" refreshError="1"/>
      <sheetData sheetId="3" refreshError="1">
        <row r="8">
          <cell r="B8">
            <v>30101000</v>
          </cell>
        </row>
        <row r="136">
          <cell r="B136">
            <v>10302004</v>
          </cell>
          <cell r="C136" t="str">
            <v>Dr.</v>
          </cell>
          <cell r="D136" t="str">
            <v>Dr. Payment Under investment</v>
          </cell>
          <cell r="G136" t="str">
            <v>asa</v>
          </cell>
          <cell r="J136">
            <v>0</v>
          </cell>
          <cell r="K136">
            <v>0</v>
          </cell>
          <cell r="L136">
            <v>0</v>
          </cell>
        </row>
        <row r="137">
          <cell r="B137">
            <v>10302002</v>
          </cell>
          <cell r="C137" t="str">
            <v>Dr.</v>
          </cell>
          <cell r="D137" t="str">
            <v>Dr. Payment Under investment</v>
          </cell>
          <cell r="G137" t="str">
            <v>aresco</v>
          </cell>
          <cell r="J137">
            <v>0</v>
          </cell>
          <cell r="K137">
            <v>0</v>
          </cell>
          <cell r="L137">
            <v>0</v>
          </cell>
        </row>
        <row r="138">
          <cell r="B138">
            <v>10300104</v>
          </cell>
          <cell r="C138" t="str">
            <v>Cr.</v>
          </cell>
          <cell r="E138" t="str">
            <v>Cr. Investment - ASA</v>
          </cell>
          <cell r="J138">
            <v>0</v>
          </cell>
          <cell r="K138">
            <v>0</v>
          </cell>
          <cell r="L138">
            <v>0</v>
          </cell>
        </row>
        <row r="139">
          <cell r="B139">
            <v>30201000</v>
          </cell>
          <cell r="C139" t="str">
            <v>Cr.</v>
          </cell>
          <cell r="E139" t="str">
            <v>Cr. Reserves for capital increase - Aresco</v>
          </cell>
          <cell r="J139">
            <v>0</v>
          </cell>
          <cell r="K139">
            <v>0</v>
          </cell>
          <cell r="L139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C144">
            <v>0</v>
          </cell>
          <cell r="E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B145">
            <v>0</v>
          </cell>
          <cell r="C145">
            <v>0</v>
          </cell>
          <cell r="E145">
            <v>0</v>
          </cell>
          <cell r="J145">
            <v>0</v>
          </cell>
          <cell r="K145">
            <v>0</v>
          </cell>
          <cell r="L14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Chk_File"/>
      <sheetName val="Data"/>
      <sheetName val="elimination entries"/>
      <sheetName val="BS LD"/>
      <sheetName val="IS"/>
      <sheetName val="Fixed assets"/>
      <sheetName val="FA Surplus"/>
      <sheetName val="Imperment"/>
      <sheetName val="Provisions"/>
      <sheetName val="RP Balance"/>
      <sheetName val="Fixed assets R F"/>
      <sheetName val="Equity"/>
      <sheetName val="Magority Interest"/>
      <sheetName val="Minority Interest"/>
      <sheetName val="EE at date of acq."/>
      <sheetName val="Inv. since date of acqusition"/>
      <sheetName val="Sigments"/>
      <sheetName val="Balance Sheet"/>
      <sheetName val="Income Statement"/>
      <sheetName val="Shareholders' Equit"/>
      <sheetName val="Cash flow"/>
    </sheetNames>
    <sheetDataSet>
      <sheetData sheetId="0" refreshError="1"/>
      <sheetData sheetId="1" refreshError="1"/>
      <sheetData sheetId="2" refreshError="1"/>
      <sheetData sheetId="3" refreshError="1">
        <row r="8">
          <cell r="B8">
            <v>30101000</v>
          </cell>
          <cell r="C8" t="str">
            <v>Dr.</v>
          </cell>
          <cell r="D8" t="str">
            <v>Dr. Owners Equity</v>
          </cell>
          <cell r="F8" t="str">
            <v>Capital</v>
          </cell>
          <cell r="J8">
            <v>0</v>
          </cell>
          <cell r="K8">
            <v>0</v>
          </cell>
          <cell r="L8">
            <v>0</v>
          </cell>
        </row>
        <row r="9">
          <cell r="B9">
            <v>30301000</v>
          </cell>
          <cell r="C9" t="str">
            <v>Dr.</v>
          </cell>
          <cell r="D9" t="str">
            <v>Dr. Owners Equity</v>
          </cell>
          <cell r="F9" t="str">
            <v>Reserves</v>
          </cell>
          <cell r="J9">
            <v>0</v>
          </cell>
          <cell r="K9">
            <v>0</v>
          </cell>
          <cell r="L9">
            <v>0</v>
          </cell>
        </row>
        <row r="10">
          <cell r="B10">
            <v>30401000</v>
          </cell>
          <cell r="C10" t="str">
            <v>Dr.</v>
          </cell>
          <cell r="D10" t="str">
            <v>Dr. Owners Equity</v>
          </cell>
          <cell r="F10" t="str">
            <v>RE + NP - RE 6Months Nincome</v>
          </cell>
          <cell r="J10">
            <v>0</v>
          </cell>
          <cell r="K10">
            <v>0</v>
          </cell>
          <cell r="L10">
            <v>0</v>
          </cell>
        </row>
        <row r="11">
          <cell r="B11">
            <v>10100100</v>
          </cell>
          <cell r="C11" t="str">
            <v>Dr.</v>
          </cell>
          <cell r="D11" t="str">
            <v>Dr. Fixed asset (surplus)</v>
          </cell>
          <cell r="F11" t="str">
            <v>Land</v>
          </cell>
          <cell r="J11">
            <v>0</v>
          </cell>
          <cell r="K11">
            <v>0</v>
          </cell>
          <cell r="L11">
            <v>0</v>
          </cell>
        </row>
        <row r="12">
          <cell r="B12">
            <v>10100110</v>
          </cell>
          <cell r="C12" t="str">
            <v>Dr.</v>
          </cell>
          <cell r="D12" t="str">
            <v>Dr. Fixed asset (surplus)</v>
          </cell>
          <cell r="F12" t="str">
            <v>Buildings and constructions</v>
          </cell>
          <cell r="J12">
            <v>0</v>
          </cell>
          <cell r="K12">
            <v>0</v>
          </cell>
          <cell r="L12">
            <v>0</v>
          </cell>
        </row>
        <row r="13">
          <cell r="B13">
            <v>10100120</v>
          </cell>
          <cell r="C13" t="str">
            <v>Dr.</v>
          </cell>
          <cell r="D13" t="str">
            <v>Dr. Fixed asset (surplus)</v>
          </cell>
          <cell r="F13" t="str">
            <v>Machinery and equipment</v>
          </cell>
          <cell r="J13">
            <v>0</v>
          </cell>
          <cell r="K13">
            <v>0</v>
          </cell>
          <cell r="L13">
            <v>0</v>
          </cell>
        </row>
        <row r="14">
          <cell r="B14">
            <v>10100190</v>
          </cell>
          <cell r="C14" t="str">
            <v>Dr.</v>
          </cell>
          <cell r="D14" t="str">
            <v>Dr. Fixed asset (surplus)</v>
          </cell>
          <cell r="F14" t="str">
            <v>Vehicles and Transportation means</v>
          </cell>
          <cell r="J14">
            <v>0</v>
          </cell>
          <cell r="K14">
            <v>0</v>
          </cell>
          <cell r="L14">
            <v>0</v>
          </cell>
        </row>
        <row r="15">
          <cell r="B15">
            <v>10100160</v>
          </cell>
          <cell r="C15" t="str">
            <v>Dr.</v>
          </cell>
          <cell r="D15" t="str">
            <v>Dr. Fixed asset (surplus)</v>
          </cell>
          <cell r="F15" t="str">
            <v>Furniture and Office Equipments</v>
          </cell>
          <cell r="J15">
            <v>0</v>
          </cell>
          <cell r="K15">
            <v>0</v>
          </cell>
          <cell r="L15">
            <v>0</v>
          </cell>
        </row>
        <row r="16">
          <cell r="B16">
            <v>10100150</v>
          </cell>
          <cell r="C16" t="str">
            <v>Dr.</v>
          </cell>
          <cell r="D16" t="str">
            <v>Dr. Fixed asset (surplus)</v>
          </cell>
          <cell r="F16" t="str">
            <v>Safty &amp; Equipments</v>
          </cell>
          <cell r="J16">
            <v>0</v>
          </cell>
          <cell r="K16">
            <v>0</v>
          </cell>
          <cell r="L16">
            <v>0</v>
          </cell>
        </row>
        <row r="17">
          <cell r="B17">
            <v>10400100</v>
          </cell>
          <cell r="C17" t="str">
            <v>Dr.</v>
          </cell>
          <cell r="D17" t="str">
            <v>Dr/Cr. Goodwill Balance Sheet</v>
          </cell>
          <cell r="J17">
            <v>0</v>
          </cell>
          <cell r="K17">
            <v>0</v>
          </cell>
          <cell r="L17">
            <v>0</v>
          </cell>
        </row>
        <row r="18">
          <cell r="B18">
            <v>39101000</v>
          </cell>
          <cell r="C18" t="str">
            <v>Cr.</v>
          </cell>
          <cell r="E18" t="str">
            <v>Cr Minority interest</v>
          </cell>
          <cell r="G18" t="str">
            <v>Capital</v>
          </cell>
          <cell r="J18">
            <v>0</v>
          </cell>
          <cell r="K18">
            <v>0</v>
          </cell>
          <cell r="L18">
            <v>0</v>
          </cell>
        </row>
        <row r="19">
          <cell r="B19">
            <v>39301000</v>
          </cell>
          <cell r="C19" t="str">
            <v>Cr.</v>
          </cell>
          <cell r="E19" t="str">
            <v>Cr Minority interest</v>
          </cell>
          <cell r="G19" t="str">
            <v>Reserves</v>
          </cell>
          <cell r="J19">
            <v>0</v>
          </cell>
          <cell r="K19">
            <v>0</v>
          </cell>
          <cell r="L19">
            <v>0</v>
          </cell>
        </row>
        <row r="20">
          <cell r="B20">
            <v>39401000</v>
          </cell>
          <cell r="C20" t="str">
            <v>Cr.</v>
          </cell>
          <cell r="E20" t="str">
            <v>Cr Minority interest</v>
          </cell>
          <cell r="G20" t="str">
            <v>RE</v>
          </cell>
          <cell r="J20">
            <v>0</v>
          </cell>
          <cell r="K20">
            <v>0</v>
          </cell>
          <cell r="L20">
            <v>0</v>
          </cell>
        </row>
        <row r="21">
          <cell r="B21">
            <v>39401020</v>
          </cell>
          <cell r="C21" t="str">
            <v>Cr.</v>
          </cell>
          <cell r="E21" t="str">
            <v>Cr Minority interest</v>
          </cell>
          <cell r="G21" t="str">
            <v>Fixed assets revaluation</v>
          </cell>
          <cell r="J21">
            <v>0</v>
          </cell>
          <cell r="K21">
            <v>0</v>
          </cell>
          <cell r="L21">
            <v>0</v>
          </cell>
        </row>
        <row r="22">
          <cell r="B22">
            <v>10300108</v>
          </cell>
          <cell r="C22" t="str">
            <v>Cr.</v>
          </cell>
          <cell r="E22" t="str">
            <v>Cr. Investment</v>
          </cell>
          <cell r="G22" t="str">
            <v>Esaco</v>
          </cell>
          <cell r="J22">
            <v>0</v>
          </cell>
          <cell r="K22">
            <v>0</v>
          </cell>
          <cell r="L22">
            <v>0</v>
          </cell>
        </row>
        <row r="25">
          <cell r="B25">
            <v>30101000</v>
          </cell>
          <cell r="C25" t="str">
            <v>Cr.</v>
          </cell>
          <cell r="D25" t="str">
            <v>Dr. Capital</v>
          </cell>
          <cell r="J25">
            <v>0</v>
          </cell>
          <cell r="K25">
            <v>0</v>
          </cell>
          <cell r="L25">
            <v>0</v>
          </cell>
        </row>
        <row r="26">
          <cell r="B26">
            <v>30201000</v>
          </cell>
          <cell r="C26" t="str">
            <v>Cr.</v>
          </cell>
          <cell r="D26" t="str">
            <v>Dr. Payment under capital increase</v>
          </cell>
          <cell r="J26">
            <v>0</v>
          </cell>
          <cell r="K26">
            <v>-5000000</v>
          </cell>
          <cell r="L26">
            <v>-5000000</v>
          </cell>
        </row>
        <row r="27">
          <cell r="B27">
            <v>10300102</v>
          </cell>
          <cell r="C27" t="str">
            <v>Cr.</v>
          </cell>
          <cell r="E27" t="str">
            <v>Cr. Investment</v>
          </cell>
          <cell r="H27" t="str">
            <v>Aresco</v>
          </cell>
          <cell r="J27">
            <v>0</v>
          </cell>
          <cell r="K27">
            <v>0</v>
          </cell>
          <cell r="L27">
            <v>0</v>
          </cell>
        </row>
        <row r="28">
          <cell r="B28">
            <v>10300107</v>
          </cell>
          <cell r="C28" t="str">
            <v>Dr.</v>
          </cell>
          <cell r="E28" t="str">
            <v>Cr. Investment</v>
          </cell>
          <cell r="H28" t="str">
            <v>Ach</v>
          </cell>
          <cell r="J28">
            <v>0</v>
          </cell>
          <cell r="K28">
            <v>0</v>
          </cell>
          <cell r="L28">
            <v>0</v>
          </cell>
        </row>
        <row r="29">
          <cell r="B29">
            <v>10300106</v>
          </cell>
          <cell r="C29" t="str">
            <v>Cr.</v>
          </cell>
          <cell r="E29" t="str">
            <v>Cr. Investment</v>
          </cell>
          <cell r="H29" t="str">
            <v>United</v>
          </cell>
          <cell r="J29">
            <v>0</v>
          </cell>
          <cell r="K29">
            <v>0</v>
          </cell>
          <cell r="L29">
            <v>0</v>
          </cell>
        </row>
        <row r="30">
          <cell r="B30">
            <v>10302007</v>
          </cell>
          <cell r="C30" t="str">
            <v>Dr.</v>
          </cell>
          <cell r="E30" t="str">
            <v>Cr. Payment under Investment</v>
          </cell>
          <cell r="H30" t="str">
            <v>Ach</v>
          </cell>
          <cell r="J30">
            <v>0</v>
          </cell>
          <cell r="K30">
            <v>0</v>
          </cell>
          <cell r="L30">
            <v>0</v>
          </cell>
        </row>
        <row r="31">
          <cell r="B31">
            <v>10302006</v>
          </cell>
          <cell r="C31" t="str">
            <v>Dr.</v>
          </cell>
          <cell r="E31" t="str">
            <v>Cr. Payment under Investment</v>
          </cell>
          <cell r="H31" t="str">
            <v>United</v>
          </cell>
          <cell r="J31">
            <v>5000000</v>
          </cell>
          <cell r="K31">
            <v>0</v>
          </cell>
          <cell r="L31">
            <v>5000000</v>
          </cell>
        </row>
        <row r="32">
          <cell r="B32">
            <v>39101000</v>
          </cell>
          <cell r="C32" t="str">
            <v>Dr.</v>
          </cell>
          <cell r="E32" t="str">
            <v>Cr. Minority interest</v>
          </cell>
          <cell r="G32" t="str">
            <v>Capital</v>
          </cell>
          <cell r="J32">
            <v>0</v>
          </cell>
          <cell r="K32">
            <v>0</v>
          </cell>
          <cell r="L32">
            <v>0</v>
          </cell>
        </row>
        <row r="33">
          <cell r="B33">
            <v>39201000</v>
          </cell>
          <cell r="C33" t="str">
            <v>Dr.</v>
          </cell>
          <cell r="E33" t="str">
            <v>Cr. Minority interest</v>
          </cell>
          <cell r="G33" t="str">
            <v>Reserves for capital increase</v>
          </cell>
          <cell r="J33">
            <v>0</v>
          </cell>
          <cell r="K33">
            <v>0</v>
          </cell>
          <cell r="L33">
            <v>0</v>
          </cell>
        </row>
        <row r="37">
          <cell r="B37">
            <v>30301000</v>
          </cell>
          <cell r="C37" t="str">
            <v>Dr.</v>
          </cell>
          <cell r="D37" t="str">
            <v>Dr.</v>
          </cell>
          <cell r="E37" t="str">
            <v>Reserves</v>
          </cell>
          <cell r="J37">
            <v>0</v>
          </cell>
          <cell r="K37">
            <v>0</v>
          </cell>
          <cell r="L37">
            <v>0</v>
          </cell>
        </row>
        <row r="38">
          <cell r="B38">
            <v>30401000</v>
          </cell>
          <cell r="C38" t="str">
            <v>Cr.</v>
          </cell>
          <cell r="E38" t="str">
            <v>Cr. Retained earnings</v>
          </cell>
          <cell r="J38">
            <v>0</v>
          </cell>
          <cell r="K38">
            <v>0</v>
          </cell>
          <cell r="L38">
            <v>0</v>
          </cell>
        </row>
        <row r="42">
          <cell r="B42">
            <v>39401000</v>
          </cell>
          <cell r="C42" t="str">
            <v>Dr.</v>
          </cell>
          <cell r="D42" t="str">
            <v>Dr. Minority Interest</v>
          </cell>
          <cell r="F42" t="str">
            <v>Retained earnings</v>
          </cell>
          <cell r="H42" t="str">
            <v>ACH</v>
          </cell>
          <cell r="J42">
            <v>0</v>
          </cell>
          <cell r="K42">
            <v>0</v>
          </cell>
          <cell r="L42">
            <v>0</v>
          </cell>
        </row>
        <row r="43">
          <cell r="B43">
            <v>39301000</v>
          </cell>
          <cell r="C43" t="str">
            <v>Cr.</v>
          </cell>
          <cell r="E43" t="str">
            <v>Dr. Minority interest</v>
          </cell>
          <cell r="G43" t="str">
            <v>Reserves</v>
          </cell>
          <cell r="H43" t="str">
            <v>ACH</v>
          </cell>
          <cell r="J43">
            <v>0</v>
          </cell>
          <cell r="K43">
            <v>0</v>
          </cell>
          <cell r="L43">
            <v>0</v>
          </cell>
        </row>
        <row r="47">
          <cell r="B47">
            <v>401</v>
          </cell>
          <cell r="C47" t="str">
            <v>Dr.</v>
          </cell>
          <cell r="D47" t="str">
            <v>Dr. Sales intercompany</v>
          </cell>
          <cell r="J47">
            <v>19919547.48</v>
          </cell>
          <cell r="K47">
            <v>0</v>
          </cell>
          <cell r="L47">
            <v>19919547.48</v>
          </cell>
        </row>
        <row r="48">
          <cell r="B48">
            <v>415</v>
          </cell>
          <cell r="C48" t="str">
            <v>Dr.</v>
          </cell>
          <cell r="D48" t="str">
            <v>Dr. Otheer operating Income - Asec Eng</v>
          </cell>
          <cell r="J48">
            <v>0</v>
          </cell>
          <cell r="K48">
            <v>0</v>
          </cell>
          <cell r="L48">
            <v>0</v>
          </cell>
        </row>
        <row r="49">
          <cell r="B49">
            <v>201</v>
          </cell>
          <cell r="C49" t="str">
            <v>Cr.</v>
          </cell>
          <cell r="E49" t="str">
            <v>Cr. COGS intercompany</v>
          </cell>
          <cell r="J49">
            <v>0</v>
          </cell>
          <cell r="K49">
            <v>-19919547.48</v>
          </cell>
          <cell r="L49">
            <v>-19919547.48</v>
          </cell>
        </row>
        <row r="50">
          <cell r="B50">
            <v>215</v>
          </cell>
          <cell r="C50" t="str">
            <v>Cr.</v>
          </cell>
          <cell r="E50" t="str">
            <v>Cr. Otheer operating Cost - Asec Eng</v>
          </cell>
          <cell r="J50">
            <v>0</v>
          </cell>
          <cell r="K50">
            <v>0</v>
          </cell>
          <cell r="L50">
            <v>0</v>
          </cell>
        </row>
        <row r="53">
          <cell r="B53">
            <v>402</v>
          </cell>
          <cell r="C53" t="str">
            <v>Dr.</v>
          </cell>
          <cell r="D53" t="str">
            <v>Dr. Sales intercompany</v>
          </cell>
          <cell r="J53">
            <v>0</v>
          </cell>
          <cell r="K53">
            <v>0</v>
          </cell>
          <cell r="L53">
            <v>0</v>
          </cell>
        </row>
        <row r="54">
          <cell r="B54">
            <v>201</v>
          </cell>
          <cell r="C54" t="str">
            <v>Cr.</v>
          </cell>
          <cell r="E54" t="str">
            <v>Cr. COGS</v>
          </cell>
          <cell r="J54">
            <v>0</v>
          </cell>
          <cell r="K54">
            <v>0</v>
          </cell>
          <cell r="L54">
            <v>0</v>
          </cell>
        </row>
        <row r="55">
          <cell r="B55">
            <v>10200100</v>
          </cell>
          <cell r="C55" t="str">
            <v>Cr.</v>
          </cell>
          <cell r="E55" t="str">
            <v>Cr. PUC</v>
          </cell>
          <cell r="J55">
            <v>0</v>
          </cell>
          <cell r="K55">
            <v>0</v>
          </cell>
          <cell r="L55">
            <v>0</v>
          </cell>
        </row>
        <row r="59">
          <cell r="B59">
            <v>401</v>
          </cell>
          <cell r="C59" t="str">
            <v>Dr.</v>
          </cell>
          <cell r="D59" t="str">
            <v>Dr. Dividends Income (P&amp;L)</v>
          </cell>
          <cell r="J59">
            <v>0</v>
          </cell>
          <cell r="K59">
            <v>0</v>
          </cell>
          <cell r="L59">
            <v>0</v>
          </cell>
        </row>
        <row r="60">
          <cell r="B60">
            <v>39401000</v>
          </cell>
          <cell r="C60" t="str">
            <v>Dr.</v>
          </cell>
          <cell r="D60" t="str">
            <v>Dr. Minority interest</v>
          </cell>
          <cell r="F60" t="str">
            <v>Retained earnings</v>
          </cell>
          <cell r="J60">
            <v>0</v>
          </cell>
          <cell r="K60">
            <v>0</v>
          </cell>
          <cell r="L60">
            <v>0</v>
          </cell>
        </row>
        <row r="61">
          <cell r="B61">
            <v>30401000</v>
          </cell>
          <cell r="C61" t="str">
            <v>Cr.</v>
          </cell>
          <cell r="E61" t="str">
            <v>Cr. Retained earnings subsidiaries</v>
          </cell>
          <cell r="J61">
            <v>0</v>
          </cell>
          <cell r="K61">
            <v>0</v>
          </cell>
          <cell r="L61">
            <v>0</v>
          </cell>
        </row>
        <row r="65">
          <cell r="B65">
            <v>210</v>
          </cell>
          <cell r="C65" t="str">
            <v>Dr.</v>
          </cell>
          <cell r="D65" t="str">
            <v>Dr. Depreciation</v>
          </cell>
          <cell r="F65" t="str">
            <v>COGS</v>
          </cell>
          <cell r="J65">
            <v>3565269.3509806683</v>
          </cell>
          <cell r="K65">
            <v>0</v>
          </cell>
          <cell r="L65">
            <v>3565269.3509806683</v>
          </cell>
        </row>
        <row r="66">
          <cell r="B66">
            <v>211</v>
          </cell>
          <cell r="C66" t="str">
            <v>Dr.</v>
          </cell>
          <cell r="D66" t="str">
            <v>Dr. Depreciation</v>
          </cell>
          <cell r="F66" t="str">
            <v>G&amp;A</v>
          </cell>
          <cell r="J66">
            <v>425128.37905135209</v>
          </cell>
          <cell r="K66">
            <v>0</v>
          </cell>
          <cell r="L66">
            <v>425128.37905135209</v>
          </cell>
        </row>
        <row r="67">
          <cell r="C67" t="str">
            <v>Dr.</v>
          </cell>
          <cell r="D67" t="str">
            <v>Dr. Minority interest</v>
          </cell>
          <cell r="F67" t="str">
            <v>B Sheet - N Income</v>
          </cell>
          <cell r="J67">
            <v>184360.22081725096</v>
          </cell>
          <cell r="K67">
            <v>0</v>
          </cell>
          <cell r="L67">
            <v>184360.22081725096</v>
          </cell>
        </row>
        <row r="68">
          <cell r="B68">
            <v>910</v>
          </cell>
          <cell r="C68" t="str">
            <v>Cr.</v>
          </cell>
          <cell r="E68" t="str">
            <v>Cr. Minority interest</v>
          </cell>
          <cell r="G68" t="str">
            <v>Current period net income</v>
          </cell>
          <cell r="J68">
            <v>0</v>
          </cell>
          <cell r="K68">
            <v>-184360.22081725096</v>
          </cell>
          <cell r="L68">
            <v>-184360.22081725096</v>
          </cell>
        </row>
        <row r="69">
          <cell r="B69">
            <v>20200100</v>
          </cell>
          <cell r="C69" t="str">
            <v>Cr.</v>
          </cell>
          <cell r="E69" t="str">
            <v>Cr F A Surplus Dep</v>
          </cell>
          <cell r="G69" t="str">
            <v>Land</v>
          </cell>
          <cell r="J69">
            <v>0</v>
          </cell>
          <cell r="K69">
            <v>0</v>
          </cell>
          <cell r="L69">
            <v>0</v>
          </cell>
        </row>
        <row r="70">
          <cell r="B70">
            <v>20200110</v>
          </cell>
          <cell r="C70" t="str">
            <v>Cr.</v>
          </cell>
          <cell r="E70" t="str">
            <v>Cr F A Surplus Dep</v>
          </cell>
          <cell r="G70" t="str">
            <v>Buildings and constructions</v>
          </cell>
          <cell r="J70">
            <v>0</v>
          </cell>
          <cell r="K70">
            <v>-175664.73100901794</v>
          </cell>
          <cell r="L70">
            <v>-175664.73100901794</v>
          </cell>
        </row>
        <row r="71">
          <cell r="B71">
            <v>20200120</v>
          </cell>
          <cell r="C71" t="str">
            <v>Cr.</v>
          </cell>
          <cell r="E71" t="str">
            <v>Cr F A Surplus Dep</v>
          </cell>
          <cell r="G71" t="str">
            <v>Machinery and equipment</v>
          </cell>
          <cell r="J71">
            <v>0</v>
          </cell>
          <cell r="K71">
            <v>-3182053.6262731822</v>
          </cell>
          <cell r="L71">
            <v>-3182053.6262731822</v>
          </cell>
        </row>
        <row r="72">
          <cell r="B72">
            <v>20200190</v>
          </cell>
          <cell r="C72" t="str">
            <v>Cr.</v>
          </cell>
          <cell r="E72" t="str">
            <v>Cr F A Surplus Dep</v>
          </cell>
          <cell r="G72" t="str">
            <v>Vehicles and Transportation means</v>
          </cell>
          <cell r="J72">
            <v>0</v>
          </cell>
          <cell r="K72">
            <v>-69263.06000925292</v>
          </cell>
          <cell r="L72">
            <v>-69263.06000925292</v>
          </cell>
        </row>
        <row r="73">
          <cell r="B73">
            <v>20200160</v>
          </cell>
          <cell r="C73" t="str">
            <v>Cr.</v>
          </cell>
          <cell r="E73" t="str">
            <v>Cr F A Surplus Dep</v>
          </cell>
          <cell r="G73" t="str">
            <v>Furniture and Office Equipments</v>
          </cell>
          <cell r="J73">
            <v>0</v>
          </cell>
          <cell r="K73">
            <v>-400288.69580389827</v>
          </cell>
          <cell r="L73">
            <v>-400288.69580389827</v>
          </cell>
        </row>
        <row r="74">
          <cell r="B74">
            <v>20200150</v>
          </cell>
          <cell r="C74" t="str">
            <v>Cr.</v>
          </cell>
          <cell r="E74" t="str">
            <v>Cr F A Surplus Dep</v>
          </cell>
          <cell r="G74" t="str">
            <v>Safty &amp; Equipments</v>
          </cell>
          <cell r="J74">
            <v>0</v>
          </cell>
          <cell r="K74">
            <v>-163127.61693666838</v>
          </cell>
          <cell r="L74">
            <v>-163127.61693666838</v>
          </cell>
        </row>
        <row r="78">
          <cell r="B78">
            <v>210</v>
          </cell>
          <cell r="C78" t="str">
            <v>Dr.</v>
          </cell>
          <cell r="D78" t="str">
            <v>Dr. Depreciation</v>
          </cell>
          <cell r="F78" t="str">
            <v>COGS</v>
          </cell>
          <cell r="J78">
            <v>-2613.4147885919715</v>
          </cell>
          <cell r="K78">
            <v>0</v>
          </cell>
          <cell r="L78">
            <v>-2613.4147885919715</v>
          </cell>
        </row>
        <row r="79">
          <cell r="B79">
            <v>211</v>
          </cell>
          <cell r="C79" t="str">
            <v>Dr.</v>
          </cell>
          <cell r="D79" t="str">
            <v>Dr. Depreciation</v>
          </cell>
          <cell r="F79" t="str">
            <v>G&amp;A</v>
          </cell>
          <cell r="J79">
            <v>-1768.4924971474079</v>
          </cell>
          <cell r="K79">
            <v>0</v>
          </cell>
          <cell r="L79">
            <v>-1768.4924971474079</v>
          </cell>
        </row>
        <row r="80">
          <cell r="C80" t="str">
            <v>Dr.</v>
          </cell>
          <cell r="D80" t="str">
            <v>Dr. Minority interest</v>
          </cell>
          <cell r="F80" t="str">
            <v>B Sheet - N Income</v>
          </cell>
          <cell r="J80">
            <v>490.63834203071906</v>
          </cell>
          <cell r="K80">
            <v>0</v>
          </cell>
          <cell r="L80">
            <v>490.63834203071906</v>
          </cell>
        </row>
        <row r="81">
          <cell r="B81">
            <v>20200100</v>
          </cell>
          <cell r="C81" t="str">
            <v>Dr.</v>
          </cell>
          <cell r="D81" t="str">
            <v>Dr. F A Surplus Dep</v>
          </cell>
          <cell r="F81" t="str">
            <v>Land</v>
          </cell>
          <cell r="J81">
            <v>0</v>
          </cell>
          <cell r="K81">
            <v>0</v>
          </cell>
          <cell r="L81">
            <v>0</v>
          </cell>
        </row>
        <row r="82">
          <cell r="B82">
            <v>20200110</v>
          </cell>
          <cell r="C82" t="str">
            <v>Dr.</v>
          </cell>
          <cell r="D82" t="str">
            <v>Dr. F A Surplus Dep</v>
          </cell>
          <cell r="F82" t="str">
            <v>Buildings and constructions</v>
          </cell>
          <cell r="J82">
            <v>0</v>
          </cell>
          <cell r="K82">
            <v>0</v>
          </cell>
          <cell r="L82">
            <v>0</v>
          </cell>
        </row>
        <row r="83">
          <cell r="B83">
            <v>20200120</v>
          </cell>
          <cell r="C83" t="str">
            <v>Dr.</v>
          </cell>
          <cell r="D83" t="str">
            <v>Dr. F A Surplus Dep</v>
          </cell>
          <cell r="F83" t="str">
            <v>Machinery and equipment</v>
          </cell>
          <cell r="J83">
            <v>0</v>
          </cell>
          <cell r="K83">
            <v>0</v>
          </cell>
          <cell r="L83">
            <v>0</v>
          </cell>
        </row>
        <row r="84">
          <cell r="B84">
            <v>20200190</v>
          </cell>
          <cell r="C84" t="str">
            <v>Dr.</v>
          </cell>
          <cell r="D84" t="str">
            <v>Dr. F A Surplus Dep</v>
          </cell>
          <cell r="F84" t="str">
            <v>Vehicles and Transportation means</v>
          </cell>
          <cell r="J84">
            <v>-22002.422198291879</v>
          </cell>
          <cell r="K84">
            <v>0</v>
          </cell>
          <cell r="L84">
            <v>-22002.422198291879</v>
          </cell>
        </row>
        <row r="85">
          <cell r="B85">
            <v>20200160</v>
          </cell>
          <cell r="C85" t="str">
            <v>Dr.</v>
          </cell>
          <cell r="D85" t="str">
            <v>Dr. F A Surplus Dep</v>
          </cell>
          <cell r="F85" t="str">
            <v>Furniture and Office Equipments</v>
          </cell>
          <cell r="J85">
            <v>5351.174512482231</v>
          </cell>
          <cell r="K85">
            <v>0</v>
          </cell>
          <cell r="L85">
            <v>5351.174512482231</v>
          </cell>
        </row>
        <row r="86">
          <cell r="B86">
            <v>20200150</v>
          </cell>
          <cell r="C86" t="str">
            <v>Dr.</v>
          </cell>
          <cell r="D86" t="str">
            <v>Dr. F A Surplus Dep</v>
          </cell>
          <cell r="F86" t="str">
            <v>Safty &amp; Equipments</v>
          </cell>
          <cell r="J86">
            <v>0</v>
          </cell>
          <cell r="K86">
            <v>0</v>
          </cell>
          <cell r="L86">
            <v>0</v>
          </cell>
        </row>
        <row r="87">
          <cell r="B87">
            <v>10100100</v>
          </cell>
          <cell r="C87" t="str">
            <v>Cr.</v>
          </cell>
          <cell r="E87" t="str">
            <v>Cr F A Surplus</v>
          </cell>
          <cell r="G87" t="str">
            <v>Land</v>
          </cell>
          <cell r="J87">
            <v>0</v>
          </cell>
          <cell r="K87">
            <v>0</v>
          </cell>
          <cell r="L87">
            <v>0</v>
          </cell>
        </row>
        <row r="88">
          <cell r="B88">
            <v>10100110</v>
          </cell>
          <cell r="C88" t="str">
            <v>Cr.</v>
          </cell>
          <cell r="E88" t="str">
            <v>Cr F A Surplus</v>
          </cell>
          <cell r="G88" t="str">
            <v>Buildings and constructions</v>
          </cell>
          <cell r="J88">
            <v>0</v>
          </cell>
          <cell r="K88">
            <v>0</v>
          </cell>
          <cell r="L88">
            <v>0</v>
          </cell>
        </row>
        <row r="89">
          <cell r="B89">
            <v>10100120</v>
          </cell>
          <cell r="C89" t="str">
            <v>Cr.</v>
          </cell>
          <cell r="E89" t="str">
            <v>Cr F A Surplus</v>
          </cell>
          <cell r="G89" t="str">
            <v>Machinery and equipment</v>
          </cell>
          <cell r="J89">
            <v>0</v>
          </cell>
          <cell r="K89">
            <v>0</v>
          </cell>
          <cell r="L89">
            <v>0</v>
          </cell>
        </row>
        <row r="90">
          <cell r="B90">
            <v>10100190</v>
          </cell>
          <cell r="C90" t="str">
            <v>Cr.</v>
          </cell>
          <cell r="E90" t="str">
            <v>Cr F A Surplus</v>
          </cell>
          <cell r="G90" t="str">
            <v>Vehicles and Transportation means</v>
          </cell>
          <cell r="J90">
            <v>0</v>
          </cell>
          <cell r="K90">
            <v>27792.533303105531</v>
          </cell>
          <cell r="L90">
            <v>27792.533303105531</v>
          </cell>
        </row>
        <row r="91">
          <cell r="B91">
            <v>10100160</v>
          </cell>
          <cell r="C91" t="str">
            <v>Cr.</v>
          </cell>
          <cell r="E91" t="str">
            <v>Cr F A Surplus</v>
          </cell>
          <cell r="G91" t="str">
            <v>Furniture and Office Equipments</v>
          </cell>
          <cell r="J91">
            <v>0</v>
          </cell>
          <cell r="K91">
            <v>-6759.3783315565033</v>
          </cell>
          <cell r="L91">
            <v>-6759.3783315565033</v>
          </cell>
        </row>
        <row r="92">
          <cell r="B92">
            <v>10100150</v>
          </cell>
          <cell r="C92" t="str">
            <v>Cr.</v>
          </cell>
          <cell r="E92" t="str">
            <v>Cr F A Surplus</v>
          </cell>
          <cell r="G92" t="str">
            <v>Safty &amp; Equipments</v>
          </cell>
          <cell r="J92">
            <v>0</v>
          </cell>
          <cell r="K92">
            <v>0</v>
          </cell>
          <cell r="L92">
            <v>0</v>
          </cell>
        </row>
        <row r="93">
          <cell r="B93">
            <v>910</v>
          </cell>
          <cell r="C93" t="str">
            <v>Cr.</v>
          </cell>
          <cell r="E93" t="str">
            <v>Cr. Minority interest</v>
          </cell>
          <cell r="G93" t="str">
            <v>Current period net income</v>
          </cell>
          <cell r="J93">
            <v>0</v>
          </cell>
          <cell r="K93">
            <v>-490.63834203071906</v>
          </cell>
          <cell r="L93">
            <v>-490.63834203071906</v>
          </cell>
        </row>
        <row r="94">
          <cell r="J94">
            <v>0</v>
          </cell>
          <cell r="K94">
            <v>0</v>
          </cell>
          <cell r="L94">
            <v>0</v>
          </cell>
        </row>
        <row r="98">
          <cell r="B98">
            <v>30401000</v>
          </cell>
          <cell r="C98" t="str">
            <v>Dr.</v>
          </cell>
          <cell r="D98" t="str">
            <v>Dr. Retained earnings</v>
          </cell>
          <cell r="J98">
            <v>0</v>
          </cell>
          <cell r="L98">
            <v>0</v>
          </cell>
        </row>
        <row r="99">
          <cell r="B99">
            <v>39401000</v>
          </cell>
          <cell r="C99" t="str">
            <v>Dr.</v>
          </cell>
          <cell r="D99" t="str">
            <v>Dr. Minority interest</v>
          </cell>
          <cell r="F99" t="str">
            <v>RE</v>
          </cell>
          <cell r="J99">
            <v>0</v>
          </cell>
          <cell r="K99">
            <v>0</v>
          </cell>
          <cell r="L99">
            <v>0</v>
          </cell>
        </row>
        <row r="100">
          <cell r="B100">
            <v>20200100</v>
          </cell>
          <cell r="C100" t="str">
            <v>Dr.</v>
          </cell>
          <cell r="D100" t="str">
            <v>Dr. F A Surplus Dep</v>
          </cell>
          <cell r="F100" t="str">
            <v>Land</v>
          </cell>
          <cell r="J100">
            <v>0</v>
          </cell>
          <cell r="K100">
            <v>0</v>
          </cell>
          <cell r="L100">
            <v>0</v>
          </cell>
        </row>
        <row r="101">
          <cell r="B101">
            <v>20200110</v>
          </cell>
          <cell r="C101" t="str">
            <v>Dr.</v>
          </cell>
          <cell r="D101" t="str">
            <v>Dr. F A Surplus Dep</v>
          </cell>
          <cell r="F101" t="str">
            <v>Buildings and constructions</v>
          </cell>
          <cell r="J101">
            <v>0</v>
          </cell>
          <cell r="K101">
            <v>0</v>
          </cell>
          <cell r="L101">
            <v>0</v>
          </cell>
        </row>
        <row r="102">
          <cell r="B102">
            <v>20200120</v>
          </cell>
          <cell r="C102" t="str">
            <v>Dr.</v>
          </cell>
          <cell r="D102" t="str">
            <v>Dr. F A Surplus Dep</v>
          </cell>
          <cell r="F102" t="str">
            <v>Machinery and equipment</v>
          </cell>
          <cell r="J102">
            <v>0</v>
          </cell>
          <cell r="K102">
            <v>0</v>
          </cell>
          <cell r="L102">
            <v>0</v>
          </cell>
        </row>
        <row r="103">
          <cell r="B103">
            <v>20200190</v>
          </cell>
          <cell r="C103" t="str">
            <v>Dr.</v>
          </cell>
          <cell r="D103" t="str">
            <v>Dr. F A Surplus Dep</v>
          </cell>
          <cell r="F103" t="str">
            <v>Vehicles and Transportation means</v>
          </cell>
          <cell r="J103">
            <v>0</v>
          </cell>
          <cell r="K103">
            <v>0</v>
          </cell>
          <cell r="L103">
            <v>0</v>
          </cell>
        </row>
        <row r="104">
          <cell r="B104">
            <v>20200160</v>
          </cell>
          <cell r="C104" t="str">
            <v>Dr.</v>
          </cell>
          <cell r="D104" t="str">
            <v>Dr. F A Surplus Dep</v>
          </cell>
          <cell r="F104" t="str">
            <v>Furniture and Office Equipments</v>
          </cell>
          <cell r="J104">
            <v>0</v>
          </cell>
          <cell r="K104">
            <v>0</v>
          </cell>
          <cell r="L104">
            <v>0</v>
          </cell>
        </row>
        <row r="105">
          <cell r="B105">
            <v>20200150</v>
          </cell>
          <cell r="C105" t="str">
            <v>Dr.</v>
          </cell>
          <cell r="D105" t="str">
            <v>Dr. F A Surplus Dep</v>
          </cell>
          <cell r="F105" t="str">
            <v>Safty &amp; Equipments</v>
          </cell>
          <cell r="J105">
            <v>0</v>
          </cell>
          <cell r="K105">
            <v>0</v>
          </cell>
          <cell r="L105">
            <v>0</v>
          </cell>
        </row>
        <row r="106">
          <cell r="B106">
            <v>10100100</v>
          </cell>
          <cell r="C106" t="str">
            <v>Cr.</v>
          </cell>
          <cell r="E106" t="str">
            <v>Cr F A Surplus</v>
          </cell>
          <cell r="G106" t="str">
            <v>Land</v>
          </cell>
          <cell r="J106">
            <v>0</v>
          </cell>
          <cell r="K106">
            <v>0</v>
          </cell>
          <cell r="L106">
            <v>0</v>
          </cell>
        </row>
        <row r="107">
          <cell r="B107">
            <v>10100110</v>
          </cell>
          <cell r="C107" t="str">
            <v>Cr.</v>
          </cell>
          <cell r="E107" t="str">
            <v>Cr F A Surplus</v>
          </cell>
          <cell r="G107" t="str">
            <v>Buildings and constructions</v>
          </cell>
          <cell r="J107">
            <v>0</v>
          </cell>
          <cell r="K107">
            <v>0</v>
          </cell>
          <cell r="L107">
            <v>0</v>
          </cell>
        </row>
        <row r="108">
          <cell r="B108">
            <v>10100120</v>
          </cell>
          <cell r="C108" t="str">
            <v>Cr.</v>
          </cell>
          <cell r="E108" t="str">
            <v>Cr F A Surplus</v>
          </cell>
          <cell r="G108" t="str">
            <v>Machinery and equipment</v>
          </cell>
          <cell r="J108">
            <v>0</v>
          </cell>
          <cell r="K108">
            <v>0</v>
          </cell>
          <cell r="L108">
            <v>0</v>
          </cell>
        </row>
        <row r="109">
          <cell r="B109">
            <v>10100190</v>
          </cell>
          <cell r="C109" t="str">
            <v>Cr.</v>
          </cell>
          <cell r="E109" t="str">
            <v>Cr F A Surplus</v>
          </cell>
          <cell r="G109" t="str">
            <v>Vehicles and Transportation means</v>
          </cell>
          <cell r="J109">
            <v>0</v>
          </cell>
          <cell r="K109">
            <v>0</v>
          </cell>
          <cell r="L109">
            <v>0</v>
          </cell>
        </row>
        <row r="110">
          <cell r="B110">
            <v>10100160</v>
          </cell>
          <cell r="C110" t="str">
            <v>Cr.</v>
          </cell>
          <cell r="E110" t="str">
            <v>Cr F A Surplus</v>
          </cell>
          <cell r="G110" t="str">
            <v>Furniture and Office Equipments</v>
          </cell>
          <cell r="J110">
            <v>0</v>
          </cell>
          <cell r="K110">
            <v>0</v>
          </cell>
          <cell r="L110">
            <v>0</v>
          </cell>
        </row>
        <row r="111">
          <cell r="B111">
            <v>10100150</v>
          </cell>
          <cell r="C111" t="str">
            <v>Cr.</v>
          </cell>
          <cell r="E111" t="str">
            <v>Cr F A Surplus</v>
          </cell>
          <cell r="G111" t="str">
            <v>Safty &amp; Equipments</v>
          </cell>
          <cell r="J111">
            <v>0</v>
          </cell>
          <cell r="K111">
            <v>0</v>
          </cell>
          <cell r="L111">
            <v>0</v>
          </cell>
        </row>
        <row r="115">
          <cell r="B115">
            <v>910</v>
          </cell>
          <cell r="C115" t="str">
            <v>Dr.</v>
          </cell>
          <cell r="D115" t="str">
            <v>Dr. Minority interest income S</v>
          </cell>
          <cell r="J115">
            <v>2484740.7185544837</v>
          </cell>
          <cell r="K115">
            <v>0</v>
          </cell>
          <cell r="L115">
            <v>2484740.7185544837</v>
          </cell>
        </row>
        <row r="116">
          <cell r="C116" t="str">
            <v>Cr.</v>
          </cell>
          <cell r="E116" t="str">
            <v>Cr. Minority interest interest B Sheet</v>
          </cell>
          <cell r="J116">
            <v>0</v>
          </cell>
          <cell r="K116">
            <v>-2484740.7185544837</v>
          </cell>
          <cell r="L116">
            <v>-2484740.7185544837</v>
          </cell>
        </row>
        <row r="120">
          <cell r="B120">
            <v>39601000</v>
          </cell>
          <cell r="C120" t="str">
            <v>Dr.</v>
          </cell>
          <cell r="D120" t="str">
            <v>Dr.Minority interest</v>
          </cell>
          <cell r="F120" t="str">
            <v>Unreaslized gain</v>
          </cell>
          <cell r="J120">
            <v>2779480.828018581</v>
          </cell>
          <cell r="K120">
            <v>0</v>
          </cell>
          <cell r="L120">
            <v>2779480.828018581</v>
          </cell>
        </row>
        <row r="121">
          <cell r="B121">
            <v>39701000</v>
          </cell>
          <cell r="C121" t="str">
            <v>Dr.</v>
          </cell>
          <cell r="D121" t="str">
            <v>Dr.Minority interest</v>
          </cell>
          <cell r="F121" t="str">
            <v>Translation Adj</v>
          </cell>
          <cell r="J121">
            <v>2699546.5837216289</v>
          </cell>
          <cell r="K121">
            <v>0</v>
          </cell>
          <cell r="L121">
            <v>2699546.5837216289</v>
          </cell>
        </row>
        <row r="122">
          <cell r="B122">
            <v>30501000</v>
          </cell>
          <cell r="C122" t="str">
            <v>Cr.</v>
          </cell>
          <cell r="E122" t="str">
            <v>Cr. Other changes  equity</v>
          </cell>
          <cell r="H122" t="str">
            <v>Unreaslized gain</v>
          </cell>
          <cell r="J122">
            <v>0</v>
          </cell>
          <cell r="K122">
            <v>-2779480.828018581</v>
          </cell>
          <cell r="L122">
            <v>-2779480.828018581</v>
          </cell>
        </row>
        <row r="123">
          <cell r="B123">
            <v>30601000</v>
          </cell>
          <cell r="C123" t="str">
            <v>Cr.</v>
          </cell>
          <cell r="E123" t="str">
            <v>Cr. Other changes  equity</v>
          </cell>
          <cell r="H123" t="str">
            <v>Translation Adj</v>
          </cell>
          <cell r="J123">
            <v>0</v>
          </cell>
          <cell r="K123">
            <v>-2699546.5837216289</v>
          </cell>
          <cell r="L123">
            <v>-2699546.5837216289</v>
          </cell>
        </row>
        <row r="127">
          <cell r="B127">
            <v>39401000</v>
          </cell>
          <cell r="C127" t="str">
            <v>Dr.</v>
          </cell>
          <cell r="D127" t="str">
            <v>Dr. Minority interest</v>
          </cell>
          <cell r="F127" t="str">
            <v>Retained earnings</v>
          </cell>
          <cell r="H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B128">
            <v>30401000</v>
          </cell>
          <cell r="C128" t="str">
            <v>Cr.</v>
          </cell>
          <cell r="E128" t="str">
            <v>Cr. Retained earnings</v>
          </cell>
          <cell r="J128">
            <v>0</v>
          </cell>
          <cell r="K128">
            <v>0</v>
          </cell>
          <cell r="L128">
            <v>0</v>
          </cell>
        </row>
        <row r="132">
          <cell r="B132">
            <v>30401000</v>
          </cell>
          <cell r="C132" t="str">
            <v>Dr.</v>
          </cell>
          <cell r="D132" t="str">
            <v>Dr. Retained earnings</v>
          </cell>
          <cell r="J132">
            <v>0</v>
          </cell>
          <cell r="K132">
            <v>0</v>
          </cell>
          <cell r="L132">
            <v>0</v>
          </cell>
        </row>
        <row r="133">
          <cell r="B133">
            <v>39401000</v>
          </cell>
          <cell r="C133" t="str">
            <v>Cr.</v>
          </cell>
          <cell r="E133" t="str">
            <v>Cr. Minority interest</v>
          </cell>
          <cell r="G133" t="str">
            <v>Retained earnings</v>
          </cell>
          <cell r="J133">
            <v>0</v>
          </cell>
          <cell r="K133">
            <v>0</v>
          </cell>
          <cell r="L133">
            <v>0</v>
          </cell>
        </row>
        <row r="136">
          <cell r="B136">
            <v>10302004</v>
          </cell>
          <cell r="C136" t="str">
            <v>Dr.</v>
          </cell>
          <cell r="D136" t="str">
            <v>Dr. Payment Under investment</v>
          </cell>
          <cell r="G136" t="str">
            <v>asa</v>
          </cell>
          <cell r="J136">
            <v>0</v>
          </cell>
          <cell r="K136">
            <v>0</v>
          </cell>
          <cell r="L136">
            <v>0</v>
          </cell>
        </row>
        <row r="137">
          <cell r="B137">
            <v>10302002</v>
          </cell>
          <cell r="C137" t="str">
            <v>Dr.</v>
          </cell>
          <cell r="D137" t="str">
            <v>Dr. Payment Under investment</v>
          </cell>
          <cell r="G137" t="str">
            <v>aresco</v>
          </cell>
          <cell r="J137">
            <v>0</v>
          </cell>
          <cell r="K137">
            <v>0</v>
          </cell>
          <cell r="L137">
            <v>0</v>
          </cell>
        </row>
        <row r="138">
          <cell r="B138">
            <v>10300104</v>
          </cell>
          <cell r="C138" t="str">
            <v>Cr.</v>
          </cell>
          <cell r="E138" t="str">
            <v>Cr. Investment - ASA</v>
          </cell>
          <cell r="J138">
            <v>0</v>
          </cell>
          <cell r="K138">
            <v>0</v>
          </cell>
          <cell r="L138">
            <v>0</v>
          </cell>
        </row>
        <row r="139">
          <cell r="B139">
            <v>30201000</v>
          </cell>
          <cell r="C139" t="str">
            <v>Cr.</v>
          </cell>
          <cell r="E139" t="str">
            <v>Cr. Reserves for capital increase - Aresco</v>
          </cell>
          <cell r="J139">
            <v>0</v>
          </cell>
          <cell r="K139">
            <v>0</v>
          </cell>
          <cell r="L139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C144">
            <v>0</v>
          </cell>
          <cell r="E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B145">
            <v>0</v>
          </cell>
          <cell r="C145">
            <v>0</v>
          </cell>
          <cell r="E145">
            <v>0</v>
          </cell>
          <cell r="J145">
            <v>0</v>
          </cell>
          <cell r="K145">
            <v>0</v>
          </cell>
          <cell r="L145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F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B151">
            <v>10300107</v>
          </cell>
          <cell r="C151" t="str">
            <v>Dr.</v>
          </cell>
          <cell r="D151" t="str">
            <v xml:space="preserve"> Investment</v>
          </cell>
          <cell r="F151">
            <v>0</v>
          </cell>
          <cell r="G151" t="str">
            <v>Ach</v>
          </cell>
          <cell r="J151">
            <v>695720205</v>
          </cell>
          <cell r="K151">
            <v>0</v>
          </cell>
          <cell r="L151">
            <v>695720205</v>
          </cell>
        </row>
        <row r="152">
          <cell r="B152">
            <v>10302007</v>
          </cell>
          <cell r="C152" t="str">
            <v>Dr.</v>
          </cell>
          <cell r="D152" t="str">
            <v xml:space="preserve"> Payment under Investment</v>
          </cell>
          <cell r="G152" t="str">
            <v>Ach</v>
          </cell>
          <cell r="J152">
            <v>231906735</v>
          </cell>
          <cell r="K152">
            <v>0</v>
          </cell>
          <cell r="L152">
            <v>231906735</v>
          </cell>
        </row>
        <row r="153">
          <cell r="B153">
            <v>39101000</v>
          </cell>
          <cell r="C153" t="str">
            <v>Dr.</v>
          </cell>
          <cell r="D153" t="str">
            <v xml:space="preserve"> Minority interest</v>
          </cell>
          <cell r="E153">
            <v>0</v>
          </cell>
          <cell r="F153" t="str">
            <v>Capital</v>
          </cell>
          <cell r="G153">
            <v>0</v>
          </cell>
          <cell r="J153">
            <v>668437950</v>
          </cell>
          <cell r="K153">
            <v>0</v>
          </cell>
          <cell r="L153">
            <v>668437950</v>
          </cell>
        </row>
        <row r="154">
          <cell r="B154">
            <v>39201000</v>
          </cell>
          <cell r="C154" t="str">
            <v>Dr.</v>
          </cell>
          <cell r="D154" t="str">
            <v xml:space="preserve"> Minority interest</v>
          </cell>
          <cell r="E154">
            <v>0</v>
          </cell>
          <cell r="F154" t="str">
            <v>Reserves for capital increase</v>
          </cell>
          <cell r="G154">
            <v>0</v>
          </cell>
          <cell r="J154">
            <v>222812650</v>
          </cell>
          <cell r="K154">
            <v>0</v>
          </cell>
          <cell r="L154">
            <v>222812650</v>
          </cell>
        </row>
        <row r="155">
          <cell r="B155">
            <v>30101000</v>
          </cell>
          <cell r="C155" t="str">
            <v>Cr.</v>
          </cell>
          <cell r="E155" t="str">
            <v xml:space="preserve"> Capital</v>
          </cell>
          <cell r="G155">
            <v>0</v>
          </cell>
          <cell r="J155">
            <v>0</v>
          </cell>
          <cell r="K155">
            <v>-1364158155</v>
          </cell>
          <cell r="L155">
            <v>-1364158155</v>
          </cell>
        </row>
        <row r="156">
          <cell r="B156">
            <v>30201000</v>
          </cell>
          <cell r="C156" t="str">
            <v>Cr.</v>
          </cell>
          <cell r="E156" t="str">
            <v xml:space="preserve"> Payment under capital increase</v>
          </cell>
          <cell r="G156">
            <v>0</v>
          </cell>
          <cell r="J156">
            <v>0</v>
          </cell>
          <cell r="K156">
            <v>-454719385</v>
          </cell>
          <cell r="L156">
            <v>-454719385</v>
          </cell>
        </row>
        <row r="157">
          <cell r="B157">
            <v>0</v>
          </cell>
          <cell r="C157">
            <v>0</v>
          </cell>
          <cell r="E157">
            <v>0</v>
          </cell>
          <cell r="G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>
            <v>0</v>
          </cell>
          <cell r="C158">
            <v>0</v>
          </cell>
          <cell r="E158">
            <v>0</v>
          </cell>
          <cell r="G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>
            <v>0</v>
          </cell>
          <cell r="C159">
            <v>0</v>
          </cell>
          <cell r="E159">
            <v>0</v>
          </cell>
          <cell r="J159">
            <v>1818877540</v>
          </cell>
          <cell r="K159">
            <v>-1818877540</v>
          </cell>
          <cell r="L159">
            <v>0</v>
          </cell>
        </row>
        <row r="160">
          <cell r="B160">
            <v>0</v>
          </cell>
          <cell r="C160" t="str">
            <v xml:space="preserve">Reversal 2006 - 2007 Minority interes in Net Profit elmination entry </v>
          </cell>
          <cell r="E160">
            <v>0</v>
          </cell>
          <cell r="J160">
            <v>0</v>
          </cell>
          <cell r="K160">
            <v>0</v>
          </cell>
          <cell r="L160">
            <v>0</v>
          </cell>
        </row>
        <row r="163">
          <cell r="B163">
            <v>0</v>
          </cell>
          <cell r="C163">
            <v>0</v>
          </cell>
          <cell r="D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>
            <v>0</v>
          </cell>
          <cell r="C164">
            <v>0</v>
          </cell>
          <cell r="E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B165">
            <v>0</v>
          </cell>
          <cell r="C165">
            <v>0</v>
          </cell>
          <cell r="E165">
            <v>0</v>
          </cell>
          <cell r="G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B166">
            <v>0</v>
          </cell>
          <cell r="C166">
            <v>0</v>
          </cell>
          <cell r="E166">
            <v>0</v>
          </cell>
          <cell r="G166">
            <v>0</v>
          </cell>
          <cell r="J166">
            <v>11764025.343122082</v>
          </cell>
          <cell r="K166">
            <v>-11764025.343122082</v>
          </cell>
          <cell r="L166">
            <v>0</v>
          </cell>
        </row>
        <row r="167">
          <cell r="B167">
            <v>0</v>
          </cell>
          <cell r="C167" t="str">
            <v>Record 2006 ACH investment income under the equity method ( 51% of net income less movement in RE)</v>
          </cell>
          <cell r="E167">
            <v>0</v>
          </cell>
          <cell r="G167">
            <v>0</v>
          </cell>
          <cell r="J167">
            <v>0</v>
          </cell>
          <cell r="K167">
            <v>0</v>
          </cell>
          <cell r="L167">
            <v>0</v>
          </cell>
        </row>
        <row r="170">
          <cell r="B170">
            <v>0</v>
          </cell>
          <cell r="C170">
            <v>0</v>
          </cell>
          <cell r="D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B171">
            <v>0</v>
          </cell>
          <cell r="C171">
            <v>0</v>
          </cell>
          <cell r="E171">
            <v>0</v>
          </cell>
          <cell r="J171">
            <v>12244173.334775636</v>
          </cell>
          <cell r="K171">
            <v>-12244173.334775636</v>
          </cell>
          <cell r="L171">
            <v>0</v>
          </cell>
        </row>
        <row r="174">
          <cell r="B174">
            <v>30301000</v>
          </cell>
          <cell r="C174" t="str">
            <v>Cr.</v>
          </cell>
          <cell r="D174" t="str">
            <v>Owners Equity</v>
          </cell>
          <cell r="F174" t="str">
            <v>Reserves</v>
          </cell>
          <cell r="J174">
            <v>0</v>
          </cell>
          <cell r="K174">
            <v>-290353</v>
          </cell>
          <cell r="L174">
            <v>-290353</v>
          </cell>
        </row>
        <row r="175">
          <cell r="B175">
            <v>39301000</v>
          </cell>
          <cell r="C175" t="str">
            <v>Dr.</v>
          </cell>
          <cell r="D175" t="str">
            <v>Minority Interest</v>
          </cell>
          <cell r="E175">
            <v>0</v>
          </cell>
          <cell r="F175" t="str">
            <v>Reserves</v>
          </cell>
          <cell r="J175">
            <v>142273.06664185869</v>
          </cell>
          <cell r="K175">
            <v>0</v>
          </cell>
          <cell r="L175">
            <v>142273.06664185869</v>
          </cell>
        </row>
        <row r="178">
          <cell r="B178">
            <v>0</v>
          </cell>
          <cell r="C178">
            <v>0</v>
          </cell>
          <cell r="D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>
            <v>10200100</v>
          </cell>
          <cell r="C179" t="str">
            <v>Dr.</v>
          </cell>
          <cell r="D179" t="str">
            <v>PUC Ach</v>
          </cell>
          <cell r="E179">
            <v>0</v>
          </cell>
          <cell r="J179">
            <v>8170545</v>
          </cell>
          <cell r="K179">
            <v>0</v>
          </cell>
          <cell r="L179">
            <v>8170545</v>
          </cell>
        </row>
        <row r="182">
          <cell r="B182">
            <v>0</v>
          </cell>
          <cell r="C182">
            <v>0</v>
          </cell>
          <cell r="D182">
            <v>0</v>
          </cell>
          <cell r="F182">
            <v>0</v>
          </cell>
          <cell r="J182">
            <v>8170545</v>
          </cell>
          <cell r="K182">
            <v>-8170545</v>
          </cell>
          <cell r="L182">
            <v>0</v>
          </cell>
        </row>
        <row r="183">
          <cell r="B183">
            <v>0</v>
          </cell>
          <cell r="C183" t="str">
            <v>Free Entry</v>
          </cell>
          <cell r="D183">
            <v>0</v>
          </cell>
          <cell r="F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>
            <v>0</v>
          </cell>
          <cell r="C184">
            <v>0</v>
          </cell>
          <cell r="D184">
            <v>0</v>
          </cell>
          <cell r="F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>
            <v>0</v>
          </cell>
          <cell r="C185">
            <v>0</v>
          </cell>
          <cell r="D185">
            <v>0</v>
          </cell>
          <cell r="F185">
            <v>0</v>
          </cell>
          <cell r="J185">
            <v>0</v>
          </cell>
          <cell r="K185">
            <v>0</v>
          </cell>
          <cell r="L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F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>
            <v>0</v>
          </cell>
          <cell r="C187">
            <v>0</v>
          </cell>
          <cell r="D187">
            <v>0</v>
          </cell>
          <cell r="F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>
            <v>0</v>
          </cell>
          <cell r="C188">
            <v>0</v>
          </cell>
          <cell r="E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>
            <v>0</v>
          </cell>
          <cell r="C189">
            <v>0</v>
          </cell>
          <cell r="E189">
            <v>0</v>
          </cell>
          <cell r="J189">
            <v>0</v>
          </cell>
          <cell r="K189">
            <v>0</v>
          </cell>
          <cell r="L189">
            <v>0</v>
          </cell>
        </row>
        <row r="192">
          <cell r="B192">
            <v>0</v>
          </cell>
          <cell r="C192">
            <v>0</v>
          </cell>
          <cell r="D192">
            <v>0</v>
          </cell>
          <cell r="F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B193">
            <v>0</v>
          </cell>
          <cell r="C193" t="str">
            <v>Free Entry</v>
          </cell>
          <cell r="D193">
            <v>0</v>
          </cell>
          <cell r="F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F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>
            <v>0</v>
          </cell>
          <cell r="C195">
            <v>0</v>
          </cell>
          <cell r="D195">
            <v>0</v>
          </cell>
          <cell r="F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F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F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B198">
            <v>0</v>
          </cell>
          <cell r="C198">
            <v>0</v>
          </cell>
          <cell r="E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B199">
            <v>0</v>
          </cell>
          <cell r="C199">
            <v>0</v>
          </cell>
          <cell r="E199">
            <v>0</v>
          </cell>
          <cell r="J199">
            <v>0</v>
          </cell>
          <cell r="K199">
            <v>0</v>
          </cell>
          <cell r="L199">
            <v>0</v>
          </cell>
        </row>
        <row r="202">
          <cell r="B202">
            <v>0</v>
          </cell>
          <cell r="C202">
            <v>0</v>
          </cell>
          <cell r="D202">
            <v>0</v>
          </cell>
          <cell r="J202">
            <v>0</v>
          </cell>
          <cell r="K202">
            <v>0</v>
          </cell>
          <cell r="L202">
            <v>0</v>
          </cell>
        </row>
        <row r="203">
          <cell r="B203">
            <v>0</v>
          </cell>
          <cell r="C203" t="str">
            <v>Minority interest portion in 2007 ditrupution to BOD not recorded in 2007 F S</v>
          </cell>
          <cell r="E203">
            <v>0</v>
          </cell>
          <cell r="J203">
            <v>0</v>
          </cell>
          <cell r="K203">
            <v>0</v>
          </cell>
          <cell r="L203">
            <v>0</v>
          </cell>
        </row>
        <row r="204">
          <cell r="B204">
            <v>30401000</v>
          </cell>
          <cell r="C204" t="str">
            <v>Dr.</v>
          </cell>
          <cell r="D204" t="str">
            <v>Dr Re</v>
          </cell>
          <cell r="J204">
            <v>111385</v>
          </cell>
          <cell r="K204">
            <v>0</v>
          </cell>
          <cell r="L204">
            <v>111385</v>
          </cell>
        </row>
        <row r="205">
          <cell r="B205">
            <v>39401000</v>
          </cell>
          <cell r="C205" t="str">
            <v>Cr.</v>
          </cell>
          <cell r="E205" t="str">
            <v>Cr. Minority interest RE</v>
          </cell>
          <cell r="J205">
            <v>0</v>
          </cell>
          <cell r="K205">
            <v>-111385</v>
          </cell>
          <cell r="L205">
            <v>-111385</v>
          </cell>
        </row>
        <row r="206">
          <cell r="C206">
            <v>0</v>
          </cell>
          <cell r="J206">
            <v>0</v>
          </cell>
          <cell r="K206">
            <v>0</v>
          </cell>
          <cell r="L206">
            <v>0</v>
          </cell>
        </row>
        <row r="207">
          <cell r="C207">
            <v>0</v>
          </cell>
          <cell r="J207">
            <v>0</v>
          </cell>
          <cell r="K207">
            <v>0</v>
          </cell>
          <cell r="L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</row>
        <row r="212">
          <cell r="J212">
            <v>111385</v>
          </cell>
          <cell r="K212">
            <v>-111385</v>
          </cell>
          <cell r="L212">
            <v>0</v>
          </cell>
        </row>
        <row r="213">
          <cell r="C213" t="str">
            <v>Free Entry</v>
          </cell>
          <cell r="J213">
            <v>0</v>
          </cell>
          <cell r="K213">
            <v>0</v>
          </cell>
          <cell r="L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</row>
        <row r="223">
          <cell r="C223" t="str">
            <v>Free Entry</v>
          </cell>
          <cell r="J223">
            <v>0</v>
          </cell>
          <cell r="K223">
            <v>0</v>
          </cell>
          <cell r="L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</row>
        <row r="233">
          <cell r="C233" t="str">
            <v>Free Entry</v>
          </cell>
          <cell r="J233">
            <v>0</v>
          </cell>
          <cell r="K233">
            <v>0</v>
          </cell>
          <cell r="L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</row>
        <row r="243">
          <cell r="C243" t="str">
            <v>Free Entry</v>
          </cell>
          <cell r="J243">
            <v>0</v>
          </cell>
          <cell r="K243">
            <v>0</v>
          </cell>
          <cell r="L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</row>
        <row r="253">
          <cell r="C253" t="str">
            <v>Free Entry</v>
          </cell>
          <cell r="J253">
            <v>0</v>
          </cell>
          <cell r="K253">
            <v>0</v>
          </cell>
          <cell r="L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</row>
        <row r="263">
          <cell r="C263" t="str">
            <v>Free Entry</v>
          </cell>
          <cell r="J263">
            <v>0</v>
          </cell>
          <cell r="K263">
            <v>0</v>
          </cell>
          <cell r="L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</row>
        <row r="268">
          <cell r="J268">
            <v>0</v>
          </cell>
          <cell r="K268">
            <v>0</v>
          </cell>
          <cell r="L268">
            <v>0</v>
          </cell>
        </row>
        <row r="269">
          <cell r="J269">
            <v>0</v>
          </cell>
          <cell r="K269">
            <v>0</v>
          </cell>
          <cell r="L269">
            <v>0</v>
          </cell>
        </row>
        <row r="277">
          <cell r="B277">
            <v>0</v>
          </cell>
          <cell r="D277">
            <v>0</v>
          </cell>
          <cell r="J277">
            <v>0</v>
          </cell>
          <cell r="L277">
            <v>0</v>
          </cell>
        </row>
        <row r="278">
          <cell r="B278">
            <v>0</v>
          </cell>
          <cell r="C278" t="str">
            <v>e. Record Inter Cpmpany (ACH-ARESCO ) Advanced Payments balance</v>
          </cell>
          <cell r="D278">
            <v>0</v>
          </cell>
          <cell r="J278">
            <v>0</v>
          </cell>
          <cell r="L278">
            <v>0</v>
          </cell>
        </row>
        <row r="279">
          <cell r="B279">
            <v>20800100</v>
          </cell>
          <cell r="D279" t="str">
            <v>Dr. Advances from customers</v>
          </cell>
          <cell r="E279">
            <v>0</v>
          </cell>
          <cell r="J279">
            <v>0</v>
          </cell>
          <cell r="K279">
            <v>0</v>
          </cell>
          <cell r="L279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</row>
        <row r="283">
          <cell r="C283" t="str">
            <v>Free Entry</v>
          </cell>
          <cell r="J283">
            <v>0</v>
          </cell>
          <cell r="K283">
            <v>0</v>
          </cell>
          <cell r="L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</row>
        <row r="293">
          <cell r="C293" t="str">
            <v>Free Entry</v>
          </cell>
          <cell r="J293">
            <v>0</v>
          </cell>
          <cell r="K293">
            <v>0</v>
          </cell>
          <cell r="L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</row>
        <row r="303">
          <cell r="C303" t="str">
            <v>Free Entry</v>
          </cell>
          <cell r="J303">
            <v>0</v>
          </cell>
          <cell r="K303">
            <v>0</v>
          </cell>
          <cell r="L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Chk_File"/>
      <sheetName val="Data"/>
      <sheetName val="elimination entries"/>
      <sheetName val="BS LD"/>
      <sheetName val="IS"/>
      <sheetName val="Fixed assets"/>
      <sheetName val="FA Surplus"/>
      <sheetName val="Imperment"/>
      <sheetName val="Provisions"/>
      <sheetName val="RP Balance"/>
      <sheetName val="Fixed assets R F"/>
      <sheetName val="Equity"/>
      <sheetName val="Magority Interest"/>
      <sheetName val="Minority Interest"/>
      <sheetName val="EE at date of acq."/>
      <sheetName val="Inv. since date of acqusition"/>
      <sheetName val="Sigments"/>
      <sheetName val="Balance Sheet"/>
      <sheetName val="Income Statement"/>
      <sheetName val="Shareholders' Equit"/>
      <sheetName val="Cash flow"/>
    </sheetNames>
    <sheetDataSet>
      <sheetData sheetId="0" refreshError="1"/>
      <sheetData sheetId="1" refreshError="1"/>
      <sheetData sheetId="2" refreshError="1"/>
      <sheetData sheetId="3" refreshError="1">
        <row r="8">
          <cell r="B8">
            <v>30101000</v>
          </cell>
          <cell r="C8" t="str">
            <v>Dr.</v>
          </cell>
          <cell r="D8" t="str">
            <v>Dr. Owners Equity</v>
          </cell>
          <cell r="F8" t="str">
            <v>Capital</v>
          </cell>
          <cell r="J8">
            <v>0</v>
          </cell>
          <cell r="K8">
            <v>0</v>
          </cell>
          <cell r="L8">
            <v>0</v>
          </cell>
        </row>
        <row r="9">
          <cell r="B9">
            <v>30301000</v>
          </cell>
          <cell r="C9" t="str">
            <v>Dr.</v>
          </cell>
          <cell r="D9" t="str">
            <v>Dr. Owners Equity</v>
          </cell>
          <cell r="F9" t="str">
            <v>Reserves</v>
          </cell>
          <cell r="J9">
            <v>0</v>
          </cell>
          <cell r="K9">
            <v>0</v>
          </cell>
          <cell r="L9">
            <v>0</v>
          </cell>
        </row>
        <row r="10">
          <cell r="B10">
            <v>30401000</v>
          </cell>
          <cell r="C10" t="str">
            <v>Dr.</v>
          </cell>
          <cell r="D10" t="str">
            <v>Dr. Owners Equity</v>
          </cell>
          <cell r="F10" t="str">
            <v>RE + NP - RE 6Months Nincome</v>
          </cell>
          <cell r="J10">
            <v>0</v>
          </cell>
          <cell r="K10">
            <v>0</v>
          </cell>
          <cell r="L10">
            <v>0</v>
          </cell>
        </row>
        <row r="11">
          <cell r="B11">
            <v>10100100</v>
          </cell>
          <cell r="C11" t="str">
            <v>Dr.</v>
          </cell>
          <cell r="D11" t="str">
            <v>Dr. Fixed asset (surplus)</v>
          </cell>
          <cell r="F11" t="str">
            <v>Land</v>
          </cell>
          <cell r="J11">
            <v>0</v>
          </cell>
          <cell r="K11">
            <v>0</v>
          </cell>
          <cell r="L11">
            <v>0</v>
          </cell>
        </row>
        <row r="12">
          <cell r="B12">
            <v>10100110</v>
          </cell>
          <cell r="C12" t="str">
            <v>Dr.</v>
          </cell>
          <cell r="D12" t="str">
            <v>Dr. Fixed asset (surplus)</v>
          </cell>
          <cell r="F12" t="str">
            <v>Buildings and constructions</v>
          </cell>
          <cell r="J12">
            <v>0</v>
          </cell>
          <cell r="K12">
            <v>0</v>
          </cell>
          <cell r="L12">
            <v>0</v>
          </cell>
        </row>
        <row r="13">
          <cell r="B13">
            <v>10100120</v>
          </cell>
          <cell r="C13" t="str">
            <v>Dr.</v>
          </cell>
          <cell r="D13" t="str">
            <v>Dr. Fixed asset (surplus)</v>
          </cell>
          <cell r="F13" t="str">
            <v>Machinery and equipment</v>
          </cell>
          <cell r="J13">
            <v>0</v>
          </cell>
          <cell r="K13">
            <v>0</v>
          </cell>
          <cell r="L13">
            <v>0</v>
          </cell>
        </row>
        <row r="14">
          <cell r="B14">
            <v>10100190</v>
          </cell>
          <cell r="C14" t="str">
            <v>Dr.</v>
          </cell>
          <cell r="D14" t="str">
            <v>Dr. Fixed asset (surplus)</v>
          </cell>
          <cell r="F14" t="str">
            <v>Vehicles and Transportation means</v>
          </cell>
          <cell r="J14">
            <v>0</v>
          </cell>
          <cell r="K14">
            <v>0</v>
          </cell>
          <cell r="L14">
            <v>0</v>
          </cell>
        </row>
        <row r="15">
          <cell r="B15">
            <v>10100160</v>
          </cell>
          <cell r="C15" t="str">
            <v>Dr.</v>
          </cell>
          <cell r="D15" t="str">
            <v>Dr. Fixed asset (surplus)</v>
          </cell>
          <cell r="F15" t="str">
            <v>Furniture and Office Equipments</v>
          </cell>
          <cell r="J15">
            <v>0</v>
          </cell>
          <cell r="K15">
            <v>0</v>
          </cell>
          <cell r="L15">
            <v>0</v>
          </cell>
        </row>
        <row r="16">
          <cell r="B16">
            <v>10100150</v>
          </cell>
          <cell r="C16" t="str">
            <v>Dr.</v>
          </cell>
          <cell r="D16" t="str">
            <v>Dr. Fixed asset (surplus)</v>
          </cell>
          <cell r="F16" t="str">
            <v>Safty &amp; Equipments</v>
          </cell>
          <cell r="J16">
            <v>0</v>
          </cell>
          <cell r="K16">
            <v>0</v>
          </cell>
          <cell r="L16">
            <v>0</v>
          </cell>
        </row>
        <row r="17">
          <cell r="B17">
            <v>10400100</v>
          </cell>
          <cell r="C17" t="str">
            <v>Dr.</v>
          </cell>
          <cell r="D17" t="str">
            <v>Dr/Cr. Goodwill Balance Sheet</v>
          </cell>
          <cell r="J17">
            <v>0</v>
          </cell>
          <cell r="K17">
            <v>0</v>
          </cell>
          <cell r="L17">
            <v>0</v>
          </cell>
        </row>
        <row r="18">
          <cell r="B18">
            <v>39101000</v>
          </cell>
          <cell r="C18" t="str">
            <v>Cr.</v>
          </cell>
          <cell r="E18" t="str">
            <v>Cr Minority interest</v>
          </cell>
          <cell r="G18" t="str">
            <v>Capital</v>
          </cell>
          <cell r="J18">
            <v>0</v>
          </cell>
          <cell r="K18">
            <v>0</v>
          </cell>
          <cell r="L18">
            <v>0</v>
          </cell>
        </row>
        <row r="19">
          <cell r="B19">
            <v>39301000</v>
          </cell>
          <cell r="C19" t="str">
            <v>Cr.</v>
          </cell>
          <cell r="E19" t="str">
            <v>Cr Minority interest</v>
          </cell>
          <cell r="G19" t="str">
            <v>Reserves</v>
          </cell>
          <cell r="J19">
            <v>0</v>
          </cell>
          <cell r="K19">
            <v>0</v>
          </cell>
          <cell r="L19">
            <v>0</v>
          </cell>
        </row>
        <row r="20">
          <cell r="B20">
            <v>39401000</v>
          </cell>
          <cell r="C20" t="str">
            <v>Cr.</v>
          </cell>
          <cell r="E20" t="str">
            <v>Cr Minority interest</v>
          </cell>
          <cell r="G20" t="str">
            <v>RE</v>
          </cell>
          <cell r="J20">
            <v>0</v>
          </cell>
          <cell r="K20">
            <v>0</v>
          </cell>
          <cell r="L20">
            <v>0</v>
          </cell>
        </row>
        <row r="21">
          <cell r="B21">
            <v>39401020</v>
          </cell>
          <cell r="C21" t="str">
            <v>Cr.</v>
          </cell>
          <cell r="E21" t="str">
            <v>Cr Minority interest</v>
          </cell>
          <cell r="G21" t="str">
            <v>Fixed assets revaluation</v>
          </cell>
          <cell r="J21">
            <v>0</v>
          </cell>
          <cell r="K21">
            <v>0</v>
          </cell>
          <cell r="L21">
            <v>0</v>
          </cell>
        </row>
        <row r="22">
          <cell r="B22">
            <v>10300108</v>
          </cell>
          <cell r="C22" t="str">
            <v>Cr.</v>
          </cell>
          <cell r="E22" t="str">
            <v>Cr. Investment</v>
          </cell>
          <cell r="G22" t="str">
            <v>Esaco</v>
          </cell>
          <cell r="J22">
            <v>0</v>
          </cell>
          <cell r="K22">
            <v>0</v>
          </cell>
          <cell r="L22">
            <v>0</v>
          </cell>
        </row>
        <row r="25">
          <cell r="B25">
            <v>30101000</v>
          </cell>
          <cell r="C25" t="str">
            <v>Cr.</v>
          </cell>
          <cell r="D25" t="str">
            <v>Dr. Capital</v>
          </cell>
          <cell r="J25">
            <v>0</v>
          </cell>
          <cell r="K25">
            <v>0</v>
          </cell>
          <cell r="L25">
            <v>0</v>
          </cell>
        </row>
        <row r="26">
          <cell r="B26">
            <v>30201000</v>
          </cell>
          <cell r="C26" t="str">
            <v>Cr.</v>
          </cell>
          <cell r="D26" t="str">
            <v>Dr. Payment under capital increase</v>
          </cell>
          <cell r="J26">
            <v>0</v>
          </cell>
          <cell r="K26">
            <v>-5000000</v>
          </cell>
          <cell r="L26">
            <v>-5000000</v>
          </cell>
        </row>
        <row r="27">
          <cell r="B27">
            <v>10300102</v>
          </cell>
          <cell r="C27" t="str">
            <v>Cr.</v>
          </cell>
          <cell r="E27" t="str">
            <v>Cr. Investment</v>
          </cell>
          <cell r="H27" t="str">
            <v>Aresco</v>
          </cell>
          <cell r="J27">
            <v>0</v>
          </cell>
          <cell r="K27">
            <v>0</v>
          </cell>
          <cell r="L27">
            <v>0</v>
          </cell>
        </row>
        <row r="28">
          <cell r="B28">
            <v>10300107</v>
          </cell>
          <cell r="C28" t="str">
            <v>Dr.</v>
          </cell>
          <cell r="E28" t="str">
            <v>Cr. Investment</v>
          </cell>
          <cell r="H28" t="str">
            <v>Ach</v>
          </cell>
          <cell r="J28">
            <v>0</v>
          </cell>
          <cell r="K28">
            <v>0</v>
          </cell>
          <cell r="L28">
            <v>0</v>
          </cell>
        </row>
        <row r="29">
          <cell r="B29">
            <v>10300106</v>
          </cell>
          <cell r="C29" t="str">
            <v>Cr.</v>
          </cell>
          <cell r="E29" t="str">
            <v>Cr. Investment</v>
          </cell>
          <cell r="H29" t="str">
            <v>United</v>
          </cell>
          <cell r="J29">
            <v>0</v>
          </cell>
          <cell r="K29">
            <v>0</v>
          </cell>
          <cell r="L29">
            <v>0</v>
          </cell>
        </row>
        <row r="30">
          <cell r="B30">
            <v>10302007</v>
          </cell>
          <cell r="C30" t="str">
            <v>Dr.</v>
          </cell>
          <cell r="E30" t="str">
            <v>Cr. Payment under Investment</v>
          </cell>
          <cell r="H30" t="str">
            <v>Ach</v>
          </cell>
          <cell r="J30">
            <v>0</v>
          </cell>
          <cell r="K30">
            <v>0</v>
          </cell>
          <cell r="L30">
            <v>0</v>
          </cell>
        </row>
        <row r="31">
          <cell r="B31">
            <v>10302006</v>
          </cell>
          <cell r="C31" t="str">
            <v>Dr.</v>
          </cell>
          <cell r="E31" t="str">
            <v>Cr. Payment under Investment</v>
          </cell>
          <cell r="H31" t="str">
            <v>United</v>
          </cell>
          <cell r="J31">
            <v>5000000</v>
          </cell>
          <cell r="K31">
            <v>0</v>
          </cell>
          <cell r="L31">
            <v>5000000</v>
          </cell>
        </row>
        <row r="32">
          <cell r="B32">
            <v>39101000</v>
          </cell>
          <cell r="C32" t="str">
            <v>Dr.</v>
          </cell>
          <cell r="E32" t="str">
            <v>Cr. Minority interest</v>
          </cell>
          <cell r="G32" t="str">
            <v>Capital</v>
          </cell>
          <cell r="J32">
            <v>0</v>
          </cell>
          <cell r="K32">
            <v>0</v>
          </cell>
          <cell r="L32">
            <v>0</v>
          </cell>
        </row>
        <row r="33">
          <cell r="B33">
            <v>39201000</v>
          </cell>
          <cell r="C33" t="str">
            <v>Dr.</v>
          </cell>
          <cell r="E33" t="str">
            <v>Cr. Minority interest</v>
          </cell>
          <cell r="G33" t="str">
            <v>Reserves for capital increase</v>
          </cell>
          <cell r="J33">
            <v>0</v>
          </cell>
          <cell r="K33">
            <v>0</v>
          </cell>
          <cell r="L33">
            <v>0</v>
          </cell>
        </row>
        <row r="42">
          <cell r="B42">
            <v>39401000</v>
          </cell>
          <cell r="C42" t="str">
            <v>Dr.</v>
          </cell>
          <cell r="D42" t="str">
            <v>Dr. Minority Interest</v>
          </cell>
          <cell r="F42" t="str">
            <v>Retained earnings</v>
          </cell>
          <cell r="H42" t="str">
            <v>ACH</v>
          </cell>
          <cell r="J42">
            <v>0</v>
          </cell>
          <cell r="K42">
            <v>0</v>
          </cell>
          <cell r="L42">
            <v>0</v>
          </cell>
        </row>
        <row r="43">
          <cell r="B43">
            <v>39301000</v>
          </cell>
          <cell r="C43" t="str">
            <v>Cr.</v>
          </cell>
          <cell r="E43" t="str">
            <v>Dr. Minority interest</v>
          </cell>
          <cell r="G43" t="str">
            <v>Reserves</v>
          </cell>
          <cell r="H43" t="str">
            <v>ACH</v>
          </cell>
          <cell r="J43">
            <v>0</v>
          </cell>
          <cell r="K43">
            <v>0</v>
          </cell>
          <cell r="L43">
            <v>0</v>
          </cell>
        </row>
        <row r="47">
          <cell r="B47">
            <v>401</v>
          </cell>
          <cell r="C47" t="str">
            <v>Dr.</v>
          </cell>
          <cell r="D47" t="str">
            <v>Dr. Sales intercompany</v>
          </cell>
          <cell r="J47">
            <v>19919547.48</v>
          </cell>
          <cell r="K47">
            <v>0</v>
          </cell>
          <cell r="L47">
            <v>19919547.48</v>
          </cell>
        </row>
        <row r="48">
          <cell r="B48">
            <v>415</v>
          </cell>
          <cell r="C48" t="str">
            <v>Dr.</v>
          </cell>
          <cell r="D48" t="str">
            <v>Dr. Otheer operating Income - Asec Eng</v>
          </cell>
          <cell r="J48">
            <v>0</v>
          </cell>
          <cell r="K48">
            <v>0</v>
          </cell>
          <cell r="L48">
            <v>0</v>
          </cell>
        </row>
        <row r="49">
          <cell r="B49">
            <v>201</v>
          </cell>
          <cell r="C49" t="str">
            <v>Cr.</v>
          </cell>
          <cell r="E49" t="str">
            <v>Cr. COGS intercompany</v>
          </cell>
          <cell r="J49">
            <v>0</v>
          </cell>
          <cell r="K49">
            <v>-19919547.48</v>
          </cell>
          <cell r="L49">
            <v>-19919547.48</v>
          </cell>
        </row>
        <row r="50">
          <cell r="B50">
            <v>215</v>
          </cell>
          <cell r="C50" t="str">
            <v>Cr.</v>
          </cell>
          <cell r="E50" t="str">
            <v>Cr. Otheer operating Cost - Asec Eng</v>
          </cell>
          <cell r="J50">
            <v>0</v>
          </cell>
          <cell r="K50">
            <v>0</v>
          </cell>
          <cell r="L50">
            <v>0</v>
          </cell>
        </row>
        <row r="53">
          <cell r="B53">
            <v>402</v>
          </cell>
          <cell r="C53" t="str">
            <v>Dr.</v>
          </cell>
          <cell r="D53" t="str">
            <v>Dr. Sales intercompany</v>
          </cell>
          <cell r="J53">
            <v>0</v>
          </cell>
          <cell r="K53">
            <v>0</v>
          </cell>
          <cell r="L53">
            <v>0</v>
          </cell>
        </row>
        <row r="54">
          <cell r="B54">
            <v>201</v>
          </cell>
          <cell r="C54" t="str">
            <v>Cr.</v>
          </cell>
          <cell r="E54" t="str">
            <v>Cr. COGS</v>
          </cell>
          <cell r="J54">
            <v>0</v>
          </cell>
          <cell r="K54">
            <v>0</v>
          </cell>
          <cell r="L54">
            <v>0</v>
          </cell>
        </row>
        <row r="55">
          <cell r="B55">
            <v>10200100</v>
          </cell>
          <cell r="C55" t="str">
            <v>Cr.</v>
          </cell>
          <cell r="E55" t="str">
            <v>Cr. PUC</v>
          </cell>
          <cell r="J55">
            <v>0</v>
          </cell>
          <cell r="K55">
            <v>0</v>
          </cell>
          <cell r="L55">
            <v>0</v>
          </cell>
        </row>
        <row r="59">
          <cell r="B59">
            <v>401</v>
          </cell>
          <cell r="C59" t="str">
            <v>Dr.</v>
          </cell>
          <cell r="D59" t="str">
            <v>Dr. Dividends Income (P&amp;L)</v>
          </cell>
          <cell r="J59">
            <v>0</v>
          </cell>
          <cell r="K59">
            <v>0</v>
          </cell>
          <cell r="L59">
            <v>0</v>
          </cell>
        </row>
        <row r="60">
          <cell r="B60">
            <v>39401000</v>
          </cell>
          <cell r="C60" t="str">
            <v>Dr.</v>
          </cell>
          <cell r="D60" t="str">
            <v>Dr. Minority interest</v>
          </cell>
          <cell r="F60" t="str">
            <v>Retained earnings</v>
          </cell>
          <cell r="J60">
            <v>0</v>
          </cell>
          <cell r="K60">
            <v>0</v>
          </cell>
          <cell r="L60">
            <v>0</v>
          </cell>
        </row>
        <row r="61">
          <cell r="B61">
            <v>30401000</v>
          </cell>
          <cell r="C61" t="str">
            <v>Cr.</v>
          </cell>
          <cell r="E61" t="str">
            <v>Cr. Retained earnings subsidiaries</v>
          </cell>
          <cell r="J61">
            <v>0</v>
          </cell>
          <cell r="K61">
            <v>0</v>
          </cell>
          <cell r="L61">
            <v>0</v>
          </cell>
        </row>
        <row r="65">
          <cell r="B65">
            <v>210</v>
          </cell>
          <cell r="C65" t="str">
            <v>Dr.</v>
          </cell>
          <cell r="D65" t="str">
            <v>Dr. Depreciation</v>
          </cell>
          <cell r="F65" t="str">
            <v>COGS</v>
          </cell>
          <cell r="J65">
            <v>3565269.3509806683</v>
          </cell>
          <cell r="K65">
            <v>0</v>
          </cell>
          <cell r="L65">
            <v>3565269.3509806683</v>
          </cell>
        </row>
        <row r="66">
          <cell r="B66">
            <v>211</v>
          </cell>
          <cell r="C66" t="str">
            <v>Dr.</v>
          </cell>
          <cell r="D66" t="str">
            <v>Dr. Depreciation</v>
          </cell>
          <cell r="F66" t="str">
            <v>G&amp;A</v>
          </cell>
          <cell r="J66">
            <v>425128.37905135209</v>
          </cell>
          <cell r="K66">
            <v>0</v>
          </cell>
          <cell r="L66">
            <v>425128.37905135209</v>
          </cell>
        </row>
        <row r="67">
          <cell r="C67" t="str">
            <v>Dr.</v>
          </cell>
          <cell r="D67" t="str">
            <v>Dr. Minority interest</v>
          </cell>
          <cell r="F67" t="str">
            <v>B Sheet - N Income</v>
          </cell>
          <cell r="J67">
            <v>184360.22081725096</v>
          </cell>
          <cell r="K67">
            <v>0</v>
          </cell>
          <cell r="L67">
            <v>184360.22081725096</v>
          </cell>
        </row>
        <row r="68">
          <cell r="B68">
            <v>910</v>
          </cell>
          <cell r="C68" t="str">
            <v>Cr.</v>
          </cell>
          <cell r="E68" t="str">
            <v>Cr. Minority interest</v>
          </cell>
          <cell r="G68" t="str">
            <v>Current period net income</v>
          </cell>
          <cell r="J68">
            <v>0</v>
          </cell>
          <cell r="K68">
            <v>-184360.22081725096</v>
          </cell>
          <cell r="L68">
            <v>-184360.22081725096</v>
          </cell>
        </row>
        <row r="69">
          <cell r="B69">
            <v>20200100</v>
          </cell>
          <cell r="C69" t="str">
            <v>Cr.</v>
          </cell>
          <cell r="E69" t="str">
            <v>Cr F A Surplus Dep</v>
          </cell>
          <cell r="G69" t="str">
            <v>Land</v>
          </cell>
          <cell r="J69">
            <v>0</v>
          </cell>
          <cell r="K69">
            <v>0</v>
          </cell>
          <cell r="L69">
            <v>0</v>
          </cell>
        </row>
        <row r="70">
          <cell r="B70">
            <v>20200110</v>
          </cell>
          <cell r="C70" t="str">
            <v>Cr.</v>
          </cell>
          <cell r="E70" t="str">
            <v>Cr F A Surplus Dep</v>
          </cell>
          <cell r="G70" t="str">
            <v>Buildings and constructions</v>
          </cell>
          <cell r="J70">
            <v>0</v>
          </cell>
          <cell r="K70">
            <v>-175664.73100901794</v>
          </cell>
          <cell r="L70">
            <v>-175664.73100901794</v>
          </cell>
        </row>
        <row r="71">
          <cell r="B71">
            <v>20200120</v>
          </cell>
          <cell r="C71" t="str">
            <v>Cr.</v>
          </cell>
          <cell r="E71" t="str">
            <v>Cr F A Surplus Dep</v>
          </cell>
          <cell r="G71" t="str">
            <v>Machinery and equipment</v>
          </cell>
          <cell r="J71">
            <v>0</v>
          </cell>
          <cell r="K71">
            <v>-3182053.6262731822</v>
          </cell>
          <cell r="L71">
            <v>-3182053.6262731822</v>
          </cell>
        </row>
        <row r="72">
          <cell r="B72">
            <v>20200190</v>
          </cell>
          <cell r="C72" t="str">
            <v>Cr.</v>
          </cell>
          <cell r="E72" t="str">
            <v>Cr F A Surplus Dep</v>
          </cell>
          <cell r="G72" t="str">
            <v>Vehicles and Transportation means</v>
          </cell>
          <cell r="J72">
            <v>0</v>
          </cell>
          <cell r="K72">
            <v>-69263.06000925292</v>
          </cell>
          <cell r="L72">
            <v>-69263.06000925292</v>
          </cell>
        </row>
        <row r="73">
          <cell r="B73">
            <v>20200160</v>
          </cell>
          <cell r="C73" t="str">
            <v>Cr.</v>
          </cell>
          <cell r="E73" t="str">
            <v>Cr F A Surplus Dep</v>
          </cell>
          <cell r="G73" t="str">
            <v>Furniture and Office Equipments</v>
          </cell>
          <cell r="J73">
            <v>0</v>
          </cell>
          <cell r="K73">
            <v>-400288.69580389827</v>
          </cell>
          <cell r="L73">
            <v>-400288.69580389827</v>
          </cell>
        </row>
        <row r="74">
          <cell r="B74">
            <v>20200150</v>
          </cell>
          <cell r="C74" t="str">
            <v>Cr.</v>
          </cell>
          <cell r="E74" t="str">
            <v>Cr F A Surplus Dep</v>
          </cell>
          <cell r="G74" t="str">
            <v>Safty &amp; Equipments</v>
          </cell>
          <cell r="J74">
            <v>0</v>
          </cell>
          <cell r="K74">
            <v>-163127.61693666838</v>
          </cell>
          <cell r="L74">
            <v>-163127.61693666838</v>
          </cell>
        </row>
        <row r="78">
          <cell r="B78">
            <v>210</v>
          </cell>
          <cell r="C78" t="str">
            <v>Dr.</v>
          </cell>
          <cell r="D78" t="str">
            <v>Dr. Depreciation</v>
          </cell>
          <cell r="F78" t="str">
            <v>COGS</v>
          </cell>
          <cell r="J78">
            <v>-2613.4147885919715</v>
          </cell>
          <cell r="K78">
            <v>0</v>
          </cell>
          <cell r="L78">
            <v>-2613.4147885919715</v>
          </cell>
        </row>
        <row r="79">
          <cell r="B79">
            <v>211</v>
          </cell>
          <cell r="C79" t="str">
            <v>Dr.</v>
          </cell>
          <cell r="D79" t="str">
            <v>Dr. Depreciation</v>
          </cell>
          <cell r="F79" t="str">
            <v>G&amp;A</v>
          </cell>
          <cell r="J79">
            <v>-1768.4924971474079</v>
          </cell>
          <cell r="K79">
            <v>0</v>
          </cell>
          <cell r="L79">
            <v>-1768.4924971474079</v>
          </cell>
        </row>
        <row r="80">
          <cell r="C80" t="str">
            <v>Dr.</v>
          </cell>
          <cell r="D80" t="str">
            <v>Dr. Minority interest</v>
          </cell>
          <cell r="F80" t="str">
            <v>B Sheet - N Income</v>
          </cell>
          <cell r="J80">
            <v>490.63834203071906</v>
          </cell>
          <cell r="K80">
            <v>0</v>
          </cell>
          <cell r="L80">
            <v>490.63834203071906</v>
          </cell>
        </row>
        <row r="81">
          <cell r="B81">
            <v>20200100</v>
          </cell>
          <cell r="C81" t="str">
            <v>Dr.</v>
          </cell>
          <cell r="D81" t="str">
            <v>Dr. F A Surplus Dep</v>
          </cell>
          <cell r="F81" t="str">
            <v>Land</v>
          </cell>
          <cell r="J81">
            <v>0</v>
          </cell>
          <cell r="K81">
            <v>0</v>
          </cell>
          <cell r="L81">
            <v>0</v>
          </cell>
        </row>
        <row r="82">
          <cell r="B82">
            <v>20200110</v>
          </cell>
          <cell r="C82" t="str">
            <v>Dr.</v>
          </cell>
          <cell r="D82" t="str">
            <v>Dr. F A Surplus Dep</v>
          </cell>
          <cell r="F82" t="str">
            <v>Buildings and constructions</v>
          </cell>
          <cell r="J82">
            <v>0</v>
          </cell>
          <cell r="K82">
            <v>0</v>
          </cell>
          <cell r="L82">
            <v>0</v>
          </cell>
        </row>
        <row r="83">
          <cell r="B83">
            <v>20200120</v>
          </cell>
          <cell r="C83" t="str">
            <v>Dr.</v>
          </cell>
          <cell r="D83" t="str">
            <v>Dr. F A Surplus Dep</v>
          </cell>
          <cell r="F83" t="str">
            <v>Machinery and equipment</v>
          </cell>
          <cell r="J83">
            <v>0</v>
          </cell>
          <cell r="K83">
            <v>0</v>
          </cell>
          <cell r="L83">
            <v>0</v>
          </cell>
        </row>
        <row r="84">
          <cell r="B84">
            <v>20200190</v>
          </cell>
          <cell r="C84" t="str">
            <v>Dr.</v>
          </cell>
          <cell r="D84" t="str">
            <v>Dr. F A Surplus Dep</v>
          </cell>
          <cell r="F84" t="str">
            <v>Vehicles and Transportation means</v>
          </cell>
          <cell r="J84">
            <v>-22002.422198291879</v>
          </cell>
          <cell r="K84">
            <v>0</v>
          </cell>
          <cell r="L84">
            <v>-22002.422198291879</v>
          </cell>
        </row>
        <row r="85">
          <cell r="B85">
            <v>20200160</v>
          </cell>
          <cell r="C85" t="str">
            <v>Dr.</v>
          </cell>
          <cell r="D85" t="str">
            <v>Dr. F A Surplus Dep</v>
          </cell>
          <cell r="F85" t="str">
            <v>Furniture and Office Equipments</v>
          </cell>
          <cell r="J85">
            <v>5351.174512482231</v>
          </cell>
          <cell r="K85">
            <v>0</v>
          </cell>
          <cell r="L85">
            <v>5351.174512482231</v>
          </cell>
        </row>
        <row r="86">
          <cell r="B86">
            <v>20200150</v>
          </cell>
          <cell r="C86" t="str">
            <v>Dr.</v>
          </cell>
          <cell r="D86" t="str">
            <v>Dr. F A Surplus Dep</v>
          </cell>
          <cell r="F86" t="str">
            <v>Safty &amp; Equipments</v>
          </cell>
          <cell r="J86">
            <v>0</v>
          </cell>
          <cell r="K86">
            <v>0</v>
          </cell>
          <cell r="L86">
            <v>0</v>
          </cell>
        </row>
        <row r="87">
          <cell r="B87">
            <v>10100100</v>
          </cell>
          <cell r="C87" t="str">
            <v>Cr.</v>
          </cell>
          <cell r="E87" t="str">
            <v>Cr F A Surplus</v>
          </cell>
          <cell r="G87" t="str">
            <v>Land</v>
          </cell>
          <cell r="J87">
            <v>0</v>
          </cell>
          <cell r="K87">
            <v>0</v>
          </cell>
          <cell r="L87">
            <v>0</v>
          </cell>
        </row>
        <row r="88">
          <cell r="B88">
            <v>10100110</v>
          </cell>
          <cell r="C88" t="str">
            <v>Cr.</v>
          </cell>
          <cell r="E88" t="str">
            <v>Cr F A Surplus</v>
          </cell>
          <cell r="G88" t="str">
            <v>Buildings and constructions</v>
          </cell>
          <cell r="J88">
            <v>0</v>
          </cell>
          <cell r="K88">
            <v>0</v>
          </cell>
          <cell r="L88">
            <v>0</v>
          </cell>
        </row>
        <row r="89">
          <cell r="B89">
            <v>10100120</v>
          </cell>
          <cell r="C89" t="str">
            <v>Cr.</v>
          </cell>
          <cell r="E89" t="str">
            <v>Cr F A Surplus</v>
          </cell>
          <cell r="G89" t="str">
            <v>Machinery and equipment</v>
          </cell>
          <cell r="J89">
            <v>0</v>
          </cell>
          <cell r="K89">
            <v>0</v>
          </cell>
          <cell r="L89">
            <v>0</v>
          </cell>
        </row>
        <row r="90">
          <cell r="B90">
            <v>10100190</v>
          </cell>
          <cell r="C90" t="str">
            <v>Cr.</v>
          </cell>
          <cell r="E90" t="str">
            <v>Cr F A Surplus</v>
          </cell>
          <cell r="G90" t="str">
            <v>Vehicles and Transportation means</v>
          </cell>
          <cell r="J90">
            <v>0</v>
          </cell>
          <cell r="K90">
            <v>27792.533303105531</v>
          </cell>
          <cell r="L90">
            <v>27792.533303105531</v>
          </cell>
        </row>
        <row r="91">
          <cell r="B91">
            <v>10100160</v>
          </cell>
          <cell r="C91" t="str">
            <v>Cr.</v>
          </cell>
          <cell r="E91" t="str">
            <v>Cr F A Surplus</v>
          </cell>
          <cell r="G91" t="str">
            <v>Furniture and Office Equipments</v>
          </cell>
          <cell r="J91">
            <v>0</v>
          </cell>
          <cell r="K91">
            <v>-6759.3783315565033</v>
          </cell>
          <cell r="L91">
            <v>-6759.3783315565033</v>
          </cell>
        </row>
        <row r="92">
          <cell r="B92">
            <v>10100150</v>
          </cell>
          <cell r="C92" t="str">
            <v>Cr.</v>
          </cell>
          <cell r="E92" t="str">
            <v>Cr F A Surplus</v>
          </cell>
          <cell r="G92" t="str">
            <v>Safty &amp; Equipments</v>
          </cell>
          <cell r="J92">
            <v>0</v>
          </cell>
          <cell r="K92">
            <v>0</v>
          </cell>
          <cell r="L92">
            <v>0</v>
          </cell>
        </row>
        <row r="93">
          <cell r="B93">
            <v>910</v>
          </cell>
          <cell r="C93" t="str">
            <v>Cr.</v>
          </cell>
          <cell r="E93" t="str">
            <v>Cr. Minority interest</v>
          </cell>
          <cell r="G93" t="str">
            <v>Current period net income</v>
          </cell>
          <cell r="J93">
            <v>0</v>
          </cell>
          <cell r="K93">
            <v>-490.63834203071906</v>
          </cell>
          <cell r="L93">
            <v>-490.63834203071906</v>
          </cell>
        </row>
        <row r="94">
          <cell r="J94">
            <v>0</v>
          </cell>
          <cell r="K94">
            <v>0</v>
          </cell>
          <cell r="L94">
            <v>0</v>
          </cell>
        </row>
        <row r="98">
          <cell r="B98">
            <v>30401000</v>
          </cell>
          <cell r="C98" t="str">
            <v>Dr.</v>
          </cell>
          <cell r="D98" t="str">
            <v>Dr. Retained earnings</v>
          </cell>
          <cell r="J98">
            <v>0</v>
          </cell>
          <cell r="L98">
            <v>0</v>
          </cell>
        </row>
        <row r="99">
          <cell r="B99">
            <v>39401000</v>
          </cell>
          <cell r="C99" t="str">
            <v>Dr.</v>
          </cell>
          <cell r="D99" t="str">
            <v>Dr. Minority interest</v>
          </cell>
          <cell r="F99" t="str">
            <v>RE</v>
          </cell>
          <cell r="J99">
            <v>0</v>
          </cell>
          <cell r="K99">
            <v>0</v>
          </cell>
          <cell r="L99">
            <v>0</v>
          </cell>
        </row>
        <row r="100">
          <cell r="B100">
            <v>20200100</v>
          </cell>
          <cell r="C100" t="str">
            <v>Dr.</v>
          </cell>
          <cell r="D100" t="str">
            <v>Dr. F A Surplus Dep</v>
          </cell>
          <cell r="F100" t="str">
            <v>Land</v>
          </cell>
          <cell r="J100">
            <v>0</v>
          </cell>
          <cell r="K100">
            <v>0</v>
          </cell>
          <cell r="L100">
            <v>0</v>
          </cell>
        </row>
        <row r="101">
          <cell r="B101">
            <v>20200110</v>
          </cell>
          <cell r="C101" t="str">
            <v>Dr.</v>
          </cell>
          <cell r="D101" t="str">
            <v>Dr. F A Surplus Dep</v>
          </cell>
          <cell r="F101" t="str">
            <v>Buildings and constructions</v>
          </cell>
          <cell r="J101">
            <v>0</v>
          </cell>
          <cell r="K101">
            <v>0</v>
          </cell>
          <cell r="L101">
            <v>0</v>
          </cell>
        </row>
        <row r="102">
          <cell r="B102">
            <v>20200120</v>
          </cell>
          <cell r="C102" t="str">
            <v>Dr.</v>
          </cell>
          <cell r="D102" t="str">
            <v>Dr. F A Surplus Dep</v>
          </cell>
          <cell r="F102" t="str">
            <v>Machinery and equipment</v>
          </cell>
          <cell r="J102">
            <v>0</v>
          </cell>
          <cell r="K102">
            <v>0</v>
          </cell>
          <cell r="L102">
            <v>0</v>
          </cell>
        </row>
        <row r="103">
          <cell r="B103">
            <v>20200190</v>
          </cell>
          <cell r="C103" t="str">
            <v>Dr.</v>
          </cell>
          <cell r="D103" t="str">
            <v>Dr. F A Surplus Dep</v>
          </cell>
          <cell r="F103" t="str">
            <v>Vehicles and Transportation means</v>
          </cell>
          <cell r="J103">
            <v>0</v>
          </cell>
          <cell r="K103">
            <v>0</v>
          </cell>
          <cell r="L103">
            <v>0</v>
          </cell>
        </row>
        <row r="104">
          <cell r="B104">
            <v>20200160</v>
          </cell>
          <cell r="C104" t="str">
            <v>Dr.</v>
          </cell>
          <cell r="D104" t="str">
            <v>Dr. F A Surplus Dep</v>
          </cell>
          <cell r="F104" t="str">
            <v>Furniture and Office Equipments</v>
          </cell>
          <cell r="J104">
            <v>0</v>
          </cell>
          <cell r="K104">
            <v>0</v>
          </cell>
          <cell r="L104">
            <v>0</v>
          </cell>
        </row>
        <row r="105">
          <cell r="B105">
            <v>20200150</v>
          </cell>
          <cell r="C105" t="str">
            <v>Dr.</v>
          </cell>
          <cell r="D105" t="str">
            <v>Dr. F A Surplus Dep</v>
          </cell>
          <cell r="F105" t="str">
            <v>Safty &amp; Equipments</v>
          </cell>
          <cell r="J105">
            <v>0</v>
          </cell>
          <cell r="K105">
            <v>0</v>
          </cell>
          <cell r="L105">
            <v>0</v>
          </cell>
        </row>
        <row r="106">
          <cell r="B106">
            <v>10100100</v>
          </cell>
          <cell r="C106" t="str">
            <v>Cr.</v>
          </cell>
          <cell r="E106" t="str">
            <v>Cr F A Surplus</v>
          </cell>
          <cell r="G106" t="str">
            <v>Land</v>
          </cell>
          <cell r="J106">
            <v>0</v>
          </cell>
          <cell r="K106">
            <v>0</v>
          </cell>
          <cell r="L106">
            <v>0</v>
          </cell>
        </row>
        <row r="107">
          <cell r="B107">
            <v>10100110</v>
          </cell>
          <cell r="C107" t="str">
            <v>Cr.</v>
          </cell>
          <cell r="E107" t="str">
            <v>Cr F A Surplus</v>
          </cell>
          <cell r="G107" t="str">
            <v>Buildings and constructions</v>
          </cell>
          <cell r="J107">
            <v>0</v>
          </cell>
          <cell r="K107">
            <v>0</v>
          </cell>
          <cell r="L107">
            <v>0</v>
          </cell>
        </row>
        <row r="108">
          <cell r="B108">
            <v>10100120</v>
          </cell>
          <cell r="C108" t="str">
            <v>Cr.</v>
          </cell>
          <cell r="E108" t="str">
            <v>Cr F A Surplus</v>
          </cell>
          <cell r="G108" t="str">
            <v>Machinery and equipment</v>
          </cell>
          <cell r="J108">
            <v>0</v>
          </cell>
          <cell r="K108">
            <v>0</v>
          </cell>
          <cell r="L108">
            <v>0</v>
          </cell>
        </row>
        <row r="109">
          <cell r="B109">
            <v>10100190</v>
          </cell>
          <cell r="C109" t="str">
            <v>Cr.</v>
          </cell>
          <cell r="E109" t="str">
            <v>Cr F A Surplus</v>
          </cell>
          <cell r="G109" t="str">
            <v>Vehicles and Transportation means</v>
          </cell>
          <cell r="J109">
            <v>0</v>
          </cell>
          <cell r="K109">
            <v>0</v>
          </cell>
          <cell r="L109">
            <v>0</v>
          </cell>
        </row>
        <row r="110">
          <cell r="B110">
            <v>10100160</v>
          </cell>
          <cell r="C110" t="str">
            <v>Cr.</v>
          </cell>
          <cell r="E110" t="str">
            <v>Cr F A Surplus</v>
          </cell>
          <cell r="G110" t="str">
            <v>Furniture and Office Equipments</v>
          </cell>
          <cell r="J110">
            <v>0</v>
          </cell>
          <cell r="K110">
            <v>0</v>
          </cell>
          <cell r="L110">
            <v>0</v>
          </cell>
        </row>
        <row r="111">
          <cell r="B111">
            <v>10100150</v>
          </cell>
          <cell r="C111" t="str">
            <v>Cr.</v>
          </cell>
          <cell r="E111" t="str">
            <v>Cr F A Surplus</v>
          </cell>
          <cell r="G111" t="str">
            <v>Safty &amp; Equipments</v>
          </cell>
          <cell r="J111">
            <v>0</v>
          </cell>
          <cell r="K111">
            <v>0</v>
          </cell>
          <cell r="L111">
            <v>0</v>
          </cell>
        </row>
        <row r="115">
          <cell r="B115">
            <v>910</v>
          </cell>
          <cell r="C115" t="str">
            <v>Dr.</v>
          </cell>
          <cell r="D115" t="str">
            <v>Dr. Minority interest income S</v>
          </cell>
          <cell r="J115">
            <v>2484740.7185544837</v>
          </cell>
          <cell r="K115">
            <v>0</v>
          </cell>
          <cell r="L115">
            <v>2484740.7185544837</v>
          </cell>
        </row>
        <row r="116">
          <cell r="C116" t="str">
            <v>Cr.</v>
          </cell>
          <cell r="E116" t="str">
            <v>Cr. Minority interest interest B Sheet</v>
          </cell>
          <cell r="J116">
            <v>0</v>
          </cell>
          <cell r="K116">
            <v>-2484740.7185544837</v>
          </cell>
          <cell r="L116">
            <v>-2484740.7185544837</v>
          </cell>
        </row>
        <row r="132">
          <cell r="B132">
            <v>30401000</v>
          </cell>
          <cell r="C132" t="str">
            <v>Dr.</v>
          </cell>
          <cell r="D132" t="str">
            <v>Dr. Retained earnings</v>
          </cell>
          <cell r="J132">
            <v>0</v>
          </cell>
          <cell r="K132">
            <v>0</v>
          </cell>
          <cell r="L132">
            <v>0</v>
          </cell>
        </row>
        <row r="133">
          <cell r="B133">
            <v>39401000</v>
          </cell>
          <cell r="C133" t="str">
            <v>Cr.</v>
          </cell>
          <cell r="E133" t="str">
            <v>Cr. Minority interest</v>
          </cell>
          <cell r="G133" t="str">
            <v>Retained earnings</v>
          </cell>
          <cell r="J133">
            <v>0</v>
          </cell>
          <cell r="K133">
            <v>0</v>
          </cell>
          <cell r="L133">
            <v>0</v>
          </cell>
        </row>
        <row r="136">
          <cell r="B136">
            <v>10302004</v>
          </cell>
          <cell r="C136" t="str">
            <v>Dr.</v>
          </cell>
          <cell r="D136" t="str">
            <v>Dr. Payment Under investment</v>
          </cell>
          <cell r="G136" t="str">
            <v>asa</v>
          </cell>
          <cell r="J136">
            <v>0</v>
          </cell>
          <cell r="K136">
            <v>0</v>
          </cell>
          <cell r="L136">
            <v>0</v>
          </cell>
        </row>
        <row r="137">
          <cell r="B137">
            <v>10302002</v>
          </cell>
          <cell r="C137" t="str">
            <v>Dr.</v>
          </cell>
          <cell r="D137" t="str">
            <v>Dr. Payment Under investment</v>
          </cell>
          <cell r="G137" t="str">
            <v>aresco</v>
          </cell>
          <cell r="J137">
            <v>0</v>
          </cell>
          <cell r="K137">
            <v>0</v>
          </cell>
          <cell r="L137">
            <v>0</v>
          </cell>
        </row>
        <row r="138">
          <cell r="B138">
            <v>10300104</v>
          </cell>
          <cell r="C138" t="str">
            <v>Cr.</v>
          </cell>
          <cell r="E138" t="str">
            <v>Cr. Investment - ASA</v>
          </cell>
          <cell r="J138">
            <v>0</v>
          </cell>
          <cell r="K138">
            <v>0</v>
          </cell>
          <cell r="L138">
            <v>0</v>
          </cell>
        </row>
        <row r="139">
          <cell r="B139">
            <v>30201000</v>
          </cell>
          <cell r="C139" t="str">
            <v>Cr.</v>
          </cell>
          <cell r="E139" t="str">
            <v>Cr. Reserves for capital increase - Aresco</v>
          </cell>
          <cell r="J139">
            <v>0</v>
          </cell>
          <cell r="K139">
            <v>0</v>
          </cell>
          <cell r="L139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C144">
            <v>0</v>
          </cell>
          <cell r="E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B145">
            <v>0</v>
          </cell>
          <cell r="C145">
            <v>0</v>
          </cell>
          <cell r="E145">
            <v>0</v>
          </cell>
          <cell r="J145">
            <v>0</v>
          </cell>
          <cell r="K145">
            <v>0</v>
          </cell>
          <cell r="L145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F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B151">
            <v>10300107</v>
          </cell>
          <cell r="C151" t="str">
            <v>Dr.</v>
          </cell>
          <cell r="D151" t="str">
            <v xml:space="preserve"> Investment</v>
          </cell>
          <cell r="F151">
            <v>0</v>
          </cell>
          <cell r="G151" t="str">
            <v>Ach</v>
          </cell>
          <cell r="J151">
            <v>695720205</v>
          </cell>
          <cell r="K151">
            <v>0</v>
          </cell>
          <cell r="L151">
            <v>695720205</v>
          </cell>
        </row>
        <row r="152">
          <cell r="B152">
            <v>10302007</v>
          </cell>
          <cell r="C152" t="str">
            <v>Dr.</v>
          </cell>
          <cell r="D152" t="str">
            <v xml:space="preserve"> Payment under Investment</v>
          </cell>
          <cell r="G152" t="str">
            <v>Ach</v>
          </cell>
          <cell r="J152">
            <v>231906735</v>
          </cell>
          <cell r="K152">
            <v>0</v>
          </cell>
          <cell r="L152">
            <v>231906735</v>
          </cell>
        </row>
        <row r="153">
          <cell r="B153">
            <v>39101000</v>
          </cell>
          <cell r="C153" t="str">
            <v>Dr.</v>
          </cell>
          <cell r="D153" t="str">
            <v xml:space="preserve"> Minority interest</v>
          </cell>
          <cell r="E153">
            <v>0</v>
          </cell>
          <cell r="F153" t="str">
            <v>Capital</v>
          </cell>
          <cell r="G153">
            <v>0</v>
          </cell>
          <cell r="J153">
            <v>668437950</v>
          </cell>
          <cell r="K153">
            <v>0</v>
          </cell>
          <cell r="L153">
            <v>668437950</v>
          </cell>
        </row>
        <row r="154">
          <cell r="B154">
            <v>39201000</v>
          </cell>
          <cell r="C154" t="str">
            <v>Dr.</v>
          </cell>
          <cell r="D154" t="str">
            <v xml:space="preserve"> Minority interest</v>
          </cell>
          <cell r="E154">
            <v>0</v>
          </cell>
          <cell r="F154" t="str">
            <v>Reserves for capital increase</v>
          </cell>
          <cell r="G154">
            <v>0</v>
          </cell>
          <cell r="J154">
            <v>222812650</v>
          </cell>
          <cell r="K154">
            <v>0</v>
          </cell>
          <cell r="L154">
            <v>222812650</v>
          </cell>
        </row>
        <row r="155">
          <cell r="B155">
            <v>30101000</v>
          </cell>
          <cell r="C155" t="str">
            <v>Cr.</v>
          </cell>
          <cell r="E155" t="str">
            <v xml:space="preserve"> Capital</v>
          </cell>
          <cell r="G155">
            <v>0</v>
          </cell>
          <cell r="J155">
            <v>0</v>
          </cell>
          <cell r="K155">
            <v>-1364158155</v>
          </cell>
          <cell r="L155">
            <v>-1364158155</v>
          </cell>
        </row>
        <row r="156">
          <cell r="B156">
            <v>30201000</v>
          </cell>
          <cell r="C156" t="str">
            <v>Cr.</v>
          </cell>
          <cell r="E156" t="str">
            <v xml:space="preserve"> Payment under capital increase</v>
          </cell>
          <cell r="G156">
            <v>0</v>
          </cell>
          <cell r="J156">
            <v>0</v>
          </cell>
          <cell r="K156">
            <v>-454719385</v>
          </cell>
          <cell r="L156">
            <v>-454719385</v>
          </cell>
        </row>
        <row r="157">
          <cell r="B157">
            <v>0</v>
          </cell>
          <cell r="C157">
            <v>0</v>
          </cell>
          <cell r="E157">
            <v>0</v>
          </cell>
          <cell r="G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>
            <v>0</v>
          </cell>
          <cell r="C158">
            <v>0</v>
          </cell>
          <cell r="E158">
            <v>0</v>
          </cell>
          <cell r="G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>
            <v>0</v>
          </cell>
          <cell r="C159">
            <v>0</v>
          </cell>
          <cell r="E159">
            <v>0</v>
          </cell>
          <cell r="J159">
            <v>1818877540</v>
          </cell>
          <cell r="K159">
            <v>-1818877540</v>
          </cell>
          <cell r="L159">
            <v>0</v>
          </cell>
        </row>
        <row r="160">
          <cell r="B160">
            <v>0</v>
          </cell>
          <cell r="C160" t="str">
            <v xml:space="preserve">Reversal 2006 - 2007 Minority interes in Net Profit elmination entry </v>
          </cell>
          <cell r="E160">
            <v>0</v>
          </cell>
          <cell r="J160">
            <v>0</v>
          </cell>
          <cell r="K160">
            <v>0</v>
          </cell>
          <cell r="L160">
            <v>0</v>
          </cell>
        </row>
        <row r="163">
          <cell r="B163">
            <v>0</v>
          </cell>
          <cell r="C163">
            <v>0</v>
          </cell>
          <cell r="D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>
            <v>0</v>
          </cell>
          <cell r="C164">
            <v>0</v>
          </cell>
          <cell r="E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B165">
            <v>0</v>
          </cell>
          <cell r="C165">
            <v>0</v>
          </cell>
          <cell r="E165">
            <v>0</v>
          </cell>
          <cell r="G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B166">
            <v>0</v>
          </cell>
          <cell r="C166">
            <v>0</v>
          </cell>
          <cell r="E166">
            <v>0</v>
          </cell>
          <cell r="G166">
            <v>0</v>
          </cell>
          <cell r="J166">
            <v>11764025.343122082</v>
          </cell>
          <cell r="K166">
            <v>-11764025.343122082</v>
          </cell>
          <cell r="L166">
            <v>0</v>
          </cell>
        </row>
        <row r="167">
          <cell r="B167">
            <v>0</v>
          </cell>
          <cell r="C167" t="str">
            <v>Record 2006 ACH investment income under the equity method ( 51% of net income less movement in RE)</v>
          </cell>
          <cell r="E167">
            <v>0</v>
          </cell>
          <cell r="G167">
            <v>0</v>
          </cell>
          <cell r="J167">
            <v>0</v>
          </cell>
          <cell r="K167">
            <v>0</v>
          </cell>
          <cell r="L167">
            <v>0</v>
          </cell>
        </row>
        <row r="170">
          <cell r="B170">
            <v>0</v>
          </cell>
          <cell r="C170">
            <v>0</v>
          </cell>
          <cell r="D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B171">
            <v>0</v>
          </cell>
          <cell r="C171">
            <v>0</v>
          </cell>
          <cell r="E171">
            <v>0</v>
          </cell>
          <cell r="J171">
            <v>12244173.334775636</v>
          </cell>
          <cell r="K171">
            <v>-12244173.334775636</v>
          </cell>
          <cell r="L171">
            <v>0</v>
          </cell>
        </row>
        <row r="174">
          <cell r="B174">
            <v>30301000</v>
          </cell>
          <cell r="C174" t="str">
            <v>Cr.</v>
          </cell>
          <cell r="D174" t="str">
            <v>Owners Equity</v>
          </cell>
          <cell r="F174" t="str">
            <v>Reserves</v>
          </cell>
          <cell r="J174">
            <v>0</v>
          </cell>
          <cell r="K174">
            <v>-290353</v>
          </cell>
          <cell r="L174">
            <v>-290353</v>
          </cell>
        </row>
        <row r="175">
          <cell r="B175">
            <v>39301000</v>
          </cell>
          <cell r="C175" t="str">
            <v>Dr.</v>
          </cell>
          <cell r="D175" t="str">
            <v>Minority Interest</v>
          </cell>
          <cell r="E175">
            <v>0</v>
          </cell>
          <cell r="F175" t="str">
            <v>Reserves</v>
          </cell>
          <cell r="J175">
            <v>142273.06664185869</v>
          </cell>
          <cell r="K175">
            <v>0</v>
          </cell>
          <cell r="L175">
            <v>142273.06664185869</v>
          </cell>
        </row>
        <row r="178">
          <cell r="B178">
            <v>0</v>
          </cell>
          <cell r="C178">
            <v>0</v>
          </cell>
          <cell r="D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>
            <v>10200100</v>
          </cell>
          <cell r="C179" t="str">
            <v>Dr.</v>
          </cell>
          <cell r="D179" t="str">
            <v>PUC Ach</v>
          </cell>
          <cell r="E179">
            <v>0</v>
          </cell>
          <cell r="J179">
            <v>8170545</v>
          </cell>
          <cell r="K179">
            <v>0</v>
          </cell>
          <cell r="L179">
            <v>8170545</v>
          </cell>
        </row>
        <row r="182">
          <cell r="B182">
            <v>0</v>
          </cell>
          <cell r="C182">
            <v>0</v>
          </cell>
          <cell r="D182">
            <v>0</v>
          </cell>
          <cell r="F182">
            <v>0</v>
          </cell>
          <cell r="J182">
            <v>8170545</v>
          </cell>
          <cell r="K182">
            <v>-8170545</v>
          </cell>
          <cell r="L182">
            <v>0</v>
          </cell>
        </row>
        <row r="183">
          <cell r="B183">
            <v>0</v>
          </cell>
          <cell r="C183" t="str">
            <v>Free Entry</v>
          </cell>
          <cell r="D183">
            <v>0</v>
          </cell>
          <cell r="F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>
            <v>0</v>
          </cell>
          <cell r="C184">
            <v>0</v>
          </cell>
          <cell r="D184">
            <v>0</v>
          </cell>
          <cell r="F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>
            <v>0</v>
          </cell>
          <cell r="C185">
            <v>0</v>
          </cell>
          <cell r="D185">
            <v>0</v>
          </cell>
          <cell r="F185">
            <v>0</v>
          </cell>
          <cell r="J185">
            <v>0</v>
          </cell>
          <cell r="K185">
            <v>0</v>
          </cell>
          <cell r="L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F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>
            <v>0</v>
          </cell>
          <cell r="C187">
            <v>0</v>
          </cell>
          <cell r="D187">
            <v>0</v>
          </cell>
          <cell r="F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>
            <v>0</v>
          </cell>
          <cell r="C188">
            <v>0</v>
          </cell>
          <cell r="E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>
            <v>0</v>
          </cell>
          <cell r="C189">
            <v>0</v>
          </cell>
          <cell r="E189">
            <v>0</v>
          </cell>
          <cell r="J189">
            <v>0</v>
          </cell>
          <cell r="K189">
            <v>0</v>
          </cell>
          <cell r="L189">
            <v>0</v>
          </cell>
        </row>
        <row r="192">
          <cell r="B192">
            <v>0</v>
          </cell>
          <cell r="C192">
            <v>0</v>
          </cell>
          <cell r="D192">
            <v>0</v>
          </cell>
          <cell r="F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B193">
            <v>0</v>
          </cell>
          <cell r="C193" t="str">
            <v>Free Entry</v>
          </cell>
          <cell r="D193">
            <v>0</v>
          </cell>
          <cell r="F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F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>
            <v>0</v>
          </cell>
          <cell r="C195">
            <v>0</v>
          </cell>
          <cell r="D195">
            <v>0</v>
          </cell>
          <cell r="F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F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F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B198">
            <v>0</v>
          </cell>
          <cell r="C198">
            <v>0</v>
          </cell>
          <cell r="E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B199">
            <v>0</v>
          </cell>
          <cell r="C199">
            <v>0</v>
          </cell>
          <cell r="E199">
            <v>0</v>
          </cell>
          <cell r="J199">
            <v>0</v>
          </cell>
          <cell r="K199">
            <v>0</v>
          </cell>
          <cell r="L199">
            <v>0</v>
          </cell>
        </row>
        <row r="202">
          <cell r="B202">
            <v>0</v>
          </cell>
          <cell r="C202">
            <v>0</v>
          </cell>
          <cell r="D202">
            <v>0</v>
          </cell>
          <cell r="J202">
            <v>0</v>
          </cell>
          <cell r="K202">
            <v>0</v>
          </cell>
          <cell r="L202">
            <v>0</v>
          </cell>
        </row>
        <row r="203">
          <cell r="B203">
            <v>0</v>
          </cell>
          <cell r="C203" t="str">
            <v>Minority interest portion in 2007 ditrupution to BOD not recorded in 2007 F S</v>
          </cell>
          <cell r="E203">
            <v>0</v>
          </cell>
          <cell r="J203">
            <v>0</v>
          </cell>
          <cell r="K203">
            <v>0</v>
          </cell>
          <cell r="L203">
            <v>0</v>
          </cell>
        </row>
        <row r="204">
          <cell r="B204">
            <v>30401000</v>
          </cell>
          <cell r="C204" t="str">
            <v>Dr.</v>
          </cell>
          <cell r="D204" t="str">
            <v>Dr Re</v>
          </cell>
          <cell r="J204">
            <v>111385</v>
          </cell>
          <cell r="K204">
            <v>0</v>
          </cell>
          <cell r="L204">
            <v>111385</v>
          </cell>
        </row>
        <row r="205">
          <cell r="B205">
            <v>39401000</v>
          </cell>
          <cell r="C205" t="str">
            <v>Cr.</v>
          </cell>
          <cell r="E205" t="str">
            <v>Cr. Minority interest RE</v>
          </cell>
          <cell r="J205">
            <v>0</v>
          </cell>
          <cell r="K205">
            <v>-111385</v>
          </cell>
          <cell r="L205">
            <v>-111385</v>
          </cell>
        </row>
        <row r="206">
          <cell r="C206">
            <v>0</v>
          </cell>
          <cell r="J206">
            <v>0</v>
          </cell>
          <cell r="K206">
            <v>0</v>
          </cell>
          <cell r="L206">
            <v>0</v>
          </cell>
        </row>
        <row r="207">
          <cell r="C207">
            <v>0</v>
          </cell>
          <cell r="J207">
            <v>0</v>
          </cell>
          <cell r="K207">
            <v>0</v>
          </cell>
          <cell r="L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</row>
        <row r="212">
          <cell r="J212">
            <v>111385</v>
          </cell>
          <cell r="K212">
            <v>-111385</v>
          </cell>
          <cell r="L212">
            <v>0</v>
          </cell>
        </row>
        <row r="213">
          <cell r="C213" t="str">
            <v>Free Entry</v>
          </cell>
          <cell r="J213">
            <v>0</v>
          </cell>
          <cell r="K213">
            <v>0</v>
          </cell>
          <cell r="L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</row>
        <row r="223">
          <cell r="C223" t="str">
            <v>Free Entry</v>
          </cell>
          <cell r="J223">
            <v>0</v>
          </cell>
          <cell r="K223">
            <v>0</v>
          </cell>
          <cell r="L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</row>
        <row r="233">
          <cell r="C233" t="str">
            <v>Free Entry</v>
          </cell>
          <cell r="J233">
            <v>0</v>
          </cell>
          <cell r="K233">
            <v>0</v>
          </cell>
          <cell r="L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</row>
        <row r="243">
          <cell r="C243" t="str">
            <v>Free Entry</v>
          </cell>
          <cell r="J243">
            <v>0</v>
          </cell>
          <cell r="K243">
            <v>0</v>
          </cell>
          <cell r="L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</row>
        <row r="253">
          <cell r="C253" t="str">
            <v>Free Entry</v>
          </cell>
          <cell r="J253">
            <v>0</v>
          </cell>
          <cell r="K253">
            <v>0</v>
          </cell>
          <cell r="L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</row>
        <row r="277">
          <cell r="B277">
            <v>0</v>
          </cell>
          <cell r="D277">
            <v>0</v>
          </cell>
          <cell r="J277">
            <v>0</v>
          </cell>
          <cell r="L277">
            <v>0</v>
          </cell>
        </row>
        <row r="278">
          <cell r="B278">
            <v>0</v>
          </cell>
          <cell r="C278" t="str">
            <v>e. Record Inter Cpmpany (ACH-ARESCO ) Advanced Payments balance</v>
          </cell>
          <cell r="D278">
            <v>0</v>
          </cell>
          <cell r="J278">
            <v>0</v>
          </cell>
          <cell r="L278">
            <v>0</v>
          </cell>
        </row>
        <row r="279">
          <cell r="B279">
            <v>20800100</v>
          </cell>
          <cell r="D279" t="str">
            <v>Dr. Advances from customers</v>
          </cell>
          <cell r="E279">
            <v>0</v>
          </cell>
          <cell r="J279">
            <v>0</v>
          </cell>
          <cell r="K279">
            <v>0</v>
          </cell>
          <cell r="L279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</row>
        <row r="283">
          <cell r="C283" t="str">
            <v>Free Entry</v>
          </cell>
          <cell r="J283">
            <v>0</v>
          </cell>
          <cell r="K283">
            <v>0</v>
          </cell>
          <cell r="L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</row>
        <row r="293">
          <cell r="C293" t="str">
            <v>Free Entry</v>
          </cell>
          <cell r="J293">
            <v>0</v>
          </cell>
          <cell r="K293">
            <v>0</v>
          </cell>
          <cell r="L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</row>
        <row r="303">
          <cell r="C303" t="str">
            <v>Free Entry</v>
          </cell>
          <cell r="J303">
            <v>0</v>
          </cell>
          <cell r="K303">
            <v>0</v>
          </cell>
          <cell r="L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Chk_File"/>
      <sheetName val="Data"/>
      <sheetName val="elimination entries"/>
      <sheetName val="BS LD"/>
      <sheetName val="IS"/>
      <sheetName val="Fixed assets"/>
      <sheetName val="FA Surplus"/>
      <sheetName val="Imperment"/>
      <sheetName val="Provisions"/>
      <sheetName val="RP Balance"/>
      <sheetName val="Fixed assets R F"/>
      <sheetName val="Equity"/>
      <sheetName val="Magority Interest"/>
      <sheetName val="Minority Interest"/>
      <sheetName val="EE at date of acq."/>
      <sheetName val="Inv. since date of acqusition"/>
      <sheetName val="Sigments"/>
      <sheetName val="Balance Sheet"/>
      <sheetName val="Income Statement"/>
      <sheetName val="Shareholders' Equit"/>
      <sheetName val="Cash flow"/>
      <sheetName val="CITADAL"/>
    </sheetNames>
    <sheetDataSet>
      <sheetData sheetId="0" refreshError="1"/>
      <sheetData sheetId="1" refreshError="1"/>
      <sheetData sheetId="2" refreshError="1"/>
      <sheetData sheetId="3" refreshError="1">
        <row r="8">
          <cell r="B8">
            <v>30101000</v>
          </cell>
          <cell r="C8" t="str">
            <v>Dr.</v>
          </cell>
          <cell r="D8" t="str">
            <v>Dr. Owners Equity</v>
          </cell>
          <cell r="F8" t="str">
            <v>Capital</v>
          </cell>
          <cell r="J8">
            <v>0</v>
          </cell>
          <cell r="K8">
            <v>0</v>
          </cell>
          <cell r="L8">
            <v>0</v>
          </cell>
        </row>
        <row r="9">
          <cell r="B9">
            <v>30301000</v>
          </cell>
          <cell r="C9" t="str">
            <v>Dr.</v>
          </cell>
          <cell r="D9" t="str">
            <v>Dr. Owners Equity</v>
          </cell>
          <cell r="F9" t="str">
            <v>Reserves</v>
          </cell>
          <cell r="J9">
            <v>0</v>
          </cell>
          <cell r="K9">
            <v>0</v>
          </cell>
          <cell r="L9">
            <v>0</v>
          </cell>
        </row>
        <row r="10">
          <cell r="B10">
            <v>30401000</v>
          </cell>
          <cell r="C10" t="str">
            <v>Dr.</v>
          </cell>
          <cell r="D10" t="str">
            <v>Dr. Owners Equity</v>
          </cell>
          <cell r="F10" t="str">
            <v>RE + NP - RE 6Months Nincome</v>
          </cell>
          <cell r="J10">
            <v>0</v>
          </cell>
          <cell r="K10">
            <v>0</v>
          </cell>
          <cell r="L10">
            <v>0</v>
          </cell>
        </row>
        <row r="11">
          <cell r="B11">
            <v>10100100</v>
          </cell>
          <cell r="C11" t="str">
            <v>Dr.</v>
          </cell>
          <cell r="D11" t="str">
            <v>Dr. Fixed asset (surplus)</v>
          </cell>
          <cell r="F11" t="str">
            <v>Land</v>
          </cell>
          <cell r="J11">
            <v>0</v>
          </cell>
          <cell r="K11">
            <v>0</v>
          </cell>
          <cell r="L11">
            <v>0</v>
          </cell>
        </row>
        <row r="12">
          <cell r="B12">
            <v>10100110</v>
          </cell>
          <cell r="C12" t="str">
            <v>Dr.</v>
          </cell>
          <cell r="D12" t="str">
            <v>Dr. Fixed asset (surplus)</v>
          </cell>
          <cell r="F12" t="str">
            <v>Buildings and constructions</v>
          </cell>
          <cell r="J12">
            <v>0</v>
          </cell>
          <cell r="K12">
            <v>0</v>
          </cell>
          <cell r="L12">
            <v>0</v>
          </cell>
        </row>
        <row r="13">
          <cell r="B13">
            <v>10100120</v>
          </cell>
          <cell r="C13" t="str">
            <v>Dr.</v>
          </cell>
          <cell r="D13" t="str">
            <v>Dr. Fixed asset (surplus)</v>
          </cell>
          <cell r="F13" t="str">
            <v>Machinery and equipment</v>
          </cell>
          <cell r="J13">
            <v>0</v>
          </cell>
          <cell r="K13">
            <v>0</v>
          </cell>
          <cell r="L13">
            <v>0</v>
          </cell>
        </row>
        <row r="14">
          <cell r="B14">
            <v>10100190</v>
          </cell>
          <cell r="C14" t="str">
            <v>Dr.</v>
          </cell>
          <cell r="D14" t="str">
            <v>Dr. Fixed asset (surplus)</v>
          </cell>
          <cell r="F14" t="str">
            <v>Vehicles and Transportation means</v>
          </cell>
          <cell r="J14">
            <v>0</v>
          </cell>
          <cell r="K14">
            <v>0</v>
          </cell>
          <cell r="L14">
            <v>0</v>
          </cell>
        </row>
        <row r="15">
          <cell r="B15">
            <v>10100160</v>
          </cell>
          <cell r="C15" t="str">
            <v>Dr.</v>
          </cell>
          <cell r="D15" t="str">
            <v>Dr. Fixed asset (surplus)</v>
          </cell>
          <cell r="F15" t="str">
            <v>Furniture and Office Equipments</v>
          </cell>
          <cell r="J15">
            <v>0</v>
          </cell>
          <cell r="K15">
            <v>0</v>
          </cell>
          <cell r="L15">
            <v>0</v>
          </cell>
        </row>
        <row r="16">
          <cell r="B16">
            <v>10100150</v>
          </cell>
          <cell r="C16" t="str">
            <v>Dr.</v>
          </cell>
          <cell r="D16" t="str">
            <v>Dr. Fixed asset (surplus)</v>
          </cell>
          <cell r="F16" t="str">
            <v>Safty &amp; Equipments</v>
          </cell>
          <cell r="J16">
            <v>0</v>
          </cell>
          <cell r="K16">
            <v>0</v>
          </cell>
          <cell r="L16">
            <v>0</v>
          </cell>
        </row>
        <row r="17">
          <cell r="B17">
            <v>10400100</v>
          </cell>
          <cell r="C17" t="str">
            <v>Dr.</v>
          </cell>
          <cell r="D17" t="str">
            <v>Dr/Cr. Goodwill Balance Sheet</v>
          </cell>
          <cell r="J17">
            <v>0</v>
          </cell>
          <cell r="K17">
            <v>0</v>
          </cell>
          <cell r="L17">
            <v>0</v>
          </cell>
        </row>
        <row r="18">
          <cell r="B18">
            <v>39101000</v>
          </cell>
          <cell r="C18" t="str">
            <v>Cr.</v>
          </cell>
          <cell r="E18" t="str">
            <v>Cr Minority interest</v>
          </cell>
          <cell r="G18" t="str">
            <v>Capital</v>
          </cell>
          <cell r="J18">
            <v>0</v>
          </cell>
          <cell r="K18">
            <v>0</v>
          </cell>
          <cell r="L18">
            <v>0</v>
          </cell>
        </row>
        <row r="19">
          <cell r="B19">
            <v>39301000</v>
          </cell>
          <cell r="C19" t="str">
            <v>Cr.</v>
          </cell>
          <cell r="E19" t="str">
            <v>Cr Minority interest</v>
          </cell>
          <cell r="G19" t="str">
            <v>Reserves</v>
          </cell>
          <cell r="J19">
            <v>0</v>
          </cell>
          <cell r="K19">
            <v>0</v>
          </cell>
          <cell r="L19">
            <v>0</v>
          </cell>
        </row>
        <row r="20">
          <cell r="B20">
            <v>39401000</v>
          </cell>
          <cell r="C20" t="str">
            <v>Cr.</v>
          </cell>
          <cell r="E20" t="str">
            <v>Cr Minority interest</v>
          </cell>
          <cell r="G20" t="str">
            <v>RE</v>
          </cell>
          <cell r="J20">
            <v>0</v>
          </cell>
          <cell r="K20">
            <v>0</v>
          </cell>
          <cell r="L20">
            <v>0</v>
          </cell>
        </row>
        <row r="21">
          <cell r="B21">
            <v>39401020</v>
          </cell>
          <cell r="C21" t="str">
            <v>Cr.</v>
          </cell>
          <cell r="E21" t="str">
            <v>Cr Minority interest</v>
          </cell>
          <cell r="G21" t="str">
            <v>Fixed assets revaluation</v>
          </cell>
          <cell r="J21">
            <v>0</v>
          </cell>
          <cell r="K21">
            <v>0</v>
          </cell>
          <cell r="L21">
            <v>0</v>
          </cell>
        </row>
        <row r="22">
          <cell r="B22">
            <v>10300108</v>
          </cell>
          <cell r="C22" t="str">
            <v>Cr.</v>
          </cell>
          <cell r="E22" t="str">
            <v>Cr. Investment</v>
          </cell>
          <cell r="G22" t="str">
            <v>Esaco</v>
          </cell>
          <cell r="J22">
            <v>0</v>
          </cell>
          <cell r="K22">
            <v>0</v>
          </cell>
          <cell r="L22">
            <v>0</v>
          </cell>
        </row>
        <row r="25">
          <cell r="B25">
            <v>30101000</v>
          </cell>
          <cell r="C25" t="str">
            <v>Cr.</v>
          </cell>
          <cell r="D25" t="str">
            <v>Dr. Capital</v>
          </cell>
          <cell r="J25">
            <v>0</v>
          </cell>
          <cell r="K25">
            <v>0</v>
          </cell>
          <cell r="L25">
            <v>0</v>
          </cell>
        </row>
        <row r="26">
          <cell r="B26">
            <v>30201000</v>
          </cell>
          <cell r="C26" t="str">
            <v>Cr.</v>
          </cell>
          <cell r="D26" t="str">
            <v>Dr. Payment under capital increase</v>
          </cell>
          <cell r="J26">
            <v>0</v>
          </cell>
          <cell r="K26">
            <v>-5000000</v>
          </cell>
          <cell r="L26">
            <v>-5000000</v>
          </cell>
        </row>
        <row r="27">
          <cell r="B27">
            <v>10300102</v>
          </cell>
          <cell r="C27" t="str">
            <v>Cr.</v>
          </cell>
          <cell r="E27" t="str">
            <v>Cr. Investment</v>
          </cell>
          <cell r="H27" t="str">
            <v>Aresco</v>
          </cell>
          <cell r="J27">
            <v>0</v>
          </cell>
          <cell r="K27">
            <v>0</v>
          </cell>
          <cell r="L27">
            <v>0</v>
          </cell>
        </row>
        <row r="28">
          <cell r="B28">
            <v>10300107</v>
          </cell>
          <cell r="C28" t="str">
            <v>Dr.</v>
          </cell>
          <cell r="E28" t="str">
            <v>Cr. Investment</v>
          </cell>
          <cell r="H28" t="str">
            <v>Ach</v>
          </cell>
          <cell r="J28">
            <v>0</v>
          </cell>
          <cell r="K28">
            <v>0</v>
          </cell>
          <cell r="L28">
            <v>0</v>
          </cell>
        </row>
        <row r="29">
          <cell r="B29">
            <v>10300106</v>
          </cell>
          <cell r="C29" t="str">
            <v>Cr.</v>
          </cell>
          <cell r="E29" t="str">
            <v>Cr. Investment</v>
          </cell>
          <cell r="H29" t="str">
            <v>United</v>
          </cell>
          <cell r="J29">
            <v>0</v>
          </cell>
          <cell r="K29">
            <v>0</v>
          </cell>
          <cell r="L29">
            <v>0</v>
          </cell>
        </row>
        <row r="30">
          <cell r="B30">
            <v>10302007</v>
          </cell>
          <cell r="C30" t="str">
            <v>Dr.</v>
          </cell>
          <cell r="E30" t="str">
            <v>Cr. Payment under Investment</v>
          </cell>
          <cell r="H30" t="str">
            <v>Ach</v>
          </cell>
          <cell r="J30">
            <v>0</v>
          </cell>
          <cell r="K30">
            <v>0</v>
          </cell>
          <cell r="L30">
            <v>0</v>
          </cell>
        </row>
        <row r="31">
          <cell r="B31">
            <v>10302006</v>
          </cell>
          <cell r="C31" t="str">
            <v>Dr.</v>
          </cell>
          <cell r="E31" t="str">
            <v>Cr. Payment under Investment</v>
          </cell>
          <cell r="H31" t="str">
            <v>United</v>
          </cell>
          <cell r="J31">
            <v>5000000</v>
          </cell>
          <cell r="K31">
            <v>0</v>
          </cell>
          <cell r="L31">
            <v>5000000</v>
          </cell>
        </row>
        <row r="32">
          <cell r="B32">
            <v>39101000</v>
          </cell>
          <cell r="C32" t="str">
            <v>Dr.</v>
          </cell>
          <cell r="E32" t="str">
            <v>Cr. Minority interest</v>
          </cell>
          <cell r="G32" t="str">
            <v>Capital</v>
          </cell>
          <cell r="J32">
            <v>0</v>
          </cell>
          <cell r="K32">
            <v>0</v>
          </cell>
          <cell r="L32">
            <v>0</v>
          </cell>
        </row>
        <row r="33">
          <cell r="B33">
            <v>39201000</v>
          </cell>
          <cell r="C33" t="str">
            <v>Dr.</v>
          </cell>
          <cell r="E33" t="str">
            <v>Cr. Minority interest</v>
          </cell>
          <cell r="G33" t="str">
            <v>Reserves for capital increase</v>
          </cell>
          <cell r="J33">
            <v>0</v>
          </cell>
          <cell r="K33">
            <v>0</v>
          </cell>
          <cell r="L33">
            <v>0</v>
          </cell>
        </row>
        <row r="37">
          <cell r="B37">
            <v>30301000</v>
          </cell>
          <cell r="C37" t="str">
            <v>Dr.</v>
          </cell>
          <cell r="D37" t="str">
            <v>Dr.</v>
          </cell>
          <cell r="E37" t="str">
            <v>Reserves</v>
          </cell>
          <cell r="J37">
            <v>0</v>
          </cell>
          <cell r="K37">
            <v>0</v>
          </cell>
          <cell r="L37">
            <v>0</v>
          </cell>
        </row>
        <row r="38">
          <cell r="B38">
            <v>30401000</v>
          </cell>
          <cell r="C38" t="str">
            <v>Cr.</v>
          </cell>
          <cell r="E38" t="str">
            <v>Cr. Retained earnings</v>
          </cell>
          <cell r="J38">
            <v>0</v>
          </cell>
          <cell r="K38">
            <v>0</v>
          </cell>
          <cell r="L38">
            <v>0</v>
          </cell>
        </row>
        <row r="42">
          <cell r="B42">
            <v>39401000</v>
          </cell>
          <cell r="C42" t="str">
            <v>Dr.</v>
          </cell>
          <cell r="D42" t="str">
            <v>Dr. Minority Interest</v>
          </cell>
          <cell r="F42" t="str">
            <v>Retained earnings</v>
          </cell>
          <cell r="H42" t="str">
            <v>ACH</v>
          </cell>
          <cell r="J42">
            <v>0</v>
          </cell>
          <cell r="K42">
            <v>0</v>
          </cell>
          <cell r="L42">
            <v>0</v>
          </cell>
        </row>
        <row r="43">
          <cell r="B43">
            <v>39301000</v>
          </cell>
          <cell r="C43" t="str">
            <v>Cr.</v>
          </cell>
          <cell r="E43" t="str">
            <v>Dr. Minority interest</v>
          </cell>
          <cell r="G43" t="str">
            <v>Reserves</v>
          </cell>
          <cell r="H43" t="str">
            <v>ACH</v>
          </cell>
          <cell r="J43">
            <v>0</v>
          </cell>
          <cell r="K43">
            <v>0</v>
          </cell>
          <cell r="L43">
            <v>0</v>
          </cell>
        </row>
        <row r="47">
          <cell r="B47">
            <v>401</v>
          </cell>
          <cell r="C47" t="str">
            <v>Dr.</v>
          </cell>
          <cell r="D47" t="str">
            <v>Dr. Sales intercompany</v>
          </cell>
          <cell r="J47">
            <v>19919547.48</v>
          </cell>
          <cell r="K47">
            <v>0</v>
          </cell>
          <cell r="L47">
            <v>19919547.48</v>
          </cell>
        </row>
        <row r="48">
          <cell r="B48">
            <v>415</v>
          </cell>
          <cell r="C48" t="str">
            <v>Dr.</v>
          </cell>
          <cell r="D48" t="str">
            <v>Dr. Otheer operating Income - Asec Eng</v>
          </cell>
          <cell r="J48">
            <v>0</v>
          </cell>
          <cell r="K48">
            <v>0</v>
          </cell>
          <cell r="L48">
            <v>0</v>
          </cell>
        </row>
        <row r="49">
          <cell r="B49">
            <v>201</v>
          </cell>
          <cell r="C49" t="str">
            <v>Cr.</v>
          </cell>
          <cell r="E49" t="str">
            <v>Cr. COGS intercompany</v>
          </cell>
          <cell r="J49">
            <v>0</v>
          </cell>
          <cell r="K49">
            <v>-19919547.48</v>
          </cell>
          <cell r="L49">
            <v>-19919547.48</v>
          </cell>
        </row>
        <row r="50">
          <cell r="B50">
            <v>215</v>
          </cell>
          <cell r="C50" t="str">
            <v>Cr.</v>
          </cell>
          <cell r="E50" t="str">
            <v>Cr. Otheer operating Cost - Asec Eng</v>
          </cell>
          <cell r="J50">
            <v>0</v>
          </cell>
          <cell r="K50">
            <v>0</v>
          </cell>
          <cell r="L50">
            <v>0</v>
          </cell>
        </row>
        <row r="53">
          <cell r="B53">
            <v>402</v>
          </cell>
          <cell r="C53" t="str">
            <v>Dr.</v>
          </cell>
          <cell r="D53" t="str">
            <v>Dr. Sales intercompany</v>
          </cell>
          <cell r="J53">
            <v>0</v>
          </cell>
          <cell r="K53">
            <v>0</v>
          </cell>
          <cell r="L53">
            <v>0</v>
          </cell>
        </row>
        <row r="54">
          <cell r="B54">
            <v>201</v>
          </cell>
          <cell r="C54" t="str">
            <v>Cr.</v>
          </cell>
          <cell r="E54" t="str">
            <v>Cr. COGS</v>
          </cell>
          <cell r="J54">
            <v>0</v>
          </cell>
          <cell r="K54">
            <v>0</v>
          </cell>
          <cell r="L54">
            <v>0</v>
          </cell>
        </row>
        <row r="55">
          <cell r="B55">
            <v>10200100</v>
          </cell>
          <cell r="C55" t="str">
            <v>Cr.</v>
          </cell>
          <cell r="E55" t="str">
            <v>Cr. PUC</v>
          </cell>
          <cell r="J55">
            <v>0</v>
          </cell>
          <cell r="K55">
            <v>0</v>
          </cell>
          <cell r="L55">
            <v>0</v>
          </cell>
        </row>
        <row r="59">
          <cell r="B59">
            <v>401</v>
          </cell>
          <cell r="C59" t="str">
            <v>Dr.</v>
          </cell>
          <cell r="D59" t="str">
            <v>Dr. Dividends Income (P&amp;L)</v>
          </cell>
          <cell r="J59">
            <v>0</v>
          </cell>
          <cell r="K59">
            <v>0</v>
          </cell>
          <cell r="L59">
            <v>0</v>
          </cell>
        </row>
        <row r="60">
          <cell r="B60">
            <v>39401000</v>
          </cell>
          <cell r="C60" t="str">
            <v>Dr.</v>
          </cell>
          <cell r="D60" t="str">
            <v>Dr. Minority interest</v>
          </cell>
          <cell r="F60" t="str">
            <v>Retained earnings</v>
          </cell>
          <cell r="J60">
            <v>0</v>
          </cell>
          <cell r="K60">
            <v>0</v>
          </cell>
          <cell r="L60">
            <v>0</v>
          </cell>
        </row>
        <row r="61">
          <cell r="B61">
            <v>30401000</v>
          </cell>
          <cell r="C61" t="str">
            <v>Cr.</v>
          </cell>
          <cell r="E61" t="str">
            <v>Cr. Retained earnings subsidiaries</v>
          </cell>
          <cell r="J61">
            <v>0</v>
          </cell>
          <cell r="K61">
            <v>0</v>
          </cell>
          <cell r="L61">
            <v>0</v>
          </cell>
        </row>
        <row r="65">
          <cell r="B65">
            <v>210</v>
          </cell>
          <cell r="C65" t="str">
            <v>Dr.</v>
          </cell>
          <cell r="D65" t="str">
            <v>Dr. Depreciation</v>
          </cell>
          <cell r="F65" t="str">
            <v>COGS</v>
          </cell>
          <cell r="J65">
            <v>3565269.3509806683</v>
          </cell>
          <cell r="K65">
            <v>0</v>
          </cell>
          <cell r="L65">
            <v>3565269.3509806683</v>
          </cell>
        </row>
        <row r="66">
          <cell r="B66">
            <v>211</v>
          </cell>
          <cell r="C66" t="str">
            <v>Dr.</v>
          </cell>
          <cell r="D66" t="str">
            <v>Dr. Depreciation</v>
          </cell>
          <cell r="F66" t="str">
            <v>G&amp;A</v>
          </cell>
          <cell r="J66">
            <v>425128.37905135209</v>
          </cell>
          <cell r="K66">
            <v>0</v>
          </cell>
          <cell r="L66">
            <v>425128.37905135209</v>
          </cell>
        </row>
        <row r="67">
          <cell r="C67" t="str">
            <v>Dr.</v>
          </cell>
          <cell r="D67" t="str">
            <v>Dr. Minority interest</v>
          </cell>
          <cell r="F67" t="str">
            <v>B Sheet - N Income</v>
          </cell>
          <cell r="J67">
            <v>184360.22081725096</v>
          </cell>
          <cell r="K67">
            <v>0</v>
          </cell>
          <cell r="L67">
            <v>184360.22081725096</v>
          </cell>
        </row>
        <row r="68">
          <cell r="B68">
            <v>910</v>
          </cell>
          <cell r="C68" t="str">
            <v>Cr.</v>
          </cell>
          <cell r="E68" t="str">
            <v>Cr. Minority interest</v>
          </cell>
          <cell r="G68" t="str">
            <v>Current period net income</v>
          </cell>
          <cell r="J68">
            <v>0</v>
          </cell>
          <cell r="K68">
            <v>-184360.22081725096</v>
          </cell>
          <cell r="L68">
            <v>-184360.22081725096</v>
          </cell>
        </row>
        <row r="69">
          <cell r="B69">
            <v>20200100</v>
          </cell>
          <cell r="C69" t="str">
            <v>Cr.</v>
          </cell>
          <cell r="E69" t="str">
            <v>Cr F A Surplus Dep</v>
          </cell>
          <cell r="G69" t="str">
            <v>Land</v>
          </cell>
          <cell r="J69">
            <v>0</v>
          </cell>
          <cell r="K69">
            <v>0</v>
          </cell>
          <cell r="L69">
            <v>0</v>
          </cell>
        </row>
        <row r="70">
          <cell r="B70">
            <v>20200110</v>
          </cell>
          <cell r="C70" t="str">
            <v>Cr.</v>
          </cell>
          <cell r="E70" t="str">
            <v>Cr F A Surplus Dep</v>
          </cell>
          <cell r="G70" t="str">
            <v>Buildings and constructions</v>
          </cell>
          <cell r="J70">
            <v>0</v>
          </cell>
          <cell r="K70">
            <v>-175664.73100901794</v>
          </cell>
          <cell r="L70">
            <v>-175664.73100901794</v>
          </cell>
        </row>
        <row r="71">
          <cell r="B71">
            <v>20200120</v>
          </cell>
          <cell r="C71" t="str">
            <v>Cr.</v>
          </cell>
          <cell r="E71" t="str">
            <v>Cr F A Surplus Dep</v>
          </cell>
          <cell r="G71" t="str">
            <v>Machinery and equipment</v>
          </cell>
          <cell r="J71">
            <v>0</v>
          </cell>
          <cell r="K71">
            <v>-3182053.6262731822</v>
          </cell>
          <cell r="L71">
            <v>-3182053.6262731822</v>
          </cell>
        </row>
        <row r="72">
          <cell r="B72">
            <v>20200190</v>
          </cell>
          <cell r="C72" t="str">
            <v>Cr.</v>
          </cell>
          <cell r="E72" t="str">
            <v>Cr F A Surplus Dep</v>
          </cell>
          <cell r="G72" t="str">
            <v>Vehicles and Transportation means</v>
          </cell>
          <cell r="J72">
            <v>0</v>
          </cell>
          <cell r="K72">
            <v>-69263.06000925292</v>
          </cell>
          <cell r="L72">
            <v>-69263.06000925292</v>
          </cell>
        </row>
        <row r="73">
          <cell r="B73">
            <v>20200160</v>
          </cell>
          <cell r="C73" t="str">
            <v>Cr.</v>
          </cell>
          <cell r="E73" t="str">
            <v>Cr F A Surplus Dep</v>
          </cell>
          <cell r="G73" t="str">
            <v>Furniture and Office Equipments</v>
          </cell>
          <cell r="J73">
            <v>0</v>
          </cell>
          <cell r="K73">
            <v>-400288.69580389827</v>
          </cell>
          <cell r="L73">
            <v>-400288.69580389827</v>
          </cell>
        </row>
        <row r="74">
          <cell r="B74">
            <v>20200150</v>
          </cell>
          <cell r="C74" t="str">
            <v>Cr.</v>
          </cell>
          <cell r="E74" t="str">
            <v>Cr F A Surplus Dep</v>
          </cell>
          <cell r="G74" t="str">
            <v>Safty &amp; Equipments</v>
          </cell>
          <cell r="J74">
            <v>0</v>
          </cell>
          <cell r="K74">
            <v>-163127.61693666838</v>
          </cell>
          <cell r="L74">
            <v>-163127.61693666838</v>
          </cell>
        </row>
        <row r="78">
          <cell r="B78">
            <v>210</v>
          </cell>
          <cell r="C78" t="str">
            <v>Dr.</v>
          </cell>
          <cell r="D78" t="str">
            <v>Dr. Depreciation</v>
          </cell>
          <cell r="F78" t="str">
            <v>COGS</v>
          </cell>
          <cell r="J78">
            <v>-2613.4147885919715</v>
          </cell>
          <cell r="K78">
            <v>0</v>
          </cell>
          <cell r="L78">
            <v>-2613.4147885919715</v>
          </cell>
        </row>
        <row r="79">
          <cell r="B79">
            <v>211</v>
          </cell>
          <cell r="C79" t="str">
            <v>Dr.</v>
          </cell>
          <cell r="D79" t="str">
            <v>Dr. Depreciation</v>
          </cell>
          <cell r="F79" t="str">
            <v>G&amp;A</v>
          </cell>
          <cell r="J79">
            <v>-1768.4924971474079</v>
          </cell>
          <cell r="K79">
            <v>0</v>
          </cell>
          <cell r="L79">
            <v>-1768.4924971474079</v>
          </cell>
        </row>
        <row r="80">
          <cell r="C80" t="str">
            <v>Dr.</v>
          </cell>
          <cell r="D80" t="str">
            <v>Dr. Minority interest</v>
          </cell>
          <cell r="F80" t="str">
            <v>B Sheet - N Income</v>
          </cell>
          <cell r="J80">
            <v>490.63834203071906</v>
          </cell>
          <cell r="K80">
            <v>0</v>
          </cell>
          <cell r="L80">
            <v>490.63834203071906</v>
          </cell>
        </row>
        <row r="81">
          <cell r="B81">
            <v>20200100</v>
          </cell>
          <cell r="C81" t="str">
            <v>Dr.</v>
          </cell>
          <cell r="D81" t="str">
            <v>Dr. F A Surplus Dep</v>
          </cell>
          <cell r="F81" t="str">
            <v>Land</v>
          </cell>
          <cell r="J81">
            <v>0</v>
          </cell>
          <cell r="K81">
            <v>0</v>
          </cell>
          <cell r="L81">
            <v>0</v>
          </cell>
        </row>
        <row r="82">
          <cell r="B82">
            <v>20200110</v>
          </cell>
          <cell r="C82" t="str">
            <v>Dr.</v>
          </cell>
          <cell r="D82" t="str">
            <v>Dr. F A Surplus Dep</v>
          </cell>
          <cell r="F82" t="str">
            <v>Buildings and constructions</v>
          </cell>
          <cell r="J82">
            <v>0</v>
          </cell>
          <cell r="K82">
            <v>0</v>
          </cell>
          <cell r="L82">
            <v>0</v>
          </cell>
        </row>
        <row r="83">
          <cell r="B83">
            <v>20200120</v>
          </cell>
          <cell r="C83" t="str">
            <v>Dr.</v>
          </cell>
          <cell r="D83" t="str">
            <v>Dr. F A Surplus Dep</v>
          </cell>
          <cell r="F83" t="str">
            <v>Machinery and equipment</v>
          </cell>
          <cell r="J83">
            <v>0</v>
          </cell>
          <cell r="K83">
            <v>0</v>
          </cell>
          <cell r="L83">
            <v>0</v>
          </cell>
        </row>
        <row r="84">
          <cell r="B84">
            <v>20200190</v>
          </cell>
          <cell r="C84" t="str">
            <v>Dr.</v>
          </cell>
          <cell r="D84" t="str">
            <v>Dr. F A Surplus Dep</v>
          </cell>
          <cell r="F84" t="str">
            <v>Vehicles and Transportation means</v>
          </cell>
          <cell r="J84">
            <v>-22002.422198291879</v>
          </cell>
          <cell r="K84">
            <v>0</v>
          </cell>
          <cell r="L84">
            <v>-22002.422198291879</v>
          </cell>
        </row>
        <row r="85">
          <cell r="B85">
            <v>20200160</v>
          </cell>
          <cell r="C85" t="str">
            <v>Dr.</v>
          </cell>
          <cell r="D85" t="str">
            <v>Dr. F A Surplus Dep</v>
          </cell>
          <cell r="F85" t="str">
            <v>Furniture and Office Equipments</v>
          </cell>
          <cell r="J85">
            <v>5351.174512482231</v>
          </cell>
          <cell r="K85">
            <v>0</v>
          </cell>
          <cell r="L85">
            <v>5351.174512482231</v>
          </cell>
        </row>
        <row r="86">
          <cell r="B86">
            <v>20200150</v>
          </cell>
          <cell r="C86" t="str">
            <v>Dr.</v>
          </cell>
          <cell r="D86" t="str">
            <v>Dr. F A Surplus Dep</v>
          </cell>
          <cell r="F86" t="str">
            <v>Safty &amp; Equipments</v>
          </cell>
          <cell r="J86">
            <v>0</v>
          </cell>
          <cell r="K86">
            <v>0</v>
          </cell>
          <cell r="L86">
            <v>0</v>
          </cell>
        </row>
        <row r="87">
          <cell r="B87">
            <v>10100100</v>
          </cell>
          <cell r="C87" t="str">
            <v>Cr.</v>
          </cell>
          <cell r="E87" t="str">
            <v>Cr F A Surplus</v>
          </cell>
          <cell r="G87" t="str">
            <v>Land</v>
          </cell>
          <cell r="J87">
            <v>0</v>
          </cell>
          <cell r="K87">
            <v>0</v>
          </cell>
          <cell r="L87">
            <v>0</v>
          </cell>
        </row>
        <row r="88">
          <cell r="B88">
            <v>10100110</v>
          </cell>
          <cell r="C88" t="str">
            <v>Cr.</v>
          </cell>
          <cell r="E88" t="str">
            <v>Cr F A Surplus</v>
          </cell>
          <cell r="G88" t="str">
            <v>Buildings and constructions</v>
          </cell>
          <cell r="J88">
            <v>0</v>
          </cell>
          <cell r="K88">
            <v>0</v>
          </cell>
          <cell r="L88">
            <v>0</v>
          </cell>
        </row>
        <row r="89">
          <cell r="B89">
            <v>10100120</v>
          </cell>
          <cell r="C89" t="str">
            <v>Cr.</v>
          </cell>
          <cell r="E89" t="str">
            <v>Cr F A Surplus</v>
          </cell>
          <cell r="G89" t="str">
            <v>Machinery and equipment</v>
          </cell>
          <cell r="J89">
            <v>0</v>
          </cell>
          <cell r="K89">
            <v>0</v>
          </cell>
          <cell r="L89">
            <v>0</v>
          </cell>
        </row>
        <row r="90">
          <cell r="B90">
            <v>10100190</v>
          </cell>
          <cell r="C90" t="str">
            <v>Cr.</v>
          </cell>
          <cell r="E90" t="str">
            <v>Cr F A Surplus</v>
          </cell>
          <cell r="G90" t="str">
            <v>Vehicles and Transportation means</v>
          </cell>
          <cell r="J90">
            <v>0</v>
          </cell>
          <cell r="K90">
            <v>27792.533303105531</v>
          </cell>
          <cell r="L90">
            <v>27792.533303105531</v>
          </cell>
        </row>
        <row r="91">
          <cell r="B91">
            <v>10100160</v>
          </cell>
          <cell r="C91" t="str">
            <v>Cr.</v>
          </cell>
          <cell r="E91" t="str">
            <v>Cr F A Surplus</v>
          </cell>
          <cell r="G91" t="str">
            <v>Furniture and Office Equipments</v>
          </cell>
          <cell r="J91">
            <v>0</v>
          </cell>
          <cell r="K91">
            <v>-6759.3783315565033</v>
          </cell>
          <cell r="L91">
            <v>-6759.3783315565033</v>
          </cell>
        </row>
        <row r="92">
          <cell r="B92">
            <v>10100150</v>
          </cell>
          <cell r="C92" t="str">
            <v>Cr.</v>
          </cell>
          <cell r="E92" t="str">
            <v>Cr F A Surplus</v>
          </cell>
          <cell r="G92" t="str">
            <v>Safty &amp; Equipments</v>
          </cell>
          <cell r="J92">
            <v>0</v>
          </cell>
          <cell r="K92">
            <v>0</v>
          </cell>
          <cell r="L92">
            <v>0</v>
          </cell>
        </row>
        <row r="93">
          <cell r="B93">
            <v>910</v>
          </cell>
          <cell r="C93" t="str">
            <v>Cr.</v>
          </cell>
          <cell r="E93" t="str">
            <v>Cr. Minority interest</v>
          </cell>
          <cell r="G93" t="str">
            <v>Current period net income</v>
          </cell>
          <cell r="J93">
            <v>0</v>
          </cell>
          <cell r="K93">
            <v>-490.63834203071906</v>
          </cell>
          <cell r="L93">
            <v>-490.63834203071906</v>
          </cell>
        </row>
        <row r="94">
          <cell r="J94">
            <v>0</v>
          </cell>
          <cell r="K94">
            <v>0</v>
          </cell>
          <cell r="L94">
            <v>0</v>
          </cell>
        </row>
        <row r="98">
          <cell r="B98">
            <v>30401000</v>
          </cell>
          <cell r="C98" t="str">
            <v>Dr.</v>
          </cell>
          <cell r="D98" t="str">
            <v>Dr. Retained earnings</v>
          </cell>
          <cell r="J98">
            <v>0</v>
          </cell>
          <cell r="L98">
            <v>0</v>
          </cell>
        </row>
        <row r="99">
          <cell r="B99">
            <v>39401000</v>
          </cell>
          <cell r="C99" t="str">
            <v>Dr.</v>
          </cell>
          <cell r="D99" t="str">
            <v>Dr. Minority interest</v>
          </cell>
          <cell r="F99" t="str">
            <v>RE</v>
          </cell>
          <cell r="J99">
            <v>0</v>
          </cell>
          <cell r="K99">
            <v>0</v>
          </cell>
          <cell r="L99">
            <v>0</v>
          </cell>
        </row>
        <row r="100">
          <cell r="B100">
            <v>20200100</v>
          </cell>
          <cell r="C100" t="str">
            <v>Dr.</v>
          </cell>
          <cell r="D100" t="str">
            <v>Dr. F A Surplus Dep</v>
          </cell>
          <cell r="F100" t="str">
            <v>Land</v>
          </cell>
          <cell r="J100">
            <v>0</v>
          </cell>
          <cell r="K100">
            <v>0</v>
          </cell>
          <cell r="L100">
            <v>0</v>
          </cell>
        </row>
        <row r="101">
          <cell r="B101">
            <v>20200110</v>
          </cell>
          <cell r="C101" t="str">
            <v>Dr.</v>
          </cell>
          <cell r="D101" t="str">
            <v>Dr. F A Surplus Dep</v>
          </cell>
          <cell r="F101" t="str">
            <v>Buildings and constructions</v>
          </cell>
          <cell r="J101">
            <v>0</v>
          </cell>
          <cell r="K101">
            <v>0</v>
          </cell>
          <cell r="L101">
            <v>0</v>
          </cell>
        </row>
        <row r="102">
          <cell r="B102">
            <v>20200120</v>
          </cell>
          <cell r="C102" t="str">
            <v>Dr.</v>
          </cell>
          <cell r="D102" t="str">
            <v>Dr. F A Surplus Dep</v>
          </cell>
          <cell r="F102" t="str">
            <v>Machinery and equipment</v>
          </cell>
          <cell r="J102">
            <v>0</v>
          </cell>
          <cell r="K102">
            <v>0</v>
          </cell>
          <cell r="L102">
            <v>0</v>
          </cell>
        </row>
        <row r="103">
          <cell r="B103">
            <v>20200190</v>
          </cell>
          <cell r="C103" t="str">
            <v>Dr.</v>
          </cell>
          <cell r="D103" t="str">
            <v>Dr. F A Surplus Dep</v>
          </cell>
          <cell r="F103" t="str">
            <v>Vehicles and Transportation means</v>
          </cell>
          <cell r="J103">
            <v>0</v>
          </cell>
          <cell r="K103">
            <v>0</v>
          </cell>
          <cell r="L103">
            <v>0</v>
          </cell>
        </row>
        <row r="104">
          <cell r="B104">
            <v>20200160</v>
          </cell>
          <cell r="C104" t="str">
            <v>Dr.</v>
          </cell>
          <cell r="D104" t="str">
            <v>Dr. F A Surplus Dep</v>
          </cell>
          <cell r="F104" t="str">
            <v>Furniture and Office Equipments</v>
          </cell>
          <cell r="J104">
            <v>0</v>
          </cell>
          <cell r="K104">
            <v>0</v>
          </cell>
          <cell r="L104">
            <v>0</v>
          </cell>
        </row>
        <row r="105">
          <cell r="B105">
            <v>20200150</v>
          </cell>
          <cell r="C105" t="str">
            <v>Dr.</v>
          </cell>
          <cell r="D105" t="str">
            <v>Dr. F A Surplus Dep</v>
          </cell>
          <cell r="F105" t="str">
            <v>Safty &amp; Equipments</v>
          </cell>
          <cell r="J105">
            <v>0</v>
          </cell>
          <cell r="K105">
            <v>0</v>
          </cell>
          <cell r="L105">
            <v>0</v>
          </cell>
        </row>
        <row r="106">
          <cell r="B106">
            <v>10100100</v>
          </cell>
          <cell r="C106" t="str">
            <v>Cr.</v>
          </cell>
          <cell r="E106" t="str">
            <v>Cr F A Surplus</v>
          </cell>
          <cell r="G106" t="str">
            <v>Land</v>
          </cell>
          <cell r="J106">
            <v>0</v>
          </cell>
          <cell r="K106">
            <v>0</v>
          </cell>
          <cell r="L106">
            <v>0</v>
          </cell>
        </row>
        <row r="107">
          <cell r="B107">
            <v>10100110</v>
          </cell>
          <cell r="C107" t="str">
            <v>Cr.</v>
          </cell>
          <cell r="E107" t="str">
            <v>Cr F A Surplus</v>
          </cell>
          <cell r="G107" t="str">
            <v>Buildings and constructions</v>
          </cell>
          <cell r="J107">
            <v>0</v>
          </cell>
          <cell r="K107">
            <v>0</v>
          </cell>
          <cell r="L107">
            <v>0</v>
          </cell>
        </row>
        <row r="108">
          <cell r="B108">
            <v>10100120</v>
          </cell>
          <cell r="C108" t="str">
            <v>Cr.</v>
          </cell>
          <cell r="E108" t="str">
            <v>Cr F A Surplus</v>
          </cell>
          <cell r="G108" t="str">
            <v>Machinery and equipment</v>
          </cell>
          <cell r="J108">
            <v>0</v>
          </cell>
          <cell r="K108">
            <v>0</v>
          </cell>
          <cell r="L108">
            <v>0</v>
          </cell>
        </row>
        <row r="109">
          <cell r="B109">
            <v>10100190</v>
          </cell>
          <cell r="C109" t="str">
            <v>Cr.</v>
          </cell>
          <cell r="E109" t="str">
            <v>Cr F A Surplus</v>
          </cell>
          <cell r="G109" t="str">
            <v>Vehicles and Transportation means</v>
          </cell>
          <cell r="J109">
            <v>0</v>
          </cell>
          <cell r="K109">
            <v>0</v>
          </cell>
          <cell r="L109">
            <v>0</v>
          </cell>
        </row>
        <row r="110">
          <cell r="B110">
            <v>10100160</v>
          </cell>
          <cell r="C110" t="str">
            <v>Cr.</v>
          </cell>
          <cell r="E110" t="str">
            <v>Cr F A Surplus</v>
          </cell>
          <cell r="G110" t="str">
            <v>Furniture and Office Equipments</v>
          </cell>
          <cell r="J110">
            <v>0</v>
          </cell>
          <cell r="K110">
            <v>0</v>
          </cell>
          <cell r="L110">
            <v>0</v>
          </cell>
        </row>
        <row r="111">
          <cell r="B111">
            <v>10100150</v>
          </cell>
          <cell r="C111" t="str">
            <v>Cr.</v>
          </cell>
          <cell r="E111" t="str">
            <v>Cr F A Surplus</v>
          </cell>
          <cell r="G111" t="str">
            <v>Safty &amp; Equipments</v>
          </cell>
          <cell r="J111">
            <v>0</v>
          </cell>
          <cell r="K111">
            <v>0</v>
          </cell>
          <cell r="L111">
            <v>0</v>
          </cell>
        </row>
        <row r="115">
          <cell r="B115">
            <v>910</v>
          </cell>
          <cell r="C115" t="str">
            <v>Dr.</v>
          </cell>
          <cell r="D115" t="str">
            <v>Dr. Minority interest income S</v>
          </cell>
          <cell r="J115">
            <v>2484740.7185544837</v>
          </cell>
          <cell r="K115">
            <v>0</v>
          </cell>
          <cell r="L115">
            <v>2484740.7185544837</v>
          </cell>
        </row>
        <row r="116">
          <cell r="C116" t="str">
            <v>Cr.</v>
          </cell>
          <cell r="E116" t="str">
            <v>Cr. Minority interest interest B Sheet</v>
          </cell>
          <cell r="J116">
            <v>0</v>
          </cell>
          <cell r="K116">
            <v>-2484740.7185544837</v>
          </cell>
          <cell r="L116">
            <v>-2484740.7185544837</v>
          </cell>
        </row>
        <row r="120">
          <cell r="B120">
            <v>39601000</v>
          </cell>
          <cell r="C120" t="str">
            <v>Dr.</v>
          </cell>
          <cell r="D120" t="str">
            <v>Dr.Minority interest</v>
          </cell>
          <cell r="F120" t="str">
            <v>Unreaslized gain</v>
          </cell>
          <cell r="J120">
            <v>2779480.828018581</v>
          </cell>
          <cell r="K120">
            <v>0</v>
          </cell>
          <cell r="L120">
            <v>2779480.828018581</v>
          </cell>
        </row>
        <row r="121">
          <cell r="B121">
            <v>39701000</v>
          </cell>
          <cell r="C121" t="str">
            <v>Dr.</v>
          </cell>
          <cell r="D121" t="str">
            <v>Dr.Minority interest</v>
          </cell>
          <cell r="F121" t="str">
            <v>Translation Adj</v>
          </cell>
          <cell r="J121">
            <v>2699546.5837216289</v>
          </cell>
          <cell r="K121">
            <v>0</v>
          </cell>
          <cell r="L121">
            <v>2699546.5837216289</v>
          </cell>
        </row>
        <row r="122">
          <cell r="B122">
            <v>30501000</v>
          </cell>
          <cell r="C122" t="str">
            <v>Cr.</v>
          </cell>
          <cell r="E122" t="str">
            <v>Cr. Other changes  equity</v>
          </cell>
          <cell r="H122" t="str">
            <v>Unreaslized gain</v>
          </cell>
          <cell r="J122">
            <v>0</v>
          </cell>
          <cell r="K122">
            <v>-2779480.828018581</v>
          </cell>
          <cell r="L122">
            <v>-2779480.828018581</v>
          </cell>
        </row>
        <row r="123">
          <cell r="B123">
            <v>30601000</v>
          </cell>
          <cell r="C123" t="str">
            <v>Cr.</v>
          </cell>
          <cell r="E123" t="str">
            <v>Cr. Other changes  equity</v>
          </cell>
          <cell r="H123" t="str">
            <v>Translation Adj</v>
          </cell>
          <cell r="J123">
            <v>0</v>
          </cell>
          <cell r="K123">
            <v>-2699546.5837216289</v>
          </cell>
          <cell r="L123">
            <v>-2699546.5837216289</v>
          </cell>
        </row>
        <row r="127">
          <cell r="B127">
            <v>39401000</v>
          </cell>
          <cell r="C127" t="str">
            <v>Dr.</v>
          </cell>
          <cell r="D127" t="str">
            <v>Dr. Minority interest</v>
          </cell>
          <cell r="F127" t="str">
            <v>Retained earnings</v>
          </cell>
          <cell r="H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B128">
            <v>30401000</v>
          </cell>
          <cell r="C128" t="str">
            <v>Cr.</v>
          </cell>
          <cell r="E128" t="str">
            <v>Cr. Retained earnings</v>
          </cell>
          <cell r="J128">
            <v>0</v>
          </cell>
          <cell r="K128">
            <v>0</v>
          </cell>
          <cell r="L128">
            <v>0</v>
          </cell>
        </row>
        <row r="132">
          <cell r="B132">
            <v>30401000</v>
          </cell>
          <cell r="C132" t="str">
            <v>Dr.</v>
          </cell>
          <cell r="D132" t="str">
            <v>Dr. Retained earnings</v>
          </cell>
          <cell r="J132">
            <v>0</v>
          </cell>
          <cell r="K132">
            <v>0</v>
          </cell>
          <cell r="L132">
            <v>0</v>
          </cell>
        </row>
        <row r="133">
          <cell r="B133">
            <v>39401000</v>
          </cell>
          <cell r="C133" t="str">
            <v>Cr.</v>
          </cell>
          <cell r="E133" t="str">
            <v>Cr. Minority interest</v>
          </cell>
          <cell r="G133" t="str">
            <v>Retained earnings</v>
          </cell>
          <cell r="J133">
            <v>0</v>
          </cell>
          <cell r="K133">
            <v>0</v>
          </cell>
          <cell r="L133">
            <v>0</v>
          </cell>
        </row>
        <row r="136">
          <cell r="B136">
            <v>10302004</v>
          </cell>
          <cell r="C136" t="str">
            <v>Dr.</v>
          </cell>
          <cell r="D136" t="str">
            <v>Dr. Payment Under investment</v>
          </cell>
          <cell r="G136" t="str">
            <v>asa</v>
          </cell>
          <cell r="J136">
            <v>0</v>
          </cell>
          <cell r="K136">
            <v>0</v>
          </cell>
          <cell r="L136">
            <v>0</v>
          </cell>
        </row>
        <row r="137">
          <cell r="B137">
            <v>10302002</v>
          </cell>
          <cell r="C137" t="str">
            <v>Dr.</v>
          </cell>
          <cell r="D137" t="str">
            <v>Dr. Payment Under investment</v>
          </cell>
          <cell r="G137" t="str">
            <v>aresco</v>
          </cell>
          <cell r="J137">
            <v>0</v>
          </cell>
          <cell r="K137">
            <v>0</v>
          </cell>
          <cell r="L137">
            <v>0</v>
          </cell>
        </row>
        <row r="138">
          <cell r="B138">
            <v>10300104</v>
          </cell>
          <cell r="C138" t="str">
            <v>Cr.</v>
          </cell>
          <cell r="E138" t="str">
            <v>Cr. Investment - ASA</v>
          </cell>
          <cell r="J138">
            <v>0</v>
          </cell>
          <cell r="K138">
            <v>0</v>
          </cell>
          <cell r="L138">
            <v>0</v>
          </cell>
        </row>
        <row r="139">
          <cell r="B139">
            <v>30201000</v>
          </cell>
          <cell r="C139" t="str">
            <v>Cr.</v>
          </cell>
          <cell r="E139" t="str">
            <v>Cr. Reserves for capital increase - Aresco</v>
          </cell>
          <cell r="J139">
            <v>0</v>
          </cell>
          <cell r="K139">
            <v>0</v>
          </cell>
          <cell r="L139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C144">
            <v>0</v>
          </cell>
          <cell r="E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B145">
            <v>0</v>
          </cell>
          <cell r="C145">
            <v>0</v>
          </cell>
          <cell r="E145">
            <v>0</v>
          </cell>
          <cell r="J145">
            <v>0</v>
          </cell>
          <cell r="K145">
            <v>0</v>
          </cell>
          <cell r="L145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F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B151">
            <v>10300107</v>
          </cell>
          <cell r="C151" t="str">
            <v>Dr.</v>
          </cell>
          <cell r="D151" t="str">
            <v xml:space="preserve"> Investment</v>
          </cell>
          <cell r="F151">
            <v>0</v>
          </cell>
          <cell r="G151" t="str">
            <v>Ach</v>
          </cell>
          <cell r="J151">
            <v>695720205</v>
          </cell>
          <cell r="K151">
            <v>0</v>
          </cell>
          <cell r="L151">
            <v>695720205</v>
          </cell>
        </row>
        <row r="152">
          <cell r="B152">
            <v>10302007</v>
          </cell>
          <cell r="C152" t="str">
            <v>Dr.</v>
          </cell>
          <cell r="D152" t="str">
            <v xml:space="preserve"> Payment under Investment</v>
          </cell>
          <cell r="G152" t="str">
            <v>Ach</v>
          </cell>
          <cell r="J152">
            <v>231906735</v>
          </cell>
          <cell r="K152">
            <v>0</v>
          </cell>
          <cell r="L152">
            <v>231906735</v>
          </cell>
        </row>
        <row r="153">
          <cell r="B153">
            <v>39101000</v>
          </cell>
          <cell r="C153" t="str">
            <v>Dr.</v>
          </cell>
          <cell r="D153" t="str">
            <v xml:space="preserve"> Minority interest</v>
          </cell>
          <cell r="E153">
            <v>0</v>
          </cell>
          <cell r="F153" t="str">
            <v>Capital</v>
          </cell>
          <cell r="G153">
            <v>0</v>
          </cell>
          <cell r="J153">
            <v>668437950</v>
          </cell>
          <cell r="K153">
            <v>0</v>
          </cell>
          <cell r="L153">
            <v>668437950</v>
          </cell>
        </row>
        <row r="154">
          <cell r="B154">
            <v>39201000</v>
          </cell>
          <cell r="C154" t="str">
            <v>Dr.</v>
          </cell>
          <cell r="D154" t="str">
            <v xml:space="preserve"> Minority interest</v>
          </cell>
          <cell r="E154">
            <v>0</v>
          </cell>
          <cell r="F154" t="str">
            <v>Reserves for capital increase</v>
          </cell>
          <cell r="G154">
            <v>0</v>
          </cell>
          <cell r="J154">
            <v>222812650</v>
          </cell>
          <cell r="K154">
            <v>0</v>
          </cell>
          <cell r="L154">
            <v>222812650</v>
          </cell>
        </row>
        <row r="155">
          <cell r="B155">
            <v>30101000</v>
          </cell>
          <cell r="C155" t="str">
            <v>Cr.</v>
          </cell>
          <cell r="E155" t="str">
            <v xml:space="preserve"> Capital</v>
          </cell>
          <cell r="G155">
            <v>0</v>
          </cell>
          <cell r="J155">
            <v>0</v>
          </cell>
          <cell r="K155">
            <v>-1364158155</v>
          </cell>
          <cell r="L155">
            <v>-1364158155</v>
          </cell>
        </row>
        <row r="156">
          <cell r="B156">
            <v>30201000</v>
          </cell>
          <cell r="C156" t="str">
            <v>Cr.</v>
          </cell>
          <cell r="E156" t="str">
            <v xml:space="preserve"> Payment under capital increase</v>
          </cell>
          <cell r="G156">
            <v>0</v>
          </cell>
          <cell r="J156">
            <v>0</v>
          </cell>
          <cell r="K156">
            <v>-454719385</v>
          </cell>
          <cell r="L156">
            <v>-454719385</v>
          </cell>
        </row>
        <row r="157">
          <cell r="B157">
            <v>0</v>
          </cell>
          <cell r="C157">
            <v>0</v>
          </cell>
          <cell r="E157">
            <v>0</v>
          </cell>
          <cell r="G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>
            <v>0</v>
          </cell>
          <cell r="C158">
            <v>0</v>
          </cell>
          <cell r="E158">
            <v>0</v>
          </cell>
          <cell r="G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>
            <v>0</v>
          </cell>
          <cell r="C159">
            <v>0</v>
          </cell>
          <cell r="E159">
            <v>0</v>
          </cell>
          <cell r="J159">
            <v>1818877540</v>
          </cell>
          <cell r="K159">
            <v>-1818877540</v>
          </cell>
          <cell r="L159">
            <v>0</v>
          </cell>
        </row>
        <row r="160">
          <cell r="B160">
            <v>0</v>
          </cell>
          <cell r="C160" t="str">
            <v xml:space="preserve">Reversal 2006 - 2007 Minority interes in Net Profit elmination entry </v>
          </cell>
          <cell r="E160">
            <v>0</v>
          </cell>
          <cell r="J160">
            <v>0</v>
          </cell>
          <cell r="K160">
            <v>0</v>
          </cell>
          <cell r="L160">
            <v>0</v>
          </cell>
        </row>
        <row r="163">
          <cell r="B163">
            <v>0</v>
          </cell>
          <cell r="C163">
            <v>0</v>
          </cell>
          <cell r="D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>
            <v>0</v>
          </cell>
          <cell r="C164">
            <v>0</v>
          </cell>
          <cell r="E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B165">
            <v>0</v>
          </cell>
          <cell r="C165">
            <v>0</v>
          </cell>
          <cell r="E165">
            <v>0</v>
          </cell>
          <cell r="G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B166">
            <v>0</v>
          </cell>
          <cell r="C166">
            <v>0</v>
          </cell>
          <cell r="E166">
            <v>0</v>
          </cell>
          <cell r="G166">
            <v>0</v>
          </cell>
          <cell r="J166">
            <v>11764025.343122082</v>
          </cell>
          <cell r="K166">
            <v>-11764025.343122082</v>
          </cell>
          <cell r="L166">
            <v>0</v>
          </cell>
        </row>
        <row r="167">
          <cell r="B167">
            <v>0</v>
          </cell>
          <cell r="C167" t="str">
            <v>Record 2006 ACH investment income under the equity method ( 51% of net income less movement in RE)</v>
          </cell>
          <cell r="E167">
            <v>0</v>
          </cell>
          <cell r="G167">
            <v>0</v>
          </cell>
          <cell r="J167">
            <v>0</v>
          </cell>
          <cell r="K167">
            <v>0</v>
          </cell>
          <cell r="L167">
            <v>0</v>
          </cell>
        </row>
        <row r="170">
          <cell r="B170">
            <v>0</v>
          </cell>
          <cell r="C170">
            <v>0</v>
          </cell>
          <cell r="D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B171">
            <v>0</v>
          </cell>
          <cell r="C171">
            <v>0</v>
          </cell>
          <cell r="E171">
            <v>0</v>
          </cell>
          <cell r="J171">
            <v>12244173.334775636</v>
          </cell>
          <cell r="K171">
            <v>-12244173.334775636</v>
          </cell>
          <cell r="L171">
            <v>0</v>
          </cell>
        </row>
        <row r="174">
          <cell r="B174">
            <v>30301000</v>
          </cell>
          <cell r="C174" t="str">
            <v>Cr.</v>
          </cell>
          <cell r="D174" t="str">
            <v>Owners Equity</v>
          </cell>
          <cell r="F174" t="str">
            <v>Reserves</v>
          </cell>
          <cell r="J174">
            <v>0</v>
          </cell>
          <cell r="K174">
            <v>-290353</v>
          </cell>
          <cell r="L174">
            <v>-290353</v>
          </cell>
        </row>
        <row r="175">
          <cell r="B175">
            <v>39301000</v>
          </cell>
          <cell r="C175" t="str">
            <v>Dr.</v>
          </cell>
          <cell r="D175" t="str">
            <v>Minority Interest</v>
          </cell>
          <cell r="E175">
            <v>0</v>
          </cell>
          <cell r="F175" t="str">
            <v>Reserves</v>
          </cell>
          <cell r="J175">
            <v>142273.06664185869</v>
          </cell>
          <cell r="K175">
            <v>0</v>
          </cell>
          <cell r="L175">
            <v>142273.06664185869</v>
          </cell>
        </row>
        <row r="178">
          <cell r="B178">
            <v>0</v>
          </cell>
          <cell r="C178">
            <v>0</v>
          </cell>
          <cell r="D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>
            <v>10200100</v>
          </cell>
          <cell r="C179" t="str">
            <v>Dr.</v>
          </cell>
          <cell r="D179" t="str">
            <v>PUC Ach</v>
          </cell>
          <cell r="E179">
            <v>0</v>
          </cell>
          <cell r="J179">
            <v>8170545</v>
          </cell>
          <cell r="K179">
            <v>0</v>
          </cell>
          <cell r="L179">
            <v>8170545</v>
          </cell>
        </row>
        <row r="182">
          <cell r="B182">
            <v>0</v>
          </cell>
          <cell r="C182">
            <v>0</v>
          </cell>
          <cell r="D182">
            <v>0</v>
          </cell>
          <cell r="F182">
            <v>0</v>
          </cell>
          <cell r="J182">
            <v>8170545</v>
          </cell>
          <cell r="K182">
            <v>-8170545</v>
          </cell>
          <cell r="L182">
            <v>0</v>
          </cell>
        </row>
        <row r="183">
          <cell r="B183">
            <v>0</v>
          </cell>
          <cell r="C183" t="str">
            <v>Free Entry</v>
          </cell>
          <cell r="D183">
            <v>0</v>
          </cell>
          <cell r="F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>
            <v>0</v>
          </cell>
          <cell r="C184">
            <v>0</v>
          </cell>
          <cell r="D184">
            <v>0</v>
          </cell>
          <cell r="F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>
            <v>0</v>
          </cell>
          <cell r="C185">
            <v>0</v>
          </cell>
          <cell r="D185">
            <v>0</v>
          </cell>
          <cell r="F185">
            <v>0</v>
          </cell>
          <cell r="J185">
            <v>0</v>
          </cell>
          <cell r="K185">
            <v>0</v>
          </cell>
          <cell r="L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F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>
            <v>0</v>
          </cell>
          <cell r="C187">
            <v>0</v>
          </cell>
          <cell r="D187">
            <v>0</v>
          </cell>
          <cell r="F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>
            <v>0</v>
          </cell>
          <cell r="C188">
            <v>0</v>
          </cell>
          <cell r="E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>
            <v>0</v>
          </cell>
          <cell r="C189">
            <v>0</v>
          </cell>
          <cell r="E189">
            <v>0</v>
          </cell>
          <cell r="J189">
            <v>0</v>
          </cell>
          <cell r="K189">
            <v>0</v>
          </cell>
          <cell r="L189">
            <v>0</v>
          </cell>
        </row>
        <row r="192">
          <cell r="B192">
            <v>0</v>
          </cell>
          <cell r="C192">
            <v>0</v>
          </cell>
          <cell r="D192">
            <v>0</v>
          </cell>
          <cell r="F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B193">
            <v>0</v>
          </cell>
          <cell r="C193" t="str">
            <v>Free Entry</v>
          </cell>
          <cell r="D193">
            <v>0</v>
          </cell>
          <cell r="F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F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>
            <v>0</v>
          </cell>
          <cell r="C195">
            <v>0</v>
          </cell>
          <cell r="D195">
            <v>0</v>
          </cell>
          <cell r="F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F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F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B198">
            <v>0</v>
          </cell>
          <cell r="C198">
            <v>0</v>
          </cell>
          <cell r="E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B199">
            <v>0</v>
          </cell>
          <cell r="C199">
            <v>0</v>
          </cell>
          <cell r="E199">
            <v>0</v>
          </cell>
          <cell r="J199">
            <v>0</v>
          </cell>
          <cell r="K199">
            <v>0</v>
          </cell>
          <cell r="L199">
            <v>0</v>
          </cell>
        </row>
        <row r="202">
          <cell r="B202">
            <v>0</v>
          </cell>
          <cell r="C202">
            <v>0</v>
          </cell>
          <cell r="D202">
            <v>0</v>
          </cell>
          <cell r="J202">
            <v>0</v>
          </cell>
          <cell r="K202">
            <v>0</v>
          </cell>
          <cell r="L202">
            <v>0</v>
          </cell>
        </row>
        <row r="203">
          <cell r="B203">
            <v>0</v>
          </cell>
          <cell r="C203" t="str">
            <v>Minority interest portion in 2007 ditrupution to BOD not recorded in 2007 F S</v>
          </cell>
          <cell r="E203">
            <v>0</v>
          </cell>
          <cell r="J203">
            <v>0</v>
          </cell>
          <cell r="K203">
            <v>0</v>
          </cell>
          <cell r="L203">
            <v>0</v>
          </cell>
        </row>
        <row r="204">
          <cell r="B204">
            <v>30401000</v>
          </cell>
          <cell r="C204" t="str">
            <v>Dr.</v>
          </cell>
          <cell r="D204" t="str">
            <v>Dr Re</v>
          </cell>
          <cell r="J204">
            <v>111385</v>
          </cell>
          <cell r="K204">
            <v>0</v>
          </cell>
          <cell r="L204">
            <v>111385</v>
          </cell>
        </row>
        <row r="205">
          <cell r="B205">
            <v>39401000</v>
          </cell>
          <cell r="C205" t="str">
            <v>Cr.</v>
          </cell>
          <cell r="E205" t="str">
            <v>Cr. Minority interest RE</v>
          </cell>
          <cell r="J205">
            <v>0</v>
          </cell>
          <cell r="K205">
            <v>-111385</v>
          </cell>
          <cell r="L205">
            <v>-111385</v>
          </cell>
        </row>
        <row r="206">
          <cell r="C206">
            <v>0</v>
          </cell>
          <cell r="J206">
            <v>0</v>
          </cell>
          <cell r="K206">
            <v>0</v>
          </cell>
          <cell r="L206">
            <v>0</v>
          </cell>
        </row>
        <row r="207">
          <cell r="C207">
            <v>0</v>
          </cell>
          <cell r="J207">
            <v>0</v>
          </cell>
          <cell r="K207">
            <v>0</v>
          </cell>
          <cell r="L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</row>
        <row r="212">
          <cell r="J212">
            <v>111385</v>
          </cell>
          <cell r="K212">
            <v>-111385</v>
          </cell>
          <cell r="L212">
            <v>0</v>
          </cell>
        </row>
        <row r="213">
          <cell r="C213" t="str">
            <v>Free Entry</v>
          </cell>
          <cell r="J213">
            <v>0</v>
          </cell>
          <cell r="K213">
            <v>0</v>
          </cell>
          <cell r="L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</row>
        <row r="223">
          <cell r="C223" t="str">
            <v>Free Entry</v>
          </cell>
          <cell r="J223">
            <v>0</v>
          </cell>
          <cell r="K223">
            <v>0</v>
          </cell>
          <cell r="L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</row>
        <row r="233">
          <cell r="C233" t="str">
            <v>Free Entry</v>
          </cell>
          <cell r="J233">
            <v>0</v>
          </cell>
          <cell r="K233">
            <v>0</v>
          </cell>
          <cell r="L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</row>
        <row r="243">
          <cell r="C243" t="str">
            <v>Free Entry</v>
          </cell>
          <cell r="J243">
            <v>0</v>
          </cell>
          <cell r="K243">
            <v>0</v>
          </cell>
          <cell r="L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</row>
        <row r="253">
          <cell r="C253" t="str">
            <v>Free Entry</v>
          </cell>
          <cell r="J253">
            <v>0</v>
          </cell>
          <cell r="K253">
            <v>0</v>
          </cell>
          <cell r="L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</row>
        <row r="263">
          <cell r="C263" t="str">
            <v>Free Entry</v>
          </cell>
          <cell r="J263">
            <v>0</v>
          </cell>
          <cell r="K263">
            <v>0</v>
          </cell>
          <cell r="L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</row>
        <row r="268">
          <cell r="J268">
            <v>0</v>
          </cell>
          <cell r="K268">
            <v>0</v>
          </cell>
          <cell r="L268">
            <v>0</v>
          </cell>
        </row>
        <row r="269">
          <cell r="J269">
            <v>0</v>
          </cell>
          <cell r="K269">
            <v>0</v>
          </cell>
          <cell r="L269">
            <v>0</v>
          </cell>
        </row>
        <row r="277">
          <cell r="B277">
            <v>0</v>
          </cell>
          <cell r="D277">
            <v>0</v>
          </cell>
          <cell r="J277">
            <v>0</v>
          </cell>
          <cell r="L277">
            <v>0</v>
          </cell>
        </row>
        <row r="278">
          <cell r="B278">
            <v>0</v>
          </cell>
          <cell r="C278" t="str">
            <v>e. Record Inter Cpmpany (ACH-ARESCO ) Advanced Payments balance</v>
          </cell>
          <cell r="D278">
            <v>0</v>
          </cell>
          <cell r="J278">
            <v>0</v>
          </cell>
          <cell r="L278">
            <v>0</v>
          </cell>
        </row>
        <row r="279">
          <cell r="B279">
            <v>20800100</v>
          </cell>
          <cell r="D279" t="str">
            <v>Dr. Advances from customers</v>
          </cell>
          <cell r="E279">
            <v>0</v>
          </cell>
          <cell r="J279">
            <v>0</v>
          </cell>
          <cell r="K279">
            <v>0</v>
          </cell>
          <cell r="L279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</row>
        <row r="283">
          <cell r="C283" t="str">
            <v>Free Entry</v>
          </cell>
          <cell r="J283">
            <v>0</v>
          </cell>
          <cell r="K283">
            <v>0</v>
          </cell>
          <cell r="L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</row>
        <row r="293">
          <cell r="C293" t="str">
            <v>Free Entry</v>
          </cell>
          <cell r="J293">
            <v>0</v>
          </cell>
          <cell r="K293">
            <v>0</v>
          </cell>
          <cell r="L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</row>
        <row r="303">
          <cell r="C303" t="str">
            <v>Free Entry</v>
          </cell>
          <cell r="J303">
            <v>0</v>
          </cell>
          <cell r="K303">
            <v>0</v>
          </cell>
          <cell r="L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Chk_File"/>
      <sheetName val="Data"/>
      <sheetName val="elimination entries"/>
      <sheetName val="BS LD"/>
      <sheetName val="IS"/>
      <sheetName val="Fixed assets"/>
      <sheetName val="FA Surplus"/>
      <sheetName val="Imperment"/>
      <sheetName val="Provisions"/>
      <sheetName val="RP Balance"/>
      <sheetName val="Fixed assets R F"/>
      <sheetName val="Equity"/>
      <sheetName val="Magority Interest"/>
      <sheetName val="Minority Interest"/>
      <sheetName val="EE at date of acq."/>
      <sheetName val="Inv. since date of acqusition"/>
      <sheetName val="Sigments"/>
      <sheetName val="Balance Sheet"/>
      <sheetName val="Income Statement"/>
      <sheetName val="Shareholders' Equit"/>
      <sheetName val="Cash flow"/>
    </sheetNames>
    <sheetDataSet>
      <sheetData sheetId="0" refreshError="1"/>
      <sheetData sheetId="1" refreshError="1"/>
      <sheetData sheetId="2" refreshError="1"/>
      <sheetData sheetId="3" refreshError="1">
        <row r="8">
          <cell r="B8">
            <v>30101000</v>
          </cell>
        </row>
        <row r="25">
          <cell r="B25">
            <v>30101000</v>
          </cell>
          <cell r="C25" t="str">
            <v>Cr.</v>
          </cell>
          <cell r="D25" t="str">
            <v>Dr. Capital</v>
          </cell>
          <cell r="J25">
            <v>0</v>
          </cell>
          <cell r="K25">
            <v>0</v>
          </cell>
          <cell r="L25">
            <v>0</v>
          </cell>
        </row>
        <row r="26">
          <cell r="B26">
            <v>30201000</v>
          </cell>
          <cell r="C26" t="str">
            <v>Cr.</v>
          </cell>
          <cell r="D26" t="str">
            <v>Dr. Payment under capital increase</v>
          </cell>
          <cell r="J26">
            <v>0</v>
          </cell>
          <cell r="K26">
            <v>-5000000</v>
          </cell>
          <cell r="L26">
            <v>-5000000</v>
          </cell>
        </row>
        <row r="27">
          <cell r="B27">
            <v>10300102</v>
          </cell>
          <cell r="C27" t="str">
            <v>Cr.</v>
          </cell>
          <cell r="E27" t="str">
            <v>Cr. Investment</v>
          </cell>
          <cell r="H27" t="str">
            <v>Aresco</v>
          </cell>
          <cell r="J27">
            <v>0</v>
          </cell>
          <cell r="K27">
            <v>0</v>
          </cell>
          <cell r="L27">
            <v>0</v>
          </cell>
        </row>
        <row r="28">
          <cell r="B28">
            <v>10300107</v>
          </cell>
          <cell r="C28" t="str">
            <v>Dr.</v>
          </cell>
          <cell r="E28" t="str">
            <v>Cr. Investment</v>
          </cell>
          <cell r="H28" t="str">
            <v>Ach</v>
          </cell>
          <cell r="J28">
            <v>0</v>
          </cell>
          <cell r="K28">
            <v>0</v>
          </cell>
          <cell r="L28">
            <v>0</v>
          </cell>
        </row>
        <row r="29">
          <cell r="B29">
            <v>10300106</v>
          </cell>
          <cell r="C29" t="str">
            <v>Cr.</v>
          </cell>
          <cell r="E29" t="str">
            <v>Cr. Investment</v>
          </cell>
          <cell r="H29" t="str">
            <v>United</v>
          </cell>
          <cell r="J29">
            <v>0</v>
          </cell>
          <cell r="K29">
            <v>0</v>
          </cell>
          <cell r="L29">
            <v>0</v>
          </cell>
        </row>
        <row r="30">
          <cell r="B30">
            <v>10302007</v>
          </cell>
          <cell r="C30" t="str">
            <v>Dr.</v>
          </cell>
          <cell r="E30" t="str">
            <v>Cr. Payment under Investment</v>
          </cell>
          <cell r="H30" t="str">
            <v>Ach</v>
          </cell>
          <cell r="J30">
            <v>0</v>
          </cell>
          <cell r="K30">
            <v>0</v>
          </cell>
          <cell r="L30">
            <v>0</v>
          </cell>
        </row>
        <row r="31">
          <cell r="B31">
            <v>10302006</v>
          </cell>
          <cell r="C31" t="str">
            <v>Dr.</v>
          </cell>
          <cell r="E31" t="str">
            <v>Cr. Payment under Investment</v>
          </cell>
          <cell r="H31" t="str">
            <v>United</v>
          </cell>
          <cell r="J31">
            <v>5000000</v>
          </cell>
          <cell r="K31">
            <v>0</v>
          </cell>
          <cell r="L31">
            <v>5000000</v>
          </cell>
        </row>
        <row r="32">
          <cell r="B32">
            <v>39101000</v>
          </cell>
          <cell r="C32" t="str">
            <v>Dr.</v>
          </cell>
          <cell r="E32" t="str">
            <v>Cr. Minority interest</v>
          </cell>
          <cell r="G32" t="str">
            <v>Capital</v>
          </cell>
          <cell r="J32">
            <v>0</v>
          </cell>
          <cell r="K32">
            <v>0</v>
          </cell>
          <cell r="L32">
            <v>0</v>
          </cell>
        </row>
        <row r="33">
          <cell r="B33">
            <v>39201000</v>
          </cell>
          <cell r="C33" t="str">
            <v>Dr.</v>
          </cell>
          <cell r="E33" t="str">
            <v>Cr. Minority interest</v>
          </cell>
          <cell r="G33" t="str">
            <v>Reserves for capital increase</v>
          </cell>
          <cell r="J33">
            <v>0</v>
          </cell>
          <cell r="K33">
            <v>0</v>
          </cell>
          <cell r="L33">
            <v>0</v>
          </cell>
        </row>
        <row r="37">
          <cell r="B37">
            <v>30301000</v>
          </cell>
          <cell r="C37" t="str">
            <v>Dr.</v>
          </cell>
          <cell r="D37" t="str">
            <v>Dr.</v>
          </cell>
          <cell r="E37" t="str">
            <v>Reserves</v>
          </cell>
          <cell r="J37">
            <v>0</v>
          </cell>
          <cell r="K37">
            <v>0</v>
          </cell>
          <cell r="L37">
            <v>0</v>
          </cell>
        </row>
        <row r="38">
          <cell r="B38">
            <v>30401000</v>
          </cell>
          <cell r="C38" t="str">
            <v>Cr.</v>
          </cell>
          <cell r="E38" t="str">
            <v>Cr. Retained earnings</v>
          </cell>
          <cell r="J38">
            <v>0</v>
          </cell>
          <cell r="K38">
            <v>0</v>
          </cell>
          <cell r="L38">
            <v>0</v>
          </cell>
        </row>
        <row r="42">
          <cell r="B42">
            <v>39401000</v>
          </cell>
          <cell r="C42" t="str">
            <v>Dr.</v>
          </cell>
          <cell r="D42" t="str">
            <v>Dr. Minority Interest</v>
          </cell>
          <cell r="F42" t="str">
            <v>Retained earnings</v>
          </cell>
          <cell r="H42" t="str">
            <v>ACH</v>
          </cell>
          <cell r="J42">
            <v>0</v>
          </cell>
          <cell r="K42">
            <v>0</v>
          </cell>
          <cell r="L42">
            <v>0</v>
          </cell>
        </row>
        <row r="43">
          <cell r="B43">
            <v>39301000</v>
          </cell>
          <cell r="C43" t="str">
            <v>Cr.</v>
          </cell>
          <cell r="E43" t="str">
            <v>Dr. Minority interest</v>
          </cell>
          <cell r="G43" t="str">
            <v>Reserves</v>
          </cell>
          <cell r="H43" t="str">
            <v>ACH</v>
          </cell>
          <cell r="J43">
            <v>0</v>
          </cell>
          <cell r="K43">
            <v>0</v>
          </cell>
          <cell r="L43">
            <v>0</v>
          </cell>
        </row>
        <row r="47">
          <cell r="B47">
            <v>401</v>
          </cell>
          <cell r="C47" t="str">
            <v>Dr.</v>
          </cell>
          <cell r="D47" t="str">
            <v>Dr. Sales intercompany</v>
          </cell>
          <cell r="J47">
            <v>19919547.48</v>
          </cell>
          <cell r="K47">
            <v>0</v>
          </cell>
          <cell r="L47">
            <v>19919547.48</v>
          </cell>
        </row>
        <row r="48">
          <cell r="B48">
            <v>415</v>
          </cell>
          <cell r="C48" t="str">
            <v>Dr.</v>
          </cell>
          <cell r="D48" t="str">
            <v>Dr. Otheer operating Income - Asec Eng</v>
          </cell>
          <cell r="J48">
            <v>0</v>
          </cell>
          <cell r="K48">
            <v>0</v>
          </cell>
          <cell r="L48">
            <v>0</v>
          </cell>
        </row>
        <row r="49">
          <cell r="B49">
            <v>201</v>
          </cell>
          <cell r="C49" t="str">
            <v>Cr.</v>
          </cell>
          <cell r="E49" t="str">
            <v>Cr. COGS intercompany</v>
          </cell>
          <cell r="J49">
            <v>0</v>
          </cell>
          <cell r="K49">
            <v>-19919547.48</v>
          </cell>
          <cell r="L49">
            <v>-19919547.48</v>
          </cell>
        </row>
        <row r="50">
          <cell r="B50">
            <v>215</v>
          </cell>
          <cell r="C50" t="str">
            <v>Cr.</v>
          </cell>
          <cell r="E50" t="str">
            <v>Cr. Otheer operating Cost - Asec Eng</v>
          </cell>
          <cell r="J50">
            <v>0</v>
          </cell>
          <cell r="K50">
            <v>0</v>
          </cell>
          <cell r="L50">
            <v>0</v>
          </cell>
        </row>
        <row r="53">
          <cell r="B53">
            <v>402</v>
          </cell>
          <cell r="C53" t="str">
            <v>Dr.</v>
          </cell>
          <cell r="D53" t="str">
            <v>Dr. Sales intercompany</v>
          </cell>
          <cell r="J53">
            <v>0</v>
          </cell>
          <cell r="K53">
            <v>0</v>
          </cell>
          <cell r="L53">
            <v>0</v>
          </cell>
        </row>
        <row r="54">
          <cell r="B54">
            <v>201</v>
          </cell>
          <cell r="C54" t="str">
            <v>Cr.</v>
          </cell>
          <cell r="E54" t="str">
            <v>Cr. COGS</v>
          </cell>
          <cell r="J54">
            <v>0</v>
          </cell>
          <cell r="K54">
            <v>0</v>
          </cell>
          <cell r="L54">
            <v>0</v>
          </cell>
        </row>
        <row r="55">
          <cell r="B55">
            <v>10200100</v>
          </cell>
          <cell r="C55" t="str">
            <v>Cr.</v>
          </cell>
          <cell r="E55" t="str">
            <v>Cr. PUC</v>
          </cell>
          <cell r="J55">
            <v>0</v>
          </cell>
          <cell r="K55">
            <v>0</v>
          </cell>
          <cell r="L55">
            <v>0</v>
          </cell>
        </row>
        <row r="59">
          <cell r="B59">
            <v>401</v>
          </cell>
          <cell r="C59" t="str">
            <v>Dr.</v>
          </cell>
          <cell r="D59" t="str">
            <v>Dr. Dividends Income (P&amp;L)</v>
          </cell>
          <cell r="J59">
            <v>0</v>
          </cell>
          <cell r="K59">
            <v>0</v>
          </cell>
          <cell r="L59">
            <v>0</v>
          </cell>
        </row>
        <row r="60">
          <cell r="B60">
            <v>39401000</v>
          </cell>
          <cell r="C60" t="str">
            <v>Dr.</v>
          </cell>
          <cell r="D60" t="str">
            <v>Dr. Minority interest</v>
          </cell>
          <cell r="F60" t="str">
            <v>Retained earnings</v>
          </cell>
          <cell r="J60">
            <v>0</v>
          </cell>
          <cell r="K60">
            <v>0</v>
          </cell>
          <cell r="L60">
            <v>0</v>
          </cell>
        </row>
        <row r="61">
          <cell r="B61">
            <v>30401000</v>
          </cell>
          <cell r="C61" t="str">
            <v>Cr.</v>
          </cell>
          <cell r="E61" t="str">
            <v>Cr. Retained earnings subsidiaries</v>
          </cell>
          <cell r="J61">
            <v>0</v>
          </cell>
          <cell r="K61">
            <v>0</v>
          </cell>
          <cell r="L61">
            <v>0</v>
          </cell>
        </row>
        <row r="65">
          <cell r="B65">
            <v>210</v>
          </cell>
          <cell r="C65" t="str">
            <v>Dr.</v>
          </cell>
          <cell r="D65" t="str">
            <v>Dr. Depreciation</v>
          </cell>
          <cell r="F65" t="str">
            <v>COGS</v>
          </cell>
          <cell r="J65">
            <v>3565269.3509806683</v>
          </cell>
          <cell r="K65">
            <v>0</v>
          </cell>
          <cell r="L65">
            <v>3565269.3509806683</v>
          </cell>
        </row>
        <row r="66">
          <cell r="B66">
            <v>211</v>
          </cell>
          <cell r="C66" t="str">
            <v>Dr.</v>
          </cell>
          <cell r="D66" t="str">
            <v>Dr. Depreciation</v>
          </cell>
          <cell r="F66" t="str">
            <v>G&amp;A</v>
          </cell>
          <cell r="J66">
            <v>425128.37905135209</v>
          </cell>
          <cell r="K66">
            <v>0</v>
          </cell>
          <cell r="L66">
            <v>425128.37905135209</v>
          </cell>
        </row>
        <row r="67">
          <cell r="C67" t="str">
            <v>Dr.</v>
          </cell>
          <cell r="D67" t="str">
            <v>Dr. Minority interest</v>
          </cell>
          <cell r="F67" t="str">
            <v>B Sheet - N Income</v>
          </cell>
          <cell r="J67">
            <v>184360.22081725096</v>
          </cell>
          <cell r="K67">
            <v>0</v>
          </cell>
          <cell r="L67">
            <v>184360.22081725096</v>
          </cell>
        </row>
        <row r="68">
          <cell r="B68">
            <v>910</v>
          </cell>
          <cell r="C68" t="str">
            <v>Cr.</v>
          </cell>
          <cell r="E68" t="str">
            <v>Cr. Minority interest</v>
          </cell>
          <cell r="G68" t="str">
            <v>Current period net income</v>
          </cell>
          <cell r="J68">
            <v>0</v>
          </cell>
          <cell r="K68">
            <v>-184360.22081725096</v>
          </cell>
          <cell r="L68">
            <v>-184360.22081725096</v>
          </cell>
        </row>
        <row r="69">
          <cell r="B69">
            <v>20200100</v>
          </cell>
          <cell r="C69" t="str">
            <v>Cr.</v>
          </cell>
          <cell r="E69" t="str">
            <v>Cr F A Surplus Dep</v>
          </cell>
          <cell r="G69" t="str">
            <v>Land</v>
          </cell>
          <cell r="J69">
            <v>0</v>
          </cell>
          <cell r="K69">
            <v>0</v>
          </cell>
          <cell r="L69">
            <v>0</v>
          </cell>
        </row>
        <row r="70">
          <cell r="B70">
            <v>20200110</v>
          </cell>
          <cell r="C70" t="str">
            <v>Cr.</v>
          </cell>
          <cell r="E70" t="str">
            <v>Cr F A Surplus Dep</v>
          </cell>
          <cell r="G70" t="str">
            <v>Buildings and constructions</v>
          </cell>
          <cell r="J70">
            <v>0</v>
          </cell>
          <cell r="K70">
            <v>-175664.73100901794</v>
          </cell>
          <cell r="L70">
            <v>-175664.73100901794</v>
          </cell>
        </row>
        <row r="71">
          <cell r="B71">
            <v>20200120</v>
          </cell>
          <cell r="C71" t="str">
            <v>Cr.</v>
          </cell>
          <cell r="E71" t="str">
            <v>Cr F A Surplus Dep</v>
          </cell>
          <cell r="G71" t="str">
            <v>Machinery and equipment</v>
          </cell>
          <cell r="J71">
            <v>0</v>
          </cell>
          <cell r="K71">
            <v>-3182053.6262731822</v>
          </cell>
          <cell r="L71">
            <v>-3182053.6262731822</v>
          </cell>
        </row>
        <row r="72">
          <cell r="B72">
            <v>20200190</v>
          </cell>
          <cell r="C72" t="str">
            <v>Cr.</v>
          </cell>
          <cell r="E72" t="str">
            <v>Cr F A Surplus Dep</v>
          </cell>
          <cell r="G72" t="str">
            <v>Vehicles and Transportation means</v>
          </cell>
          <cell r="J72">
            <v>0</v>
          </cell>
          <cell r="K72">
            <v>-69263.06000925292</v>
          </cell>
          <cell r="L72">
            <v>-69263.06000925292</v>
          </cell>
        </row>
        <row r="73">
          <cell r="B73">
            <v>20200160</v>
          </cell>
          <cell r="C73" t="str">
            <v>Cr.</v>
          </cell>
          <cell r="E73" t="str">
            <v>Cr F A Surplus Dep</v>
          </cell>
          <cell r="G73" t="str">
            <v>Furniture and Office Equipments</v>
          </cell>
          <cell r="J73">
            <v>0</v>
          </cell>
          <cell r="K73">
            <v>-400288.69580389827</v>
          </cell>
          <cell r="L73">
            <v>-400288.69580389827</v>
          </cell>
        </row>
        <row r="74">
          <cell r="B74">
            <v>20200150</v>
          </cell>
          <cell r="C74" t="str">
            <v>Cr.</v>
          </cell>
          <cell r="E74" t="str">
            <v>Cr F A Surplus Dep</v>
          </cell>
          <cell r="G74" t="str">
            <v>Safty &amp; Equipments</v>
          </cell>
          <cell r="J74">
            <v>0</v>
          </cell>
          <cell r="K74">
            <v>-163127.61693666838</v>
          </cell>
          <cell r="L74">
            <v>-163127.61693666838</v>
          </cell>
        </row>
        <row r="78">
          <cell r="B78">
            <v>210</v>
          </cell>
          <cell r="C78" t="str">
            <v>Dr.</v>
          </cell>
          <cell r="D78" t="str">
            <v>Dr. Depreciation</v>
          </cell>
          <cell r="F78" t="str">
            <v>COGS</v>
          </cell>
          <cell r="J78">
            <v>-2613.4147885919715</v>
          </cell>
          <cell r="K78">
            <v>0</v>
          </cell>
          <cell r="L78">
            <v>-2613.4147885919715</v>
          </cell>
        </row>
        <row r="79">
          <cell r="B79">
            <v>211</v>
          </cell>
          <cell r="C79" t="str">
            <v>Dr.</v>
          </cell>
          <cell r="D79" t="str">
            <v>Dr. Depreciation</v>
          </cell>
          <cell r="F79" t="str">
            <v>G&amp;A</v>
          </cell>
          <cell r="J79">
            <v>-1768.4924971474079</v>
          </cell>
          <cell r="K79">
            <v>0</v>
          </cell>
          <cell r="L79">
            <v>-1768.4924971474079</v>
          </cell>
        </row>
        <row r="80">
          <cell r="C80" t="str">
            <v>Dr.</v>
          </cell>
          <cell r="D80" t="str">
            <v>Dr. Minority interest</v>
          </cell>
          <cell r="F80" t="str">
            <v>B Sheet - N Income</v>
          </cell>
          <cell r="J80">
            <v>490.63834203071906</v>
          </cell>
          <cell r="K80">
            <v>0</v>
          </cell>
          <cell r="L80">
            <v>490.63834203071906</v>
          </cell>
        </row>
        <row r="81">
          <cell r="B81">
            <v>20200100</v>
          </cell>
          <cell r="C81" t="str">
            <v>Dr.</v>
          </cell>
          <cell r="D81" t="str">
            <v>Dr. F A Surplus Dep</v>
          </cell>
          <cell r="F81" t="str">
            <v>Land</v>
          </cell>
          <cell r="J81">
            <v>0</v>
          </cell>
          <cell r="K81">
            <v>0</v>
          </cell>
          <cell r="L81">
            <v>0</v>
          </cell>
        </row>
        <row r="82">
          <cell r="B82">
            <v>20200110</v>
          </cell>
          <cell r="C82" t="str">
            <v>Dr.</v>
          </cell>
          <cell r="D82" t="str">
            <v>Dr. F A Surplus Dep</v>
          </cell>
          <cell r="F82" t="str">
            <v>Buildings and constructions</v>
          </cell>
          <cell r="J82">
            <v>0</v>
          </cell>
          <cell r="K82">
            <v>0</v>
          </cell>
          <cell r="L82">
            <v>0</v>
          </cell>
        </row>
        <row r="83">
          <cell r="B83">
            <v>20200120</v>
          </cell>
          <cell r="C83" t="str">
            <v>Dr.</v>
          </cell>
          <cell r="D83" t="str">
            <v>Dr. F A Surplus Dep</v>
          </cell>
          <cell r="F83" t="str">
            <v>Machinery and equipment</v>
          </cell>
          <cell r="J83">
            <v>0</v>
          </cell>
          <cell r="K83">
            <v>0</v>
          </cell>
          <cell r="L83">
            <v>0</v>
          </cell>
        </row>
        <row r="84">
          <cell r="B84">
            <v>20200190</v>
          </cell>
          <cell r="C84" t="str">
            <v>Dr.</v>
          </cell>
          <cell r="D84" t="str">
            <v>Dr. F A Surplus Dep</v>
          </cell>
          <cell r="F84" t="str">
            <v>Vehicles and Transportation means</v>
          </cell>
          <cell r="J84">
            <v>-22002.422198291879</v>
          </cell>
          <cell r="K84">
            <v>0</v>
          </cell>
          <cell r="L84">
            <v>-22002.422198291879</v>
          </cell>
        </row>
        <row r="85">
          <cell r="B85">
            <v>20200160</v>
          </cell>
          <cell r="C85" t="str">
            <v>Dr.</v>
          </cell>
          <cell r="D85" t="str">
            <v>Dr. F A Surplus Dep</v>
          </cell>
          <cell r="F85" t="str">
            <v>Furniture and Office Equipments</v>
          </cell>
          <cell r="J85">
            <v>5351.174512482231</v>
          </cell>
          <cell r="K85">
            <v>0</v>
          </cell>
          <cell r="L85">
            <v>5351.174512482231</v>
          </cell>
        </row>
        <row r="86">
          <cell r="B86">
            <v>20200150</v>
          </cell>
          <cell r="C86" t="str">
            <v>Dr.</v>
          </cell>
          <cell r="D86" t="str">
            <v>Dr. F A Surplus Dep</v>
          </cell>
          <cell r="F86" t="str">
            <v>Safty &amp; Equipments</v>
          </cell>
          <cell r="J86">
            <v>0</v>
          </cell>
          <cell r="K86">
            <v>0</v>
          </cell>
          <cell r="L86">
            <v>0</v>
          </cell>
        </row>
        <row r="87">
          <cell r="B87">
            <v>10100100</v>
          </cell>
          <cell r="C87" t="str">
            <v>Cr.</v>
          </cell>
          <cell r="E87" t="str">
            <v>Cr F A Surplus</v>
          </cell>
          <cell r="G87" t="str">
            <v>Land</v>
          </cell>
          <cell r="J87">
            <v>0</v>
          </cell>
          <cell r="K87">
            <v>0</v>
          </cell>
          <cell r="L87">
            <v>0</v>
          </cell>
        </row>
        <row r="88">
          <cell r="B88">
            <v>10100110</v>
          </cell>
          <cell r="C88" t="str">
            <v>Cr.</v>
          </cell>
          <cell r="E88" t="str">
            <v>Cr F A Surplus</v>
          </cell>
          <cell r="G88" t="str">
            <v>Buildings and constructions</v>
          </cell>
          <cell r="J88">
            <v>0</v>
          </cell>
          <cell r="K88">
            <v>0</v>
          </cell>
          <cell r="L88">
            <v>0</v>
          </cell>
        </row>
        <row r="89">
          <cell r="B89">
            <v>10100120</v>
          </cell>
          <cell r="C89" t="str">
            <v>Cr.</v>
          </cell>
          <cell r="E89" t="str">
            <v>Cr F A Surplus</v>
          </cell>
          <cell r="G89" t="str">
            <v>Machinery and equipment</v>
          </cell>
          <cell r="J89">
            <v>0</v>
          </cell>
          <cell r="K89">
            <v>0</v>
          </cell>
          <cell r="L89">
            <v>0</v>
          </cell>
        </row>
        <row r="90">
          <cell r="B90">
            <v>10100190</v>
          </cell>
          <cell r="C90" t="str">
            <v>Cr.</v>
          </cell>
          <cell r="E90" t="str">
            <v>Cr F A Surplus</v>
          </cell>
          <cell r="G90" t="str">
            <v>Vehicles and Transportation means</v>
          </cell>
          <cell r="J90">
            <v>0</v>
          </cell>
          <cell r="K90">
            <v>27792.533303105531</v>
          </cell>
          <cell r="L90">
            <v>27792.533303105531</v>
          </cell>
        </row>
        <row r="91">
          <cell r="B91">
            <v>10100160</v>
          </cell>
          <cell r="C91" t="str">
            <v>Cr.</v>
          </cell>
          <cell r="E91" t="str">
            <v>Cr F A Surplus</v>
          </cell>
          <cell r="G91" t="str">
            <v>Furniture and Office Equipments</v>
          </cell>
          <cell r="J91">
            <v>0</v>
          </cell>
          <cell r="K91">
            <v>-6759.3783315565033</v>
          </cell>
          <cell r="L91">
            <v>-6759.3783315565033</v>
          </cell>
        </row>
        <row r="92">
          <cell r="B92">
            <v>10100150</v>
          </cell>
          <cell r="C92" t="str">
            <v>Cr.</v>
          </cell>
          <cell r="E92" t="str">
            <v>Cr F A Surplus</v>
          </cell>
          <cell r="G92" t="str">
            <v>Safty &amp; Equipments</v>
          </cell>
          <cell r="J92">
            <v>0</v>
          </cell>
          <cell r="K92">
            <v>0</v>
          </cell>
          <cell r="L92">
            <v>0</v>
          </cell>
        </row>
        <row r="93">
          <cell r="B93">
            <v>910</v>
          </cell>
          <cell r="C93" t="str">
            <v>Cr.</v>
          </cell>
          <cell r="E93" t="str">
            <v>Cr. Minority interest</v>
          </cell>
          <cell r="G93" t="str">
            <v>Current period net income</v>
          </cell>
          <cell r="J93">
            <v>0</v>
          </cell>
          <cell r="K93">
            <v>-490.63834203071906</v>
          </cell>
          <cell r="L93">
            <v>-490.63834203071906</v>
          </cell>
        </row>
        <row r="94">
          <cell r="J94">
            <v>0</v>
          </cell>
          <cell r="K94">
            <v>0</v>
          </cell>
          <cell r="L94">
            <v>0</v>
          </cell>
        </row>
        <row r="98">
          <cell r="B98">
            <v>30401000</v>
          </cell>
          <cell r="C98" t="str">
            <v>Dr.</v>
          </cell>
          <cell r="D98" t="str">
            <v>Dr. Retained earnings</v>
          </cell>
          <cell r="J98">
            <v>0</v>
          </cell>
          <cell r="L98">
            <v>0</v>
          </cell>
        </row>
        <row r="99">
          <cell r="B99">
            <v>39401000</v>
          </cell>
          <cell r="C99" t="str">
            <v>Dr.</v>
          </cell>
          <cell r="D99" t="str">
            <v>Dr. Minority interest</v>
          </cell>
          <cell r="F99" t="str">
            <v>RE</v>
          </cell>
          <cell r="J99">
            <v>0</v>
          </cell>
          <cell r="K99">
            <v>0</v>
          </cell>
          <cell r="L99">
            <v>0</v>
          </cell>
        </row>
        <row r="100">
          <cell r="B100">
            <v>20200100</v>
          </cell>
          <cell r="C100" t="str">
            <v>Dr.</v>
          </cell>
          <cell r="D100" t="str">
            <v>Dr. F A Surplus Dep</v>
          </cell>
          <cell r="F100" t="str">
            <v>Land</v>
          </cell>
          <cell r="J100">
            <v>0</v>
          </cell>
          <cell r="K100">
            <v>0</v>
          </cell>
          <cell r="L100">
            <v>0</v>
          </cell>
        </row>
        <row r="101">
          <cell r="B101">
            <v>20200110</v>
          </cell>
          <cell r="C101" t="str">
            <v>Dr.</v>
          </cell>
          <cell r="D101" t="str">
            <v>Dr. F A Surplus Dep</v>
          </cell>
          <cell r="F101" t="str">
            <v>Buildings and constructions</v>
          </cell>
          <cell r="J101">
            <v>0</v>
          </cell>
          <cell r="K101">
            <v>0</v>
          </cell>
          <cell r="L101">
            <v>0</v>
          </cell>
        </row>
        <row r="102">
          <cell r="B102">
            <v>20200120</v>
          </cell>
          <cell r="C102" t="str">
            <v>Dr.</v>
          </cell>
          <cell r="D102" t="str">
            <v>Dr. F A Surplus Dep</v>
          </cell>
          <cell r="F102" t="str">
            <v>Machinery and equipment</v>
          </cell>
          <cell r="J102">
            <v>0</v>
          </cell>
          <cell r="K102">
            <v>0</v>
          </cell>
          <cell r="L102">
            <v>0</v>
          </cell>
        </row>
        <row r="103">
          <cell r="B103">
            <v>20200190</v>
          </cell>
          <cell r="C103" t="str">
            <v>Dr.</v>
          </cell>
          <cell r="D103" t="str">
            <v>Dr. F A Surplus Dep</v>
          </cell>
          <cell r="F103" t="str">
            <v>Vehicles and Transportation means</v>
          </cell>
          <cell r="J103">
            <v>0</v>
          </cell>
          <cell r="K103">
            <v>0</v>
          </cell>
          <cell r="L103">
            <v>0</v>
          </cell>
        </row>
        <row r="104">
          <cell r="B104">
            <v>20200160</v>
          </cell>
          <cell r="C104" t="str">
            <v>Dr.</v>
          </cell>
          <cell r="D104" t="str">
            <v>Dr. F A Surplus Dep</v>
          </cell>
          <cell r="F104" t="str">
            <v>Furniture and Office Equipments</v>
          </cell>
          <cell r="J104">
            <v>0</v>
          </cell>
          <cell r="K104">
            <v>0</v>
          </cell>
          <cell r="L104">
            <v>0</v>
          </cell>
        </row>
        <row r="105">
          <cell r="B105">
            <v>20200150</v>
          </cell>
          <cell r="C105" t="str">
            <v>Dr.</v>
          </cell>
          <cell r="D105" t="str">
            <v>Dr. F A Surplus Dep</v>
          </cell>
          <cell r="F105" t="str">
            <v>Safty &amp; Equipments</v>
          </cell>
          <cell r="J105">
            <v>0</v>
          </cell>
          <cell r="K105">
            <v>0</v>
          </cell>
          <cell r="L105">
            <v>0</v>
          </cell>
        </row>
        <row r="106">
          <cell r="B106">
            <v>10100100</v>
          </cell>
          <cell r="C106" t="str">
            <v>Cr.</v>
          </cell>
          <cell r="E106" t="str">
            <v>Cr F A Surplus</v>
          </cell>
          <cell r="G106" t="str">
            <v>Land</v>
          </cell>
          <cell r="J106">
            <v>0</v>
          </cell>
          <cell r="K106">
            <v>0</v>
          </cell>
          <cell r="L106">
            <v>0</v>
          </cell>
        </row>
        <row r="107">
          <cell r="B107">
            <v>10100110</v>
          </cell>
          <cell r="C107" t="str">
            <v>Cr.</v>
          </cell>
          <cell r="E107" t="str">
            <v>Cr F A Surplus</v>
          </cell>
          <cell r="G107" t="str">
            <v>Buildings and constructions</v>
          </cell>
          <cell r="J107">
            <v>0</v>
          </cell>
          <cell r="K107">
            <v>0</v>
          </cell>
          <cell r="L107">
            <v>0</v>
          </cell>
        </row>
        <row r="108">
          <cell r="B108">
            <v>10100120</v>
          </cell>
          <cell r="C108" t="str">
            <v>Cr.</v>
          </cell>
          <cell r="E108" t="str">
            <v>Cr F A Surplus</v>
          </cell>
          <cell r="G108" t="str">
            <v>Machinery and equipment</v>
          </cell>
          <cell r="J108">
            <v>0</v>
          </cell>
          <cell r="K108">
            <v>0</v>
          </cell>
          <cell r="L108">
            <v>0</v>
          </cell>
        </row>
        <row r="109">
          <cell r="B109">
            <v>10100190</v>
          </cell>
          <cell r="C109" t="str">
            <v>Cr.</v>
          </cell>
          <cell r="E109" t="str">
            <v>Cr F A Surplus</v>
          </cell>
          <cell r="G109" t="str">
            <v>Vehicles and Transportation means</v>
          </cell>
          <cell r="J109">
            <v>0</v>
          </cell>
          <cell r="K109">
            <v>0</v>
          </cell>
          <cell r="L109">
            <v>0</v>
          </cell>
        </row>
        <row r="110">
          <cell r="B110">
            <v>10100160</v>
          </cell>
          <cell r="C110" t="str">
            <v>Cr.</v>
          </cell>
          <cell r="E110" t="str">
            <v>Cr F A Surplus</v>
          </cell>
          <cell r="G110" t="str">
            <v>Furniture and Office Equipments</v>
          </cell>
          <cell r="J110">
            <v>0</v>
          </cell>
          <cell r="K110">
            <v>0</v>
          </cell>
          <cell r="L110">
            <v>0</v>
          </cell>
        </row>
        <row r="111">
          <cell r="B111">
            <v>10100150</v>
          </cell>
          <cell r="C111" t="str">
            <v>Cr.</v>
          </cell>
          <cell r="E111" t="str">
            <v>Cr F A Surplus</v>
          </cell>
          <cell r="G111" t="str">
            <v>Safty &amp; Equipments</v>
          </cell>
          <cell r="J111">
            <v>0</v>
          </cell>
          <cell r="K111">
            <v>0</v>
          </cell>
          <cell r="L111">
            <v>0</v>
          </cell>
        </row>
        <row r="115">
          <cell r="B115">
            <v>910</v>
          </cell>
          <cell r="C115" t="str">
            <v>Dr.</v>
          </cell>
          <cell r="D115" t="str">
            <v>Dr. Minority interest income S</v>
          </cell>
          <cell r="J115">
            <v>2484740.7185544837</v>
          </cell>
          <cell r="K115">
            <v>0</v>
          </cell>
          <cell r="L115">
            <v>2484740.7185544837</v>
          </cell>
        </row>
        <row r="116">
          <cell r="C116" t="str">
            <v>Cr.</v>
          </cell>
          <cell r="E116" t="str">
            <v>Cr. Minority interest interest B Sheet</v>
          </cell>
          <cell r="J116">
            <v>0</v>
          </cell>
          <cell r="K116">
            <v>-2484740.7185544837</v>
          </cell>
          <cell r="L116">
            <v>-2484740.7185544837</v>
          </cell>
        </row>
        <row r="120">
          <cell r="B120">
            <v>39601000</v>
          </cell>
          <cell r="C120" t="str">
            <v>Dr.</v>
          </cell>
          <cell r="D120" t="str">
            <v>Dr.Minority interest</v>
          </cell>
          <cell r="F120" t="str">
            <v>Unreaslized gain</v>
          </cell>
          <cell r="J120">
            <v>2779480.828018581</v>
          </cell>
          <cell r="K120">
            <v>0</v>
          </cell>
          <cell r="L120">
            <v>2779480.828018581</v>
          </cell>
        </row>
        <row r="121">
          <cell r="B121">
            <v>39701000</v>
          </cell>
          <cell r="C121" t="str">
            <v>Dr.</v>
          </cell>
          <cell r="D121" t="str">
            <v>Dr.Minority interest</v>
          </cell>
          <cell r="F121" t="str">
            <v>Translation Adj</v>
          </cell>
          <cell r="J121">
            <v>2699546.5837216289</v>
          </cell>
          <cell r="K121">
            <v>0</v>
          </cell>
          <cell r="L121">
            <v>2699546.5837216289</v>
          </cell>
        </row>
        <row r="122">
          <cell r="B122">
            <v>30501000</v>
          </cell>
          <cell r="C122" t="str">
            <v>Cr.</v>
          </cell>
          <cell r="E122" t="str">
            <v>Cr. Other changes  equity</v>
          </cell>
          <cell r="H122" t="str">
            <v>Unreaslized gain</v>
          </cell>
          <cell r="J122">
            <v>0</v>
          </cell>
          <cell r="K122">
            <v>-2779480.828018581</v>
          </cell>
          <cell r="L122">
            <v>-2779480.828018581</v>
          </cell>
        </row>
        <row r="123">
          <cell r="B123">
            <v>30601000</v>
          </cell>
          <cell r="C123" t="str">
            <v>Cr.</v>
          </cell>
          <cell r="E123" t="str">
            <v>Cr. Other changes  equity</v>
          </cell>
          <cell r="H123" t="str">
            <v>Translation Adj</v>
          </cell>
          <cell r="J123">
            <v>0</v>
          </cell>
          <cell r="K123">
            <v>-2699546.5837216289</v>
          </cell>
          <cell r="L123">
            <v>-2699546.5837216289</v>
          </cell>
        </row>
        <row r="127">
          <cell r="B127">
            <v>39401000</v>
          </cell>
          <cell r="C127" t="str">
            <v>Dr.</v>
          </cell>
          <cell r="D127" t="str">
            <v>Dr. Minority interest</v>
          </cell>
          <cell r="F127" t="str">
            <v>Retained earnings</v>
          </cell>
          <cell r="H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B128">
            <v>30401000</v>
          </cell>
          <cell r="C128" t="str">
            <v>Cr.</v>
          </cell>
          <cell r="E128" t="str">
            <v>Cr. Retained earnings</v>
          </cell>
          <cell r="J128">
            <v>0</v>
          </cell>
          <cell r="K128">
            <v>0</v>
          </cell>
          <cell r="L128">
            <v>0</v>
          </cell>
        </row>
        <row r="132">
          <cell r="B132">
            <v>30401000</v>
          </cell>
          <cell r="C132" t="str">
            <v>Dr.</v>
          </cell>
          <cell r="D132" t="str">
            <v>Dr. Retained earnings</v>
          </cell>
          <cell r="J132">
            <v>0</v>
          </cell>
          <cell r="K132">
            <v>0</v>
          </cell>
          <cell r="L132">
            <v>0</v>
          </cell>
        </row>
        <row r="133">
          <cell r="B133">
            <v>39401000</v>
          </cell>
          <cell r="C133" t="str">
            <v>Cr.</v>
          </cell>
          <cell r="E133" t="str">
            <v>Cr. Minority interest</v>
          </cell>
          <cell r="G133" t="str">
            <v>Retained earnings</v>
          </cell>
          <cell r="J133">
            <v>0</v>
          </cell>
          <cell r="K133">
            <v>0</v>
          </cell>
          <cell r="L133">
            <v>0</v>
          </cell>
        </row>
        <row r="136">
          <cell r="B136">
            <v>10302004</v>
          </cell>
          <cell r="C136" t="str">
            <v>Dr.</v>
          </cell>
          <cell r="D136" t="str">
            <v>Dr. Payment Under investment</v>
          </cell>
          <cell r="G136" t="str">
            <v>asa</v>
          </cell>
          <cell r="J136">
            <v>0</v>
          </cell>
          <cell r="K136">
            <v>0</v>
          </cell>
          <cell r="L136">
            <v>0</v>
          </cell>
        </row>
        <row r="137">
          <cell r="B137">
            <v>10302002</v>
          </cell>
          <cell r="C137" t="str">
            <v>Dr.</v>
          </cell>
          <cell r="D137" t="str">
            <v>Dr. Payment Under investment</v>
          </cell>
          <cell r="G137" t="str">
            <v>aresco</v>
          </cell>
          <cell r="J137">
            <v>0</v>
          </cell>
          <cell r="K137">
            <v>0</v>
          </cell>
          <cell r="L137">
            <v>0</v>
          </cell>
        </row>
        <row r="138">
          <cell r="B138">
            <v>10300104</v>
          </cell>
          <cell r="C138" t="str">
            <v>Cr.</v>
          </cell>
          <cell r="E138" t="str">
            <v>Cr. Investment - ASA</v>
          </cell>
          <cell r="J138">
            <v>0</v>
          </cell>
          <cell r="K138">
            <v>0</v>
          </cell>
          <cell r="L138">
            <v>0</v>
          </cell>
        </row>
        <row r="139">
          <cell r="B139">
            <v>30201000</v>
          </cell>
          <cell r="C139" t="str">
            <v>Cr.</v>
          </cell>
          <cell r="E139" t="str">
            <v>Cr. Reserves for capital increase - Aresco</v>
          </cell>
          <cell r="J139">
            <v>0</v>
          </cell>
          <cell r="K139">
            <v>0</v>
          </cell>
          <cell r="L139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C144">
            <v>0</v>
          </cell>
          <cell r="E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B145">
            <v>0</v>
          </cell>
          <cell r="C145">
            <v>0</v>
          </cell>
          <cell r="E145">
            <v>0</v>
          </cell>
          <cell r="J145">
            <v>0</v>
          </cell>
          <cell r="K145">
            <v>0</v>
          </cell>
          <cell r="L145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F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B151">
            <v>10300107</v>
          </cell>
          <cell r="C151" t="str">
            <v>Dr.</v>
          </cell>
          <cell r="D151" t="str">
            <v xml:space="preserve"> Investment</v>
          </cell>
          <cell r="F151">
            <v>0</v>
          </cell>
          <cell r="G151" t="str">
            <v>Ach</v>
          </cell>
          <cell r="J151">
            <v>695720205</v>
          </cell>
          <cell r="K151">
            <v>0</v>
          </cell>
          <cell r="L151">
            <v>695720205</v>
          </cell>
        </row>
        <row r="152">
          <cell r="B152">
            <v>10302007</v>
          </cell>
          <cell r="C152" t="str">
            <v>Dr.</v>
          </cell>
          <cell r="D152" t="str">
            <v xml:space="preserve"> Payment under Investment</v>
          </cell>
          <cell r="G152" t="str">
            <v>Ach</v>
          </cell>
          <cell r="J152">
            <v>231906735</v>
          </cell>
          <cell r="K152">
            <v>0</v>
          </cell>
          <cell r="L152">
            <v>231906735</v>
          </cell>
        </row>
        <row r="153">
          <cell r="B153">
            <v>39101000</v>
          </cell>
          <cell r="C153" t="str">
            <v>Dr.</v>
          </cell>
          <cell r="D153" t="str">
            <v xml:space="preserve"> Minority interest</v>
          </cell>
          <cell r="E153">
            <v>0</v>
          </cell>
          <cell r="F153" t="str">
            <v>Capital</v>
          </cell>
          <cell r="G153">
            <v>0</v>
          </cell>
          <cell r="J153">
            <v>668437950</v>
          </cell>
          <cell r="K153">
            <v>0</v>
          </cell>
          <cell r="L153">
            <v>668437950</v>
          </cell>
        </row>
        <row r="154">
          <cell r="B154">
            <v>39201000</v>
          </cell>
          <cell r="C154" t="str">
            <v>Dr.</v>
          </cell>
          <cell r="D154" t="str">
            <v xml:space="preserve"> Minority interest</v>
          </cell>
          <cell r="E154">
            <v>0</v>
          </cell>
          <cell r="F154" t="str">
            <v>Reserves for capital increase</v>
          </cell>
          <cell r="G154">
            <v>0</v>
          </cell>
          <cell r="J154">
            <v>222812650</v>
          </cell>
          <cell r="K154">
            <v>0</v>
          </cell>
          <cell r="L154">
            <v>222812650</v>
          </cell>
        </row>
        <row r="155">
          <cell r="B155">
            <v>30101000</v>
          </cell>
          <cell r="C155" t="str">
            <v>Cr.</v>
          </cell>
          <cell r="E155" t="str">
            <v xml:space="preserve"> Capital</v>
          </cell>
          <cell r="G155">
            <v>0</v>
          </cell>
          <cell r="J155">
            <v>0</v>
          </cell>
          <cell r="K155">
            <v>-1364158155</v>
          </cell>
          <cell r="L155">
            <v>-1364158155</v>
          </cell>
        </row>
        <row r="156">
          <cell r="B156">
            <v>30201000</v>
          </cell>
          <cell r="C156" t="str">
            <v>Cr.</v>
          </cell>
          <cell r="E156" t="str">
            <v xml:space="preserve"> Payment under capital increase</v>
          </cell>
          <cell r="G156">
            <v>0</v>
          </cell>
          <cell r="J156">
            <v>0</v>
          </cell>
          <cell r="K156">
            <v>-454719385</v>
          </cell>
          <cell r="L156">
            <v>-454719385</v>
          </cell>
        </row>
        <row r="157">
          <cell r="B157">
            <v>0</v>
          </cell>
          <cell r="C157">
            <v>0</v>
          </cell>
          <cell r="E157">
            <v>0</v>
          </cell>
          <cell r="G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>
            <v>0</v>
          </cell>
          <cell r="C158">
            <v>0</v>
          </cell>
          <cell r="E158">
            <v>0</v>
          </cell>
          <cell r="G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>
            <v>0</v>
          </cell>
          <cell r="C159">
            <v>0</v>
          </cell>
          <cell r="E159">
            <v>0</v>
          </cell>
          <cell r="J159">
            <v>1818877540</v>
          </cell>
          <cell r="K159">
            <v>-1818877540</v>
          </cell>
          <cell r="L159">
            <v>0</v>
          </cell>
        </row>
        <row r="160">
          <cell r="B160">
            <v>0</v>
          </cell>
          <cell r="C160" t="str">
            <v xml:space="preserve">Reversal 2006 - 2007 Minority interes in Net Profit elmination entry </v>
          </cell>
          <cell r="E160">
            <v>0</v>
          </cell>
          <cell r="J160">
            <v>0</v>
          </cell>
          <cell r="K160">
            <v>0</v>
          </cell>
          <cell r="L160">
            <v>0</v>
          </cell>
        </row>
        <row r="163">
          <cell r="B163">
            <v>0</v>
          </cell>
          <cell r="C163">
            <v>0</v>
          </cell>
          <cell r="D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>
            <v>0</v>
          </cell>
          <cell r="C164">
            <v>0</v>
          </cell>
          <cell r="E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B165">
            <v>0</v>
          </cell>
          <cell r="C165">
            <v>0</v>
          </cell>
          <cell r="E165">
            <v>0</v>
          </cell>
          <cell r="G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B166">
            <v>0</v>
          </cell>
          <cell r="C166">
            <v>0</v>
          </cell>
          <cell r="E166">
            <v>0</v>
          </cell>
          <cell r="G166">
            <v>0</v>
          </cell>
          <cell r="J166">
            <v>11764025.343122082</v>
          </cell>
          <cell r="K166">
            <v>-11764025.343122082</v>
          </cell>
          <cell r="L166">
            <v>0</v>
          </cell>
        </row>
        <row r="167">
          <cell r="B167">
            <v>0</v>
          </cell>
          <cell r="C167" t="str">
            <v>Record 2006 ACH investment income under the equity method ( 51% of net income less movement in RE)</v>
          </cell>
          <cell r="E167">
            <v>0</v>
          </cell>
          <cell r="G167">
            <v>0</v>
          </cell>
          <cell r="J167">
            <v>0</v>
          </cell>
          <cell r="K167">
            <v>0</v>
          </cell>
          <cell r="L167">
            <v>0</v>
          </cell>
        </row>
        <row r="170">
          <cell r="B170">
            <v>0</v>
          </cell>
          <cell r="C170">
            <v>0</v>
          </cell>
          <cell r="D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B171">
            <v>0</v>
          </cell>
          <cell r="C171">
            <v>0</v>
          </cell>
          <cell r="E171">
            <v>0</v>
          </cell>
          <cell r="J171">
            <v>12244173.334775636</v>
          </cell>
          <cell r="K171">
            <v>-12244173.334775636</v>
          </cell>
          <cell r="L171">
            <v>0</v>
          </cell>
        </row>
        <row r="174">
          <cell r="B174">
            <v>30301000</v>
          </cell>
          <cell r="C174" t="str">
            <v>Cr.</v>
          </cell>
          <cell r="D174" t="str">
            <v>Owners Equity</v>
          </cell>
          <cell r="F174" t="str">
            <v>Reserves</v>
          </cell>
          <cell r="J174">
            <v>0</v>
          </cell>
          <cell r="K174">
            <v>-290353</v>
          </cell>
          <cell r="L174">
            <v>-290353</v>
          </cell>
        </row>
        <row r="175">
          <cell r="B175">
            <v>39301000</v>
          </cell>
          <cell r="C175" t="str">
            <v>Dr.</v>
          </cell>
          <cell r="D175" t="str">
            <v>Minority Interest</v>
          </cell>
          <cell r="E175">
            <v>0</v>
          </cell>
          <cell r="F175" t="str">
            <v>Reserves</v>
          </cell>
          <cell r="J175">
            <v>142273.06664185869</v>
          </cell>
          <cell r="K175">
            <v>0</v>
          </cell>
          <cell r="L175">
            <v>142273.06664185869</v>
          </cell>
        </row>
        <row r="178">
          <cell r="B178">
            <v>0</v>
          </cell>
          <cell r="C178">
            <v>0</v>
          </cell>
          <cell r="D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>
            <v>10200100</v>
          </cell>
          <cell r="C179" t="str">
            <v>Dr.</v>
          </cell>
          <cell r="D179" t="str">
            <v>PUC Ach</v>
          </cell>
          <cell r="E179">
            <v>0</v>
          </cell>
          <cell r="J179">
            <v>8170545</v>
          </cell>
          <cell r="K179">
            <v>0</v>
          </cell>
          <cell r="L179">
            <v>8170545</v>
          </cell>
        </row>
        <row r="182">
          <cell r="B182">
            <v>0</v>
          </cell>
          <cell r="C182">
            <v>0</v>
          </cell>
          <cell r="D182">
            <v>0</v>
          </cell>
          <cell r="F182">
            <v>0</v>
          </cell>
          <cell r="J182">
            <v>8170545</v>
          </cell>
          <cell r="K182">
            <v>-8170545</v>
          </cell>
          <cell r="L182">
            <v>0</v>
          </cell>
        </row>
        <row r="183">
          <cell r="B183">
            <v>0</v>
          </cell>
          <cell r="C183" t="str">
            <v>Free Entry</v>
          </cell>
          <cell r="D183">
            <v>0</v>
          </cell>
          <cell r="F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>
            <v>0</v>
          </cell>
          <cell r="C184">
            <v>0</v>
          </cell>
          <cell r="D184">
            <v>0</v>
          </cell>
          <cell r="F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>
            <v>0</v>
          </cell>
          <cell r="C185">
            <v>0</v>
          </cell>
          <cell r="D185">
            <v>0</v>
          </cell>
          <cell r="F185">
            <v>0</v>
          </cell>
          <cell r="J185">
            <v>0</v>
          </cell>
          <cell r="K185">
            <v>0</v>
          </cell>
          <cell r="L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F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>
            <v>0</v>
          </cell>
          <cell r="C187">
            <v>0</v>
          </cell>
          <cell r="D187">
            <v>0</v>
          </cell>
          <cell r="F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>
            <v>0</v>
          </cell>
          <cell r="C188">
            <v>0</v>
          </cell>
          <cell r="E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>
            <v>0</v>
          </cell>
          <cell r="C189">
            <v>0</v>
          </cell>
          <cell r="E189">
            <v>0</v>
          </cell>
          <cell r="J189">
            <v>0</v>
          </cell>
          <cell r="K189">
            <v>0</v>
          </cell>
          <cell r="L189">
            <v>0</v>
          </cell>
        </row>
        <row r="192">
          <cell r="B192">
            <v>0</v>
          </cell>
          <cell r="C192">
            <v>0</v>
          </cell>
          <cell r="D192">
            <v>0</v>
          </cell>
          <cell r="F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B193">
            <v>0</v>
          </cell>
          <cell r="C193" t="str">
            <v>Free Entry</v>
          </cell>
          <cell r="D193">
            <v>0</v>
          </cell>
          <cell r="F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F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>
            <v>0</v>
          </cell>
          <cell r="C195">
            <v>0</v>
          </cell>
          <cell r="D195">
            <v>0</v>
          </cell>
          <cell r="F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F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F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B198">
            <v>0</v>
          </cell>
          <cell r="C198">
            <v>0</v>
          </cell>
          <cell r="E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B199">
            <v>0</v>
          </cell>
          <cell r="C199">
            <v>0</v>
          </cell>
          <cell r="E199">
            <v>0</v>
          </cell>
          <cell r="J199">
            <v>0</v>
          </cell>
          <cell r="K199">
            <v>0</v>
          </cell>
          <cell r="L199">
            <v>0</v>
          </cell>
        </row>
        <row r="202">
          <cell r="B202">
            <v>0</v>
          </cell>
          <cell r="C202">
            <v>0</v>
          </cell>
          <cell r="D202">
            <v>0</v>
          </cell>
          <cell r="J202">
            <v>0</v>
          </cell>
          <cell r="K202">
            <v>0</v>
          </cell>
          <cell r="L202">
            <v>0</v>
          </cell>
        </row>
        <row r="203">
          <cell r="B203">
            <v>0</v>
          </cell>
          <cell r="C203" t="str">
            <v>Minority interest portion in 2007 ditrupution to BOD not recorded in 2007 F S</v>
          </cell>
          <cell r="E203">
            <v>0</v>
          </cell>
          <cell r="J203">
            <v>0</v>
          </cell>
          <cell r="K203">
            <v>0</v>
          </cell>
          <cell r="L203">
            <v>0</v>
          </cell>
        </row>
        <row r="204">
          <cell r="B204">
            <v>30401000</v>
          </cell>
          <cell r="C204" t="str">
            <v>Dr.</v>
          </cell>
          <cell r="D204" t="str">
            <v>Dr Re</v>
          </cell>
          <cell r="J204">
            <v>111385</v>
          </cell>
          <cell r="K204">
            <v>0</v>
          </cell>
          <cell r="L204">
            <v>111385</v>
          </cell>
        </row>
        <row r="205">
          <cell r="B205">
            <v>39401000</v>
          </cell>
          <cell r="C205" t="str">
            <v>Cr.</v>
          </cell>
          <cell r="E205" t="str">
            <v>Cr. Minority interest RE</v>
          </cell>
          <cell r="J205">
            <v>0</v>
          </cell>
          <cell r="K205">
            <v>-111385</v>
          </cell>
          <cell r="L205">
            <v>-111385</v>
          </cell>
        </row>
        <row r="206">
          <cell r="C206">
            <v>0</v>
          </cell>
          <cell r="J206">
            <v>0</v>
          </cell>
          <cell r="K206">
            <v>0</v>
          </cell>
          <cell r="L206">
            <v>0</v>
          </cell>
        </row>
        <row r="207">
          <cell r="C207">
            <v>0</v>
          </cell>
          <cell r="J207">
            <v>0</v>
          </cell>
          <cell r="K207">
            <v>0</v>
          </cell>
          <cell r="L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</row>
        <row r="212">
          <cell r="J212">
            <v>111385</v>
          </cell>
          <cell r="K212">
            <v>-111385</v>
          </cell>
          <cell r="L212">
            <v>0</v>
          </cell>
        </row>
        <row r="213">
          <cell r="C213" t="str">
            <v>Free Entry</v>
          </cell>
          <cell r="J213">
            <v>0</v>
          </cell>
          <cell r="K213">
            <v>0</v>
          </cell>
          <cell r="L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</row>
        <row r="223">
          <cell r="C223" t="str">
            <v>Free Entry</v>
          </cell>
          <cell r="J223">
            <v>0</v>
          </cell>
          <cell r="K223">
            <v>0</v>
          </cell>
          <cell r="L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</row>
        <row r="233">
          <cell r="C233" t="str">
            <v>Free Entry</v>
          </cell>
          <cell r="J233">
            <v>0</v>
          </cell>
          <cell r="K233">
            <v>0</v>
          </cell>
          <cell r="L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</row>
        <row r="243">
          <cell r="C243" t="str">
            <v>Free Entry</v>
          </cell>
          <cell r="J243">
            <v>0</v>
          </cell>
          <cell r="K243">
            <v>0</v>
          </cell>
          <cell r="L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</row>
        <row r="253">
          <cell r="C253" t="str">
            <v>Free Entry</v>
          </cell>
          <cell r="J253">
            <v>0</v>
          </cell>
          <cell r="K253">
            <v>0</v>
          </cell>
          <cell r="L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</row>
        <row r="263">
          <cell r="C263" t="str">
            <v>Free Entry</v>
          </cell>
          <cell r="J263">
            <v>0</v>
          </cell>
          <cell r="K263">
            <v>0</v>
          </cell>
          <cell r="L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</row>
        <row r="268">
          <cell r="J268">
            <v>0</v>
          </cell>
          <cell r="K268">
            <v>0</v>
          </cell>
          <cell r="L268">
            <v>0</v>
          </cell>
        </row>
        <row r="269">
          <cell r="J269">
            <v>0</v>
          </cell>
          <cell r="K269">
            <v>0</v>
          </cell>
          <cell r="L269">
            <v>0</v>
          </cell>
        </row>
        <row r="277">
          <cell r="B277">
            <v>0</v>
          </cell>
          <cell r="D277">
            <v>0</v>
          </cell>
          <cell r="J277">
            <v>0</v>
          </cell>
          <cell r="L277">
            <v>0</v>
          </cell>
        </row>
        <row r="278">
          <cell r="B278">
            <v>0</v>
          </cell>
          <cell r="C278" t="str">
            <v>e. Record Inter Cpmpany (ACH-ARESCO ) Advanced Payments balance</v>
          </cell>
          <cell r="D278">
            <v>0</v>
          </cell>
          <cell r="J278">
            <v>0</v>
          </cell>
          <cell r="L278">
            <v>0</v>
          </cell>
        </row>
        <row r="279">
          <cell r="B279">
            <v>20800100</v>
          </cell>
          <cell r="D279" t="str">
            <v>Dr. Advances from customers</v>
          </cell>
          <cell r="E279">
            <v>0</v>
          </cell>
          <cell r="J279">
            <v>0</v>
          </cell>
          <cell r="K279">
            <v>0</v>
          </cell>
          <cell r="L279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</row>
        <row r="283">
          <cell r="C283" t="str">
            <v>Free Entry</v>
          </cell>
          <cell r="J283">
            <v>0</v>
          </cell>
          <cell r="K283">
            <v>0</v>
          </cell>
          <cell r="L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</row>
        <row r="293">
          <cell r="C293" t="str">
            <v>Free Entry</v>
          </cell>
          <cell r="J293">
            <v>0</v>
          </cell>
          <cell r="K293">
            <v>0</v>
          </cell>
          <cell r="L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</row>
        <row r="303">
          <cell r="C303" t="str">
            <v>Free Entry</v>
          </cell>
          <cell r="J303">
            <v>0</v>
          </cell>
          <cell r="K303">
            <v>0</v>
          </cell>
          <cell r="L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Chk_File"/>
      <sheetName val="Data"/>
      <sheetName val="elimination entries"/>
      <sheetName val="BS LD"/>
      <sheetName val="IS"/>
      <sheetName val="Fixed assets"/>
      <sheetName val="FA Surplus"/>
      <sheetName val="Imperment"/>
      <sheetName val="Provisions"/>
      <sheetName val="RP Balance"/>
      <sheetName val="Fixed assets R F"/>
      <sheetName val="Equity"/>
      <sheetName val="Magority Interest"/>
      <sheetName val="Minority Interest"/>
      <sheetName val="EE at date of acq."/>
      <sheetName val="Inv. since date of acqusition"/>
      <sheetName val="Sigments"/>
      <sheetName val="Balance Sheet"/>
      <sheetName val="Income Statement"/>
      <sheetName val="Shareholders' Equit"/>
      <sheetName val="Cash flow"/>
    </sheetNames>
    <sheetDataSet>
      <sheetData sheetId="0"/>
      <sheetData sheetId="1"/>
      <sheetData sheetId="2"/>
      <sheetData sheetId="3">
        <row r="8">
          <cell r="B8">
            <v>30101000</v>
          </cell>
          <cell r="C8" t="str">
            <v>Dr.</v>
          </cell>
          <cell r="D8" t="str">
            <v>Dr. Owners Equity</v>
          </cell>
          <cell r="F8" t="str">
            <v>Capital</v>
          </cell>
          <cell r="J8">
            <v>0</v>
          </cell>
          <cell r="K8">
            <v>0</v>
          </cell>
          <cell r="L8">
            <v>0</v>
          </cell>
        </row>
        <row r="9">
          <cell r="B9">
            <v>30301000</v>
          </cell>
          <cell r="C9" t="str">
            <v>Dr.</v>
          </cell>
          <cell r="D9" t="str">
            <v>Dr. Owners Equity</v>
          </cell>
          <cell r="F9" t="str">
            <v>Reserves</v>
          </cell>
          <cell r="J9">
            <v>0</v>
          </cell>
          <cell r="K9">
            <v>0</v>
          </cell>
          <cell r="L9">
            <v>0</v>
          </cell>
        </row>
        <row r="10">
          <cell r="B10">
            <v>30401000</v>
          </cell>
          <cell r="C10" t="str">
            <v>Dr.</v>
          </cell>
          <cell r="D10" t="str">
            <v>Dr. Owners Equity</v>
          </cell>
          <cell r="F10" t="str">
            <v>RE + NP - RE 6Months Nincome</v>
          </cell>
          <cell r="J10">
            <v>0</v>
          </cell>
          <cell r="K10">
            <v>0</v>
          </cell>
          <cell r="L10">
            <v>0</v>
          </cell>
        </row>
        <row r="11">
          <cell r="B11">
            <v>10100100</v>
          </cell>
          <cell r="C11" t="str">
            <v>Dr.</v>
          </cell>
          <cell r="D11" t="str">
            <v>Dr. Fixed asset (surplus)</v>
          </cell>
          <cell r="F11" t="str">
            <v>Land</v>
          </cell>
          <cell r="J11">
            <v>0</v>
          </cell>
          <cell r="K11">
            <v>0</v>
          </cell>
          <cell r="L11">
            <v>0</v>
          </cell>
        </row>
        <row r="12">
          <cell r="B12">
            <v>10100110</v>
          </cell>
          <cell r="C12" t="str">
            <v>Dr.</v>
          </cell>
          <cell r="D12" t="str">
            <v>Dr. Fixed asset (surplus)</v>
          </cell>
          <cell r="F12" t="str">
            <v>Buildings and constructions</v>
          </cell>
          <cell r="J12">
            <v>0</v>
          </cell>
          <cell r="K12">
            <v>0</v>
          </cell>
          <cell r="L12">
            <v>0</v>
          </cell>
        </row>
        <row r="13">
          <cell r="B13">
            <v>10100120</v>
          </cell>
          <cell r="C13" t="str">
            <v>Dr.</v>
          </cell>
          <cell r="D13" t="str">
            <v>Dr. Fixed asset (surplus)</v>
          </cell>
          <cell r="F13" t="str">
            <v>Machinery and equipment</v>
          </cell>
          <cell r="J13">
            <v>0</v>
          </cell>
          <cell r="K13">
            <v>0</v>
          </cell>
          <cell r="L13">
            <v>0</v>
          </cell>
        </row>
        <row r="14">
          <cell r="B14">
            <v>10100190</v>
          </cell>
          <cell r="C14" t="str">
            <v>Dr.</v>
          </cell>
          <cell r="D14" t="str">
            <v>Dr. Fixed asset (surplus)</v>
          </cell>
          <cell r="F14" t="str">
            <v>Vehicles and Transportation means</v>
          </cell>
          <cell r="J14">
            <v>0</v>
          </cell>
          <cell r="K14">
            <v>0</v>
          </cell>
          <cell r="L14">
            <v>0</v>
          </cell>
        </row>
        <row r="15">
          <cell r="B15">
            <v>10100160</v>
          </cell>
          <cell r="C15" t="str">
            <v>Dr.</v>
          </cell>
          <cell r="D15" t="str">
            <v>Dr. Fixed asset (surplus)</v>
          </cell>
          <cell r="F15" t="str">
            <v>Furniture and Office Equipments</v>
          </cell>
          <cell r="J15">
            <v>0</v>
          </cell>
          <cell r="K15">
            <v>0</v>
          </cell>
          <cell r="L15">
            <v>0</v>
          </cell>
        </row>
        <row r="16">
          <cell r="B16">
            <v>10100150</v>
          </cell>
          <cell r="C16" t="str">
            <v>Dr.</v>
          </cell>
          <cell r="D16" t="str">
            <v>Dr. Fixed asset (surplus)</v>
          </cell>
          <cell r="F16" t="str">
            <v>Safty &amp; Equipments</v>
          </cell>
          <cell r="J16">
            <v>0</v>
          </cell>
          <cell r="K16">
            <v>0</v>
          </cell>
          <cell r="L16">
            <v>0</v>
          </cell>
        </row>
        <row r="17">
          <cell r="B17">
            <v>10400100</v>
          </cell>
          <cell r="C17" t="str">
            <v>Dr.</v>
          </cell>
          <cell r="D17" t="str">
            <v>Dr/Cr. Goodwill Balance Sheet</v>
          </cell>
          <cell r="J17">
            <v>0</v>
          </cell>
          <cell r="K17">
            <v>0</v>
          </cell>
          <cell r="L17">
            <v>0</v>
          </cell>
        </row>
        <row r="18">
          <cell r="B18">
            <v>39101000</v>
          </cell>
          <cell r="C18" t="str">
            <v>Cr.</v>
          </cell>
          <cell r="E18" t="str">
            <v>Cr Minority interest</v>
          </cell>
          <cell r="G18" t="str">
            <v>Capital</v>
          </cell>
          <cell r="J18">
            <v>0</v>
          </cell>
          <cell r="K18">
            <v>0</v>
          </cell>
          <cell r="L18">
            <v>0</v>
          </cell>
        </row>
        <row r="19">
          <cell r="B19">
            <v>39301000</v>
          </cell>
          <cell r="C19" t="str">
            <v>Cr.</v>
          </cell>
          <cell r="E19" t="str">
            <v>Cr Minority interest</v>
          </cell>
          <cell r="G19" t="str">
            <v>Reserves</v>
          </cell>
          <cell r="J19">
            <v>0</v>
          </cell>
          <cell r="K19">
            <v>0</v>
          </cell>
          <cell r="L19">
            <v>0</v>
          </cell>
        </row>
        <row r="20">
          <cell r="B20">
            <v>39401000</v>
          </cell>
          <cell r="C20" t="str">
            <v>Cr.</v>
          </cell>
          <cell r="E20" t="str">
            <v>Cr Minority interest</v>
          </cell>
          <cell r="G20" t="str">
            <v>RE</v>
          </cell>
          <cell r="J20">
            <v>0</v>
          </cell>
          <cell r="K20">
            <v>0</v>
          </cell>
          <cell r="L20">
            <v>0</v>
          </cell>
        </row>
        <row r="21">
          <cell r="B21">
            <v>39401020</v>
          </cell>
          <cell r="C21" t="str">
            <v>Cr.</v>
          </cell>
          <cell r="E21" t="str">
            <v>Cr Minority interest</v>
          </cell>
          <cell r="G21" t="str">
            <v>Fixed assets revaluation</v>
          </cell>
          <cell r="J21">
            <v>0</v>
          </cell>
          <cell r="K21">
            <v>0</v>
          </cell>
          <cell r="L21">
            <v>0</v>
          </cell>
        </row>
        <row r="22">
          <cell r="B22">
            <v>10300108</v>
          </cell>
          <cell r="C22" t="str">
            <v>Cr.</v>
          </cell>
          <cell r="E22" t="str">
            <v>Cr. Investment</v>
          </cell>
          <cell r="G22" t="str">
            <v>Esaco</v>
          </cell>
          <cell r="J22">
            <v>0</v>
          </cell>
          <cell r="K22">
            <v>0</v>
          </cell>
          <cell r="L22">
            <v>0</v>
          </cell>
        </row>
        <row r="25">
          <cell r="B25">
            <v>30101000</v>
          </cell>
          <cell r="C25" t="str">
            <v>Cr.</v>
          </cell>
          <cell r="D25" t="str">
            <v>Dr. Capital</v>
          </cell>
          <cell r="J25">
            <v>0</v>
          </cell>
          <cell r="K25">
            <v>0</v>
          </cell>
          <cell r="L25">
            <v>0</v>
          </cell>
        </row>
        <row r="26">
          <cell r="B26">
            <v>30201000</v>
          </cell>
          <cell r="C26" t="str">
            <v>Cr.</v>
          </cell>
          <cell r="D26" t="str">
            <v>Dr. Payment under capital increase</v>
          </cell>
          <cell r="J26">
            <v>0</v>
          </cell>
          <cell r="K26">
            <v>-5000000</v>
          </cell>
          <cell r="L26">
            <v>-5000000</v>
          </cell>
        </row>
        <row r="27">
          <cell r="B27">
            <v>10300102</v>
          </cell>
          <cell r="C27" t="str">
            <v>Cr.</v>
          </cell>
          <cell r="E27" t="str">
            <v>Cr. Investment</v>
          </cell>
          <cell r="H27" t="str">
            <v>Aresco</v>
          </cell>
          <cell r="J27">
            <v>0</v>
          </cell>
          <cell r="K27">
            <v>0</v>
          </cell>
          <cell r="L27">
            <v>0</v>
          </cell>
        </row>
        <row r="28">
          <cell r="B28">
            <v>10300107</v>
          </cell>
          <cell r="C28" t="str">
            <v>Dr.</v>
          </cell>
          <cell r="E28" t="str">
            <v>Cr. Investment</v>
          </cell>
          <cell r="H28" t="str">
            <v>Ach</v>
          </cell>
          <cell r="J28">
            <v>0</v>
          </cell>
          <cell r="K28">
            <v>0</v>
          </cell>
          <cell r="L28">
            <v>0</v>
          </cell>
        </row>
        <row r="29">
          <cell r="B29">
            <v>10300106</v>
          </cell>
          <cell r="C29" t="str">
            <v>Cr.</v>
          </cell>
          <cell r="E29" t="str">
            <v>Cr. Investment</v>
          </cell>
          <cell r="H29" t="str">
            <v>United</v>
          </cell>
          <cell r="J29">
            <v>0</v>
          </cell>
          <cell r="K29">
            <v>0</v>
          </cell>
          <cell r="L29">
            <v>0</v>
          </cell>
        </row>
        <row r="30">
          <cell r="B30">
            <v>10302007</v>
          </cell>
          <cell r="C30" t="str">
            <v>Dr.</v>
          </cell>
          <cell r="E30" t="str">
            <v>Cr. Payment under Investment</v>
          </cell>
          <cell r="H30" t="str">
            <v>Ach</v>
          </cell>
          <cell r="J30">
            <v>0</v>
          </cell>
          <cell r="K30">
            <v>0</v>
          </cell>
          <cell r="L30">
            <v>0</v>
          </cell>
        </row>
        <row r="31">
          <cell r="B31">
            <v>10302006</v>
          </cell>
          <cell r="C31" t="str">
            <v>Dr.</v>
          </cell>
          <cell r="E31" t="str">
            <v>Cr. Payment under Investment</v>
          </cell>
          <cell r="H31" t="str">
            <v>United</v>
          </cell>
          <cell r="J31">
            <v>5000000</v>
          </cell>
          <cell r="K31">
            <v>0</v>
          </cell>
          <cell r="L31">
            <v>5000000</v>
          </cell>
        </row>
        <row r="32">
          <cell r="B32">
            <v>39101000</v>
          </cell>
          <cell r="C32" t="str">
            <v>Dr.</v>
          </cell>
          <cell r="E32" t="str">
            <v>Cr. Minority interest</v>
          </cell>
          <cell r="G32" t="str">
            <v>Capital</v>
          </cell>
          <cell r="J32">
            <v>0</v>
          </cell>
          <cell r="K32">
            <v>0</v>
          </cell>
          <cell r="L32">
            <v>0</v>
          </cell>
        </row>
        <row r="33">
          <cell r="B33">
            <v>39201000</v>
          </cell>
          <cell r="C33" t="str">
            <v>Dr.</v>
          </cell>
          <cell r="E33" t="str">
            <v>Cr. Minority interest</v>
          </cell>
          <cell r="G33" t="str">
            <v>Reserves for capital increase</v>
          </cell>
          <cell r="J33">
            <v>0</v>
          </cell>
          <cell r="K33">
            <v>0</v>
          </cell>
          <cell r="L33">
            <v>0</v>
          </cell>
        </row>
        <row r="37">
          <cell r="B37">
            <v>30301000</v>
          </cell>
          <cell r="C37" t="str">
            <v>Dr.</v>
          </cell>
          <cell r="D37" t="str">
            <v>Dr.</v>
          </cell>
          <cell r="E37" t="str">
            <v>Reserves</v>
          </cell>
          <cell r="J37">
            <v>0</v>
          </cell>
          <cell r="K37">
            <v>0</v>
          </cell>
          <cell r="L37">
            <v>0</v>
          </cell>
        </row>
        <row r="38">
          <cell r="B38">
            <v>30401000</v>
          </cell>
          <cell r="C38" t="str">
            <v>Cr.</v>
          </cell>
          <cell r="E38" t="str">
            <v>Cr. Retained earnings</v>
          </cell>
          <cell r="J38">
            <v>0</v>
          </cell>
          <cell r="K38">
            <v>0</v>
          </cell>
          <cell r="L38">
            <v>0</v>
          </cell>
        </row>
        <row r="42">
          <cell r="B42">
            <v>39401000</v>
          </cell>
          <cell r="C42" t="str">
            <v>Dr.</v>
          </cell>
          <cell r="D42" t="str">
            <v>Dr. Minority Interest</v>
          </cell>
          <cell r="F42" t="str">
            <v>Retained earnings</v>
          </cell>
          <cell r="H42" t="str">
            <v>ACH</v>
          </cell>
          <cell r="J42">
            <v>0</v>
          </cell>
          <cell r="K42">
            <v>0</v>
          </cell>
          <cell r="L42">
            <v>0</v>
          </cell>
        </row>
        <row r="43">
          <cell r="B43">
            <v>39301000</v>
          </cell>
          <cell r="C43" t="str">
            <v>Cr.</v>
          </cell>
          <cell r="E43" t="str">
            <v>Dr. Minority interest</v>
          </cell>
          <cell r="G43" t="str">
            <v>Reserves</v>
          </cell>
          <cell r="H43" t="str">
            <v>ACH</v>
          </cell>
          <cell r="J43">
            <v>0</v>
          </cell>
          <cell r="K43">
            <v>0</v>
          </cell>
          <cell r="L43">
            <v>0</v>
          </cell>
        </row>
        <row r="47">
          <cell r="B47">
            <v>401</v>
          </cell>
          <cell r="C47" t="str">
            <v>Dr.</v>
          </cell>
          <cell r="D47" t="str">
            <v>Dr. Sales intercompany</v>
          </cell>
          <cell r="J47">
            <v>19919547.48</v>
          </cell>
          <cell r="K47">
            <v>0</v>
          </cell>
          <cell r="L47">
            <v>19919547.48</v>
          </cell>
        </row>
        <row r="48">
          <cell r="B48">
            <v>415</v>
          </cell>
          <cell r="C48" t="str">
            <v>Dr.</v>
          </cell>
          <cell r="D48" t="str">
            <v>Dr. Otheer operating Income - Asec Eng</v>
          </cell>
          <cell r="J48">
            <v>0</v>
          </cell>
          <cell r="K48">
            <v>0</v>
          </cell>
          <cell r="L48">
            <v>0</v>
          </cell>
        </row>
        <row r="49">
          <cell r="B49">
            <v>201</v>
          </cell>
          <cell r="C49" t="str">
            <v>Cr.</v>
          </cell>
          <cell r="E49" t="str">
            <v>Cr. COGS intercompany</v>
          </cell>
          <cell r="J49">
            <v>0</v>
          </cell>
          <cell r="K49">
            <v>-19919547.48</v>
          </cell>
          <cell r="L49">
            <v>-19919547.48</v>
          </cell>
        </row>
        <row r="50">
          <cell r="B50">
            <v>215</v>
          </cell>
          <cell r="C50" t="str">
            <v>Cr.</v>
          </cell>
          <cell r="E50" t="str">
            <v>Cr. Otheer operating Cost - Asec Eng</v>
          </cell>
          <cell r="J50">
            <v>0</v>
          </cell>
          <cell r="K50">
            <v>0</v>
          </cell>
          <cell r="L50">
            <v>0</v>
          </cell>
        </row>
        <row r="53">
          <cell r="B53">
            <v>402</v>
          </cell>
          <cell r="C53" t="str">
            <v>Dr.</v>
          </cell>
          <cell r="D53" t="str">
            <v>Dr. Sales intercompany</v>
          </cell>
          <cell r="J53">
            <v>0</v>
          </cell>
          <cell r="K53">
            <v>0</v>
          </cell>
          <cell r="L53">
            <v>0</v>
          </cell>
        </row>
        <row r="54">
          <cell r="B54">
            <v>201</v>
          </cell>
          <cell r="C54" t="str">
            <v>Cr.</v>
          </cell>
          <cell r="E54" t="str">
            <v>Cr. COGS</v>
          </cell>
          <cell r="J54">
            <v>0</v>
          </cell>
          <cell r="K54">
            <v>0</v>
          </cell>
          <cell r="L54">
            <v>0</v>
          </cell>
        </row>
        <row r="55">
          <cell r="B55">
            <v>10200100</v>
          </cell>
          <cell r="C55" t="str">
            <v>Cr.</v>
          </cell>
          <cell r="E55" t="str">
            <v>Cr. PUC</v>
          </cell>
          <cell r="J55">
            <v>0</v>
          </cell>
          <cell r="K55">
            <v>0</v>
          </cell>
          <cell r="L55">
            <v>0</v>
          </cell>
        </row>
        <row r="59">
          <cell r="B59">
            <v>401</v>
          </cell>
          <cell r="C59" t="str">
            <v>Dr.</v>
          </cell>
          <cell r="D59" t="str">
            <v>Dr. Dividends Income (P&amp;L)</v>
          </cell>
          <cell r="J59">
            <v>0</v>
          </cell>
          <cell r="K59">
            <v>0</v>
          </cell>
          <cell r="L59">
            <v>0</v>
          </cell>
        </row>
        <row r="60">
          <cell r="B60">
            <v>39401000</v>
          </cell>
          <cell r="C60" t="str">
            <v>Dr.</v>
          </cell>
          <cell r="D60" t="str">
            <v>Dr. Minority interest</v>
          </cell>
          <cell r="F60" t="str">
            <v>Retained earnings</v>
          </cell>
          <cell r="J60">
            <v>0</v>
          </cell>
          <cell r="K60">
            <v>0</v>
          </cell>
          <cell r="L60">
            <v>0</v>
          </cell>
        </row>
        <row r="61">
          <cell r="B61">
            <v>30401000</v>
          </cell>
          <cell r="C61" t="str">
            <v>Cr.</v>
          </cell>
          <cell r="E61" t="str">
            <v>Cr. Retained earnings subsidiaries</v>
          </cell>
          <cell r="J61">
            <v>0</v>
          </cell>
          <cell r="K61">
            <v>0</v>
          </cell>
          <cell r="L61">
            <v>0</v>
          </cell>
        </row>
        <row r="65">
          <cell r="B65">
            <v>210</v>
          </cell>
          <cell r="C65" t="str">
            <v>Dr.</v>
          </cell>
          <cell r="D65" t="str">
            <v>Dr. Depreciation</v>
          </cell>
          <cell r="F65" t="str">
            <v>COGS</v>
          </cell>
          <cell r="J65">
            <v>3565269.3509806683</v>
          </cell>
          <cell r="K65">
            <v>0</v>
          </cell>
          <cell r="L65">
            <v>3565269.3509806683</v>
          </cell>
        </row>
        <row r="66">
          <cell r="B66">
            <v>211</v>
          </cell>
          <cell r="C66" t="str">
            <v>Dr.</v>
          </cell>
          <cell r="D66" t="str">
            <v>Dr. Depreciation</v>
          </cell>
          <cell r="F66" t="str">
            <v>G&amp;A</v>
          </cell>
          <cell r="J66">
            <v>425128.37905135209</v>
          </cell>
          <cell r="K66">
            <v>0</v>
          </cell>
          <cell r="L66">
            <v>425128.37905135209</v>
          </cell>
        </row>
        <row r="67">
          <cell r="C67" t="str">
            <v>Dr.</v>
          </cell>
          <cell r="D67" t="str">
            <v>Dr. Minority interest</v>
          </cell>
          <cell r="F67" t="str">
            <v>B Sheet - N Income</v>
          </cell>
          <cell r="J67">
            <v>184360.22081725096</v>
          </cell>
          <cell r="K67">
            <v>0</v>
          </cell>
          <cell r="L67">
            <v>184360.22081725096</v>
          </cell>
        </row>
        <row r="68">
          <cell r="B68">
            <v>910</v>
          </cell>
          <cell r="C68" t="str">
            <v>Cr.</v>
          </cell>
          <cell r="E68" t="str">
            <v>Cr. Minority interest</v>
          </cell>
          <cell r="G68" t="str">
            <v>Current period net income</v>
          </cell>
          <cell r="J68">
            <v>0</v>
          </cell>
          <cell r="K68">
            <v>-184360.22081725096</v>
          </cell>
          <cell r="L68">
            <v>-184360.22081725096</v>
          </cell>
        </row>
        <row r="69">
          <cell r="B69">
            <v>20200100</v>
          </cell>
          <cell r="C69" t="str">
            <v>Cr.</v>
          </cell>
          <cell r="E69" t="str">
            <v>Cr F A Surplus Dep</v>
          </cell>
          <cell r="G69" t="str">
            <v>Land</v>
          </cell>
          <cell r="J69">
            <v>0</v>
          </cell>
          <cell r="K69">
            <v>0</v>
          </cell>
          <cell r="L69">
            <v>0</v>
          </cell>
        </row>
        <row r="70">
          <cell r="B70">
            <v>20200110</v>
          </cell>
          <cell r="C70" t="str">
            <v>Cr.</v>
          </cell>
          <cell r="E70" t="str">
            <v>Cr F A Surplus Dep</v>
          </cell>
          <cell r="G70" t="str">
            <v>Buildings and constructions</v>
          </cell>
          <cell r="J70">
            <v>0</v>
          </cell>
          <cell r="K70">
            <v>-175664.73100901794</v>
          </cell>
          <cell r="L70">
            <v>-175664.73100901794</v>
          </cell>
        </row>
        <row r="71">
          <cell r="B71">
            <v>20200120</v>
          </cell>
          <cell r="C71" t="str">
            <v>Cr.</v>
          </cell>
          <cell r="E71" t="str">
            <v>Cr F A Surplus Dep</v>
          </cell>
          <cell r="G71" t="str">
            <v>Machinery and equipment</v>
          </cell>
          <cell r="J71">
            <v>0</v>
          </cell>
          <cell r="K71">
            <v>-3182053.6262731822</v>
          </cell>
          <cell r="L71">
            <v>-3182053.6262731822</v>
          </cell>
        </row>
        <row r="72">
          <cell r="B72">
            <v>20200190</v>
          </cell>
          <cell r="C72" t="str">
            <v>Cr.</v>
          </cell>
          <cell r="E72" t="str">
            <v>Cr F A Surplus Dep</v>
          </cell>
          <cell r="G72" t="str">
            <v>Vehicles and Transportation means</v>
          </cell>
          <cell r="J72">
            <v>0</v>
          </cell>
          <cell r="K72">
            <v>-69263.06000925292</v>
          </cell>
          <cell r="L72">
            <v>-69263.06000925292</v>
          </cell>
        </row>
        <row r="73">
          <cell r="B73">
            <v>20200160</v>
          </cell>
          <cell r="C73" t="str">
            <v>Cr.</v>
          </cell>
          <cell r="E73" t="str">
            <v>Cr F A Surplus Dep</v>
          </cell>
          <cell r="G73" t="str">
            <v>Furniture and Office Equipments</v>
          </cell>
          <cell r="J73">
            <v>0</v>
          </cell>
          <cell r="K73">
            <v>-400288.69580389827</v>
          </cell>
          <cell r="L73">
            <v>-400288.69580389827</v>
          </cell>
        </row>
        <row r="74">
          <cell r="B74">
            <v>20200150</v>
          </cell>
          <cell r="C74" t="str">
            <v>Cr.</v>
          </cell>
          <cell r="E74" t="str">
            <v>Cr F A Surplus Dep</v>
          </cell>
          <cell r="G74" t="str">
            <v>Safty &amp; Equipments</v>
          </cell>
          <cell r="J74">
            <v>0</v>
          </cell>
          <cell r="K74">
            <v>-163127.61693666838</v>
          </cell>
          <cell r="L74">
            <v>-163127.61693666838</v>
          </cell>
        </row>
        <row r="78">
          <cell r="B78">
            <v>210</v>
          </cell>
          <cell r="C78" t="str">
            <v>Dr.</v>
          </cell>
          <cell r="D78" t="str">
            <v>Dr. Depreciation</v>
          </cell>
          <cell r="F78" t="str">
            <v>COGS</v>
          </cell>
          <cell r="J78">
            <v>-2613.4147885919715</v>
          </cell>
          <cell r="K78">
            <v>0</v>
          </cell>
          <cell r="L78">
            <v>-2613.4147885919715</v>
          </cell>
        </row>
        <row r="79">
          <cell r="B79">
            <v>211</v>
          </cell>
          <cell r="C79" t="str">
            <v>Dr.</v>
          </cell>
          <cell r="D79" t="str">
            <v>Dr. Depreciation</v>
          </cell>
          <cell r="F79" t="str">
            <v>G&amp;A</v>
          </cell>
          <cell r="J79">
            <v>-1768.4924971474079</v>
          </cell>
          <cell r="K79">
            <v>0</v>
          </cell>
          <cell r="L79">
            <v>-1768.4924971474079</v>
          </cell>
        </row>
        <row r="80">
          <cell r="C80" t="str">
            <v>Dr.</v>
          </cell>
          <cell r="D80" t="str">
            <v>Dr. Minority interest</v>
          </cell>
          <cell r="F80" t="str">
            <v>B Sheet - N Income</v>
          </cell>
          <cell r="J80">
            <v>490.63834203071906</v>
          </cell>
          <cell r="K80">
            <v>0</v>
          </cell>
          <cell r="L80">
            <v>490.63834203071906</v>
          </cell>
        </row>
        <row r="81">
          <cell r="B81">
            <v>20200100</v>
          </cell>
          <cell r="C81" t="str">
            <v>Dr.</v>
          </cell>
          <cell r="D81" t="str">
            <v>Dr. F A Surplus Dep</v>
          </cell>
          <cell r="F81" t="str">
            <v>Land</v>
          </cell>
          <cell r="J81">
            <v>0</v>
          </cell>
          <cell r="K81">
            <v>0</v>
          </cell>
          <cell r="L81">
            <v>0</v>
          </cell>
        </row>
        <row r="82">
          <cell r="B82">
            <v>20200110</v>
          </cell>
          <cell r="C82" t="str">
            <v>Dr.</v>
          </cell>
          <cell r="D82" t="str">
            <v>Dr. F A Surplus Dep</v>
          </cell>
          <cell r="F82" t="str">
            <v>Buildings and constructions</v>
          </cell>
          <cell r="J82">
            <v>0</v>
          </cell>
          <cell r="K82">
            <v>0</v>
          </cell>
          <cell r="L82">
            <v>0</v>
          </cell>
        </row>
        <row r="83">
          <cell r="B83">
            <v>20200120</v>
          </cell>
          <cell r="C83" t="str">
            <v>Dr.</v>
          </cell>
          <cell r="D83" t="str">
            <v>Dr. F A Surplus Dep</v>
          </cell>
          <cell r="F83" t="str">
            <v>Machinery and equipment</v>
          </cell>
          <cell r="J83">
            <v>0</v>
          </cell>
          <cell r="K83">
            <v>0</v>
          </cell>
          <cell r="L83">
            <v>0</v>
          </cell>
        </row>
        <row r="84">
          <cell r="B84">
            <v>20200190</v>
          </cell>
          <cell r="C84" t="str">
            <v>Dr.</v>
          </cell>
          <cell r="D84" t="str">
            <v>Dr. F A Surplus Dep</v>
          </cell>
          <cell r="F84" t="str">
            <v>Vehicles and Transportation means</v>
          </cell>
          <cell r="J84">
            <v>-22002.422198291879</v>
          </cell>
          <cell r="K84">
            <v>0</v>
          </cell>
          <cell r="L84">
            <v>-22002.422198291879</v>
          </cell>
        </row>
        <row r="85">
          <cell r="B85">
            <v>20200160</v>
          </cell>
          <cell r="C85" t="str">
            <v>Dr.</v>
          </cell>
          <cell r="D85" t="str">
            <v>Dr. F A Surplus Dep</v>
          </cell>
          <cell r="F85" t="str">
            <v>Furniture and Office Equipments</v>
          </cell>
          <cell r="J85">
            <v>5351.174512482231</v>
          </cell>
          <cell r="K85">
            <v>0</v>
          </cell>
          <cell r="L85">
            <v>5351.174512482231</v>
          </cell>
        </row>
        <row r="86">
          <cell r="B86">
            <v>20200150</v>
          </cell>
          <cell r="C86" t="str">
            <v>Dr.</v>
          </cell>
          <cell r="D86" t="str">
            <v>Dr. F A Surplus Dep</v>
          </cell>
          <cell r="F86" t="str">
            <v>Safty &amp; Equipments</v>
          </cell>
          <cell r="J86">
            <v>0</v>
          </cell>
          <cell r="K86">
            <v>0</v>
          </cell>
          <cell r="L86">
            <v>0</v>
          </cell>
        </row>
        <row r="87">
          <cell r="B87">
            <v>10100100</v>
          </cell>
          <cell r="C87" t="str">
            <v>Cr.</v>
          </cell>
          <cell r="E87" t="str">
            <v>Cr F A Surplus</v>
          </cell>
          <cell r="G87" t="str">
            <v>Land</v>
          </cell>
          <cell r="J87">
            <v>0</v>
          </cell>
          <cell r="K87">
            <v>0</v>
          </cell>
          <cell r="L87">
            <v>0</v>
          </cell>
        </row>
        <row r="88">
          <cell r="B88">
            <v>10100110</v>
          </cell>
          <cell r="C88" t="str">
            <v>Cr.</v>
          </cell>
          <cell r="E88" t="str">
            <v>Cr F A Surplus</v>
          </cell>
          <cell r="G88" t="str">
            <v>Buildings and constructions</v>
          </cell>
          <cell r="J88">
            <v>0</v>
          </cell>
          <cell r="K88">
            <v>0</v>
          </cell>
          <cell r="L88">
            <v>0</v>
          </cell>
        </row>
        <row r="89">
          <cell r="B89">
            <v>10100120</v>
          </cell>
          <cell r="C89" t="str">
            <v>Cr.</v>
          </cell>
          <cell r="E89" t="str">
            <v>Cr F A Surplus</v>
          </cell>
          <cell r="G89" t="str">
            <v>Machinery and equipment</v>
          </cell>
          <cell r="J89">
            <v>0</v>
          </cell>
          <cell r="K89">
            <v>0</v>
          </cell>
          <cell r="L89">
            <v>0</v>
          </cell>
        </row>
        <row r="90">
          <cell r="B90">
            <v>10100190</v>
          </cell>
          <cell r="C90" t="str">
            <v>Cr.</v>
          </cell>
          <cell r="E90" t="str">
            <v>Cr F A Surplus</v>
          </cell>
          <cell r="G90" t="str">
            <v>Vehicles and Transportation means</v>
          </cell>
          <cell r="J90">
            <v>0</v>
          </cell>
          <cell r="K90">
            <v>27792.533303105531</v>
          </cell>
          <cell r="L90">
            <v>27792.533303105531</v>
          </cell>
        </row>
        <row r="91">
          <cell r="B91">
            <v>10100160</v>
          </cell>
          <cell r="C91" t="str">
            <v>Cr.</v>
          </cell>
          <cell r="E91" t="str">
            <v>Cr F A Surplus</v>
          </cell>
          <cell r="G91" t="str">
            <v>Furniture and Office Equipments</v>
          </cell>
          <cell r="J91">
            <v>0</v>
          </cell>
          <cell r="K91">
            <v>-6759.3783315565033</v>
          </cell>
          <cell r="L91">
            <v>-6759.3783315565033</v>
          </cell>
        </row>
        <row r="92">
          <cell r="B92">
            <v>10100150</v>
          </cell>
          <cell r="C92" t="str">
            <v>Cr.</v>
          </cell>
          <cell r="E92" t="str">
            <v>Cr F A Surplus</v>
          </cell>
          <cell r="G92" t="str">
            <v>Safty &amp; Equipments</v>
          </cell>
          <cell r="J92">
            <v>0</v>
          </cell>
          <cell r="K92">
            <v>0</v>
          </cell>
          <cell r="L92">
            <v>0</v>
          </cell>
        </row>
        <row r="93">
          <cell r="B93">
            <v>910</v>
          </cell>
          <cell r="C93" t="str">
            <v>Cr.</v>
          </cell>
          <cell r="E93" t="str">
            <v>Cr. Minority interest</v>
          </cell>
          <cell r="G93" t="str">
            <v>Current period net income</v>
          </cell>
          <cell r="J93">
            <v>0</v>
          </cell>
          <cell r="K93">
            <v>-490.63834203071906</v>
          </cell>
          <cell r="L93">
            <v>-490.63834203071906</v>
          </cell>
        </row>
        <row r="94">
          <cell r="J94">
            <v>0</v>
          </cell>
          <cell r="K94">
            <v>0</v>
          </cell>
          <cell r="L94">
            <v>0</v>
          </cell>
        </row>
        <row r="98">
          <cell r="B98">
            <v>30401000</v>
          </cell>
          <cell r="C98" t="str">
            <v>Dr.</v>
          </cell>
          <cell r="D98" t="str">
            <v>Dr. Retained earnings</v>
          </cell>
          <cell r="J98">
            <v>0</v>
          </cell>
          <cell r="L98">
            <v>0</v>
          </cell>
        </row>
        <row r="99">
          <cell r="B99">
            <v>39401000</v>
          </cell>
          <cell r="C99" t="str">
            <v>Dr.</v>
          </cell>
          <cell r="D99" t="str">
            <v>Dr. Minority interest</v>
          </cell>
          <cell r="F99" t="str">
            <v>RE</v>
          </cell>
          <cell r="J99">
            <v>0</v>
          </cell>
          <cell r="K99">
            <v>0</v>
          </cell>
          <cell r="L99">
            <v>0</v>
          </cell>
        </row>
        <row r="100">
          <cell r="B100">
            <v>20200100</v>
          </cell>
          <cell r="C100" t="str">
            <v>Dr.</v>
          </cell>
          <cell r="D100" t="str">
            <v>Dr. F A Surplus Dep</v>
          </cell>
          <cell r="F100" t="str">
            <v>Land</v>
          </cell>
          <cell r="J100">
            <v>0</v>
          </cell>
          <cell r="K100">
            <v>0</v>
          </cell>
          <cell r="L100">
            <v>0</v>
          </cell>
        </row>
        <row r="101">
          <cell r="B101">
            <v>20200110</v>
          </cell>
          <cell r="C101" t="str">
            <v>Dr.</v>
          </cell>
          <cell r="D101" t="str">
            <v>Dr. F A Surplus Dep</v>
          </cell>
          <cell r="F101" t="str">
            <v>Buildings and constructions</v>
          </cell>
          <cell r="J101">
            <v>0</v>
          </cell>
          <cell r="K101">
            <v>0</v>
          </cell>
          <cell r="L101">
            <v>0</v>
          </cell>
        </row>
        <row r="102">
          <cell r="B102">
            <v>20200120</v>
          </cell>
          <cell r="C102" t="str">
            <v>Dr.</v>
          </cell>
          <cell r="D102" t="str">
            <v>Dr. F A Surplus Dep</v>
          </cell>
          <cell r="F102" t="str">
            <v>Machinery and equipment</v>
          </cell>
          <cell r="J102">
            <v>0</v>
          </cell>
          <cell r="K102">
            <v>0</v>
          </cell>
          <cell r="L102">
            <v>0</v>
          </cell>
        </row>
        <row r="103">
          <cell r="B103">
            <v>20200190</v>
          </cell>
          <cell r="C103" t="str">
            <v>Dr.</v>
          </cell>
          <cell r="D103" t="str">
            <v>Dr. F A Surplus Dep</v>
          </cell>
          <cell r="F103" t="str">
            <v>Vehicles and Transportation means</v>
          </cell>
          <cell r="J103">
            <v>0</v>
          </cell>
          <cell r="K103">
            <v>0</v>
          </cell>
          <cell r="L103">
            <v>0</v>
          </cell>
        </row>
        <row r="104">
          <cell r="B104">
            <v>20200160</v>
          </cell>
          <cell r="C104" t="str">
            <v>Dr.</v>
          </cell>
          <cell r="D104" t="str">
            <v>Dr. F A Surplus Dep</v>
          </cell>
          <cell r="F104" t="str">
            <v>Furniture and Office Equipments</v>
          </cell>
          <cell r="J104">
            <v>0</v>
          </cell>
          <cell r="K104">
            <v>0</v>
          </cell>
          <cell r="L104">
            <v>0</v>
          </cell>
        </row>
        <row r="105">
          <cell r="B105">
            <v>20200150</v>
          </cell>
          <cell r="C105" t="str">
            <v>Dr.</v>
          </cell>
          <cell r="D105" t="str">
            <v>Dr. F A Surplus Dep</v>
          </cell>
          <cell r="F105" t="str">
            <v>Safty &amp; Equipments</v>
          </cell>
          <cell r="J105">
            <v>0</v>
          </cell>
          <cell r="K105">
            <v>0</v>
          </cell>
          <cell r="L105">
            <v>0</v>
          </cell>
        </row>
        <row r="106">
          <cell r="B106">
            <v>10100100</v>
          </cell>
          <cell r="C106" t="str">
            <v>Cr.</v>
          </cell>
          <cell r="E106" t="str">
            <v>Cr F A Surplus</v>
          </cell>
          <cell r="G106" t="str">
            <v>Land</v>
          </cell>
          <cell r="J106">
            <v>0</v>
          </cell>
          <cell r="K106">
            <v>0</v>
          </cell>
          <cell r="L106">
            <v>0</v>
          </cell>
        </row>
        <row r="107">
          <cell r="B107">
            <v>10100110</v>
          </cell>
          <cell r="C107" t="str">
            <v>Cr.</v>
          </cell>
          <cell r="E107" t="str">
            <v>Cr F A Surplus</v>
          </cell>
          <cell r="G107" t="str">
            <v>Buildings and constructions</v>
          </cell>
          <cell r="J107">
            <v>0</v>
          </cell>
          <cell r="K107">
            <v>0</v>
          </cell>
          <cell r="L107">
            <v>0</v>
          </cell>
        </row>
        <row r="108">
          <cell r="B108">
            <v>10100120</v>
          </cell>
          <cell r="C108" t="str">
            <v>Cr.</v>
          </cell>
          <cell r="E108" t="str">
            <v>Cr F A Surplus</v>
          </cell>
          <cell r="G108" t="str">
            <v>Machinery and equipment</v>
          </cell>
          <cell r="J108">
            <v>0</v>
          </cell>
          <cell r="K108">
            <v>0</v>
          </cell>
          <cell r="L108">
            <v>0</v>
          </cell>
        </row>
        <row r="109">
          <cell r="B109">
            <v>10100190</v>
          </cell>
          <cell r="C109" t="str">
            <v>Cr.</v>
          </cell>
          <cell r="E109" t="str">
            <v>Cr F A Surplus</v>
          </cell>
          <cell r="G109" t="str">
            <v>Vehicles and Transportation means</v>
          </cell>
          <cell r="J109">
            <v>0</v>
          </cell>
          <cell r="K109">
            <v>0</v>
          </cell>
          <cell r="L109">
            <v>0</v>
          </cell>
        </row>
        <row r="110">
          <cell r="B110">
            <v>10100160</v>
          </cell>
          <cell r="C110" t="str">
            <v>Cr.</v>
          </cell>
          <cell r="E110" t="str">
            <v>Cr F A Surplus</v>
          </cell>
          <cell r="G110" t="str">
            <v>Furniture and Office Equipments</v>
          </cell>
          <cell r="J110">
            <v>0</v>
          </cell>
          <cell r="K110">
            <v>0</v>
          </cell>
          <cell r="L110">
            <v>0</v>
          </cell>
        </row>
        <row r="111">
          <cell r="B111">
            <v>10100150</v>
          </cell>
          <cell r="C111" t="str">
            <v>Cr.</v>
          </cell>
          <cell r="E111" t="str">
            <v>Cr F A Surplus</v>
          </cell>
          <cell r="G111" t="str">
            <v>Safty &amp; Equipments</v>
          </cell>
          <cell r="J111">
            <v>0</v>
          </cell>
          <cell r="K111">
            <v>0</v>
          </cell>
          <cell r="L111">
            <v>0</v>
          </cell>
        </row>
        <row r="115">
          <cell r="B115">
            <v>910</v>
          </cell>
          <cell r="C115" t="str">
            <v>Dr.</v>
          </cell>
          <cell r="D115" t="str">
            <v>Dr. Minority interest income S</v>
          </cell>
          <cell r="J115">
            <v>2484740.7185544837</v>
          </cell>
          <cell r="K115">
            <v>0</v>
          </cell>
          <cell r="L115">
            <v>2484740.7185544837</v>
          </cell>
        </row>
        <row r="116">
          <cell r="C116" t="str">
            <v>Cr.</v>
          </cell>
          <cell r="E116" t="str">
            <v>Cr. Minority interest interest B Sheet</v>
          </cell>
          <cell r="J116">
            <v>0</v>
          </cell>
          <cell r="K116">
            <v>-2484740.7185544837</v>
          </cell>
          <cell r="L116">
            <v>-2484740.7185544837</v>
          </cell>
        </row>
        <row r="120">
          <cell r="B120">
            <v>39601000</v>
          </cell>
          <cell r="C120" t="str">
            <v>Dr.</v>
          </cell>
          <cell r="D120" t="str">
            <v>Dr.Minority interest</v>
          </cell>
          <cell r="F120" t="str">
            <v>Unreaslized gain</v>
          </cell>
          <cell r="J120">
            <v>2779480.828018581</v>
          </cell>
          <cell r="K120">
            <v>0</v>
          </cell>
          <cell r="L120">
            <v>2779480.828018581</v>
          </cell>
        </row>
        <row r="121">
          <cell r="B121">
            <v>39701000</v>
          </cell>
          <cell r="C121" t="str">
            <v>Dr.</v>
          </cell>
          <cell r="D121" t="str">
            <v>Dr.Minority interest</v>
          </cell>
          <cell r="F121" t="str">
            <v>Translation Adj</v>
          </cell>
          <cell r="J121">
            <v>2699546.5837216289</v>
          </cell>
          <cell r="K121">
            <v>0</v>
          </cell>
          <cell r="L121">
            <v>2699546.5837216289</v>
          </cell>
        </row>
        <row r="122">
          <cell r="B122">
            <v>30501000</v>
          </cell>
          <cell r="C122" t="str">
            <v>Cr.</v>
          </cell>
          <cell r="E122" t="str">
            <v>Cr. Other changes  equity</v>
          </cell>
          <cell r="H122" t="str">
            <v>Unreaslized gain</v>
          </cell>
          <cell r="J122">
            <v>0</v>
          </cell>
          <cell r="K122">
            <v>-2779480.828018581</v>
          </cell>
          <cell r="L122">
            <v>-2779480.828018581</v>
          </cell>
        </row>
        <row r="123">
          <cell r="B123">
            <v>30601000</v>
          </cell>
          <cell r="C123" t="str">
            <v>Cr.</v>
          </cell>
          <cell r="E123" t="str">
            <v>Cr. Other changes  equity</v>
          </cell>
          <cell r="H123" t="str">
            <v>Translation Adj</v>
          </cell>
          <cell r="J123">
            <v>0</v>
          </cell>
          <cell r="K123">
            <v>-2699546.5837216289</v>
          </cell>
          <cell r="L123">
            <v>-2699546.5837216289</v>
          </cell>
        </row>
        <row r="127">
          <cell r="B127">
            <v>39401000</v>
          </cell>
          <cell r="C127" t="str">
            <v>Dr.</v>
          </cell>
          <cell r="D127" t="str">
            <v>Dr. Minority interest</v>
          </cell>
          <cell r="F127" t="str">
            <v>Retained earnings</v>
          </cell>
          <cell r="H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B128">
            <v>30401000</v>
          </cell>
          <cell r="C128" t="str">
            <v>Cr.</v>
          </cell>
          <cell r="E128" t="str">
            <v>Cr. Retained earnings</v>
          </cell>
          <cell r="J128">
            <v>0</v>
          </cell>
          <cell r="K128">
            <v>0</v>
          </cell>
          <cell r="L128">
            <v>0</v>
          </cell>
        </row>
        <row r="132">
          <cell r="B132">
            <v>30401000</v>
          </cell>
          <cell r="C132" t="str">
            <v>Dr.</v>
          </cell>
          <cell r="D132" t="str">
            <v>Dr. Retained earnings</v>
          </cell>
          <cell r="J132">
            <v>0</v>
          </cell>
          <cell r="K132">
            <v>0</v>
          </cell>
          <cell r="L132">
            <v>0</v>
          </cell>
        </row>
        <row r="133">
          <cell r="B133">
            <v>39401000</v>
          </cell>
          <cell r="C133" t="str">
            <v>Cr.</v>
          </cell>
          <cell r="E133" t="str">
            <v>Cr. Minority interest</v>
          </cell>
          <cell r="G133" t="str">
            <v>Retained earnings</v>
          </cell>
          <cell r="J133">
            <v>0</v>
          </cell>
          <cell r="K133">
            <v>0</v>
          </cell>
          <cell r="L133">
            <v>0</v>
          </cell>
        </row>
        <row r="136">
          <cell r="B136">
            <v>10302004</v>
          </cell>
          <cell r="C136" t="str">
            <v>Dr.</v>
          </cell>
          <cell r="D136" t="str">
            <v>Dr. Payment Under investment</v>
          </cell>
          <cell r="G136" t="str">
            <v>asa</v>
          </cell>
          <cell r="J136">
            <v>0</v>
          </cell>
          <cell r="K136">
            <v>0</v>
          </cell>
          <cell r="L136">
            <v>0</v>
          </cell>
        </row>
        <row r="137">
          <cell r="B137">
            <v>10302002</v>
          </cell>
          <cell r="C137" t="str">
            <v>Dr.</v>
          </cell>
          <cell r="D137" t="str">
            <v>Dr. Payment Under investment</v>
          </cell>
          <cell r="G137" t="str">
            <v>aresco</v>
          </cell>
          <cell r="J137">
            <v>0</v>
          </cell>
          <cell r="K137">
            <v>0</v>
          </cell>
          <cell r="L137">
            <v>0</v>
          </cell>
        </row>
        <row r="138">
          <cell r="B138">
            <v>10300104</v>
          </cell>
          <cell r="C138" t="str">
            <v>Cr.</v>
          </cell>
          <cell r="E138" t="str">
            <v>Cr. Investment - ASA</v>
          </cell>
          <cell r="J138">
            <v>0</v>
          </cell>
          <cell r="K138">
            <v>0</v>
          </cell>
          <cell r="L138">
            <v>0</v>
          </cell>
        </row>
        <row r="139">
          <cell r="B139">
            <v>30201000</v>
          </cell>
          <cell r="C139" t="str">
            <v>Cr.</v>
          </cell>
          <cell r="E139" t="str">
            <v>Cr. Reserves for capital increase - Aresco</v>
          </cell>
          <cell r="J139">
            <v>0</v>
          </cell>
          <cell r="K139">
            <v>0</v>
          </cell>
          <cell r="L139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C144">
            <v>0</v>
          </cell>
          <cell r="E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B145">
            <v>0</v>
          </cell>
          <cell r="C145">
            <v>0</v>
          </cell>
          <cell r="E145">
            <v>0</v>
          </cell>
          <cell r="J145">
            <v>0</v>
          </cell>
          <cell r="K145">
            <v>0</v>
          </cell>
          <cell r="L145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F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B151">
            <v>10300107</v>
          </cell>
          <cell r="C151" t="str">
            <v>Dr.</v>
          </cell>
          <cell r="D151" t="str">
            <v xml:space="preserve"> Investment</v>
          </cell>
          <cell r="F151">
            <v>0</v>
          </cell>
          <cell r="G151" t="str">
            <v>Ach</v>
          </cell>
          <cell r="J151">
            <v>695720205</v>
          </cell>
          <cell r="K151">
            <v>0</v>
          </cell>
          <cell r="L151">
            <v>695720205</v>
          </cell>
        </row>
        <row r="152">
          <cell r="B152">
            <v>10302007</v>
          </cell>
          <cell r="C152" t="str">
            <v>Dr.</v>
          </cell>
          <cell r="D152" t="str">
            <v xml:space="preserve"> Payment under Investment</v>
          </cell>
          <cell r="G152" t="str">
            <v>Ach</v>
          </cell>
          <cell r="J152">
            <v>231906735</v>
          </cell>
          <cell r="K152">
            <v>0</v>
          </cell>
          <cell r="L152">
            <v>231906735</v>
          </cell>
        </row>
        <row r="153">
          <cell r="B153">
            <v>39101000</v>
          </cell>
          <cell r="C153" t="str">
            <v>Dr.</v>
          </cell>
          <cell r="D153" t="str">
            <v xml:space="preserve"> Minority interest</v>
          </cell>
          <cell r="E153">
            <v>0</v>
          </cell>
          <cell r="F153" t="str">
            <v>Capital</v>
          </cell>
          <cell r="G153">
            <v>0</v>
          </cell>
          <cell r="J153">
            <v>668437950</v>
          </cell>
          <cell r="K153">
            <v>0</v>
          </cell>
          <cell r="L153">
            <v>668437950</v>
          </cell>
        </row>
        <row r="154">
          <cell r="B154">
            <v>39201000</v>
          </cell>
          <cell r="C154" t="str">
            <v>Dr.</v>
          </cell>
          <cell r="D154" t="str">
            <v xml:space="preserve"> Minority interest</v>
          </cell>
          <cell r="E154">
            <v>0</v>
          </cell>
          <cell r="F154" t="str">
            <v>Reserves for capital increase</v>
          </cell>
          <cell r="G154">
            <v>0</v>
          </cell>
          <cell r="J154">
            <v>222812650</v>
          </cell>
          <cell r="K154">
            <v>0</v>
          </cell>
          <cell r="L154">
            <v>222812650</v>
          </cell>
        </row>
        <row r="155">
          <cell r="B155">
            <v>30101000</v>
          </cell>
          <cell r="C155" t="str">
            <v>Cr.</v>
          </cell>
          <cell r="E155" t="str">
            <v xml:space="preserve"> Capital</v>
          </cell>
          <cell r="G155">
            <v>0</v>
          </cell>
          <cell r="J155">
            <v>0</v>
          </cell>
          <cell r="K155">
            <v>-1364158155</v>
          </cell>
          <cell r="L155">
            <v>-1364158155</v>
          </cell>
        </row>
        <row r="156">
          <cell r="B156">
            <v>30201000</v>
          </cell>
          <cell r="C156" t="str">
            <v>Cr.</v>
          </cell>
          <cell r="E156" t="str">
            <v xml:space="preserve"> Payment under capital increase</v>
          </cell>
          <cell r="G156">
            <v>0</v>
          </cell>
          <cell r="J156">
            <v>0</v>
          </cell>
          <cell r="K156">
            <v>-454719385</v>
          </cell>
          <cell r="L156">
            <v>-454719385</v>
          </cell>
        </row>
        <row r="157">
          <cell r="B157">
            <v>0</v>
          </cell>
          <cell r="C157">
            <v>0</v>
          </cell>
          <cell r="E157">
            <v>0</v>
          </cell>
          <cell r="G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>
            <v>0</v>
          </cell>
          <cell r="C158">
            <v>0</v>
          </cell>
          <cell r="E158">
            <v>0</v>
          </cell>
          <cell r="G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>
            <v>0</v>
          </cell>
          <cell r="C159">
            <v>0</v>
          </cell>
          <cell r="E159">
            <v>0</v>
          </cell>
          <cell r="J159">
            <v>1818877540</v>
          </cell>
          <cell r="K159">
            <v>-1818877540</v>
          </cell>
          <cell r="L159">
            <v>0</v>
          </cell>
        </row>
        <row r="160">
          <cell r="B160">
            <v>0</v>
          </cell>
          <cell r="C160" t="str">
            <v xml:space="preserve">Reversal 2006 - 2007 Minority interes in Net Profit elmination entry </v>
          </cell>
          <cell r="E160">
            <v>0</v>
          </cell>
          <cell r="J160">
            <v>0</v>
          </cell>
          <cell r="K160">
            <v>0</v>
          </cell>
          <cell r="L160">
            <v>0</v>
          </cell>
        </row>
        <row r="163">
          <cell r="B163">
            <v>0</v>
          </cell>
          <cell r="C163">
            <v>0</v>
          </cell>
          <cell r="D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>
            <v>0</v>
          </cell>
          <cell r="C164">
            <v>0</v>
          </cell>
          <cell r="E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B165">
            <v>0</v>
          </cell>
          <cell r="C165">
            <v>0</v>
          </cell>
          <cell r="E165">
            <v>0</v>
          </cell>
          <cell r="G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B166">
            <v>0</v>
          </cell>
          <cell r="C166">
            <v>0</v>
          </cell>
          <cell r="E166">
            <v>0</v>
          </cell>
          <cell r="G166">
            <v>0</v>
          </cell>
          <cell r="J166">
            <v>11764025.343122082</v>
          </cell>
          <cell r="K166">
            <v>-11764025.343122082</v>
          </cell>
          <cell r="L166">
            <v>0</v>
          </cell>
        </row>
        <row r="167">
          <cell r="B167">
            <v>0</v>
          </cell>
          <cell r="C167" t="str">
            <v>Record 2006 ACH investment income under the equity method ( 51% of net income less movement in RE)</v>
          </cell>
          <cell r="E167">
            <v>0</v>
          </cell>
          <cell r="G167">
            <v>0</v>
          </cell>
          <cell r="J167">
            <v>0</v>
          </cell>
          <cell r="K167">
            <v>0</v>
          </cell>
          <cell r="L167">
            <v>0</v>
          </cell>
        </row>
        <row r="170">
          <cell r="B170">
            <v>0</v>
          </cell>
          <cell r="C170">
            <v>0</v>
          </cell>
          <cell r="D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B171">
            <v>0</v>
          </cell>
          <cell r="C171">
            <v>0</v>
          </cell>
          <cell r="E171">
            <v>0</v>
          </cell>
          <cell r="J171">
            <v>12244173.334775636</v>
          </cell>
          <cell r="K171">
            <v>-12244173.334775636</v>
          </cell>
          <cell r="L171">
            <v>0</v>
          </cell>
        </row>
        <row r="174">
          <cell r="B174">
            <v>30301000</v>
          </cell>
          <cell r="C174" t="str">
            <v>Cr.</v>
          </cell>
          <cell r="D174" t="str">
            <v>Owners Equity</v>
          </cell>
          <cell r="F174" t="str">
            <v>Reserves</v>
          </cell>
          <cell r="J174">
            <v>0</v>
          </cell>
          <cell r="K174">
            <v>-290353</v>
          </cell>
          <cell r="L174">
            <v>-290353</v>
          </cell>
        </row>
        <row r="175">
          <cell r="B175">
            <v>39301000</v>
          </cell>
          <cell r="C175" t="str">
            <v>Dr.</v>
          </cell>
          <cell r="D175" t="str">
            <v>Minority Interest</v>
          </cell>
          <cell r="E175">
            <v>0</v>
          </cell>
          <cell r="F175" t="str">
            <v>Reserves</v>
          </cell>
          <cell r="J175">
            <v>142273.06664185869</v>
          </cell>
          <cell r="K175">
            <v>0</v>
          </cell>
          <cell r="L175">
            <v>142273.06664185869</v>
          </cell>
        </row>
        <row r="178">
          <cell r="B178">
            <v>0</v>
          </cell>
          <cell r="C178">
            <v>0</v>
          </cell>
          <cell r="D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>
            <v>10200100</v>
          </cell>
          <cell r="C179" t="str">
            <v>Dr.</v>
          </cell>
          <cell r="D179" t="str">
            <v>PUC Ach</v>
          </cell>
          <cell r="E179">
            <v>0</v>
          </cell>
          <cell r="J179">
            <v>8170545</v>
          </cell>
          <cell r="K179">
            <v>0</v>
          </cell>
          <cell r="L179">
            <v>8170545</v>
          </cell>
        </row>
        <row r="182">
          <cell r="B182">
            <v>0</v>
          </cell>
          <cell r="C182">
            <v>0</v>
          </cell>
          <cell r="D182">
            <v>0</v>
          </cell>
          <cell r="F182">
            <v>0</v>
          </cell>
          <cell r="J182">
            <v>8170545</v>
          </cell>
          <cell r="K182">
            <v>-8170545</v>
          </cell>
          <cell r="L182">
            <v>0</v>
          </cell>
        </row>
        <row r="183">
          <cell r="B183">
            <v>0</v>
          </cell>
          <cell r="C183" t="str">
            <v>Free Entry</v>
          </cell>
          <cell r="D183">
            <v>0</v>
          </cell>
          <cell r="F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>
            <v>0</v>
          </cell>
          <cell r="C184">
            <v>0</v>
          </cell>
          <cell r="D184">
            <v>0</v>
          </cell>
          <cell r="F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>
            <v>0</v>
          </cell>
          <cell r="C185">
            <v>0</v>
          </cell>
          <cell r="D185">
            <v>0</v>
          </cell>
          <cell r="F185">
            <v>0</v>
          </cell>
          <cell r="J185">
            <v>0</v>
          </cell>
          <cell r="K185">
            <v>0</v>
          </cell>
          <cell r="L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F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>
            <v>0</v>
          </cell>
          <cell r="C187">
            <v>0</v>
          </cell>
          <cell r="D187">
            <v>0</v>
          </cell>
          <cell r="F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>
            <v>0</v>
          </cell>
          <cell r="C188">
            <v>0</v>
          </cell>
          <cell r="E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>
            <v>0</v>
          </cell>
          <cell r="C189">
            <v>0</v>
          </cell>
          <cell r="E189">
            <v>0</v>
          </cell>
          <cell r="J189">
            <v>0</v>
          </cell>
          <cell r="K189">
            <v>0</v>
          </cell>
          <cell r="L189">
            <v>0</v>
          </cell>
        </row>
        <row r="192">
          <cell r="B192">
            <v>0</v>
          </cell>
          <cell r="C192">
            <v>0</v>
          </cell>
          <cell r="D192">
            <v>0</v>
          </cell>
          <cell r="F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B193">
            <v>0</v>
          </cell>
          <cell r="C193" t="str">
            <v>Free Entry</v>
          </cell>
          <cell r="D193">
            <v>0</v>
          </cell>
          <cell r="F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F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>
            <v>0</v>
          </cell>
          <cell r="C195">
            <v>0</v>
          </cell>
          <cell r="D195">
            <v>0</v>
          </cell>
          <cell r="F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F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F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B198">
            <v>0</v>
          </cell>
          <cell r="C198">
            <v>0</v>
          </cell>
          <cell r="E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B199">
            <v>0</v>
          </cell>
          <cell r="C199">
            <v>0</v>
          </cell>
          <cell r="E199">
            <v>0</v>
          </cell>
          <cell r="J199">
            <v>0</v>
          </cell>
          <cell r="K199">
            <v>0</v>
          </cell>
          <cell r="L199">
            <v>0</v>
          </cell>
        </row>
        <row r="202">
          <cell r="B202">
            <v>0</v>
          </cell>
          <cell r="C202">
            <v>0</v>
          </cell>
          <cell r="D202">
            <v>0</v>
          </cell>
          <cell r="J202">
            <v>0</v>
          </cell>
          <cell r="K202">
            <v>0</v>
          </cell>
          <cell r="L202">
            <v>0</v>
          </cell>
        </row>
        <row r="203">
          <cell r="B203">
            <v>0</v>
          </cell>
          <cell r="C203" t="str">
            <v>Minority interest portion in 2007 ditrupution to BOD not recorded in 2007 F S</v>
          </cell>
          <cell r="E203">
            <v>0</v>
          </cell>
          <cell r="J203">
            <v>0</v>
          </cell>
          <cell r="K203">
            <v>0</v>
          </cell>
          <cell r="L203">
            <v>0</v>
          </cell>
        </row>
        <row r="204">
          <cell r="B204">
            <v>30401000</v>
          </cell>
          <cell r="C204" t="str">
            <v>Dr.</v>
          </cell>
          <cell r="D204" t="str">
            <v>Dr Re</v>
          </cell>
          <cell r="J204">
            <v>111385</v>
          </cell>
          <cell r="K204">
            <v>0</v>
          </cell>
          <cell r="L204">
            <v>111385</v>
          </cell>
        </row>
        <row r="205">
          <cell r="B205">
            <v>39401000</v>
          </cell>
          <cell r="C205" t="str">
            <v>Cr.</v>
          </cell>
          <cell r="E205" t="str">
            <v>Cr. Minority interest RE</v>
          </cell>
          <cell r="J205">
            <v>0</v>
          </cell>
          <cell r="K205">
            <v>-111385</v>
          </cell>
          <cell r="L205">
            <v>-111385</v>
          </cell>
        </row>
        <row r="206">
          <cell r="C206">
            <v>0</v>
          </cell>
          <cell r="J206">
            <v>0</v>
          </cell>
          <cell r="K206">
            <v>0</v>
          </cell>
          <cell r="L206">
            <v>0</v>
          </cell>
        </row>
        <row r="207">
          <cell r="C207">
            <v>0</v>
          </cell>
          <cell r="J207">
            <v>0</v>
          </cell>
          <cell r="K207">
            <v>0</v>
          </cell>
          <cell r="L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</row>
        <row r="212">
          <cell r="J212">
            <v>111385</v>
          </cell>
          <cell r="K212">
            <v>-111385</v>
          </cell>
          <cell r="L212">
            <v>0</v>
          </cell>
        </row>
        <row r="213">
          <cell r="C213" t="str">
            <v>Free Entry</v>
          </cell>
          <cell r="J213">
            <v>0</v>
          </cell>
          <cell r="K213">
            <v>0</v>
          </cell>
          <cell r="L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</row>
        <row r="223">
          <cell r="C223" t="str">
            <v>Free Entry</v>
          </cell>
          <cell r="J223">
            <v>0</v>
          </cell>
          <cell r="K223">
            <v>0</v>
          </cell>
          <cell r="L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</row>
        <row r="233">
          <cell r="C233" t="str">
            <v>Free Entry</v>
          </cell>
          <cell r="J233">
            <v>0</v>
          </cell>
          <cell r="K233">
            <v>0</v>
          </cell>
          <cell r="L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</row>
        <row r="243">
          <cell r="C243" t="str">
            <v>Free Entry</v>
          </cell>
          <cell r="J243">
            <v>0</v>
          </cell>
          <cell r="K243">
            <v>0</v>
          </cell>
          <cell r="L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</row>
        <row r="253">
          <cell r="C253" t="str">
            <v>Free Entry</v>
          </cell>
          <cell r="J253">
            <v>0</v>
          </cell>
          <cell r="K253">
            <v>0</v>
          </cell>
          <cell r="L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</row>
        <row r="263">
          <cell r="C263" t="str">
            <v>Free Entry</v>
          </cell>
          <cell r="J263">
            <v>0</v>
          </cell>
          <cell r="K263">
            <v>0</v>
          </cell>
          <cell r="L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</row>
        <row r="268">
          <cell r="J268">
            <v>0</v>
          </cell>
          <cell r="K268">
            <v>0</v>
          </cell>
          <cell r="L268">
            <v>0</v>
          </cell>
        </row>
        <row r="269">
          <cell r="J269">
            <v>0</v>
          </cell>
          <cell r="K269">
            <v>0</v>
          </cell>
          <cell r="L269">
            <v>0</v>
          </cell>
        </row>
        <row r="277">
          <cell r="B277">
            <v>0</v>
          </cell>
          <cell r="D277">
            <v>0</v>
          </cell>
          <cell r="J277">
            <v>0</v>
          </cell>
          <cell r="L277">
            <v>0</v>
          </cell>
        </row>
        <row r="278">
          <cell r="B278">
            <v>0</v>
          </cell>
          <cell r="C278" t="str">
            <v>e. Record Inter Cpmpany (ACH-ARESCO ) Advanced Payments balance</v>
          </cell>
          <cell r="D278">
            <v>0</v>
          </cell>
          <cell r="J278">
            <v>0</v>
          </cell>
          <cell r="L278">
            <v>0</v>
          </cell>
        </row>
        <row r="279">
          <cell r="B279">
            <v>20800100</v>
          </cell>
          <cell r="D279" t="str">
            <v>Dr. Advances from customers</v>
          </cell>
          <cell r="E279">
            <v>0</v>
          </cell>
          <cell r="J279">
            <v>0</v>
          </cell>
          <cell r="K279">
            <v>0</v>
          </cell>
          <cell r="L279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</row>
        <row r="283">
          <cell r="C283" t="str">
            <v>Free Entry</v>
          </cell>
          <cell r="J283">
            <v>0</v>
          </cell>
          <cell r="K283">
            <v>0</v>
          </cell>
          <cell r="L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</row>
        <row r="293">
          <cell r="C293" t="str">
            <v>Free Entry</v>
          </cell>
          <cell r="J293">
            <v>0</v>
          </cell>
          <cell r="K293">
            <v>0</v>
          </cell>
          <cell r="L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</row>
        <row r="303">
          <cell r="C303" t="str">
            <v>Free Entry</v>
          </cell>
          <cell r="J303">
            <v>0</v>
          </cell>
          <cell r="K303">
            <v>0</v>
          </cell>
          <cell r="L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PIPE"/>
      <sheetName val="HEADS"/>
      <sheetName val="FLANGES_ANSI"/>
      <sheetName val="FLANGES_ASA"/>
      <sheetName val="FLANGES_DIN"/>
      <sheetName val="FITTING_ANSI"/>
      <sheetName val="Sections"/>
      <sheetName val="DATA"/>
    </sheetNames>
    <sheetDataSet>
      <sheetData sheetId="0"/>
      <sheetData sheetId="1">
        <row r="5">
          <cell r="B5" t="str">
            <v>DIA</v>
          </cell>
          <cell r="C5" t="str">
            <v>O.D.</v>
          </cell>
          <cell r="D5" t="str">
            <v>STD</v>
          </cell>
          <cell r="E5" t="str">
            <v>XS</v>
          </cell>
          <cell r="F5" t="str">
            <v>XXS</v>
          </cell>
          <cell r="G5" t="str">
            <v>SCH10</v>
          </cell>
          <cell r="H5" t="str">
            <v>SCH20</v>
          </cell>
          <cell r="I5" t="str">
            <v>SCH30</v>
          </cell>
          <cell r="J5" t="str">
            <v>SCH40</v>
          </cell>
          <cell r="K5" t="str">
            <v>SCH60</v>
          </cell>
          <cell r="L5" t="str">
            <v>SCH80</v>
          </cell>
          <cell r="M5" t="str">
            <v>SCH100</v>
          </cell>
          <cell r="N5" t="str">
            <v>SCH120</v>
          </cell>
          <cell r="O5" t="str">
            <v>SCH140</v>
          </cell>
          <cell r="P5" t="str">
            <v>SCH160</v>
          </cell>
        </row>
        <row r="6">
          <cell r="B6">
            <v>0.125</v>
          </cell>
          <cell r="C6">
            <v>10.3</v>
          </cell>
          <cell r="D6">
            <v>0.36</v>
          </cell>
          <cell r="E6">
            <v>0.45</v>
          </cell>
          <cell r="J6">
            <v>0.36</v>
          </cell>
          <cell r="L6">
            <v>0.46</v>
          </cell>
        </row>
        <row r="7">
          <cell r="B7">
            <v>0.25</v>
          </cell>
          <cell r="C7">
            <v>13.7</v>
          </cell>
          <cell r="D7">
            <v>0.63</v>
          </cell>
          <cell r="E7">
            <v>0.8</v>
          </cell>
          <cell r="J7">
            <v>0.63</v>
          </cell>
          <cell r="L7">
            <v>0.8</v>
          </cell>
        </row>
        <row r="8">
          <cell r="B8">
            <v>0.375</v>
          </cell>
          <cell r="C8">
            <v>17.100000000000001</v>
          </cell>
          <cell r="D8">
            <v>0.85</v>
          </cell>
          <cell r="E8">
            <v>1.1000000000000001</v>
          </cell>
          <cell r="J8">
            <v>0.85</v>
          </cell>
          <cell r="L8">
            <v>1.1000000000000001</v>
          </cell>
        </row>
        <row r="9">
          <cell r="B9">
            <v>0.5</v>
          </cell>
          <cell r="C9">
            <v>21.3</v>
          </cell>
          <cell r="D9">
            <v>1.25</v>
          </cell>
          <cell r="E9">
            <v>1.82</v>
          </cell>
          <cell r="F9">
            <v>2.54</v>
          </cell>
          <cell r="J9">
            <v>1.25</v>
          </cell>
          <cell r="L9">
            <v>1.62</v>
          </cell>
          <cell r="P9">
            <v>1.05</v>
          </cell>
        </row>
        <row r="10">
          <cell r="B10">
            <v>0.75</v>
          </cell>
          <cell r="C10">
            <v>26.7</v>
          </cell>
          <cell r="D10">
            <v>1.68</v>
          </cell>
          <cell r="E10">
            <v>2.19</v>
          </cell>
          <cell r="F10">
            <v>3.63</v>
          </cell>
          <cell r="J10">
            <v>1.68</v>
          </cell>
          <cell r="L10">
            <v>2.19</v>
          </cell>
          <cell r="P10">
            <v>2.89</v>
          </cell>
        </row>
        <row r="11">
          <cell r="B11">
            <v>1</v>
          </cell>
          <cell r="C11">
            <v>33.4</v>
          </cell>
          <cell r="D11">
            <v>2.5</v>
          </cell>
          <cell r="E11">
            <v>3.23</v>
          </cell>
          <cell r="F11">
            <v>5.45</v>
          </cell>
          <cell r="J11">
            <v>2.5</v>
          </cell>
          <cell r="L11">
            <v>3.23</v>
          </cell>
          <cell r="P11">
            <v>4.2300000000000004</v>
          </cell>
        </row>
        <row r="12">
          <cell r="B12">
            <v>1.25</v>
          </cell>
          <cell r="C12">
            <v>42.2</v>
          </cell>
          <cell r="D12">
            <v>3.38</v>
          </cell>
          <cell r="E12">
            <v>4.45</v>
          </cell>
          <cell r="F12">
            <v>7.75</v>
          </cell>
          <cell r="J12">
            <v>3.38</v>
          </cell>
          <cell r="L12">
            <v>4.46</v>
          </cell>
          <cell r="P12">
            <v>5.6</v>
          </cell>
        </row>
        <row r="13">
          <cell r="B13">
            <v>1.5</v>
          </cell>
          <cell r="C13">
            <v>48.3</v>
          </cell>
          <cell r="D13">
            <v>4.05</v>
          </cell>
          <cell r="E13">
            <v>5.4</v>
          </cell>
          <cell r="F13">
            <v>9.5399999999999991</v>
          </cell>
          <cell r="J13">
            <v>4.05</v>
          </cell>
          <cell r="L13">
            <v>5.4</v>
          </cell>
          <cell r="P13">
            <v>7.23</v>
          </cell>
        </row>
        <row r="14">
          <cell r="B14">
            <v>2</v>
          </cell>
          <cell r="C14">
            <v>60.3</v>
          </cell>
          <cell r="D14">
            <v>5.43</v>
          </cell>
          <cell r="E14">
            <v>7.47</v>
          </cell>
          <cell r="F14">
            <v>13.44</v>
          </cell>
          <cell r="J14">
            <v>5.43</v>
          </cell>
          <cell r="L14">
            <v>7.47</v>
          </cell>
          <cell r="P14">
            <v>11.1</v>
          </cell>
        </row>
        <row r="15">
          <cell r="B15">
            <v>2.5</v>
          </cell>
          <cell r="C15">
            <v>73</v>
          </cell>
          <cell r="D15">
            <v>8.6199999999999992</v>
          </cell>
          <cell r="E15">
            <v>11.4</v>
          </cell>
          <cell r="F15">
            <v>20.39</v>
          </cell>
          <cell r="J15">
            <v>8.6199999999999992</v>
          </cell>
          <cell r="L15">
            <v>11.4</v>
          </cell>
          <cell r="P15">
            <v>14.9</v>
          </cell>
        </row>
        <row r="16">
          <cell r="B16">
            <v>3</v>
          </cell>
          <cell r="C16">
            <v>88.9</v>
          </cell>
          <cell r="D16">
            <v>11.26</v>
          </cell>
          <cell r="E16">
            <v>15.25</v>
          </cell>
          <cell r="F16">
            <v>27.65</v>
          </cell>
          <cell r="J16">
            <v>11.26</v>
          </cell>
          <cell r="L16">
            <v>15.25</v>
          </cell>
          <cell r="P16">
            <v>21.3</v>
          </cell>
        </row>
        <row r="17">
          <cell r="B17">
            <v>3.5</v>
          </cell>
          <cell r="C17">
            <v>101.6</v>
          </cell>
          <cell r="D17">
            <v>13.56</v>
          </cell>
          <cell r="E17">
            <v>18.62</v>
          </cell>
          <cell r="J17">
            <v>13.56</v>
          </cell>
          <cell r="L17">
            <v>18.62</v>
          </cell>
        </row>
        <row r="18">
          <cell r="B18">
            <v>4</v>
          </cell>
          <cell r="C18">
            <v>114.3</v>
          </cell>
          <cell r="D18">
            <v>16.059999999999999</v>
          </cell>
          <cell r="E18">
            <v>22.29</v>
          </cell>
          <cell r="F18">
            <v>40.99</v>
          </cell>
          <cell r="J18">
            <v>16.059999999999999</v>
          </cell>
          <cell r="L18">
            <v>22.29</v>
          </cell>
          <cell r="N18">
            <v>28.25</v>
          </cell>
          <cell r="P18">
            <v>33.51</v>
          </cell>
        </row>
        <row r="19">
          <cell r="B19">
            <v>5</v>
          </cell>
          <cell r="C19">
            <v>141.30000000000001</v>
          </cell>
          <cell r="D19">
            <v>21.76</v>
          </cell>
          <cell r="E19">
            <v>30.92</v>
          </cell>
          <cell r="F19">
            <v>57.37</v>
          </cell>
          <cell r="J19">
            <v>21.76</v>
          </cell>
          <cell r="L19">
            <v>30.92</v>
          </cell>
          <cell r="N19">
            <v>40.24</v>
          </cell>
          <cell r="P19">
            <v>49.05</v>
          </cell>
        </row>
        <row r="20">
          <cell r="B20">
            <v>6</v>
          </cell>
          <cell r="C20">
            <v>168.3</v>
          </cell>
          <cell r="D20">
            <v>28.23</v>
          </cell>
          <cell r="E20">
            <v>42.52</v>
          </cell>
          <cell r="F20">
            <v>79.11</v>
          </cell>
          <cell r="J20">
            <v>28.23</v>
          </cell>
          <cell r="L20">
            <v>42.52</v>
          </cell>
          <cell r="N20">
            <v>54.2</v>
          </cell>
          <cell r="P20">
            <v>67.47</v>
          </cell>
        </row>
        <row r="21">
          <cell r="B21">
            <v>8</v>
          </cell>
          <cell r="C21">
            <v>219.1</v>
          </cell>
          <cell r="D21">
            <v>42.43</v>
          </cell>
          <cell r="E21">
            <v>64.569999999999993</v>
          </cell>
          <cell r="F21">
            <v>107.78</v>
          </cell>
          <cell r="H21">
            <v>33.26</v>
          </cell>
          <cell r="I21">
            <v>36.76</v>
          </cell>
          <cell r="J21">
            <v>42.43</v>
          </cell>
          <cell r="K21">
            <v>53.07</v>
          </cell>
          <cell r="L21">
            <v>64.569999999999993</v>
          </cell>
          <cell r="M21">
            <v>75.790000000000006</v>
          </cell>
          <cell r="N21">
            <v>90.32</v>
          </cell>
          <cell r="O21">
            <v>100.89</v>
          </cell>
          <cell r="P21">
            <v>111.15</v>
          </cell>
        </row>
        <row r="22">
          <cell r="B22">
            <v>10</v>
          </cell>
          <cell r="C22">
            <v>273</v>
          </cell>
          <cell r="D22">
            <v>60.24</v>
          </cell>
          <cell r="E22">
            <v>81.459999999999994</v>
          </cell>
          <cell r="F22">
            <v>154.97</v>
          </cell>
          <cell r="H22">
            <v>41.73</v>
          </cell>
          <cell r="I22">
            <v>50.5</v>
          </cell>
          <cell r="J22">
            <v>60.24</v>
          </cell>
          <cell r="K22">
            <v>81.45</v>
          </cell>
          <cell r="L22">
            <v>95.84</v>
          </cell>
          <cell r="M22">
            <v>114.59</v>
          </cell>
          <cell r="N22">
            <v>132.85</v>
          </cell>
          <cell r="O22">
            <v>154.97</v>
          </cell>
          <cell r="P22">
            <v>172.11</v>
          </cell>
        </row>
        <row r="23">
          <cell r="B23">
            <v>12</v>
          </cell>
          <cell r="C23">
            <v>323.8</v>
          </cell>
          <cell r="D23">
            <v>73.760000000000005</v>
          </cell>
          <cell r="E23">
            <v>97.36</v>
          </cell>
          <cell r="F23">
            <v>186.75</v>
          </cell>
          <cell r="G23" t="str">
            <v/>
          </cell>
          <cell r="H23">
            <v>49.68</v>
          </cell>
          <cell r="I23">
            <v>65.14</v>
          </cell>
          <cell r="J23">
            <v>79.709999999999994</v>
          </cell>
          <cell r="K23">
            <v>108.97</v>
          </cell>
          <cell r="L23">
            <v>131.81</v>
          </cell>
          <cell r="M23">
            <v>159.66999999999999</v>
          </cell>
          <cell r="N23">
            <v>185.75</v>
          </cell>
          <cell r="O23">
            <v>207.87</v>
          </cell>
          <cell r="P23">
            <v>238.6</v>
          </cell>
        </row>
        <row r="24">
          <cell r="B24">
            <v>14</v>
          </cell>
          <cell r="C24">
            <v>355.6</v>
          </cell>
          <cell r="D24">
            <v>81.209999999999994</v>
          </cell>
          <cell r="E24">
            <v>107.25</v>
          </cell>
          <cell r="G24">
            <v>54.63</v>
          </cell>
          <cell r="H24">
            <v>57.98</v>
          </cell>
          <cell r="I24">
            <v>81.209999999999994</v>
          </cell>
          <cell r="J24">
            <v>94.31</v>
          </cell>
          <cell r="K24">
            <v>126.51</v>
          </cell>
          <cell r="L24">
            <v>157.94</v>
          </cell>
          <cell r="M24">
            <v>194.64</v>
          </cell>
          <cell r="N24">
            <v>224.38</v>
          </cell>
          <cell r="O24">
            <v>253.32</v>
          </cell>
          <cell r="P24">
            <v>281.49</v>
          </cell>
        </row>
        <row r="25">
          <cell r="B25">
            <v>16</v>
          </cell>
          <cell r="C25">
            <v>406.4</v>
          </cell>
          <cell r="D25">
            <v>93.13</v>
          </cell>
          <cell r="E25">
            <v>123.15</v>
          </cell>
          <cell r="G25">
            <v>62.58</v>
          </cell>
          <cell r="H25">
            <v>77.92</v>
          </cell>
          <cell r="I25">
            <v>93.13</v>
          </cell>
          <cell r="J25">
            <v>123.18</v>
          </cell>
          <cell r="K25">
            <v>150.04</v>
          </cell>
          <cell r="L25">
            <v>203.26</v>
          </cell>
          <cell r="M25">
            <v>245.34</v>
          </cell>
          <cell r="N25">
            <v>285.33</v>
          </cell>
          <cell r="O25">
            <v>332.72</v>
          </cell>
          <cell r="P25">
            <v>384.94</v>
          </cell>
        </row>
        <row r="26">
          <cell r="B26">
            <v>18</v>
          </cell>
          <cell r="C26">
            <v>457.2</v>
          </cell>
          <cell r="D26">
            <v>105.05</v>
          </cell>
          <cell r="E26">
            <v>139.07</v>
          </cell>
          <cell r="G26">
            <v>70.53</v>
          </cell>
          <cell r="H26">
            <v>87.85</v>
          </cell>
          <cell r="I26">
            <v>122.12</v>
          </cell>
          <cell r="J26">
            <v>155.9</v>
          </cell>
          <cell r="K26">
            <v>205.62</v>
          </cell>
          <cell r="L26">
            <v>254.24</v>
          </cell>
          <cell r="M26">
            <v>309.55</v>
          </cell>
          <cell r="N26">
            <v>363.33</v>
          </cell>
          <cell r="O26">
            <v>408.21</v>
          </cell>
          <cell r="P26">
            <v>459.13</v>
          </cell>
        </row>
        <row r="27">
          <cell r="B27">
            <v>20</v>
          </cell>
          <cell r="C27">
            <v>508</v>
          </cell>
          <cell r="D27">
            <v>115.97</v>
          </cell>
          <cell r="E27">
            <v>154.97</v>
          </cell>
          <cell r="G27">
            <v>78.47</v>
          </cell>
          <cell r="H27">
            <v>116.97</v>
          </cell>
          <cell r="I27">
            <v>154.97</v>
          </cell>
          <cell r="J27">
            <v>183.14</v>
          </cell>
          <cell r="K27">
            <v>247.7</v>
          </cell>
          <cell r="L27">
            <v>310.91000000000003</v>
          </cell>
          <cell r="M27">
            <v>450.75</v>
          </cell>
          <cell r="N27">
            <v>441.06</v>
          </cell>
          <cell r="O27">
            <v>507.63</v>
          </cell>
          <cell r="P27">
            <v>554.24</v>
          </cell>
        </row>
        <row r="28">
          <cell r="B28">
            <v>22</v>
          </cell>
          <cell r="C28">
            <v>555.79999999999995</v>
          </cell>
          <cell r="D28">
            <v>128.83000000000001</v>
          </cell>
          <cell r="E28">
            <v>170.86</v>
          </cell>
          <cell r="G28">
            <v>86.42</v>
          </cell>
          <cell r="H28">
            <v>128.88999999999999</v>
          </cell>
          <cell r="I28">
            <v>170.85</v>
          </cell>
          <cell r="K28">
            <v>293.8</v>
          </cell>
          <cell r="L28">
            <v>373.27</v>
          </cell>
          <cell r="M28">
            <v>546.84</v>
          </cell>
          <cell r="N28">
            <v>526.24</v>
          </cell>
          <cell r="O28">
            <v>599.75</v>
          </cell>
          <cell r="P28">
            <v>671.25</v>
          </cell>
        </row>
        <row r="29">
          <cell r="B29">
            <v>24</v>
          </cell>
          <cell r="C29">
            <v>609.5</v>
          </cell>
          <cell r="D29">
            <v>140.81</v>
          </cell>
          <cell r="E29">
            <v>185.75</v>
          </cell>
          <cell r="G29">
            <v>94.37</v>
          </cell>
          <cell r="H29">
            <v>140.81</v>
          </cell>
          <cell r="I29">
            <v>209.54</v>
          </cell>
          <cell r="J29">
            <v>254.74</v>
          </cell>
          <cell r="K29">
            <v>354.62</v>
          </cell>
          <cell r="L29">
            <v>441.3</v>
          </cell>
          <cell r="N29">
            <v>639.17999999999995</v>
          </cell>
          <cell r="O29">
            <v>719.16</v>
          </cell>
          <cell r="P29">
            <v>806.74</v>
          </cell>
        </row>
        <row r="30">
          <cell r="B30">
            <v>26</v>
          </cell>
          <cell r="C30">
            <v>650.4</v>
          </cell>
          <cell r="D30">
            <v>152.72999999999999</v>
          </cell>
          <cell r="E30">
            <v>202.65</v>
          </cell>
          <cell r="G30">
            <v>127.58</v>
          </cell>
          <cell r="H30">
            <v>202.65</v>
          </cell>
        </row>
        <row r="31">
          <cell r="B31">
            <v>28</v>
          </cell>
          <cell r="C31">
            <v>711.2</v>
          </cell>
          <cell r="D31">
            <v>164.65</v>
          </cell>
          <cell r="E31">
            <v>215.54</v>
          </cell>
          <cell r="G31">
            <v>137.52000000000001</v>
          </cell>
          <cell r="H31">
            <v>218.54</v>
          </cell>
          <cell r="I31">
            <v>271.94</v>
          </cell>
        </row>
        <row r="32">
          <cell r="B32">
            <v>30</v>
          </cell>
          <cell r="C32">
            <v>762</v>
          </cell>
          <cell r="D32">
            <v>176.57</v>
          </cell>
          <cell r="E32">
            <v>234.44</v>
          </cell>
          <cell r="G32">
            <v>147.44999999999999</v>
          </cell>
          <cell r="H32">
            <v>234.44</v>
          </cell>
          <cell r="I32">
            <v>291.81</v>
          </cell>
        </row>
        <row r="33">
          <cell r="B33">
            <v>32</v>
          </cell>
          <cell r="C33">
            <v>812</v>
          </cell>
          <cell r="D33">
            <v>188.5</v>
          </cell>
          <cell r="E33">
            <v>250.33</v>
          </cell>
          <cell r="G33">
            <v>157.38999999999999</v>
          </cell>
          <cell r="H33">
            <v>250.33</v>
          </cell>
          <cell r="I33">
            <v>311.67</v>
          </cell>
          <cell r="J33">
            <v>342.17</v>
          </cell>
        </row>
        <row r="34">
          <cell r="B34">
            <v>34</v>
          </cell>
          <cell r="C34">
            <v>853.6</v>
          </cell>
          <cell r="D34">
            <v>200.42</v>
          </cell>
          <cell r="E34">
            <v>266.22000000000003</v>
          </cell>
          <cell r="G34">
            <v>167.32</v>
          </cell>
          <cell r="H34">
            <v>256.22000000000003</v>
          </cell>
          <cell r="I34">
            <v>331.54</v>
          </cell>
          <cell r="J34">
            <v>354.01</v>
          </cell>
        </row>
        <row r="35">
          <cell r="B35">
            <v>36</v>
          </cell>
          <cell r="C35">
            <v>914.4</v>
          </cell>
          <cell r="D35">
            <v>212.34</v>
          </cell>
          <cell r="E35">
            <v>282.12</v>
          </cell>
          <cell r="G35">
            <v>177.26</v>
          </cell>
          <cell r="H35">
            <v>282.12</v>
          </cell>
          <cell r="I35">
            <v>351.41</v>
          </cell>
          <cell r="J35">
            <v>420.21</v>
          </cell>
        </row>
      </sheetData>
      <sheetData sheetId="2">
        <row r="3">
          <cell r="B3" t="str">
            <v>DIA</v>
          </cell>
          <cell r="C3" t="str">
            <v>H</v>
          </cell>
          <cell r="D3">
            <v>5</v>
          </cell>
          <cell r="E3">
            <v>6</v>
          </cell>
          <cell r="F3">
            <v>7</v>
          </cell>
          <cell r="G3">
            <v>8</v>
          </cell>
          <cell r="H3">
            <v>9</v>
          </cell>
          <cell r="I3">
            <v>10</v>
          </cell>
          <cell r="J3">
            <v>11</v>
          </cell>
          <cell r="K3">
            <v>12</v>
          </cell>
          <cell r="L3">
            <v>13</v>
          </cell>
          <cell r="M3">
            <v>14</v>
          </cell>
          <cell r="N3">
            <v>15</v>
          </cell>
          <cell r="O3">
            <v>16</v>
          </cell>
          <cell r="P3">
            <v>17</v>
          </cell>
          <cell r="Q3">
            <v>18</v>
          </cell>
          <cell r="R3">
            <v>19</v>
          </cell>
          <cell r="S3">
            <v>20</v>
          </cell>
          <cell r="T3">
            <v>21</v>
          </cell>
          <cell r="U3">
            <v>22</v>
          </cell>
          <cell r="V3">
            <v>23</v>
          </cell>
          <cell r="W3">
            <v>24</v>
          </cell>
          <cell r="X3">
            <v>25</v>
          </cell>
          <cell r="Y3">
            <v>26</v>
          </cell>
          <cell r="Z3">
            <v>27</v>
          </cell>
          <cell r="AA3">
            <v>28</v>
          </cell>
          <cell r="AB3">
            <v>29</v>
          </cell>
          <cell r="AC3">
            <v>30</v>
          </cell>
          <cell r="AD3">
            <v>31</v>
          </cell>
          <cell r="AE3">
            <v>32</v>
          </cell>
          <cell r="AF3">
            <v>33</v>
          </cell>
          <cell r="AG3">
            <v>34</v>
          </cell>
          <cell r="AH3">
            <v>35</v>
          </cell>
          <cell r="AI3">
            <v>36</v>
          </cell>
          <cell r="AJ3">
            <v>37</v>
          </cell>
          <cell r="AK3">
            <v>38</v>
          </cell>
          <cell r="AL3">
            <v>39</v>
          </cell>
          <cell r="AM3">
            <v>40</v>
          </cell>
          <cell r="AN3">
            <v>41</v>
          </cell>
          <cell r="AO3">
            <v>42</v>
          </cell>
          <cell r="AP3">
            <v>43</v>
          </cell>
          <cell r="AQ3">
            <v>44</v>
          </cell>
          <cell r="AR3">
            <v>45</v>
          </cell>
          <cell r="AS3">
            <v>46</v>
          </cell>
          <cell r="AT3">
            <v>47</v>
          </cell>
          <cell r="AU3">
            <v>48</v>
          </cell>
          <cell r="AV3">
            <v>49</v>
          </cell>
          <cell r="AW3">
            <v>50</v>
          </cell>
        </row>
        <row r="4">
          <cell r="B4">
            <v>500</v>
          </cell>
          <cell r="C4">
            <v>117</v>
          </cell>
          <cell r="D4">
            <v>18</v>
          </cell>
          <cell r="E4">
            <v>20.83</v>
          </cell>
          <cell r="F4">
            <v>24.3</v>
          </cell>
          <cell r="G4">
            <v>27.1</v>
          </cell>
          <cell r="H4">
            <v>30</v>
          </cell>
          <cell r="I4">
            <v>33.4</v>
          </cell>
          <cell r="J4">
            <v>38.200000000000003</v>
          </cell>
          <cell r="K4">
            <v>41.7</v>
          </cell>
          <cell r="L4">
            <v>45.2</v>
          </cell>
          <cell r="M4">
            <v>48</v>
          </cell>
          <cell r="N4">
            <v>51.4</v>
          </cell>
          <cell r="O4">
            <v>56.25</v>
          </cell>
          <cell r="P4">
            <v>60</v>
          </cell>
          <cell r="Q4">
            <v>63.2</v>
          </cell>
          <cell r="R4">
            <v>66</v>
          </cell>
          <cell r="S4">
            <v>70</v>
          </cell>
          <cell r="T4">
            <v>73</v>
          </cell>
          <cell r="U4">
            <v>75.599999999999994</v>
          </cell>
          <cell r="V4">
            <v>85.42</v>
          </cell>
          <cell r="W4">
            <v>89</v>
          </cell>
          <cell r="X4">
            <v>92.4</v>
          </cell>
          <cell r="Y4">
            <v>96</v>
          </cell>
          <cell r="Z4">
            <v>100</v>
          </cell>
          <cell r="AA4">
            <v>103</v>
          </cell>
          <cell r="AB4">
            <v>112</v>
          </cell>
          <cell r="AC4">
            <v>115.3</v>
          </cell>
          <cell r="AD4">
            <v>116.4</v>
          </cell>
          <cell r="AE4">
            <v>123</v>
          </cell>
          <cell r="AF4">
            <v>127</v>
          </cell>
          <cell r="AG4">
            <v>130.6</v>
          </cell>
          <cell r="AH4">
            <v>146.5</v>
          </cell>
          <cell r="AI4">
            <v>150</v>
          </cell>
          <cell r="AJ4">
            <v>153.125</v>
          </cell>
          <cell r="AK4">
            <v>157.14285714285714</v>
          </cell>
          <cell r="AL4">
            <v>161.16071428571428</v>
          </cell>
          <cell r="AM4">
            <v>164.73214285714286</v>
          </cell>
          <cell r="AN4">
            <v>176.33928571428572</v>
          </cell>
          <cell r="AO4">
            <v>180.35714285714286</v>
          </cell>
          <cell r="AP4">
            <v>183.92857142857142</v>
          </cell>
          <cell r="AQ4">
            <v>187.94642857142858</v>
          </cell>
          <cell r="AR4">
            <v>191.96428571428572</v>
          </cell>
          <cell r="AS4">
            <v>195.98214285714286</v>
          </cell>
          <cell r="AT4">
            <v>199.55357142857142</v>
          </cell>
          <cell r="AU4">
            <v>203.57142857142858</v>
          </cell>
          <cell r="AV4">
            <v>207.58928571428572</v>
          </cell>
          <cell r="AW4">
            <v>211.60714285714286</v>
          </cell>
        </row>
        <row r="5">
          <cell r="B5">
            <v>600</v>
          </cell>
          <cell r="C5">
            <v>147</v>
          </cell>
          <cell r="D5">
            <v>26</v>
          </cell>
          <cell r="E5">
            <v>30</v>
          </cell>
          <cell r="F5">
            <v>35</v>
          </cell>
          <cell r="G5">
            <v>39</v>
          </cell>
          <cell r="H5">
            <v>43</v>
          </cell>
          <cell r="I5">
            <v>48</v>
          </cell>
          <cell r="J5">
            <v>55</v>
          </cell>
          <cell r="K5">
            <v>60</v>
          </cell>
          <cell r="L5">
            <v>65</v>
          </cell>
          <cell r="M5">
            <v>69</v>
          </cell>
          <cell r="N5">
            <v>74</v>
          </cell>
          <cell r="O5">
            <v>81</v>
          </cell>
          <cell r="P5">
            <v>86</v>
          </cell>
          <cell r="Q5">
            <v>91</v>
          </cell>
          <cell r="R5">
            <v>95</v>
          </cell>
          <cell r="S5">
            <v>100</v>
          </cell>
          <cell r="T5">
            <v>105</v>
          </cell>
          <cell r="U5">
            <v>109</v>
          </cell>
          <cell r="V5">
            <v>123</v>
          </cell>
          <cell r="W5">
            <v>128</v>
          </cell>
          <cell r="X5">
            <v>133</v>
          </cell>
          <cell r="Y5">
            <v>138</v>
          </cell>
          <cell r="Z5">
            <v>143</v>
          </cell>
          <cell r="AA5">
            <v>148</v>
          </cell>
          <cell r="AB5">
            <v>161</v>
          </cell>
          <cell r="AC5">
            <v>166</v>
          </cell>
          <cell r="AD5">
            <v>172</v>
          </cell>
          <cell r="AE5">
            <v>177</v>
          </cell>
          <cell r="AF5">
            <v>182</v>
          </cell>
          <cell r="AG5">
            <v>188</v>
          </cell>
          <cell r="AH5">
            <v>211</v>
          </cell>
          <cell r="AI5">
            <v>216</v>
          </cell>
          <cell r="AJ5">
            <v>220.5</v>
          </cell>
          <cell r="AK5">
            <v>226.28571428571428</v>
          </cell>
          <cell r="AL5">
            <v>232.07142857142858</v>
          </cell>
          <cell r="AM5">
            <v>237.21428571428572</v>
          </cell>
          <cell r="AN5">
            <v>253.92857142857142</v>
          </cell>
          <cell r="AO5">
            <v>259.71428571428572</v>
          </cell>
          <cell r="AP5">
            <v>264.85714285714283</v>
          </cell>
          <cell r="AQ5">
            <v>270.64285714285717</v>
          </cell>
          <cell r="AR5">
            <v>276.42857142857144</v>
          </cell>
          <cell r="AS5">
            <v>282.21428571428572</v>
          </cell>
          <cell r="AT5">
            <v>287.35714285714283</v>
          </cell>
          <cell r="AU5">
            <v>293.14285714285717</v>
          </cell>
          <cell r="AV5">
            <v>298.92857142857144</v>
          </cell>
          <cell r="AW5">
            <v>304.71428571428572</v>
          </cell>
        </row>
        <row r="6">
          <cell r="B6">
            <v>700</v>
          </cell>
          <cell r="C6">
            <v>172</v>
          </cell>
          <cell r="D6">
            <v>35</v>
          </cell>
          <cell r="E6">
            <v>41</v>
          </cell>
          <cell r="F6">
            <v>46</v>
          </cell>
          <cell r="G6">
            <v>52</v>
          </cell>
          <cell r="H6">
            <v>57</v>
          </cell>
          <cell r="I6">
            <v>63</v>
          </cell>
          <cell r="J6">
            <v>72</v>
          </cell>
          <cell r="K6">
            <v>79</v>
          </cell>
          <cell r="L6">
            <v>85</v>
          </cell>
          <cell r="M6">
            <v>90</v>
          </cell>
          <cell r="N6">
            <v>96</v>
          </cell>
          <cell r="O6">
            <v>105</v>
          </cell>
          <cell r="P6">
            <v>112</v>
          </cell>
          <cell r="Q6">
            <v>118</v>
          </cell>
          <cell r="R6">
            <v>124</v>
          </cell>
          <cell r="S6">
            <v>130</v>
          </cell>
          <cell r="T6">
            <v>136</v>
          </cell>
          <cell r="U6">
            <v>142</v>
          </cell>
          <cell r="V6">
            <v>158</v>
          </cell>
          <cell r="W6">
            <v>165</v>
          </cell>
          <cell r="X6">
            <v>171</v>
          </cell>
          <cell r="Y6">
            <v>178</v>
          </cell>
          <cell r="Z6">
            <v>184</v>
          </cell>
          <cell r="AA6">
            <v>190</v>
          </cell>
          <cell r="AB6">
            <v>210</v>
          </cell>
          <cell r="AC6">
            <v>218</v>
          </cell>
          <cell r="AD6">
            <v>224</v>
          </cell>
          <cell r="AE6">
            <v>231</v>
          </cell>
          <cell r="AF6">
            <v>239</v>
          </cell>
          <cell r="AG6">
            <v>245</v>
          </cell>
          <cell r="AH6">
            <v>263</v>
          </cell>
          <cell r="AI6">
            <v>270</v>
          </cell>
          <cell r="AJ6">
            <v>300.125</v>
          </cell>
          <cell r="AK6">
            <v>308</v>
          </cell>
          <cell r="AL6">
            <v>315.875</v>
          </cell>
          <cell r="AM6">
            <v>322.875</v>
          </cell>
          <cell r="AN6">
            <v>345.625</v>
          </cell>
          <cell r="AO6">
            <v>353.5</v>
          </cell>
          <cell r="AP6">
            <v>360.5</v>
          </cell>
          <cell r="AQ6">
            <v>368.375</v>
          </cell>
          <cell r="AR6">
            <v>376.25</v>
          </cell>
          <cell r="AS6">
            <v>384.125</v>
          </cell>
          <cell r="AT6">
            <v>391.125</v>
          </cell>
          <cell r="AU6">
            <v>399</v>
          </cell>
          <cell r="AV6">
            <v>406.875</v>
          </cell>
          <cell r="AW6">
            <v>414.75</v>
          </cell>
        </row>
        <row r="7">
          <cell r="B7">
            <v>800</v>
          </cell>
          <cell r="C7">
            <v>197</v>
          </cell>
          <cell r="D7">
            <v>43</v>
          </cell>
          <cell r="E7">
            <v>50</v>
          </cell>
          <cell r="F7">
            <v>58</v>
          </cell>
          <cell r="G7">
            <v>65</v>
          </cell>
          <cell r="H7">
            <v>71</v>
          </cell>
          <cell r="I7">
            <v>78</v>
          </cell>
          <cell r="J7">
            <v>89</v>
          </cell>
          <cell r="K7">
            <v>98</v>
          </cell>
          <cell r="L7">
            <v>105</v>
          </cell>
          <cell r="M7">
            <v>112</v>
          </cell>
          <cell r="N7">
            <v>120</v>
          </cell>
          <cell r="O7">
            <v>132</v>
          </cell>
          <cell r="P7">
            <v>141</v>
          </cell>
          <cell r="Q7">
            <v>148</v>
          </cell>
          <cell r="R7">
            <v>156</v>
          </cell>
          <cell r="S7">
            <v>163</v>
          </cell>
          <cell r="T7">
            <v>171</v>
          </cell>
          <cell r="U7">
            <v>179</v>
          </cell>
          <cell r="V7">
            <v>197</v>
          </cell>
          <cell r="W7">
            <v>206</v>
          </cell>
          <cell r="X7">
            <v>214</v>
          </cell>
          <cell r="Y7">
            <v>222</v>
          </cell>
          <cell r="Z7">
            <v>230</v>
          </cell>
          <cell r="AA7">
            <v>238</v>
          </cell>
          <cell r="AB7">
            <v>261</v>
          </cell>
          <cell r="AC7">
            <v>270</v>
          </cell>
          <cell r="AD7">
            <v>279</v>
          </cell>
          <cell r="AE7">
            <v>287</v>
          </cell>
          <cell r="AF7">
            <v>297</v>
          </cell>
          <cell r="AG7">
            <v>305</v>
          </cell>
          <cell r="AH7">
            <v>326</v>
          </cell>
          <cell r="AI7">
            <v>335</v>
          </cell>
          <cell r="AJ7">
            <v>343</v>
          </cell>
          <cell r="AK7">
            <v>352</v>
          </cell>
          <cell r="AL7">
            <v>361</v>
          </cell>
          <cell r="AM7">
            <v>369</v>
          </cell>
          <cell r="AN7">
            <v>395</v>
          </cell>
          <cell r="AO7">
            <v>404</v>
          </cell>
          <cell r="AP7">
            <v>412</v>
          </cell>
          <cell r="AQ7">
            <v>421</v>
          </cell>
          <cell r="AR7">
            <v>430</v>
          </cell>
          <cell r="AS7">
            <v>439</v>
          </cell>
          <cell r="AT7">
            <v>447</v>
          </cell>
          <cell r="AU7">
            <v>456</v>
          </cell>
          <cell r="AV7">
            <v>465</v>
          </cell>
          <cell r="AW7">
            <v>474</v>
          </cell>
        </row>
        <row r="8">
          <cell r="B8">
            <v>900</v>
          </cell>
          <cell r="C8">
            <v>223</v>
          </cell>
          <cell r="D8">
            <v>53</v>
          </cell>
          <cell r="E8">
            <v>61</v>
          </cell>
          <cell r="F8">
            <v>70</v>
          </cell>
          <cell r="G8">
            <v>79</v>
          </cell>
          <cell r="H8">
            <v>87</v>
          </cell>
          <cell r="I8">
            <v>96</v>
          </cell>
          <cell r="J8">
            <v>109</v>
          </cell>
          <cell r="K8">
            <v>118</v>
          </cell>
          <cell r="L8">
            <v>127</v>
          </cell>
          <cell r="M8">
            <v>136</v>
          </cell>
          <cell r="N8">
            <v>145</v>
          </cell>
          <cell r="O8">
            <v>160</v>
          </cell>
          <cell r="P8">
            <v>170</v>
          </cell>
          <cell r="Q8">
            <v>179</v>
          </cell>
          <cell r="R8">
            <v>189</v>
          </cell>
          <cell r="S8">
            <v>198</v>
          </cell>
          <cell r="T8">
            <v>207</v>
          </cell>
          <cell r="U8">
            <v>216</v>
          </cell>
          <cell r="V8">
            <v>238</v>
          </cell>
          <cell r="W8">
            <v>248</v>
          </cell>
          <cell r="X8">
            <v>258</v>
          </cell>
          <cell r="Y8">
            <v>268</v>
          </cell>
          <cell r="Z8">
            <v>277</v>
          </cell>
          <cell r="AA8">
            <v>287</v>
          </cell>
          <cell r="AB8">
            <v>313</v>
          </cell>
          <cell r="AC8">
            <v>324</v>
          </cell>
          <cell r="AD8">
            <v>334</v>
          </cell>
          <cell r="AE8">
            <v>344</v>
          </cell>
          <cell r="AF8">
            <v>356</v>
          </cell>
          <cell r="AG8">
            <v>366</v>
          </cell>
          <cell r="AH8">
            <v>396</v>
          </cell>
          <cell r="AI8">
            <v>407</v>
          </cell>
          <cell r="AJ8">
            <v>418</v>
          </cell>
          <cell r="AK8">
            <v>428</v>
          </cell>
          <cell r="AL8">
            <v>439</v>
          </cell>
          <cell r="AM8">
            <v>449</v>
          </cell>
          <cell r="AN8">
            <v>479</v>
          </cell>
          <cell r="AO8">
            <v>490</v>
          </cell>
          <cell r="AP8">
            <v>500</v>
          </cell>
          <cell r="AQ8">
            <v>511</v>
          </cell>
          <cell r="AR8">
            <v>522</v>
          </cell>
          <cell r="AS8">
            <v>532</v>
          </cell>
          <cell r="AT8">
            <v>543</v>
          </cell>
          <cell r="AU8">
            <v>554</v>
          </cell>
          <cell r="AV8">
            <v>564</v>
          </cell>
          <cell r="AW8">
            <v>575</v>
          </cell>
        </row>
        <row r="9">
          <cell r="B9">
            <v>1000</v>
          </cell>
          <cell r="C9">
            <v>248</v>
          </cell>
          <cell r="D9">
            <v>63</v>
          </cell>
          <cell r="E9">
            <v>75</v>
          </cell>
          <cell r="F9">
            <v>85</v>
          </cell>
          <cell r="G9">
            <v>96</v>
          </cell>
          <cell r="H9">
            <v>106</v>
          </cell>
          <cell r="I9">
            <v>116</v>
          </cell>
          <cell r="J9">
            <v>132</v>
          </cell>
          <cell r="K9">
            <v>143</v>
          </cell>
          <cell r="L9">
            <v>154</v>
          </cell>
          <cell r="M9">
            <v>165</v>
          </cell>
          <cell r="N9">
            <v>176</v>
          </cell>
          <cell r="O9">
            <v>193</v>
          </cell>
          <cell r="P9">
            <v>206</v>
          </cell>
          <cell r="Q9">
            <v>217</v>
          </cell>
          <cell r="R9">
            <v>228</v>
          </cell>
          <cell r="S9">
            <v>239</v>
          </cell>
          <cell r="T9">
            <v>250</v>
          </cell>
          <cell r="U9">
            <v>261</v>
          </cell>
          <cell r="V9">
            <v>286</v>
          </cell>
          <cell r="W9">
            <v>299</v>
          </cell>
          <cell r="X9">
            <v>310</v>
          </cell>
          <cell r="Y9">
            <v>322</v>
          </cell>
          <cell r="Z9">
            <v>334</v>
          </cell>
          <cell r="AA9">
            <v>345</v>
          </cell>
          <cell r="AB9">
            <v>375</v>
          </cell>
          <cell r="AC9">
            <v>389</v>
          </cell>
          <cell r="AD9">
            <v>401</v>
          </cell>
          <cell r="AE9">
            <v>413</v>
          </cell>
          <cell r="AF9">
            <v>426</v>
          </cell>
          <cell r="AG9">
            <v>438</v>
          </cell>
          <cell r="AH9">
            <v>480</v>
          </cell>
          <cell r="AI9">
            <v>493</v>
          </cell>
          <cell r="AJ9">
            <v>506</v>
          </cell>
          <cell r="AK9">
            <v>518</v>
          </cell>
          <cell r="AL9">
            <v>532</v>
          </cell>
          <cell r="AM9">
            <v>545</v>
          </cell>
          <cell r="AN9">
            <v>588</v>
          </cell>
          <cell r="AO9">
            <v>601</v>
          </cell>
          <cell r="AP9">
            <v>614</v>
          </cell>
          <cell r="AQ9">
            <v>627</v>
          </cell>
          <cell r="AR9">
            <v>640</v>
          </cell>
          <cell r="AS9">
            <v>653</v>
          </cell>
          <cell r="AT9">
            <v>666</v>
          </cell>
          <cell r="AU9">
            <v>679</v>
          </cell>
          <cell r="AV9">
            <v>692</v>
          </cell>
          <cell r="AW9">
            <v>705</v>
          </cell>
        </row>
        <row r="10">
          <cell r="B10">
            <v>1100</v>
          </cell>
          <cell r="C10">
            <v>274</v>
          </cell>
          <cell r="D10">
            <v>74</v>
          </cell>
          <cell r="E10">
            <v>89</v>
          </cell>
          <cell r="F10">
            <v>102</v>
          </cell>
          <cell r="G10">
            <v>114</v>
          </cell>
          <cell r="H10">
            <v>126</v>
          </cell>
          <cell r="I10">
            <v>139</v>
          </cell>
          <cell r="J10">
            <v>157</v>
          </cell>
          <cell r="K10">
            <v>171</v>
          </cell>
          <cell r="L10">
            <v>184</v>
          </cell>
          <cell r="M10">
            <v>197</v>
          </cell>
          <cell r="N10">
            <v>209</v>
          </cell>
          <cell r="O10">
            <v>233.53</v>
          </cell>
          <cell r="P10">
            <v>244</v>
          </cell>
          <cell r="Q10">
            <v>258</v>
          </cell>
          <cell r="R10">
            <v>271</v>
          </cell>
          <cell r="S10">
            <v>284</v>
          </cell>
          <cell r="T10">
            <v>297</v>
          </cell>
          <cell r="U10">
            <v>310</v>
          </cell>
          <cell r="V10">
            <v>339</v>
          </cell>
          <cell r="W10">
            <v>354</v>
          </cell>
          <cell r="X10">
            <v>367</v>
          </cell>
          <cell r="Y10">
            <v>381</v>
          </cell>
          <cell r="Z10">
            <v>395</v>
          </cell>
          <cell r="AA10">
            <v>409</v>
          </cell>
          <cell r="AB10">
            <v>443</v>
          </cell>
          <cell r="AC10">
            <v>459</v>
          </cell>
          <cell r="AD10">
            <v>473</v>
          </cell>
          <cell r="AE10">
            <v>487</v>
          </cell>
          <cell r="AF10">
            <v>503</v>
          </cell>
          <cell r="AG10">
            <v>517</v>
          </cell>
          <cell r="AH10">
            <v>565</v>
          </cell>
          <cell r="AI10">
            <v>580</v>
          </cell>
          <cell r="AJ10">
            <v>595</v>
          </cell>
          <cell r="AK10">
            <v>609</v>
          </cell>
          <cell r="AL10">
            <v>643.72</v>
          </cell>
          <cell r="AM10">
            <v>641</v>
          </cell>
          <cell r="AN10">
            <v>690</v>
          </cell>
          <cell r="AO10">
            <v>705</v>
          </cell>
          <cell r="AP10">
            <v>720</v>
          </cell>
          <cell r="AQ10">
            <v>736</v>
          </cell>
          <cell r="AR10">
            <v>751</v>
          </cell>
          <cell r="AS10">
            <v>766</v>
          </cell>
          <cell r="AT10">
            <v>782</v>
          </cell>
          <cell r="AU10">
            <v>797</v>
          </cell>
          <cell r="AV10">
            <v>812</v>
          </cell>
          <cell r="AW10">
            <v>827</v>
          </cell>
        </row>
        <row r="11">
          <cell r="B11">
            <v>1200</v>
          </cell>
          <cell r="C11">
            <v>299</v>
          </cell>
          <cell r="D11">
            <v>88</v>
          </cell>
          <cell r="E11">
            <v>106</v>
          </cell>
          <cell r="F11">
            <v>121</v>
          </cell>
          <cell r="G11">
            <v>135</v>
          </cell>
          <cell r="H11">
            <v>150</v>
          </cell>
          <cell r="I11">
            <v>165</v>
          </cell>
          <cell r="J11">
            <v>186</v>
          </cell>
          <cell r="K11">
            <v>209</v>
          </cell>
          <cell r="L11">
            <v>216</v>
          </cell>
          <cell r="M11">
            <v>233</v>
          </cell>
          <cell r="N11">
            <v>216</v>
          </cell>
          <cell r="O11">
            <v>277.92</v>
          </cell>
          <cell r="P11">
            <v>287</v>
          </cell>
          <cell r="Q11">
            <v>302</v>
          </cell>
          <cell r="R11">
            <v>318</v>
          </cell>
          <cell r="S11">
            <v>333</v>
          </cell>
          <cell r="T11">
            <v>349</v>
          </cell>
          <cell r="U11">
            <v>364</v>
          </cell>
          <cell r="V11">
            <v>394</v>
          </cell>
          <cell r="W11">
            <v>413</v>
          </cell>
          <cell r="X11">
            <v>429</v>
          </cell>
          <cell r="Y11">
            <v>445</v>
          </cell>
          <cell r="Z11">
            <v>462</v>
          </cell>
          <cell r="AA11">
            <v>478</v>
          </cell>
          <cell r="AB11">
            <v>516</v>
          </cell>
          <cell r="AC11">
            <v>534</v>
          </cell>
          <cell r="AD11">
            <v>551</v>
          </cell>
          <cell r="AE11">
            <v>568</v>
          </cell>
          <cell r="AF11">
            <v>586</v>
          </cell>
          <cell r="AG11">
            <v>603</v>
          </cell>
          <cell r="AH11">
            <v>656</v>
          </cell>
          <cell r="AI11">
            <v>673</v>
          </cell>
          <cell r="AJ11">
            <v>691</v>
          </cell>
          <cell r="AK11">
            <v>724.76033057851237</v>
          </cell>
          <cell r="AL11">
            <v>766.08</v>
          </cell>
          <cell r="AM11">
            <v>744</v>
          </cell>
          <cell r="AN11">
            <v>777</v>
          </cell>
          <cell r="AO11">
            <v>794</v>
          </cell>
          <cell r="AP11">
            <v>813</v>
          </cell>
          <cell r="AQ11">
            <v>831</v>
          </cell>
          <cell r="AR11">
            <v>848</v>
          </cell>
          <cell r="AS11">
            <v>866</v>
          </cell>
          <cell r="AT11">
            <v>884</v>
          </cell>
          <cell r="AU11">
            <v>902</v>
          </cell>
          <cell r="AV11">
            <v>919</v>
          </cell>
          <cell r="AW11">
            <v>937</v>
          </cell>
        </row>
        <row r="12">
          <cell r="B12">
            <v>1300</v>
          </cell>
          <cell r="C12">
            <v>325</v>
          </cell>
          <cell r="D12">
            <v>103.27777777777777</v>
          </cell>
          <cell r="E12">
            <v>120</v>
          </cell>
          <cell r="F12">
            <v>140</v>
          </cell>
          <cell r="G12">
            <v>157</v>
          </cell>
          <cell r="H12">
            <v>175</v>
          </cell>
          <cell r="I12">
            <v>192</v>
          </cell>
          <cell r="J12">
            <v>216</v>
          </cell>
          <cell r="K12">
            <v>233</v>
          </cell>
          <cell r="L12">
            <v>251</v>
          </cell>
          <cell r="M12">
            <v>270</v>
          </cell>
          <cell r="N12">
            <v>286</v>
          </cell>
          <cell r="O12">
            <v>312</v>
          </cell>
          <cell r="P12">
            <v>332</v>
          </cell>
          <cell r="Q12">
            <v>350</v>
          </cell>
          <cell r="R12">
            <v>368</v>
          </cell>
          <cell r="S12">
            <v>386</v>
          </cell>
          <cell r="T12">
            <v>404</v>
          </cell>
          <cell r="U12">
            <v>422</v>
          </cell>
          <cell r="V12">
            <v>459</v>
          </cell>
          <cell r="W12">
            <v>478</v>
          </cell>
          <cell r="X12">
            <v>496</v>
          </cell>
          <cell r="Y12">
            <v>515</v>
          </cell>
          <cell r="Z12">
            <v>535</v>
          </cell>
          <cell r="AA12">
            <v>554</v>
          </cell>
          <cell r="AB12">
            <v>596</v>
          </cell>
          <cell r="AC12">
            <v>616</v>
          </cell>
          <cell r="AD12">
            <v>635</v>
          </cell>
          <cell r="AE12">
            <v>654</v>
          </cell>
          <cell r="AF12">
            <v>675</v>
          </cell>
          <cell r="AG12">
            <v>695</v>
          </cell>
          <cell r="AH12">
            <v>755</v>
          </cell>
          <cell r="AI12">
            <v>775</v>
          </cell>
          <cell r="AJ12">
            <v>794</v>
          </cell>
          <cell r="AK12">
            <v>814</v>
          </cell>
          <cell r="AL12">
            <v>834</v>
          </cell>
          <cell r="AM12">
            <v>856</v>
          </cell>
          <cell r="AN12">
            <v>901</v>
          </cell>
          <cell r="AO12">
            <v>922</v>
          </cell>
          <cell r="AP12">
            <v>943</v>
          </cell>
          <cell r="AQ12">
            <v>963</v>
          </cell>
          <cell r="AR12">
            <v>988</v>
          </cell>
          <cell r="AS12">
            <v>1008</v>
          </cell>
          <cell r="AT12">
            <v>1029</v>
          </cell>
          <cell r="AU12">
            <v>1049</v>
          </cell>
          <cell r="AV12">
            <v>1070</v>
          </cell>
          <cell r="AW12">
            <v>1019</v>
          </cell>
        </row>
        <row r="13">
          <cell r="B13">
            <v>1400</v>
          </cell>
          <cell r="C13">
            <v>350</v>
          </cell>
          <cell r="D13">
            <v>119.77777777777777</v>
          </cell>
          <cell r="E13">
            <v>139</v>
          </cell>
          <cell r="F13">
            <v>162</v>
          </cell>
          <cell r="G13">
            <v>183</v>
          </cell>
          <cell r="H13">
            <v>203</v>
          </cell>
          <cell r="I13">
            <v>220</v>
          </cell>
          <cell r="J13">
            <v>250</v>
          </cell>
          <cell r="K13">
            <v>270</v>
          </cell>
          <cell r="L13">
            <v>290</v>
          </cell>
          <cell r="M13">
            <v>310</v>
          </cell>
          <cell r="N13">
            <v>330</v>
          </cell>
          <cell r="O13">
            <v>360</v>
          </cell>
          <cell r="P13">
            <v>381</v>
          </cell>
          <cell r="Q13">
            <v>403</v>
          </cell>
          <cell r="R13">
            <v>424</v>
          </cell>
          <cell r="S13">
            <v>443</v>
          </cell>
          <cell r="T13">
            <v>463</v>
          </cell>
          <cell r="U13">
            <v>484</v>
          </cell>
          <cell r="V13">
            <v>525</v>
          </cell>
          <cell r="W13">
            <v>547</v>
          </cell>
          <cell r="X13">
            <v>568</v>
          </cell>
          <cell r="Y13">
            <v>589</v>
          </cell>
          <cell r="Z13">
            <v>613</v>
          </cell>
          <cell r="AA13">
            <v>634</v>
          </cell>
          <cell r="AB13">
            <v>681</v>
          </cell>
          <cell r="AC13">
            <v>703</v>
          </cell>
          <cell r="AD13">
            <v>725</v>
          </cell>
          <cell r="AE13">
            <v>747</v>
          </cell>
          <cell r="AF13">
            <v>771</v>
          </cell>
          <cell r="AG13">
            <v>793</v>
          </cell>
          <cell r="AH13">
            <v>860</v>
          </cell>
          <cell r="AI13">
            <v>882</v>
          </cell>
          <cell r="AJ13">
            <v>905</v>
          </cell>
          <cell r="AK13">
            <v>928</v>
          </cell>
          <cell r="AL13">
            <v>950</v>
          </cell>
          <cell r="AM13">
            <v>975</v>
          </cell>
          <cell r="AN13">
            <v>1014</v>
          </cell>
          <cell r="AO13">
            <v>1038</v>
          </cell>
          <cell r="AP13">
            <v>1061</v>
          </cell>
          <cell r="AQ13">
            <v>1084</v>
          </cell>
          <cell r="AR13">
            <v>1109</v>
          </cell>
          <cell r="AS13">
            <v>1135</v>
          </cell>
          <cell r="AT13">
            <v>1158</v>
          </cell>
          <cell r="AU13">
            <v>1182</v>
          </cell>
          <cell r="AV13">
            <v>1205</v>
          </cell>
          <cell r="AW13">
            <v>1228</v>
          </cell>
        </row>
        <row r="14">
          <cell r="B14">
            <v>1500</v>
          </cell>
          <cell r="C14">
            <v>376</v>
          </cell>
          <cell r="D14">
            <v>137.5</v>
          </cell>
          <cell r="E14">
            <v>160</v>
          </cell>
          <cell r="F14">
            <v>187</v>
          </cell>
          <cell r="G14">
            <v>210</v>
          </cell>
          <cell r="H14">
            <v>234</v>
          </cell>
          <cell r="I14">
            <v>254</v>
          </cell>
          <cell r="J14">
            <v>284</v>
          </cell>
          <cell r="K14">
            <v>307</v>
          </cell>
          <cell r="L14">
            <v>330</v>
          </cell>
          <cell r="M14">
            <v>353</v>
          </cell>
          <cell r="N14">
            <v>376</v>
          </cell>
          <cell r="O14">
            <v>410</v>
          </cell>
          <cell r="P14">
            <v>433</v>
          </cell>
          <cell r="Q14">
            <v>459</v>
          </cell>
          <cell r="R14">
            <v>482</v>
          </cell>
          <cell r="S14">
            <v>503</v>
          </cell>
          <cell r="T14">
            <v>527</v>
          </cell>
          <cell r="U14">
            <v>550</v>
          </cell>
          <cell r="V14">
            <v>596</v>
          </cell>
          <cell r="W14">
            <v>620</v>
          </cell>
          <cell r="X14">
            <v>645</v>
          </cell>
          <cell r="Y14">
            <v>669</v>
          </cell>
          <cell r="Z14">
            <v>695</v>
          </cell>
          <cell r="AA14">
            <v>719</v>
          </cell>
          <cell r="AB14">
            <v>771</v>
          </cell>
          <cell r="AC14">
            <v>796</v>
          </cell>
          <cell r="AD14">
            <v>821</v>
          </cell>
          <cell r="AE14">
            <v>846</v>
          </cell>
          <cell r="AF14">
            <v>873</v>
          </cell>
          <cell r="AG14">
            <v>898</v>
          </cell>
          <cell r="AH14">
            <v>977</v>
          </cell>
          <cell r="AI14">
            <v>1003</v>
          </cell>
          <cell r="AJ14">
            <v>1028</v>
          </cell>
          <cell r="AK14">
            <v>1054</v>
          </cell>
          <cell r="AL14">
            <v>1079</v>
          </cell>
          <cell r="AM14">
            <v>1105</v>
          </cell>
          <cell r="AN14">
            <v>1151</v>
          </cell>
          <cell r="AO14">
            <v>1177</v>
          </cell>
          <cell r="AP14">
            <v>1203</v>
          </cell>
          <cell r="AQ14">
            <v>1229</v>
          </cell>
          <cell r="AR14">
            <v>1258</v>
          </cell>
          <cell r="AS14">
            <v>1284</v>
          </cell>
          <cell r="AT14">
            <v>1310</v>
          </cell>
          <cell r="AU14">
            <v>1336</v>
          </cell>
          <cell r="AV14">
            <v>1365</v>
          </cell>
          <cell r="AW14">
            <v>1391</v>
          </cell>
        </row>
        <row r="15">
          <cell r="B15">
            <v>1600</v>
          </cell>
          <cell r="C15">
            <v>401</v>
          </cell>
          <cell r="D15">
            <v>156.44444444444446</v>
          </cell>
          <cell r="E15">
            <v>182</v>
          </cell>
          <cell r="F15">
            <v>212</v>
          </cell>
          <cell r="G15">
            <v>238</v>
          </cell>
          <cell r="H15">
            <v>264</v>
          </cell>
          <cell r="I15">
            <v>290</v>
          </cell>
          <cell r="J15">
            <v>321</v>
          </cell>
          <cell r="K15">
            <v>347</v>
          </cell>
          <cell r="L15">
            <v>375</v>
          </cell>
          <cell r="M15">
            <v>401</v>
          </cell>
          <cell r="N15">
            <v>427</v>
          </cell>
          <cell r="O15">
            <v>465</v>
          </cell>
          <cell r="P15">
            <v>491</v>
          </cell>
          <cell r="Q15">
            <v>520</v>
          </cell>
          <cell r="R15">
            <v>547</v>
          </cell>
          <cell r="S15">
            <v>570</v>
          </cell>
          <cell r="T15">
            <v>597</v>
          </cell>
          <cell r="U15">
            <v>623</v>
          </cell>
          <cell r="V15">
            <v>668</v>
          </cell>
          <cell r="W15">
            <v>695</v>
          </cell>
          <cell r="X15">
            <v>724</v>
          </cell>
          <cell r="Y15">
            <v>751</v>
          </cell>
          <cell r="Z15">
            <v>778</v>
          </cell>
          <cell r="AA15">
            <v>805</v>
          </cell>
          <cell r="AB15">
            <v>870</v>
          </cell>
          <cell r="AC15">
            <v>901</v>
          </cell>
          <cell r="AD15">
            <v>929</v>
          </cell>
          <cell r="AE15">
            <v>957</v>
          </cell>
          <cell r="AF15">
            <v>985</v>
          </cell>
          <cell r="AG15">
            <v>1013</v>
          </cell>
          <cell r="AH15">
            <v>1096</v>
          </cell>
          <cell r="AI15">
            <v>1125</v>
          </cell>
          <cell r="AJ15">
            <v>1154</v>
          </cell>
          <cell r="AK15">
            <v>1182</v>
          </cell>
          <cell r="AL15">
            <v>1211</v>
          </cell>
          <cell r="AM15">
            <v>1243</v>
          </cell>
          <cell r="AN15">
            <v>1290</v>
          </cell>
          <cell r="AO15">
            <v>1319</v>
          </cell>
          <cell r="AP15">
            <v>1349</v>
          </cell>
          <cell r="AQ15">
            <v>1378</v>
          </cell>
          <cell r="AR15">
            <v>1410</v>
          </cell>
          <cell r="AS15">
            <v>1440</v>
          </cell>
          <cell r="AT15">
            <v>1469</v>
          </cell>
          <cell r="AU15">
            <v>1498</v>
          </cell>
          <cell r="AV15">
            <v>1530</v>
          </cell>
          <cell r="AW15">
            <v>1559</v>
          </cell>
        </row>
        <row r="16">
          <cell r="B16">
            <v>1700</v>
          </cell>
          <cell r="C16">
            <v>427</v>
          </cell>
          <cell r="D16">
            <v>176.61111111111111</v>
          </cell>
          <cell r="E16">
            <v>205.4609375</v>
          </cell>
          <cell r="F16">
            <v>236</v>
          </cell>
          <cell r="G16">
            <v>265</v>
          </cell>
          <cell r="H16">
            <v>294</v>
          </cell>
          <cell r="I16">
            <v>322</v>
          </cell>
          <cell r="J16">
            <v>360</v>
          </cell>
          <cell r="K16">
            <v>389</v>
          </cell>
          <cell r="L16">
            <v>421</v>
          </cell>
          <cell r="M16">
            <v>450</v>
          </cell>
          <cell r="N16">
            <v>479</v>
          </cell>
          <cell r="O16">
            <v>516</v>
          </cell>
          <cell r="P16">
            <v>545</v>
          </cell>
          <cell r="Q16">
            <v>578</v>
          </cell>
          <cell r="R16">
            <v>607</v>
          </cell>
          <cell r="S16">
            <v>633</v>
          </cell>
          <cell r="T16">
            <v>663</v>
          </cell>
          <cell r="U16">
            <v>692</v>
          </cell>
          <cell r="V16">
            <v>747</v>
          </cell>
          <cell r="W16">
            <v>777</v>
          </cell>
          <cell r="X16">
            <v>811</v>
          </cell>
          <cell r="Y16">
            <v>841</v>
          </cell>
          <cell r="Z16">
            <v>871</v>
          </cell>
          <cell r="AA16">
            <v>901</v>
          </cell>
          <cell r="AB16">
            <v>972</v>
          </cell>
          <cell r="AC16">
            <v>1006</v>
          </cell>
          <cell r="AD16">
            <v>1038</v>
          </cell>
          <cell r="AE16">
            <v>1069</v>
          </cell>
          <cell r="AF16">
            <v>1100</v>
          </cell>
          <cell r="AG16">
            <v>1131</v>
          </cell>
          <cell r="AH16">
            <v>1223</v>
          </cell>
          <cell r="AI16">
            <v>1255</v>
          </cell>
          <cell r="AJ16">
            <v>1287</v>
          </cell>
          <cell r="AK16">
            <v>1319</v>
          </cell>
          <cell r="AL16">
            <v>1351</v>
          </cell>
          <cell r="AM16">
            <v>1386</v>
          </cell>
          <cell r="AN16">
            <v>1437</v>
          </cell>
          <cell r="AO16">
            <v>1470</v>
          </cell>
          <cell r="AP16">
            <v>1502</v>
          </cell>
          <cell r="AQ16">
            <v>1535</v>
          </cell>
          <cell r="AR16">
            <v>1571</v>
          </cell>
          <cell r="AS16">
            <v>1604</v>
          </cell>
          <cell r="AT16">
            <v>1636</v>
          </cell>
          <cell r="AU16">
            <v>1669</v>
          </cell>
          <cell r="AV16">
            <v>1704</v>
          </cell>
          <cell r="AW16">
            <v>1737</v>
          </cell>
        </row>
        <row r="17">
          <cell r="B17">
            <v>1800</v>
          </cell>
          <cell r="C17">
            <v>452</v>
          </cell>
          <cell r="D17">
            <v>198</v>
          </cell>
          <cell r="E17">
            <v>230.34375</v>
          </cell>
          <cell r="F17">
            <v>263</v>
          </cell>
          <cell r="G17">
            <v>295</v>
          </cell>
          <cell r="H17">
            <v>328</v>
          </cell>
          <cell r="I17">
            <v>359</v>
          </cell>
          <cell r="J17">
            <v>402</v>
          </cell>
          <cell r="K17">
            <v>434</v>
          </cell>
          <cell r="L17">
            <v>470</v>
          </cell>
          <cell r="M17">
            <v>502</v>
          </cell>
          <cell r="N17">
            <v>534</v>
          </cell>
          <cell r="O17">
            <v>575</v>
          </cell>
          <cell r="P17">
            <v>608</v>
          </cell>
          <cell r="Q17">
            <v>643</v>
          </cell>
          <cell r="R17">
            <v>676</v>
          </cell>
          <cell r="S17">
            <v>705</v>
          </cell>
          <cell r="T17">
            <v>738</v>
          </cell>
          <cell r="U17">
            <v>771</v>
          </cell>
          <cell r="V17">
            <v>842</v>
          </cell>
          <cell r="W17">
            <v>879</v>
          </cell>
          <cell r="X17">
            <v>913</v>
          </cell>
          <cell r="Y17">
            <v>947</v>
          </cell>
          <cell r="Z17">
            <v>981</v>
          </cell>
          <cell r="AA17">
            <v>1015</v>
          </cell>
          <cell r="AB17">
            <v>1086</v>
          </cell>
          <cell r="AC17">
            <v>1121</v>
          </cell>
          <cell r="AD17">
            <v>1156</v>
          </cell>
          <cell r="AE17">
            <v>1194</v>
          </cell>
          <cell r="AF17">
            <v>1228</v>
          </cell>
          <cell r="AG17">
            <v>1263</v>
          </cell>
          <cell r="AH17">
            <v>1360</v>
          </cell>
          <cell r="AI17">
            <v>1399</v>
          </cell>
          <cell r="AJ17">
            <v>1434</v>
          </cell>
          <cell r="AK17">
            <v>1470</v>
          </cell>
          <cell r="AL17">
            <v>1505</v>
          </cell>
          <cell r="AM17">
            <v>1545</v>
          </cell>
          <cell r="AN17">
            <v>1600</v>
          </cell>
          <cell r="AO17">
            <v>1636</v>
          </cell>
          <cell r="AP17">
            <v>1672</v>
          </cell>
          <cell r="AQ17">
            <v>1712</v>
          </cell>
          <cell r="AR17">
            <v>1741</v>
          </cell>
          <cell r="AS17">
            <v>1777</v>
          </cell>
          <cell r="AT17">
            <v>1813</v>
          </cell>
          <cell r="AU17">
            <v>1849</v>
          </cell>
          <cell r="AV17">
            <v>1888</v>
          </cell>
          <cell r="AW17">
            <v>1925</v>
          </cell>
        </row>
        <row r="18">
          <cell r="B18">
            <v>1900</v>
          </cell>
          <cell r="C18">
            <v>478</v>
          </cell>
          <cell r="D18">
            <v>220.61111111111111</v>
          </cell>
          <cell r="E18">
            <v>256.6484375</v>
          </cell>
          <cell r="F18">
            <v>293</v>
          </cell>
          <cell r="G18">
            <v>335</v>
          </cell>
          <cell r="H18">
            <v>370</v>
          </cell>
          <cell r="I18">
            <v>402</v>
          </cell>
          <cell r="J18">
            <v>452</v>
          </cell>
          <cell r="K18">
            <v>488</v>
          </cell>
          <cell r="L18">
            <v>528</v>
          </cell>
          <cell r="M18">
            <v>564</v>
          </cell>
          <cell r="N18">
            <v>599</v>
          </cell>
          <cell r="O18">
            <v>641</v>
          </cell>
          <cell r="P18">
            <v>677</v>
          </cell>
          <cell r="Q18">
            <v>713</v>
          </cell>
          <cell r="R18">
            <v>753</v>
          </cell>
          <cell r="S18">
            <v>785</v>
          </cell>
          <cell r="T18">
            <v>822</v>
          </cell>
          <cell r="U18">
            <v>861</v>
          </cell>
          <cell r="V18">
            <v>939</v>
          </cell>
          <cell r="W18">
            <v>980</v>
          </cell>
          <cell r="X18">
            <v>1018</v>
          </cell>
          <cell r="Y18">
            <v>1055</v>
          </cell>
          <cell r="Z18">
            <v>1092</v>
          </cell>
          <cell r="AA18">
            <v>1134</v>
          </cell>
          <cell r="AB18">
            <v>1200</v>
          </cell>
          <cell r="AC18">
            <v>1238</v>
          </cell>
          <cell r="AD18">
            <v>1276</v>
          </cell>
          <cell r="AE18">
            <v>1319</v>
          </cell>
          <cell r="AF18">
            <v>1357</v>
          </cell>
          <cell r="AG18">
            <v>1395</v>
          </cell>
          <cell r="AH18">
            <v>1500</v>
          </cell>
          <cell r="AI18">
            <v>1543</v>
          </cell>
          <cell r="AJ18">
            <v>1583</v>
          </cell>
          <cell r="AK18">
            <v>1622</v>
          </cell>
          <cell r="AL18">
            <v>1661</v>
          </cell>
          <cell r="AM18">
            <v>1704</v>
          </cell>
          <cell r="AN18">
            <v>1780</v>
          </cell>
          <cell r="AO18">
            <v>1819</v>
          </cell>
          <cell r="AP18">
            <v>1859</v>
          </cell>
          <cell r="AQ18">
            <v>1903</v>
          </cell>
          <cell r="AR18">
            <v>1935</v>
          </cell>
          <cell r="AS18">
            <v>1975</v>
          </cell>
          <cell r="AT18">
            <v>2015</v>
          </cell>
          <cell r="AU18">
            <v>2055</v>
          </cell>
          <cell r="AV18">
            <v>2098</v>
          </cell>
          <cell r="AW18">
            <v>2138</v>
          </cell>
        </row>
        <row r="19">
          <cell r="B19">
            <v>2000</v>
          </cell>
          <cell r="C19">
            <v>503</v>
          </cell>
          <cell r="D19">
            <v>244.44444444444446</v>
          </cell>
          <cell r="E19">
            <v>284.375</v>
          </cell>
          <cell r="F19">
            <v>320</v>
          </cell>
          <cell r="G19">
            <v>366</v>
          </cell>
          <cell r="H19">
            <v>405</v>
          </cell>
          <cell r="I19">
            <v>441</v>
          </cell>
          <cell r="J19">
            <v>495</v>
          </cell>
          <cell r="K19">
            <v>534</v>
          </cell>
          <cell r="L19">
            <v>577</v>
          </cell>
          <cell r="M19">
            <v>617</v>
          </cell>
          <cell r="N19">
            <v>656</v>
          </cell>
          <cell r="O19">
            <v>706</v>
          </cell>
          <cell r="P19">
            <v>746</v>
          </cell>
          <cell r="Q19">
            <v>786</v>
          </cell>
          <cell r="R19">
            <v>830</v>
          </cell>
          <cell r="S19">
            <v>866</v>
          </cell>
          <cell r="T19">
            <v>906</v>
          </cell>
          <cell r="U19">
            <v>950</v>
          </cell>
          <cell r="V19">
            <v>1017</v>
          </cell>
          <cell r="W19">
            <v>1062</v>
          </cell>
          <cell r="X19">
            <v>1103</v>
          </cell>
          <cell r="Y19">
            <v>1144</v>
          </cell>
          <cell r="Z19">
            <v>1185</v>
          </cell>
          <cell r="AA19">
            <v>1230</v>
          </cell>
          <cell r="AB19">
            <v>1309</v>
          </cell>
          <cell r="AC19">
            <v>1351</v>
          </cell>
          <cell r="AD19">
            <v>1393</v>
          </cell>
          <cell r="AE19">
            <v>1439</v>
          </cell>
          <cell r="AF19">
            <v>1480</v>
          </cell>
          <cell r="AG19">
            <v>1522</v>
          </cell>
          <cell r="AH19">
            <v>1630</v>
          </cell>
          <cell r="AI19">
            <v>1674</v>
          </cell>
          <cell r="AJ19">
            <v>1721</v>
          </cell>
          <cell r="AK19">
            <v>1763</v>
          </cell>
          <cell r="AL19">
            <v>1806</v>
          </cell>
          <cell r="AM19">
            <v>1853</v>
          </cell>
          <cell r="AN19">
            <v>1938</v>
          </cell>
          <cell r="AO19">
            <v>1982</v>
          </cell>
          <cell r="AP19">
            <v>2025</v>
          </cell>
          <cell r="AQ19">
            <v>2073</v>
          </cell>
          <cell r="AR19">
            <v>2108</v>
          </cell>
          <cell r="AS19">
            <v>2151</v>
          </cell>
          <cell r="AT19">
            <v>2195</v>
          </cell>
          <cell r="AU19">
            <v>2243</v>
          </cell>
          <cell r="AV19">
            <v>2287</v>
          </cell>
          <cell r="AW19">
            <v>2331</v>
          </cell>
        </row>
        <row r="20">
          <cell r="B20">
            <v>2100</v>
          </cell>
          <cell r="C20">
            <v>529</v>
          </cell>
          <cell r="D20">
            <v>269.5</v>
          </cell>
          <cell r="E20">
            <v>313.5234375</v>
          </cell>
          <cell r="F20">
            <v>350</v>
          </cell>
          <cell r="G20">
            <v>400</v>
          </cell>
          <cell r="H20">
            <v>442</v>
          </cell>
          <cell r="I20">
            <v>484</v>
          </cell>
          <cell r="J20">
            <v>543</v>
          </cell>
          <cell r="K20">
            <v>591</v>
          </cell>
          <cell r="L20">
            <v>634</v>
          </cell>
          <cell r="M20">
            <v>681</v>
          </cell>
          <cell r="N20">
            <v>720</v>
          </cell>
          <cell r="O20">
            <v>784</v>
          </cell>
          <cell r="P20">
            <v>832</v>
          </cell>
          <cell r="Q20">
            <v>876</v>
          </cell>
          <cell r="R20">
            <v>920</v>
          </cell>
          <cell r="S20">
            <v>963</v>
          </cell>
          <cell r="T20">
            <v>1007</v>
          </cell>
          <cell r="U20">
            <v>1055</v>
          </cell>
          <cell r="V20">
            <v>1129</v>
          </cell>
          <cell r="W20">
            <v>1174</v>
          </cell>
          <cell r="X20">
            <v>1218</v>
          </cell>
          <cell r="Y20">
            <v>1263</v>
          </cell>
          <cell r="Z20">
            <v>1312</v>
          </cell>
          <cell r="AA20">
            <v>1357</v>
          </cell>
          <cell r="AB20">
            <v>1447</v>
          </cell>
          <cell r="AC20">
            <v>1493</v>
          </cell>
          <cell r="AD20">
            <v>1539</v>
          </cell>
          <cell r="AE20">
            <v>1589</v>
          </cell>
          <cell r="AF20">
            <v>1635</v>
          </cell>
          <cell r="AG20">
            <v>1681</v>
          </cell>
          <cell r="AH20">
            <v>1784</v>
          </cell>
          <cell r="AI20">
            <v>1831</v>
          </cell>
          <cell r="AJ20">
            <v>1883</v>
          </cell>
          <cell r="AK20">
            <v>1929</v>
          </cell>
          <cell r="AL20">
            <v>1976</v>
          </cell>
          <cell r="AM20">
            <v>2028</v>
          </cell>
          <cell r="AN20">
            <v>2119</v>
          </cell>
          <cell r="AO20">
            <v>2167</v>
          </cell>
          <cell r="AP20">
            <v>2214</v>
          </cell>
          <cell r="AQ20">
            <v>2267</v>
          </cell>
          <cell r="AR20">
            <v>2305</v>
          </cell>
          <cell r="AS20">
            <v>2352</v>
          </cell>
          <cell r="AT20">
            <v>2400</v>
          </cell>
          <cell r="AU20">
            <v>2452</v>
          </cell>
          <cell r="AV20">
            <v>2501</v>
          </cell>
          <cell r="AW20">
            <v>2548</v>
          </cell>
        </row>
        <row r="21">
          <cell r="B21">
            <v>2200</v>
          </cell>
          <cell r="C21">
            <v>554</v>
          </cell>
          <cell r="D21">
            <v>295.77777777777777</v>
          </cell>
          <cell r="E21">
            <v>344.09375</v>
          </cell>
          <cell r="F21">
            <v>384.12698412698415</v>
          </cell>
          <cell r="G21">
            <v>441</v>
          </cell>
          <cell r="H21">
            <v>487</v>
          </cell>
          <cell r="I21">
            <v>533</v>
          </cell>
          <cell r="J21">
            <v>594</v>
          </cell>
          <cell r="K21">
            <v>646</v>
          </cell>
          <cell r="L21">
            <v>639</v>
          </cell>
          <cell r="M21">
            <v>745</v>
          </cell>
          <cell r="N21">
            <v>788</v>
          </cell>
          <cell r="O21">
            <v>857</v>
          </cell>
          <cell r="P21">
            <v>909</v>
          </cell>
          <cell r="Q21">
            <v>957</v>
          </cell>
          <cell r="R21">
            <v>1005</v>
          </cell>
          <cell r="S21">
            <v>1053</v>
          </cell>
          <cell r="T21">
            <v>1101</v>
          </cell>
          <cell r="U21">
            <v>1153</v>
          </cell>
          <cell r="V21">
            <v>1233</v>
          </cell>
          <cell r="W21">
            <v>1281</v>
          </cell>
          <cell r="X21">
            <v>1330</v>
          </cell>
          <cell r="Y21">
            <v>1379</v>
          </cell>
          <cell r="Z21">
            <v>1433</v>
          </cell>
          <cell r="AA21">
            <v>1482</v>
          </cell>
          <cell r="AB21">
            <v>1579</v>
          </cell>
          <cell r="AC21">
            <v>1629</v>
          </cell>
          <cell r="AD21">
            <v>1679</v>
          </cell>
          <cell r="AE21">
            <v>1734</v>
          </cell>
          <cell r="AF21">
            <v>1784</v>
          </cell>
          <cell r="AG21">
            <v>1834</v>
          </cell>
          <cell r="AH21">
            <v>1958</v>
          </cell>
          <cell r="AI21">
            <v>2009</v>
          </cell>
          <cell r="AJ21">
            <v>2006</v>
          </cell>
          <cell r="AK21">
            <v>2117</v>
          </cell>
          <cell r="AL21">
            <v>2169</v>
          </cell>
          <cell r="AM21">
            <v>2225</v>
          </cell>
          <cell r="AN21">
            <v>2308</v>
          </cell>
          <cell r="AO21">
            <v>2360</v>
          </cell>
          <cell r="AP21">
            <v>2412</v>
          </cell>
          <cell r="AQ21">
            <v>2469</v>
          </cell>
          <cell r="AR21">
            <v>2510</v>
          </cell>
          <cell r="AS21">
            <v>2562</v>
          </cell>
          <cell r="AT21">
            <v>2613</v>
          </cell>
          <cell r="AU21">
            <v>2670</v>
          </cell>
          <cell r="AV21">
            <v>2724</v>
          </cell>
          <cell r="AW21">
            <v>2775</v>
          </cell>
        </row>
        <row r="22">
          <cell r="B22">
            <v>2300</v>
          </cell>
          <cell r="C22">
            <v>580</v>
          </cell>
          <cell r="D22">
            <v>323.27777777777777</v>
          </cell>
          <cell r="E22">
            <v>376.0859375</v>
          </cell>
          <cell r="F22">
            <v>419.84126984126982</v>
          </cell>
          <cell r="G22">
            <v>474</v>
          </cell>
          <cell r="H22">
            <v>533</v>
          </cell>
          <cell r="I22">
            <v>583</v>
          </cell>
          <cell r="J22">
            <v>648</v>
          </cell>
          <cell r="K22">
            <v>699</v>
          </cell>
          <cell r="L22">
            <v>750</v>
          </cell>
          <cell r="M22">
            <v>806</v>
          </cell>
          <cell r="N22">
            <v>852</v>
          </cell>
          <cell r="O22">
            <v>926</v>
          </cell>
          <cell r="P22">
            <v>983</v>
          </cell>
          <cell r="Q22">
            <v>1035</v>
          </cell>
          <cell r="R22">
            <v>1087</v>
          </cell>
          <cell r="S22">
            <v>1139</v>
          </cell>
          <cell r="T22">
            <v>1190</v>
          </cell>
          <cell r="U22">
            <v>1247</v>
          </cell>
          <cell r="V22">
            <v>1341</v>
          </cell>
          <cell r="W22">
            <v>1394</v>
          </cell>
          <cell r="X22">
            <v>1447</v>
          </cell>
          <cell r="Y22">
            <v>1501</v>
          </cell>
          <cell r="Z22">
            <v>1559</v>
          </cell>
          <cell r="AA22">
            <v>1612</v>
          </cell>
          <cell r="AB22">
            <v>1716</v>
          </cell>
          <cell r="AC22">
            <v>1771</v>
          </cell>
          <cell r="AD22">
            <v>1825</v>
          </cell>
          <cell r="AE22">
            <v>1885</v>
          </cell>
          <cell r="AF22">
            <v>1939</v>
          </cell>
          <cell r="AG22">
            <v>1993</v>
          </cell>
          <cell r="AH22">
            <v>2112</v>
          </cell>
          <cell r="AI22">
            <v>2167</v>
          </cell>
          <cell r="AJ22">
            <v>2228</v>
          </cell>
          <cell r="AK22">
            <v>2283</v>
          </cell>
          <cell r="AL22">
            <v>2339</v>
          </cell>
          <cell r="AM22">
            <v>2400</v>
          </cell>
          <cell r="AN22">
            <v>2505</v>
          </cell>
          <cell r="AO22">
            <v>2561</v>
          </cell>
          <cell r="AP22">
            <v>2618</v>
          </cell>
          <cell r="AQ22">
            <v>2679</v>
          </cell>
          <cell r="AR22">
            <v>2724</v>
          </cell>
          <cell r="AS22">
            <v>2780</v>
          </cell>
          <cell r="AT22">
            <v>2837</v>
          </cell>
          <cell r="AU22">
            <v>2898</v>
          </cell>
          <cell r="AV22">
            <v>2956</v>
          </cell>
          <cell r="AW22">
            <v>3012</v>
          </cell>
        </row>
        <row r="23">
          <cell r="B23">
            <v>2400</v>
          </cell>
          <cell r="C23">
            <v>608</v>
          </cell>
          <cell r="D23">
            <v>352</v>
          </cell>
          <cell r="E23">
            <v>409.5</v>
          </cell>
          <cell r="F23">
            <v>457.14285714285717</v>
          </cell>
          <cell r="G23">
            <v>515</v>
          </cell>
          <cell r="H23">
            <v>579</v>
          </cell>
          <cell r="I23">
            <v>633</v>
          </cell>
          <cell r="J23">
            <v>703</v>
          </cell>
          <cell r="K23">
            <v>759</v>
          </cell>
          <cell r="L23">
            <v>815</v>
          </cell>
          <cell r="M23">
            <v>876</v>
          </cell>
          <cell r="N23">
            <v>926</v>
          </cell>
          <cell r="O23">
            <v>1005</v>
          </cell>
          <cell r="P23">
            <v>1067</v>
          </cell>
          <cell r="Q23">
            <v>1123</v>
          </cell>
          <cell r="R23">
            <v>1180</v>
          </cell>
          <cell r="S23">
            <v>1236</v>
          </cell>
          <cell r="T23">
            <v>1292</v>
          </cell>
          <cell r="U23">
            <v>1354</v>
          </cell>
          <cell r="V23">
            <v>1438</v>
          </cell>
          <cell r="W23">
            <v>1501</v>
          </cell>
          <cell r="X23">
            <v>1564</v>
          </cell>
          <cell r="Y23">
            <v>1627</v>
          </cell>
          <cell r="Z23">
            <v>1685</v>
          </cell>
          <cell r="AA23">
            <v>1742</v>
          </cell>
          <cell r="AB23">
            <v>1865</v>
          </cell>
          <cell r="AC23">
            <v>1930</v>
          </cell>
          <cell r="AD23">
            <v>1988</v>
          </cell>
          <cell r="AE23">
            <v>2047</v>
          </cell>
          <cell r="AF23">
            <v>2112</v>
          </cell>
          <cell r="AG23">
            <v>2171</v>
          </cell>
          <cell r="AH23">
            <v>2298</v>
          </cell>
          <cell r="AI23">
            <v>2358</v>
          </cell>
          <cell r="AJ23">
            <v>2424</v>
          </cell>
          <cell r="AK23">
            <v>2484</v>
          </cell>
          <cell r="AL23">
            <v>2544</v>
          </cell>
          <cell r="AM23">
            <v>2610</v>
          </cell>
          <cell r="AN23">
            <v>2723</v>
          </cell>
          <cell r="AO23">
            <v>2783</v>
          </cell>
          <cell r="AP23">
            <v>2850</v>
          </cell>
          <cell r="AQ23">
            <v>2911</v>
          </cell>
          <cell r="AR23">
            <v>2960</v>
          </cell>
          <cell r="AS23">
            <v>3020</v>
          </cell>
          <cell r="AT23">
            <v>3087</v>
          </cell>
          <cell r="AU23">
            <v>3148</v>
          </cell>
          <cell r="AV23">
            <v>3213</v>
          </cell>
          <cell r="AW23">
            <v>3274</v>
          </cell>
        </row>
        <row r="24">
          <cell r="B24">
            <v>2500</v>
          </cell>
          <cell r="C24">
            <v>631</v>
          </cell>
          <cell r="D24">
            <v>381.94444444444446</v>
          </cell>
          <cell r="E24">
            <v>444.3359375</v>
          </cell>
          <cell r="F24">
            <v>496.03174603174602</v>
          </cell>
          <cell r="G24">
            <v>549</v>
          </cell>
          <cell r="H24">
            <v>617</v>
          </cell>
          <cell r="I24">
            <v>686</v>
          </cell>
          <cell r="J24">
            <v>768</v>
          </cell>
          <cell r="K24">
            <v>828</v>
          </cell>
          <cell r="L24">
            <v>894</v>
          </cell>
          <cell r="M24">
            <v>954</v>
          </cell>
          <cell r="N24">
            <v>1014</v>
          </cell>
          <cell r="O24">
            <v>1100</v>
          </cell>
          <cell r="P24">
            <v>1161</v>
          </cell>
          <cell r="Q24">
            <v>1228</v>
          </cell>
          <cell r="R24">
            <v>1288</v>
          </cell>
          <cell r="S24">
            <v>1337</v>
          </cell>
          <cell r="T24">
            <v>1398</v>
          </cell>
          <cell r="U24">
            <v>1459</v>
          </cell>
          <cell r="V24">
            <v>1555</v>
          </cell>
          <cell r="W24">
            <v>1623</v>
          </cell>
          <cell r="X24">
            <v>1691</v>
          </cell>
          <cell r="Y24">
            <v>1759</v>
          </cell>
          <cell r="Z24">
            <v>1821</v>
          </cell>
          <cell r="AA24">
            <v>1883</v>
          </cell>
          <cell r="AB24">
            <v>2014</v>
          </cell>
          <cell r="AC24">
            <v>2084</v>
          </cell>
          <cell r="AD24">
            <v>2148</v>
          </cell>
          <cell r="AE24">
            <v>2211</v>
          </cell>
          <cell r="AF24">
            <v>2281</v>
          </cell>
          <cell r="AG24">
            <v>2345</v>
          </cell>
          <cell r="AH24">
            <v>2480</v>
          </cell>
          <cell r="AI24">
            <v>2544</v>
          </cell>
          <cell r="AJ24">
            <v>2616</v>
          </cell>
          <cell r="AK24">
            <v>2680</v>
          </cell>
          <cell r="AL24">
            <v>2745</v>
          </cell>
          <cell r="AM24">
            <v>2816</v>
          </cell>
          <cell r="AN24">
            <v>2943</v>
          </cell>
          <cell r="AO24">
            <v>3009</v>
          </cell>
          <cell r="AP24">
            <v>3081</v>
          </cell>
          <cell r="AQ24">
            <v>3146</v>
          </cell>
          <cell r="AR24">
            <v>3199</v>
          </cell>
          <cell r="AS24">
            <v>3264</v>
          </cell>
          <cell r="AT24">
            <v>3337</v>
          </cell>
          <cell r="AU24">
            <v>3402</v>
          </cell>
          <cell r="AV24">
            <v>3472</v>
          </cell>
          <cell r="AW24">
            <v>3538</v>
          </cell>
        </row>
        <row r="25">
          <cell r="B25">
            <v>2600</v>
          </cell>
          <cell r="C25">
            <v>656</v>
          </cell>
          <cell r="D25">
            <v>413.11111111111109</v>
          </cell>
          <cell r="E25">
            <v>480.59375</v>
          </cell>
          <cell r="F25">
            <v>536.50793650793651</v>
          </cell>
          <cell r="G25">
            <v>593</v>
          </cell>
          <cell r="H25">
            <v>667</v>
          </cell>
          <cell r="I25">
            <v>741</v>
          </cell>
          <cell r="J25">
            <v>829</v>
          </cell>
          <cell r="K25">
            <v>893</v>
          </cell>
          <cell r="L25">
            <v>965</v>
          </cell>
          <cell r="M25">
            <v>1029</v>
          </cell>
          <cell r="N25">
            <v>1096.7424000000001</v>
          </cell>
          <cell r="O25">
            <v>1126</v>
          </cell>
          <cell r="P25">
            <v>1252</v>
          </cell>
          <cell r="Q25">
            <v>1324</v>
          </cell>
          <cell r="R25">
            <v>1390</v>
          </cell>
          <cell r="S25">
            <v>1442</v>
          </cell>
          <cell r="T25">
            <v>1508</v>
          </cell>
          <cell r="U25">
            <v>1573</v>
          </cell>
          <cell r="V25">
            <v>1676</v>
          </cell>
          <cell r="W25">
            <v>1750</v>
          </cell>
          <cell r="X25">
            <v>1823</v>
          </cell>
          <cell r="Y25">
            <v>1897</v>
          </cell>
          <cell r="Z25">
            <v>1963</v>
          </cell>
          <cell r="AA25">
            <v>2030</v>
          </cell>
          <cell r="AB25">
            <v>2183</v>
          </cell>
          <cell r="AC25">
            <v>2251</v>
          </cell>
          <cell r="AD25">
            <v>2319</v>
          </cell>
          <cell r="AE25">
            <v>2395</v>
          </cell>
          <cell r="AF25">
            <v>2463</v>
          </cell>
          <cell r="AG25">
            <v>2538</v>
          </cell>
          <cell r="AH25">
            <v>2675</v>
          </cell>
          <cell r="AI25">
            <v>2752</v>
          </cell>
          <cell r="AJ25">
            <v>2822</v>
          </cell>
          <cell r="AK25">
            <v>2898.6880000000001</v>
          </cell>
          <cell r="AL25">
            <v>2968.9920000000002</v>
          </cell>
          <cell r="AM25">
            <v>3038</v>
          </cell>
          <cell r="AN25">
            <v>3166</v>
          </cell>
          <cell r="AO25">
            <v>3236</v>
          </cell>
          <cell r="AP25">
            <v>3314</v>
          </cell>
          <cell r="AQ25">
            <v>3358</v>
          </cell>
          <cell r="AR25">
            <v>3441</v>
          </cell>
          <cell r="AS25">
            <v>3511</v>
          </cell>
          <cell r="AT25">
            <v>3589</v>
          </cell>
          <cell r="AU25">
            <v>3660</v>
          </cell>
          <cell r="AV25">
            <v>3735</v>
          </cell>
          <cell r="AW25">
            <v>3805</v>
          </cell>
        </row>
        <row r="26">
          <cell r="B26">
            <v>2700</v>
          </cell>
          <cell r="C26">
            <v>682</v>
          </cell>
          <cell r="D26">
            <v>445.5</v>
          </cell>
          <cell r="E26">
            <v>518.2734375</v>
          </cell>
          <cell r="F26">
            <v>578.57142857142856</v>
          </cell>
          <cell r="G26">
            <v>639.49260355029583</v>
          </cell>
          <cell r="H26">
            <v>719.29437869822482</v>
          </cell>
          <cell r="I26">
            <v>799.09615384615381</v>
          </cell>
          <cell r="J26">
            <v>899</v>
          </cell>
          <cell r="K26">
            <v>969</v>
          </cell>
          <cell r="L26">
            <v>1039</v>
          </cell>
          <cell r="M26">
            <v>1115</v>
          </cell>
          <cell r="N26">
            <v>1184</v>
          </cell>
          <cell r="O26">
            <v>1253</v>
          </cell>
          <cell r="P26">
            <v>1361</v>
          </cell>
          <cell r="Q26">
            <v>1431</v>
          </cell>
          <cell r="R26">
            <v>1509</v>
          </cell>
          <cell r="S26">
            <v>1579</v>
          </cell>
          <cell r="T26">
            <v>1650</v>
          </cell>
          <cell r="U26">
            <v>1728</v>
          </cell>
          <cell r="V26">
            <v>1838</v>
          </cell>
          <cell r="W26">
            <v>1917</v>
          </cell>
          <cell r="X26">
            <v>1974</v>
          </cell>
          <cell r="Y26">
            <v>2046</v>
          </cell>
          <cell r="Z26">
            <v>2118</v>
          </cell>
          <cell r="AA26">
            <v>2197</v>
          </cell>
          <cell r="AB26">
            <v>2344</v>
          </cell>
          <cell r="AC26">
            <v>2418</v>
          </cell>
          <cell r="AD26">
            <v>2491</v>
          </cell>
          <cell r="AE26">
            <v>2572</v>
          </cell>
          <cell r="AF26">
            <v>2646</v>
          </cell>
          <cell r="AG26">
            <v>2727</v>
          </cell>
          <cell r="AH26">
            <v>2872</v>
          </cell>
          <cell r="AI26">
            <v>2954</v>
          </cell>
          <cell r="AJ26">
            <v>3029</v>
          </cell>
          <cell r="AK26">
            <v>3125.9520000000002</v>
          </cell>
          <cell r="AL26">
            <v>3201.768</v>
          </cell>
          <cell r="AM26">
            <v>3261</v>
          </cell>
          <cell r="AN26">
            <v>3397</v>
          </cell>
          <cell r="AO26">
            <v>3473</v>
          </cell>
          <cell r="AP26">
            <v>3556</v>
          </cell>
          <cell r="AQ26">
            <v>3632</v>
          </cell>
          <cell r="AR26">
            <v>3692</v>
          </cell>
          <cell r="AS26">
            <v>3768</v>
          </cell>
          <cell r="AT26">
            <v>3851</v>
          </cell>
          <cell r="AU26">
            <v>3927</v>
          </cell>
          <cell r="AV26">
            <v>4008</v>
          </cell>
          <cell r="AW26">
            <v>4083</v>
          </cell>
        </row>
        <row r="27">
          <cell r="B27">
            <v>2800</v>
          </cell>
          <cell r="C27">
            <v>707</v>
          </cell>
          <cell r="D27">
            <v>479.11111111111109</v>
          </cell>
          <cell r="E27">
            <v>557.375</v>
          </cell>
          <cell r="F27">
            <v>622.22222222222217</v>
          </cell>
          <cell r="G27">
            <v>687.73964497041425</v>
          </cell>
          <cell r="H27">
            <v>773.56213017751475</v>
          </cell>
          <cell r="I27">
            <v>859.38461538461536</v>
          </cell>
          <cell r="J27">
            <v>966</v>
          </cell>
          <cell r="K27">
            <v>1040</v>
          </cell>
          <cell r="L27">
            <v>1115</v>
          </cell>
          <cell r="M27">
            <v>1197</v>
          </cell>
          <cell r="N27">
            <v>1271</v>
          </cell>
          <cell r="O27">
            <v>1377</v>
          </cell>
          <cell r="P27">
            <v>1460</v>
          </cell>
          <cell r="Q27">
            <v>1536</v>
          </cell>
          <cell r="R27">
            <v>1619</v>
          </cell>
          <cell r="S27">
            <v>1695</v>
          </cell>
          <cell r="T27">
            <v>1770</v>
          </cell>
          <cell r="U27">
            <v>1854</v>
          </cell>
          <cell r="V27">
            <v>1970</v>
          </cell>
          <cell r="W27">
            <v>2055</v>
          </cell>
          <cell r="X27">
            <v>2117</v>
          </cell>
          <cell r="Y27">
            <v>2194</v>
          </cell>
          <cell r="Z27">
            <v>2271</v>
          </cell>
          <cell r="AA27">
            <v>2355</v>
          </cell>
          <cell r="AB27">
            <v>2512</v>
          </cell>
          <cell r="AC27">
            <v>2591</v>
          </cell>
          <cell r="AD27">
            <v>2669</v>
          </cell>
          <cell r="AE27">
            <v>2756</v>
          </cell>
          <cell r="AF27">
            <v>2835</v>
          </cell>
          <cell r="AG27">
            <v>2921</v>
          </cell>
          <cell r="AH27">
            <v>3075</v>
          </cell>
          <cell r="AI27">
            <v>3163</v>
          </cell>
          <cell r="AJ27">
            <v>3243</v>
          </cell>
          <cell r="AK27">
            <v>3323</v>
          </cell>
          <cell r="AL27">
            <v>3411</v>
          </cell>
          <cell r="AM27">
            <v>3492</v>
          </cell>
          <cell r="AN27">
            <v>3636</v>
          </cell>
          <cell r="AO27">
            <v>3717</v>
          </cell>
          <cell r="AP27">
            <v>3806</v>
          </cell>
          <cell r="AQ27">
            <v>3887</v>
          </cell>
          <cell r="AR27">
            <v>3952</v>
          </cell>
          <cell r="AS27">
            <v>4033</v>
          </cell>
          <cell r="AT27">
            <v>4122</v>
          </cell>
          <cell r="AU27">
            <v>4203</v>
          </cell>
          <cell r="AV27">
            <v>4290</v>
          </cell>
          <cell r="AW27">
            <v>4370</v>
          </cell>
        </row>
        <row r="28">
          <cell r="B28">
            <v>2900</v>
          </cell>
          <cell r="C28">
            <v>733</v>
          </cell>
          <cell r="D28">
            <v>513.94444444444446</v>
          </cell>
          <cell r="E28">
            <v>597.8984375</v>
          </cell>
          <cell r="F28">
            <v>667.46031746031747</v>
          </cell>
          <cell r="G28">
            <v>737.74112426035504</v>
          </cell>
          <cell r="H28">
            <v>829.80325443786978</v>
          </cell>
          <cell r="I28">
            <v>921.86538461538464</v>
          </cell>
          <cell r="J28">
            <v>1034</v>
          </cell>
          <cell r="K28">
            <v>1114</v>
          </cell>
          <cell r="L28">
            <v>1194</v>
          </cell>
          <cell r="M28">
            <v>1274</v>
          </cell>
          <cell r="N28">
            <v>1361</v>
          </cell>
          <cell r="O28">
            <v>1474</v>
          </cell>
          <cell r="P28">
            <v>1563</v>
          </cell>
          <cell r="Q28">
            <v>1644</v>
          </cell>
          <cell r="R28">
            <v>1733</v>
          </cell>
          <cell r="S28">
            <v>1814</v>
          </cell>
          <cell r="T28">
            <v>1895</v>
          </cell>
          <cell r="U28">
            <v>1985</v>
          </cell>
          <cell r="V28">
            <v>2119</v>
          </cell>
          <cell r="W28">
            <v>2211</v>
          </cell>
          <cell r="X28">
            <v>2277</v>
          </cell>
          <cell r="Y28">
            <v>2360</v>
          </cell>
          <cell r="Z28">
            <v>2442</v>
          </cell>
          <cell r="AA28">
            <v>2533</v>
          </cell>
          <cell r="AB28">
            <v>2700</v>
          </cell>
          <cell r="AC28">
            <v>2784</v>
          </cell>
          <cell r="AD28">
            <v>2869</v>
          </cell>
          <cell r="AE28">
            <v>2962</v>
          </cell>
          <cell r="AF28">
            <v>3047</v>
          </cell>
          <cell r="AG28">
            <v>3140</v>
          </cell>
          <cell r="AH28">
            <v>3303</v>
          </cell>
          <cell r="AI28">
            <v>3398</v>
          </cell>
          <cell r="AJ28">
            <v>3484</v>
          </cell>
          <cell r="AK28">
            <v>3570</v>
          </cell>
          <cell r="AL28">
            <v>3664</v>
          </cell>
          <cell r="AM28">
            <v>3751</v>
          </cell>
          <cell r="AN28">
            <v>3904</v>
          </cell>
          <cell r="AO28">
            <v>3991</v>
          </cell>
          <cell r="AP28">
            <v>4087</v>
          </cell>
          <cell r="AQ28">
            <v>4174</v>
          </cell>
          <cell r="AR28">
            <v>4243</v>
          </cell>
          <cell r="AS28">
            <v>4330</v>
          </cell>
          <cell r="AT28">
            <v>4426</v>
          </cell>
          <cell r="AU28">
            <v>4513</v>
          </cell>
          <cell r="AV28">
            <v>4606</v>
          </cell>
          <cell r="AW28">
            <v>4693</v>
          </cell>
        </row>
        <row r="29">
          <cell r="B29">
            <v>3000</v>
          </cell>
          <cell r="C29">
            <v>758</v>
          </cell>
          <cell r="D29">
            <v>550</v>
          </cell>
          <cell r="E29">
            <v>639.84375</v>
          </cell>
          <cell r="F29">
            <v>714.28571428571433</v>
          </cell>
          <cell r="G29">
            <v>789.49704142011831</v>
          </cell>
          <cell r="H29">
            <v>888.01775147928993</v>
          </cell>
          <cell r="I29">
            <v>986.53846153846155</v>
          </cell>
          <cell r="J29">
            <v>1102</v>
          </cell>
          <cell r="K29">
            <v>1202</v>
          </cell>
          <cell r="L29">
            <v>1288</v>
          </cell>
          <cell r="M29">
            <v>1374</v>
          </cell>
          <cell r="N29">
            <v>1462</v>
          </cell>
          <cell r="O29">
            <v>1583</v>
          </cell>
          <cell r="P29">
            <v>1678</v>
          </cell>
          <cell r="Q29">
            <v>1765</v>
          </cell>
          <cell r="R29">
            <v>1861</v>
          </cell>
          <cell r="S29">
            <v>1948</v>
          </cell>
          <cell r="T29">
            <v>2035</v>
          </cell>
          <cell r="U29">
            <v>2130</v>
          </cell>
          <cell r="V29">
            <v>2262</v>
          </cell>
          <cell r="W29">
            <v>2359</v>
          </cell>
          <cell r="X29">
            <v>2450</v>
          </cell>
          <cell r="Y29">
            <v>2518</v>
          </cell>
          <cell r="Z29">
            <v>2607</v>
          </cell>
          <cell r="AA29">
            <v>2704</v>
          </cell>
          <cell r="AB29">
            <v>2879</v>
          </cell>
          <cell r="AC29">
            <v>2969</v>
          </cell>
          <cell r="AD29">
            <v>3060</v>
          </cell>
          <cell r="AE29">
            <v>3159</v>
          </cell>
          <cell r="AF29">
            <v>3249</v>
          </cell>
          <cell r="AG29">
            <v>3348</v>
          </cell>
          <cell r="AH29">
            <v>3521</v>
          </cell>
          <cell r="AI29">
            <v>3622</v>
          </cell>
          <cell r="AJ29">
            <v>3713</v>
          </cell>
          <cell r="AK29">
            <v>3805</v>
          </cell>
          <cell r="AL29">
            <v>3906</v>
          </cell>
          <cell r="AM29">
            <v>3998</v>
          </cell>
          <cell r="AN29">
            <v>4161</v>
          </cell>
          <cell r="AO29">
            <v>4253</v>
          </cell>
          <cell r="AP29">
            <v>4355</v>
          </cell>
          <cell r="AQ29">
            <v>4447</v>
          </cell>
          <cell r="AR29">
            <v>4521</v>
          </cell>
          <cell r="AS29">
            <v>4614</v>
          </cell>
          <cell r="AT29">
            <v>4716</v>
          </cell>
          <cell r="AU29">
            <v>4809</v>
          </cell>
          <cell r="AV29">
            <v>4908</v>
          </cell>
          <cell r="AW29">
            <v>5000</v>
          </cell>
        </row>
        <row r="30">
          <cell r="B30">
            <v>3100</v>
          </cell>
          <cell r="C30">
            <v>783</v>
          </cell>
          <cell r="D30">
            <v>587.27777777777783</v>
          </cell>
          <cell r="E30">
            <v>683.2109375</v>
          </cell>
          <cell r="F30">
            <v>762.69841269841265</v>
          </cell>
          <cell r="G30">
            <v>843.00739644970417</v>
          </cell>
          <cell r="H30">
            <v>948.20562130177518</v>
          </cell>
          <cell r="I30">
            <v>1053.4038461538462</v>
          </cell>
          <cell r="J30">
            <v>1176.691111111111</v>
          </cell>
          <cell r="K30">
            <v>1266</v>
          </cell>
          <cell r="L30">
            <v>1371</v>
          </cell>
          <cell r="M30">
            <v>1462</v>
          </cell>
          <cell r="N30">
            <v>1553</v>
          </cell>
          <cell r="O30">
            <v>1694</v>
          </cell>
          <cell r="P30">
            <v>1786</v>
          </cell>
          <cell r="Q30">
            <v>1879</v>
          </cell>
          <cell r="R30">
            <v>1972</v>
          </cell>
          <cell r="S30">
            <v>2064</v>
          </cell>
          <cell r="T30">
            <v>2157</v>
          </cell>
          <cell r="U30">
            <v>2250</v>
          </cell>
          <cell r="V30">
            <v>2414</v>
          </cell>
          <cell r="W30">
            <v>2508</v>
          </cell>
          <cell r="X30">
            <v>2602</v>
          </cell>
          <cell r="Y30">
            <v>2696</v>
          </cell>
          <cell r="Z30">
            <v>2790</v>
          </cell>
          <cell r="AA30">
            <v>2884</v>
          </cell>
          <cell r="AB30">
            <v>3065</v>
          </cell>
          <cell r="AC30">
            <v>3161</v>
          </cell>
          <cell r="AD30">
            <v>3257</v>
          </cell>
          <cell r="AE30">
            <v>3353</v>
          </cell>
          <cell r="AF30">
            <v>3450</v>
          </cell>
          <cell r="AG30">
            <v>3546</v>
          </cell>
          <cell r="AH30">
            <v>3753</v>
          </cell>
          <cell r="AI30">
            <v>3851</v>
          </cell>
          <cell r="AJ30">
            <v>3948</v>
          </cell>
          <cell r="AK30">
            <v>4046</v>
          </cell>
          <cell r="AL30">
            <v>4143</v>
          </cell>
          <cell r="AM30">
            <v>4241</v>
          </cell>
          <cell r="AN30">
            <v>4428</v>
          </cell>
          <cell r="AO30">
            <v>4526</v>
          </cell>
          <cell r="AP30">
            <v>4625</v>
          </cell>
          <cell r="AQ30">
            <v>4724</v>
          </cell>
          <cell r="AR30">
            <v>4822</v>
          </cell>
          <cell r="AS30">
            <v>4921</v>
          </cell>
          <cell r="AT30">
            <v>5019</v>
          </cell>
          <cell r="AU30">
            <v>5118</v>
          </cell>
          <cell r="AV30">
            <v>5216</v>
          </cell>
          <cell r="AW30">
            <v>5315</v>
          </cell>
        </row>
        <row r="31">
          <cell r="B31">
            <v>3200</v>
          </cell>
          <cell r="C31">
            <v>808</v>
          </cell>
          <cell r="D31">
            <v>625.77777777777783</v>
          </cell>
          <cell r="E31">
            <v>728</v>
          </cell>
          <cell r="F31">
            <v>812.69841269841265</v>
          </cell>
          <cell r="G31">
            <v>898.27218934911241</v>
          </cell>
          <cell r="H31">
            <v>1010.3668639053254</v>
          </cell>
          <cell r="I31">
            <v>1122.4615384615386</v>
          </cell>
          <cell r="J31">
            <v>1253.8311111111111</v>
          </cell>
          <cell r="K31">
            <v>1347</v>
          </cell>
          <cell r="L31">
            <v>1459</v>
          </cell>
          <cell r="M31">
            <v>1556</v>
          </cell>
          <cell r="N31">
            <v>1653</v>
          </cell>
          <cell r="O31">
            <v>1802</v>
          </cell>
          <cell r="P31">
            <v>1911</v>
          </cell>
          <cell r="Q31">
            <v>2010</v>
          </cell>
          <cell r="R31">
            <v>2119</v>
          </cell>
          <cell r="S31">
            <v>2218</v>
          </cell>
          <cell r="T31">
            <v>2317</v>
          </cell>
          <cell r="U31">
            <v>2426</v>
          </cell>
          <cell r="V31">
            <v>2574</v>
          </cell>
          <cell r="W31">
            <v>2684</v>
          </cell>
          <cell r="X31">
            <v>2765</v>
          </cell>
          <cell r="Y31">
            <v>2865</v>
          </cell>
          <cell r="Z31">
            <v>2966</v>
          </cell>
          <cell r="AA31">
            <v>3076</v>
          </cell>
          <cell r="AB31">
            <v>3204</v>
          </cell>
          <cell r="AC31">
            <v>3316</v>
          </cell>
          <cell r="AD31">
            <v>3418</v>
          </cell>
          <cell r="AE31">
            <v>3531</v>
          </cell>
          <cell r="AF31">
            <v>3633</v>
          </cell>
          <cell r="AG31">
            <v>3735</v>
          </cell>
          <cell r="AH31">
            <v>3956</v>
          </cell>
          <cell r="AI31">
            <v>4060</v>
          </cell>
          <cell r="AJ31">
            <v>4174</v>
          </cell>
          <cell r="AK31">
            <v>4277</v>
          </cell>
          <cell r="AL31">
            <v>4381</v>
          </cell>
          <cell r="AM31">
            <v>4495</v>
          </cell>
          <cell r="AN31">
            <v>4675</v>
          </cell>
          <cell r="AO31">
            <v>4790</v>
          </cell>
          <cell r="AP31">
            <v>4895</v>
          </cell>
          <cell r="AQ31">
            <v>4999</v>
          </cell>
          <cell r="AR31">
            <v>5094</v>
          </cell>
          <cell r="AS31">
            <v>5198</v>
          </cell>
          <cell r="AT31">
            <v>5303</v>
          </cell>
          <cell r="AU31">
            <v>5407</v>
          </cell>
          <cell r="AV31">
            <v>5524</v>
          </cell>
          <cell r="AW31">
            <v>5629</v>
          </cell>
        </row>
        <row r="32">
          <cell r="B32">
            <v>3300</v>
          </cell>
          <cell r="C32">
            <v>834</v>
          </cell>
          <cell r="D32">
            <v>665.5</v>
          </cell>
          <cell r="E32">
            <v>774.2109375</v>
          </cell>
          <cell r="F32">
            <v>864.28571428571433</v>
          </cell>
          <cell r="G32">
            <v>955.29142011834324</v>
          </cell>
          <cell r="H32">
            <v>1074.5014792899408</v>
          </cell>
          <cell r="I32">
            <v>1193.7115384615386</v>
          </cell>
          <cell r="J32">
            <v>1333.42</v>
          </cell>
          <cell r="K32">
            <v>1430</v>
          </cell>
          <cell r="L32">
            <v>1549</v>
          </cell>
          <cell r="M32">
            <v>1652</v>
          </cell>
          <cell r="N32">
            <v>1755</v>
          </cell>
          <cell r="O32">
            <v>1921</v>
          </cell>
          <cell r="P32">
            <v>2027</v>
          </cell>
          <cell r="Q32">
            <v>2132</v>
          </cell>
          <cell r="R32">
            <v>2237</v>
          </cell>
          <cell r="S32">
            <v>2342</v>
          </cell>
          <cell r="T32">
            <v>2447</v>
          </cell>
          <cell r="U32">
            <v>2552</v>
          </cell>
          <cell r="V32">
            <v>2736</v>
          </cell>
          <cell r="W32">
            <v>2842</v>
          </cell>
          <cell r="X32">
            <v>2949</v>
          </cell>
          <cell r="Y32">
            <v>3056</v>
          </cell>
          <cell r="Z32">
            <v>3162</v>
          </cell>
          <cell r="AA32">
            <v>3269</v>
          </cell>
          <cell r="AB32">
            <v>3406</v>
          </cell>
          <cell r="AC32">
            <v>3515</v>
          </cell>
          <cell r="AD32">
            <v>3623</v>
          </cell>
          <cell r="AE32">
            <v>3731</v>
          </cell>
          <cell r="AF32">
            <v>3839</v>
          </cell>
          <cell r="AG32">
            <v>3948</v>
          </cell>
          <cell r="AH32">
            <v>4217</v>
          </cell>
          <cell r="AI32">
            <v>4327</v>
          </cell>
          <cell r="AJ32">
            <v>4438</v>
          </cell>
          <cell r="AK32">
            <v>4548</v>
          </cell>
          <cell r="AL32">
            <v>4658</v>
          </cell>
          <cell r="AM32">
            <v>4769</v>
          </cell>
          <cell r="AN32">
            <v>4965</v>
          </cell>
          <cell r="AO32">
            <v>5075</v>
          </cell>
          <cell r="AP32">
            <v>5186</v>
          </cell>
          <cell r="AQ32">
            <v>5297</v>
          </cell>
          <cell r="AR32">
            <v>5408</v>
          </cell>
          <cell r="AS32">
            <v>5519</v>
          </cell>
          <cell r="AT32">
            <v>5680</v>
          </cell>
          <cell r="AU32">
            <v>5740</v>
          </cell>
          <cell r="AV32">
            <v>5851</v>
          </cell>
          <cell r="AW32">
            <v>5962</v>
          </cell>
        </row>
        <row r="33">
          <cell r="B33">
            <v>3400</v>
          </cell>
          <cell r="C33">
            <v>859</v>
          </cell>
          <cell r="D33">
            <v>706.44444444444446</v>
          </cell>
          <cell r="E33">
            <v>821.84375</v>
          </cell>
          <cell r="F33">
            <v>917.46031746031747</v>
          </cell>
          <cell r="G33">
            <v>1014.0650887573964</v>
          </cell>
          <cell r="H33">
            <v>1140.6094674556214</v>
          </cell>
          <cell r="I33">
            <v>1267.1538461538462</v>
          </cell>
          <cell r="J33">
            <v>1415.4577777777777</v>
          </cell>
          <cell r="K33">
            <v>1517.9797979797979</v>
          </cell>
          <cell r="L33">
            <v>1650</v>
          </cell>
          <cell r="M33">
            <v>1760</v>
          </cell>
          <cell r="N33">
            <v>1870</v>
          </cell>
          <cell r="O33">
            <v>2045</v>
          </cell>
          <cell r="P33">
            <v>2157</v>
          </cell>
          <cell r="Q33">
            <v>2271</v>
          </cell>
          <cell r="R33">
            <v>2394</v>
          </cell>
          <cell r="S33">
            <v>2506</v>
          </cell>
          <cell r="T33">
            <v>2618</v>
          </cell>
          <cell r="U33">
            <v>2741</v>
          </cell>
          <cell r="V33">
            <v>2905</v>
          </cell>
          <cell r="W33">
            <v>3030</v>
          </cell>
          <cell r="X33">
            <v>3121</v>
          </cell>
          <cell r="Y33">
            <v>3235</v>
          </cell>
          <cell r="Z33">
            <v>3348</v>
          </cell>
          <cell r="AA33">
            <v>3473</v>
          </cell>
          <cell r="AB33">
            <v>3614</v>
          </cell>
          <cell r="AC33">
            <v>3741</v>
          </cell>
          <cell r="AD33">
            <v>3856</v>
          </cell>
          <cell r="AE33">
            <v>3983</v>
          </cell>
          <cell r="AF33">
            <v>4098</v>
          </cell>
          <cell r="AG33">
            <v>4213</v>
          </cell>
          <cell r="AH33">
            <v>4479</v>
          </cell>
          <cell r="AI33">
            <v>4597</v>
          </cell>
          <cell r="AJ33">
            <v>4726</v>
          </cell>
          <cell r="AK33">
            <v>4843</v>
          </cell>
          <cell r="AL33">
            <v>4960</v>
          </cell>
          <cell r="AM33">
            <v>5089</v>
          </cell>
          <cell r="AN33">
            <v>5290</v>
          </cell>
          <cell r="AO33">
            <v>5420</v>
          </cell>
          <cell r="AP33">
            <v>5539</v>
          </cell>
          <cell r="AQ33">
            <v>5657</v>
          </cell>
          <cell r="AR33">
            <v>5764</v>
          </cell>
          <cell r="AS33">
            <v>5882</v>
          </cell>
          <cell r="AT33">
            <v>6003</v>
          </cell>
          <cell r="AU33">
            <v>6119</v>
          </cell>
          <cell r="AV33">
            <v>6251</v>
          </cell>
          <cell r="AW33">
            <v>6370</v>
          </cell>
        </row>
        <row r="34">
          <cell r="B34">
            <v>3500</v>
          </cell>
          <cell r="C34">
            <v>885</v>
          </cell>
          <cell r="D34">
            <v>748.61111111111109</v>
          </cell>
          <cell r="E34">
            <v>870.8984375</v>
          </cell>
          <cell r="F34">
            <v>972.22222222222217</v>
          </cell>
          <cell r="G34">
            <v>1074.5931952662722</v>
          </cell>
          <cell r="H34">
            <v>1208.6908284023668</v>
          </cell>
          <cell r="I34">
            <v>1342.7884615384614</v>
          </cell>
          <cell r="J34">
            <v>1499.9444444444443</v>
          </cell>
          <cell r="K34">
            <v>1608.5858585858587</v>
          </cell>
          <cell r="L34">
            <v>1746</v>
          </cell>
          <cell r="M34">
            <v>1862</v>
          </cell>
          <cell r="N34">
            <v>1979</v>
          </cell>
          <cell r="O34">
            <v>2159</v>
          </cell>
          <cell r="P34">
            <v>2277</v>
          </cell>
          <cell r="Q34">
            <v>2395</v>
          </cell>
          <cell r="R34">
            <v>2513</v>
          </cell>
          <cell r="S34">
            <v>2631</v>
          </cell>
          <cell r="T34">
            <v>2749</v>
          </cell>
          <cell r="U34">
            <v>2867</v>
          </cell>
          <cell r="V34">
            <v>3078</v>
          </cell>
          <cell r="W34">
            <v>3198</v>
          </cell>
          <cell r="X34">
            <v>3318</v>
          </cell>
          <cell r="Y34">
            <v>3438</v>
          </cell>
          <cell r="Z34">
            <v>3558</v>
          </cell>
          <cell r="AA34">
            <v>3678</v>
          </cell>
          <cell r="AB34">
            <v>3829</v>
          </cell>
          <cell r="AC34">
            <v>3951</v>
          </cell>
          <cell r="AD34">
            <v>4073</v>
          </cell>
          <cell r="AE34">
            <v>4194</v>
          </cell>
          <cell r="AF34">
            <v>4316</v>
          </cell>
          <cell r="AG34">
            <v>4437</v>
          </cell>
          <cell r="AH34">
            <v>4735</v>
          </cell>
          <cell r="AI34">
            <v>4859</v>
          </cell>
          <cell r="AJ34">
            <v>4983</v>
          </cell>
          <cell r="AK34">
            <v>5107</v>
          </cell>
          <cell r="AL34">
            <v>5231</v>
          </cell>
          <cell r="AM34">
            <v>5354</v>
          </cell>
          <cell r="AN34">
            <v>5598</v>
          </cell>
          <cell r="AO34">
            <v>5723</v>
          </cell>
          <cell r="AP34">
            <v>5848</v>
          </cell>
          <cell r="AQ34">
            <v>5973</v>
          </cell>
          <cell r="AR34">
            <v>6098</v>
          </cell>
          <cell r="AS34">
            <v>6223</v>
          </cell>
          <cell r="AT34">
            <v>6348</v>
          </cell>
          <cell r="AU34">
            <v>6473</v>
          </cell>
          <cell r="AV34">
            <v>6598</v>
          </cell>
          <cell r="AW34">
            <v>6723</v>
          </cell>
        </row>
        <row r="35">
          <cell r="B35">
            <v>3600</v>
          </cell>
          <cell r="C35">
            <v>910</v>
          </cell>
          <cell r="D35">
            <v>792</v>
          </cell>
          <cell r="E35">
            <v>921.375</v>
          </cell>
          <cell r="F35">
            <v>1028.5714285714287</v>
          </cell>
          <cell r="G35">
            <v>1136.8757396449705</v>
          </cell>
          <cell r="H35">
            <v>1278.7455621301774</v>
          </cell>
          <cell r="I35">
            <v>1420.6153846153845</v>
          </cell>
          <cell r="J35">
            <v>1586.88</v>
          </cell>
          <cell r="K35">
            <v>1701.8181818181818</v>
          </cell>
          <cell r="L35">
            <v>1817</v>
          </cell>
          <cell r="M35">
            <v>1957</v>
          </cell>
          <cell r="N35">
            <v>2096</v>
          </cell>
          <cell r="O35">
            <v>2250</v>
          </cell>
          <cell r="P35">
            <v>2374</v>
          </cell>
          <cell r="Q35">
            <v>2498</v>
          </cell>
          <cell r="R35">
            <v>2623</v>
          </cell>
          <cell r="S35">
            <v>2762</v>
          </cell>
          <cell r="T35">
            <v>2887</v>
          </cell>
          <cell r="U35">
            <v>3023</v>
          </cell>
          <cell r="V35">
            <v>3217</v>
          </cell>
          <cell r="W35">
            <v>3357</v>
          </cell>
          <cell r="X35">
            <v>3458</v>
          </cell>
          <cell r="Y35">
            <v>3585</v>
          </cell>
          <cell r="Z35">
            <v>3711</v>
          </cell>
          <cell r="AA35">
            <v>3851</v>
          </cell>
          <cell r="AB35">
            <v>4049</v>
          </cell>
          <cell r="AC35">
            <v>4191</v>
          </cell>
          <cell r="AD35">
            <v>4320</v>
          </cell>
          <cell r="AE35">
            <v>4461</v>
          </cell>
          <cell r="AF35">
            <v>4590</v>
          </cell>
          <cell r="AG35">
            <v>4719</v>
          </cell>
          <cell r="AH35">
            <v>5013</v>
          </cell>
          <cell r="AI35">
            <v>5144</v>
          </cell>
          <cell r="AJ35">
            <v>5288</v>
          </cell>
          <cell r="AK35">
            <v>5419</v>
          </cell>
          <cell r="AL35">
            <v>5551</v>
          </cell>
          <cell r="AM35">
            <v>5695</v>
          </cell>
          <cell r="AN35">
            <v>5917</v>
          </cell>
          <cell r="AO35">
            <v>6063</v>
          </cell>
          <cell r="AP35">
            <v>6195</v>
          </cell>
          <cell r="AQ35">
            <v>6327</v>
          </cell>
          <cell r="AR35">
            <v>6446</v>
          </cell>
          <cell r="AS35">
            <v>6579</v>
          </cell>
          <cell r="AT35">
            <v>6711</v>
          </cell>
          <cell r="AU35">
            <v>6844</v>
          </cell>
          <cell r="AV35">
            <v>6992</v>
          </cell>
          <cell r="AW35">
            <v>7124</v>
          </cell>
        </row>
        <row r="36">
          <cell r="B36">
            <v>3700</v>
          </cell>
          <cell r="C36">
            <v>936</v>
          </cell>
          <cell r="D36">
            <v>836.61111111111109</v>
          </cell>
          <cell r="E36">
            <v>973.2734375</v>
          </cell>
          <cell r="F36">
            <v>1086.5079365079366</v>
          </cell>
          <cell r="G36">
            <v>1200.9127218934912</v>
          </cell>
          <cell r="H36">
            <v>1350.7736686390533</v>
          </cell>
          <cell r="I36">
            <v>1500.6346153846155</v>
          </cell>
          <cell r="J36">
            <v>1676.2644444444445</v>
          </cell>
          <cell r="K36">
            <v>1797.6767676767677</v>
          </cell>
          <cell r="L36">
            <v>1919.3464506172841</v>
          </cell>
          <cell r="M36">
            <v>2056</v>
          </cell>
          <cell r="N36">
            <v>2202</v>
          </cell>
          <cell r="O36">
            <v>2364</v>
          </cell>
          <cell r="P36">
            <v>2512</v>
          </cell>
          <cell r="Q36">
            <v>2643</v>
          </cell>
          <cell r="R36">
            <v>2774</v>
          </cell>
          <cell r="S36">
            <v>2905</v>
          </cell>
          <cell r="T36">
            <v>3036</v>
          </cell>
          <cell r="U36">
            <v>3168</v>
          </cell>
          <cell r="V36">
            <v>3384</v>
          </cell>
          <cell r="W36">
            <v>3517</v>
          </cell>
          <cell r="X36">
            <v>3649</v>
          </cell>
          <cell r="Y36">
            <v>3782</v>
          </cell>
          <cell r="Z36">
            <v>3915</v>
          </cell>
          <cell r="AA36">
            <v>4048</v>
          </cell>
          <cell r="AB36">
            <v>4295</v>
          </cell>
          <cell r="AC36">
            <v>4432</v>
          </cell>
          <cell r="AD36">
            <v>4568</v>
          </cell>
          <cell r="AE36">
            <v>4704</v>
          </cell>
          <cell r="AF36">
            <v>4841</v>
          </cell>
          <cell r="AG36">
            <v>4977</v>
          </cell>
          <cell r="AH36">
            <v>5284</v>
          </cell>
          <cell r="AI36">
            <v>5422</v>
          </cell>
          <cell r="AJ36">
            <v>5560</v>
          </cell>
          <cell r="AK36">
            <v>5698</v>
          </cell>
          <cell r="AL36">
            <v>5837</v>
          </cell>
          <cell r="AM36">
            <v>5975</v>
          </cell>
          <cell r="AN36">
            <v>6263</v>
          </cell>
          <cell r="AO36">
            <v>6402</v>
          </cell>
          <cell r="AP36">
            <v>6542</v>
          </cell>
          <cell r="AQ36">
            <v>6681</v>
          </cell>
          <cell r="AR36">
            <v>6820</v>
          </cell>
          <cell r="AS36">
            <v>6960</v>
          </cell>
          <cell r="AT36">
            <v>7099</v>
          </cell>
          <cell r="AU36">
            <v>7238</v>
          </cell>
          <cell r="AV36">
            <v>7378</v>
          </cell>
          <cell r="AW36">
            <v>7517</v>
          </cell>
        </row>
        <row r="37">
          <cell r="B37">
            <v>3800</v>
          </cell>
          <cell r="C37">
            <v>962</v>
          </cell>
          <cell r="D37">
            <v>882.44444444444446</v>
          </cell>
          <cell r="E37">
            <v>1026.59375</v>
          </cell>
          <cell r="F37">
            <v>1146.031746031746</v>
          </cell>
          <cell r="G37">
            <v>1266.7041420118344</v>
          </cell>
          <cell r="H37">
            <v>1424.7751479289941</v>
          </cell>
          <cell r="I37">
            <v>1582.8461538461538</v>
          </cell>
          <cell r="J37">
            <v>1768.0977777777778</v>
          </cell>
          <cell r="K37">
            <v>1896.1616161616162</v>
          </cell>
          <cell r="L37">
            <v>2024.4969135802469</v>
          </cell>
          <cell r="M37">
            <v>2165</v>
          </cell>
          <cell r="N37">
            <v>2320</v>
          </cell>
          <cell r="O37">
            <v>2489</v>
          </cell>
          <cell r="P37">
            <v>2645</v>
          </cell>
          <cell r="Q37">
            <v>2784</v>
          </cell>
          <cell r="R37">
            <v>2922</v>
          </cell>
          <cell r="S37">
            <v>3060</v>
          </cell>
          <cell r="T37">
            <v>3198</v>
          </cell>
          <cell r="U37">
            <v>3336</v>
          </cell>
          <cell r="V37">
            <v>3562</v>
          </cell>
          <cell r="W37">
            <v>3702</v>
          </cell>
          <cell r="X37">
            <v>3842</v>
          </cell>
          <cell r="Y37">
            <v>3982</v>
          </cell>
          <cell r="Z37">
            <v>4122</v>
          </cell>
          <cell r="AA37">
            <v>4262</v>
          </cell>
          <cell r="AB37">
            <v>4500</v>
          </cell>
          <cell r="AC37">
            <v>4643</v>
          </cell>
          <cell r="AD37">
            <v>4786</v>
          </cell>
          <cell r="AE37">
            <v>4929</v>
          </cell>
          <cell r="AF37">
            <v>5072</v>
          </cell>
          <cell r="AG37">
            <v>5215</v>
          </cell>
          <cell r="AH37">
            <v>5534</v>
          </cell>
          <cell r="AI37">
            <v>5679</v>
          </cell>
          <cell r="AJ37">
            <v>5824</v>
          </cell>
          <cell r="AK37">
            <v>5968</v>
          </cell>
          <cell r="AL37">
            <v>6113</v>
          </cell>
          <cell r="AM37">
            <v>6258</v>
          </cell>
          <cell r="AN37">
            <v>6559</v>
          </cell>
          <cell r="AO37">
            <v>6705</v>
          </cell>
          <cell r="AP37">
            <v>6851</v>
          </cell>
          <cell r="AQ37">
            <v>6997</v>
          </cell>
          <cell r="AR37">
            <v>7143</v>
          </cell>
          <cell r="AS37">
            <v>7289</v>
          </cell>
          <cell r="AT37">
            <v>7435</v>
          </cell>
          <cell r="AU37">
            <v>7581</v>
          </cell>
          <cell r="AV37">
            <v>7727</v>
          </cell>
          <cell r="AW37">
            <v>7873</v>
          </cell>
        </row>
        <row r="38">
          <cell r="B38">
            <v>3900</v>
          </cell>
          <cell r="C38">
            <v>988</v>
          </cell>
          <cell r="D38">
            <v>929.5</v>
          </cell>
          <cell r="E38">
            <v>1081.3359375</v>
          </cell>
          <cell r="F38">
            <v>1207.1428571428571</v>
          </cell>
          <cell r="G38">
            <v>1334.25</v>
          </cell>
          <cell r="H38">
            <v>1500.75</v>
          </cell>
          <cell r="I38">
            <v>1667.25</v>
          </cell>
          <cell r="J38">
            <v>1862.38</v>
          </cell>
          <cell r="K38">
            <v>1997.2727272727273</v>
          </cell>
          <cell r="L38">
            <v>2132.4513888888887</v>
          </cell>
          <cell r="M38">
            <v>2276</v>
          </cell>
          <cell r="N38">
            <v>2440</v>
          </cell>
          <cell r="O38">
            <v>2618</v>
          </cell>
          <cell r="P38">
            <v>2782</v>
          </cell>
          <cell r="Q38">
            <v>2928</v>
          </cell>
          <cell r="R38">
            <v>3073</v>
          </cell>
          <cell r="S38">
            <v>3218</v>
          </cell>
          <cell r="T38">
            <v>3364</v>
          </cell>
          <cell r="U38">
            <v>3509</v>
          </cell>
          <cell r="V38">
            <v>3746</v>
          </cell>
          <cell r="W38">
            <v>3893</v>
          </cell>
          <cell r="X38">
            <v>4040</v>
          </cell>
          <cell r="Y38">
            <v>4187</v>
          </cell>
          <cell r="Z38">
            <v>4334</v>
          </cell>
          <cell r="AA38">
            <v>4482</v>
          </cell>
          <cell r="AB38">
            <v>7410</v>
          </cell>
          <cell r="AC38">
            <v>4860</v>
          </cell>
          <cell r="AD38">
            <v>5009</v>
          </cell>
          <cell r="AE38">
            <v>5159</v>
          </cell>
          <cell r="AF38">
            <v>5309</v>
          </cell>
          <cell r="AG38">
            <v>5458</v>
          </cell>
          <cell r="AH38">
            <v>5814</v>
          </cell>
          <cell r="AI38">
            <v>5966</v>
          </cell>
          <cell r="AJ38">
            <v>6118</v>
          </cell>
          <cell r="AK38">
            <v>6270</v>
          </cell>
          <cell r="AL38">
            <v>6422</v>
          </cell>
          <cell r="AM38">
            <v>6574</v>
          </cell>
          <cell r="AN38">
            <v>6890</v>
          </cell>
          <cell r="AO38">
            <v>7044</v>
          </cell>
          <cell r="AP38">
            <v>7197</v>
          </cell>
          <cell r="AQ38">
            <v>7350</v>
          </cell>
          <cell r="AR38">
            <v>7503</v>
          </cell>
          <cell r="AS38">
            <v>7657</v>
          </cell>
          <cell r="AT38">
            <v>7810</v>
          </cell>
          <cell r="AU38">
            <v>7963</v>
          </cell>
          <cell r="AV38">
            <v>8117</v>
          </cell>
          <cell r="AW38">
            <v>8270</v>
          </cell>
        </row>
        <row r="39">
          <cell r="B39">
            <v>4000</v>
          </cell>
          <cell r="C39">
            <v>1013</v>
          </cell>
          <cell r="D39">
            <v>977.77777777777783</v>
          </cell>
          <cell r="E39">
            <v>1137.5</v>
          </cell>
          <cell r="F39">
            <v>1269.8412698412699</v>
          </cell>
          <cell r="G39">
            <v>1403.5502958579882</v>
          </cell>
          <cell r="H39">
            <v>1578.698224852071</v>
          </cell>
          <cell r="I39">
            <v>1753.8461538461538</v>
          </cell>
          <cell r="J39">
            <v>1959.1111111111111</v>
          </cell>
          <cell r="K39">
            <v>2101.0101010101012</v>
          </cell>
          <cell r="L39">
            <v>2243.2098765432097</v>
          </cell>
          <cell r="M39">
            <v>2403</v>
          </cell>
          <cell r="N39">
            <v>2574</v>
          </cell>
          <cell r="O39">
            <v>2762</v>
          </cell>
          <cell r="P39">
            <v>2935</v>
          </cell>
          <cell r="Q39">
            <v>3088</v>
          </cell>
          <cell r="R39">
            <v>3241</v>
          </cell>
          <cell r="S39">
            <v>3395</v>
          </cell>
          <cell r="T39">
            <v>3548</v>
          </cell>
          <cell r="U39">
            <v>3701</v>
          </cell>
          <cell r="V39">
            <v>3950</v>
          </cell>
          <cell r="W39">
            <v>4105</v>
          </cell>
          <cell r="X39">
            <v>4260</v>
          </cell>
          <cell r="Y39">
            <v>4415</v>
          </cell>
          <cell r="Z39">
            <v>4571</v>
          </cell>
          <cell r="AA39">
            <v>4726</v>
          </cell>
          <cell r="AB39">
            <v>4945</v>
          </cell>
          <cell r="AC39">
            <v>5102</v>
          </cell>
          <cell r="AD39">
            <v>5259</v>
          </cell>
          <cell r="AE39">
            <v>5416</v>
          </cell>
          <cell r="AF39">
            <v>5573</v>
          </cell>
          <cell r="AG39">
            <v>5730</v>
          </cell>
          <cell r="AH39">
            <v>6102</v>
          </cell>
          <cell r="AI39">
            <v>6261</v>
          </cell>
          <cell r="AJ39">
            <v>6421</v>
          </cell>
          <cell r="AK39">
            <v>6580</v>
          </cell>
          <cell r="AL39">
            <v>6740</v>
          </cell>
          <cell r="AM39">
            <v>6900</v>
          </cell>
          <cell r="AN39">
            <v>7201</v>
          </cell>
          <cell r="AO39">
            <v>7361</v>
          </cell>
          <cell r="AP39">
            <v>7521</v>
          </cell>
          <cell r="AQ39">
            <v>7681</v>
          </cell>
          <cell r="AR39">
            <v>7842</v>
          </cell>
          <cell r="AS39">
            <v>8002</v>
          </cell>
          <cell r="AT39">
            <v>8162</v>
          </cell>
          <cell r="AU39">
            <v>8322</v>
          </cell>
          <cell r="AV39">
            <v>8483</v>
          </cell>
          <cell r="AW39">
            <v>8643</v>
          </cell>
        </row>
        <row r="45">
          <cell r="B45" t="str">
            <v>DIA</v>
          </cell>
          <cell r="C45" t="str">
            <v>h</v>
          </cell>
          <cell r="D45">
            <v>5</v>
          </cell>
          <cell r="E45">
            <v>6</v>
          </cell>
          <cell r="F45">
            <v>7</v>
          </cell>
          <cell r="G45">
            <v>8</v>
          </cell>
          <cell r="H45">
            <v>9</v>
          </cell>
          <cell r="I45">
            <v>10</v>
          </cell>
          <cell r="J45">
            <v>11</v>
          </cell>
          <cell r="K45">
            <v>12</v>
          </cell>
          <cell r="L45">
            <v>13</v>
          </cell>
          <cell r="M45">
            <v>14</v>
          </cell>
          <cell r="N45">
            <v>15</v>
          </cell>
          <cell r="O45">
            <v>16</v>
          </cell>
          <cell r="P45">
            <v>17</v>
          </cell>
          <cell r="Q45">
            <v>18</v>
          </cell>
          <cell r="R45">
            <v>19</v>
          </cell>
          <cell r="S45">
            <v>20</v>
          </cell>
          <cell r="T45">
            <v>21</v>
          </cell>
          <cell r="U45">
            <v>22</v>
          </cell>
          <cell r="V45">
            <v>23</v>
          </cell>
          <cell r="W45">
            <v>24</v>
          </cell>
          <cell r="X45">
            <v>25</v>
          </cell>
          <cell r="Y45">
            <v>26</v>
          </cell>
          <cell r="Z45">
            <v>27</v>
          </cell>
          <cell r="AA45">
            <v>28</v>
          </cell>
          <cell r="AB45">
            <v>29</v>
          </cell>
          <cell r="AC45">
            <v>30</v>
          </cell>
          <cell r="AD45">
            <v>31</v>
          </cell>
          <cell r="AE45">
            <v>32</v>
          </cell>
          <cell r="AF45">
            <v>33</v>
          </cell>
          <cell r="AG45">
            <v>34</v>
          </cell>
          <cell r="AH45">
            <v>35</v>
          </cell>
          <cell r="AI45">
            <v>36</v>
          </cell>
          <cell r="AJ45">
            <v>37</v>
          </cell>
          <cell r="AK45">
            <v>38</v>
          </cell>
          <cell r="AL45">
            <v>39</v>
          </cell>
          <cell r="AM45">
            <v>40</v>
          </cell>
          <cell r="AN45">
            <v>41</v>
          </cell>
          <cell r="AO45">
            <v>42</v>
          </cell>
          <cell r="AP45">
            <v>43</v>
          </cell>
          <cell r="AQ45">
            <v>44</v>
          </cell>
          <cell r="AR45">
            <v>45</v>
          </cell>
          <cell r="AS45">
            <v>46</v>
          </cell>
          <cell r="AT45">
            <v>47</v>
          </cell>
          <cell r="AU45">
            <v>48</v>
          </cell>
          <cell r="AV45">
            <v>49</v>
          </cell>
          <cell r="AW45">
            <v>50</v>
          </cell>
        </row>
        <row r="46">
          <cell r="B46">
            <v>500</v>
          </cell>
          <cell r="D46">
            <v>15.27777777777778</v>
          </cell>
          <cell r="E46">
            <v>17.361111111111114</v>
          </cell>
          <cell r="F46">
            <v>20.138888888888893</v>
          </cell>
          <cell r="G46">
            <v>22.916666666666668</v>
          </cell>
          <cell r="H46">
            <v>25.694444444444446</v>
          </cell>
          <cell r="I46">
            <v>28.472222222222225</v>
          </cell>
          <cell r="J46">
            <v>32.638888888888893</v>
          </cell>
          <cell r="K46">
            <v>36.111111111111114</v>
          </cell>
          <cell r="L46">
            <v>38.888888888888893</v>
          </cell>
          <cell r="M46">
            <v>41.666666666666671</v>
          </cell>
          <cell r="N46">
            <v>44.44444444444445</v>
          </cell>
        </row>
        <row r="47">
          <cell r="B47">
            <v>600</v>
          </cell>
          <cell r="C47">
            <v>110</v>
          </cell>
          <cell r="D47">
            <v>22</v>
          </cell>
          <cell r="E47">
            <v>25</v>
          </cell>
          <cell r="F47">
            <v>29</v>
          </cell>
          <cell r="G47">
            <v>33</v>
          </cell>
          <cell r="H47">
            <v>37</v>
          </cell>
          <cell r="I47">
            <v>41</v>
          </cell>
          <cell r="J47">
            <v>47</v>
          </cell>
          <cell r="K47">
            <v>52</v>
          </cell>
          <cell r="L47">
            <v>56</v>
          </cell>
          <cell r="M47">
            <v>60</v>
          </cell>
          <cell r="N47">
            <v>64</v>
          </cell>
          <cell r="O47">
            <v>72</v>
          </cell>
          <cell r="P47">
            <v>77</v>
          </cell>
          <cell r="Q47">
            <v>81</v>
          </cell>
          <cell r="R47">
            <v>85</v>
          </cell>
          <cell r="S47">
            <v>90</v>
          </cell>
          <cell r="T47">
            <v>94</v>
          </cell>
          <cell r="U47">
            <v>98</v>
          </cell>
          <cell r="V47">
            <v>111</v>
          </cell>
          <cell r="W47">
            <v>116</v>
          </cell>
          <cell r="X47">
            <v>120</v>
          </cell>
          <cell r="Y47">
            <v>125</v>
          </cell>
          <cell r="Z47">
            <v>130</v>
          </cell>
          <cell r="AA47">
            <v>134</v>
          </cell>
          <cell r="AB47">
            <v>153</v>
          </cell>
          <cell r="AC47">
            <v>159</v>
          </cell>
          <cell r="AD47">
            <v>164</v>
          </cell>
          <cell r="AE47">
            <v>169</v>
          </cell>
          <cell r="AF47">
            <v>174</v>
          </cell>
          <cell r="AG47">
            <v>179</v>
          </cell>
          <cell r="AH47">
            <v>201</v>
          </cell>
          <cell r="AI47">
            <v>206.74285714285713</v>
          </cell>
          <cell r="AJ47">
            <v>212.48571428571429</v>
          </cell>
          <cell r="AK47">
            <v>218.38809523809525</v>
          </cell>
          <cell r="AL47">
            <v>224.45443121693123</v>
          </cell>
          <cell r="AM47">
            <v>230.68927652851264</v>
          </cell>
          <cell r="AN47">
            <v>237.09731198763799</v>
          </cell>
          <cell r="AO47">
            <v>243.68334843173903</v>
          </cell>
          <cell r="AP47">
            <v>250.45233033262068</v>
          </cell>
          <cell r="AQ47">
            <v>257.40933950852684</v>
          </cell>
          <cell r="AR47">
            <v>264.55959893931924</v>
          </cell>
          <cell r="AS47">
            <v>271.90847668763365</v>
          </cell>
          <cell r="AT47">
            <v>279.46148992895678</v>
          </cell>
          <cell r="AU47">
            <v>287.22430909365005</v>
          </cell>
          <cell r="AV47">
            <v>295.20276212402922</v>
          </cell>
          <cell r="AW47">
            <v>303.40283884969671</v>
          </cell>
        </row>
        <row r="48">
          <cell r="B48">
            <v>700</v>
          </cell>
          <cell r="C48">
            <v>129</v>
          </cell>
          <cell r="D48">
            <v>28</v>
          </cell>
          <cell r="E48">
            <v>33</v>
          </cell>
          <cell r="F48">
            <v>38</v>
          </cell>
          <cell r="G48">
            <v>43</v>
          </cell>
          <cell r="H48">
            <v>48</v>
          </cell>
          <cell r="I48">
            <v>53</v>
          </cell>
          <cell r="J48">
            <v>61</v>
          </cell>
          <cell r="K48">
            <v>67</v>
          </cell>
          <cell r="L48">
            <v>72</v>
          </cell>
          <cell r="M48">
            <v>77</v>
          </cell>
          <cell r="N48">
            <v>83</v>
          </cell>
          <cell r="O48">
            <v>93</v>
          </cell>
          <cell r="P48">
            <v>98</v>
          </cell>
          <cell r="Q48">
            <v>104</v>
          </cell>
          <cell r="R48">
            <v>109</v>
          </cell>
          <cell r="S48">
            <v>115</v>
          </cell>
          <cell r="T48">
            <v>120</v>
          </cell>
          <cell r="U48">
            <v>126</v>
          </cell>
          <cell r="V48">
            <v>141</v>
          </cell>
          <cell r="W48">
            <v>147</v>
          </cell>
          <cell r="X48">
            <v>153</v>
          </cell>
          <cell r="Y48">
            <v>159</v>
          </cell>
          <cell r="Z48">
            <v>165</v>
          </cell>
          <cell r="AA48">
            <v>170</v>
          </cell>
          <cell r="AB48">
            <v>193</v>
          </cell>
          <cell r="AC48">
            <v>200</v>
          </cell>
          <cell r="AD48">
            <v>206</v>
          </cell>
          <cell r="AE48">
            <v>213</v>
          </cell>
          <cell r="AF48">
            <v>220</v>
          </cell>
          <cell r="AG48">
            <v>226</v>
          </cell>
          <cell r="AH48">
            <v>252</v>
          </cell>
          <cell r="AI48">
            <v>281.39999999999998</v>
          </cell>
          <cell r="AJ48">
            <v>289.21666666666664</v>
          </cell>
          <cell r="AK48">
            <v>297.25046296296296</v>
          </cell>
          <cell r="AL48">
            <v>305.50742026748969</v>
          </cell>
          <cell r="AM48">
            <v>313.99373749714221</v>
          </cell>
          <cell r="AN48">
            <v>322.71578576095169</v>
          </cell>
          <cell r="AO48">
            <v>331.68011314320034</v>
          </cell>
          <cell r="AP48">
            <v>340.89344961940037</v>
          </cell>
          <cell r="AQ48">
            <v>350.36271210882819</v>
          </cell>
          <cell r="AR48">
            <v>360.09500966740671</v>
          </cell>
          <cell r="AS48">
            <v>370.09764882483466</v>
          </cell>
          <cell r="AT48">
            <v>380.378139069969</v>
          </cell>
          <cell r="AU48">
            <v>390.94419848857922</v>
          </cell>
          <cell r="AV48">
            <v>401.80375955770643</v>
          </cell>
          <cell r="AW48">
            <v>412.96497510097606</v>
          </cell>
        </row>
        <row r="49">
          <cell r="B49">
            <v>800</v>
          </cell>
          <cell r="C49">
            <v>149</v>
          </cell>
          <cell r="D49">
            <v>36</v>
          </cell>
          <cell r="E49">
            <v>43</v>
          </cell>
          <cell r="F49">
            <v>49</v>
          </cell>
          <cell r="G49">
            <v>56</v>
          </cell>
          <cell r="H49">
            <v>62</v>
          </cell>
          <cell r="I49">
            <v>69</v>
          </cell>
          <cell r="J49">
            <v>78</v>
          </cell>
          <cell r="K49">
            <v>85</v>
          </cell>
          <cell r="L49">
            <v>92</v>
          </cell>
          <cell r="M49">
            <v>99</v>
          </cell>
          <cell r="N49">
            <v>106</v>
          </cell>
          <cell r="O49">
            <v>116</v>
          </cell>
          <cell r="P49">
            <v>123</v>
          </cell>
          <cell r="Q49">
            <v>130</v>
          </cell>
          <cell r="R49">
            <v>137</v>
          </cell>
          <cell r="S49">
            <v>143</v>
          </cell>
          <cell r="T49">
            <v>150</v>
          </cell>
          <cell r="U49">
            <v>157</v>
          </cell>
          <cell r="V49">
            <v>178</v>
          </cell>
          <cell r="W49">
            <v>186</v>
          </cell>
          <cell r="X49">
            <v>193</v>
          </cell>
          <cell r="Y49">
            <v>201</v>
          </cell>
          <cell r="Z49">
            <v>208</v>
          </cell>
          <cell r="AA49">
            <v>216</v>
          </cell>
          <cell r="AB49">
            <v>237</v>
          </cell>
          <cell r="AC49">
            <v>246</v>
          </cell>
          <cell r="AD49">
            <v>254</v>
          </cell>
          <cell r="AE49">
            <v>262</v>
          </cell>
          <cell r="AF49">
            <v>270</v>
          </cell>
          <cell r="AG49">
            <v>277</v>
          </cell>
          <cell r="AH49">
            <v>313</v>
          </cell>
          <cell r="AI49">
            <v>367.54285714285714</v>
          </cell>
          <cell r="AJ49">
            <v>377.75238095238097</v>
          </cell>
          <cell r="AK49">
            <v>388.24550264550265</v>
          </cell>
          <cell r="AL49">
            <v>399.03009994121106</v>
          </cell>
          <cell r="AM49">
            <v>410.11426938402246</v>
          </cell>
          <cell r="AN49">
            <v>421.50633242246755</v>
          </cell>
          <cell r="AO49">
            <v>433.21484165642499</v>
          </cell>
          <cell r="AP49">
            <v>445.24858725799231</v>
          </cell>
          <cell r="AQ49">
            <v>457.61660357071435</v>
          </cell>
          <cell r="AR49">
            <v>470.32817589212306</v>
          </cell>
          <cell r="AS49">
            <v>483.39284744468205</v>
          </cell>
          <cell r="AT49">
            <v>496.82042654036763</v>
          </cell>
          <cell r="AU49">
            <v>510.62099394426679</v>
          </cell>
          <cell r="AV49">
            <v>524.80491044271866</v>
          </cell>
          <cell r="AW49">
            <v>539.38282462168297</v>
          </cell>
        </row>
        <row r="50">
          <cell r="B50">
            <v>900</v>
          </cell>
          <cell r="C50">
            <v>168</v>
          </cell>
          <cell r="D50">
            <v>44</v>
          </cell>
          <cell r="E50">
            <v>52</v>
          </cell>
          <cell r="F50">
            <v>60</v>
          </cell>
          <cell r="G50">
            <v>68</v>
          </cell>
          <cell r="H50">
            <v>76</v>
          </cell>
          <cell r="I50">
            <v>84</v>
          </cell>
          <cell r="J50">
            <v>96</v>
          </cell>
          <cell r="K50">
            <v>104</v>
          </cell>
          <cell r="L50">
            <v>112</v>
          </cell>
          <cell r="M50">
            <v>121</v>
          </cell>
          <cell r="N50">
            <v>130</v>
          </cell>
          <cell r="O50">
            <v>144</v>
          </cell>
          <cell r="P50">
            <v>152</v>
          </cell>
          <cell r="Q50">
            <v>161</v>
          </cell>
          <cell r="R50">
            <v>169</v>
          </cell>
          <cell r="S50">
            <v>178</v>
          </cell>
          <cell r="T50">
            <v>187</v>
          </cell>
          <cell r="U50">
            <v>195</v>
          </cell>
          <cell r="V50">
            <v>216</v>
          </cell>
          <cell r="W50">
            <v>225</v>
          </cell>
          <cell r="X50">
            <v>234</v>
          </cell>
          <cell r="Y50">
            <v>243</v>
          </cell>
          <cell r="Z50">
            <v>253</v>
          </cell>
          <cell r="AA50">
            <v>262</v>
          </cell>
          <cell r="AB50">
            <v>291</v>
          </cell>
          <cell r="AC50">
            <v>301</v>
          </cell>
          <cell r="AD50">
            <v>311</v>
          </cell>
          <cell r="AE50">
            <v>321</v>
          </cell>
          <cell r="AF50">
            <v>330</v>
          </cell>
          <cell r="AG50">
            <v>340</v>
          </cell>
          <cell r="AH50">
            <v>377</v>
          </cell>
          <cell r="AI50">
            <v>387</v>
          </cell>
          <cell r="AJ50">
            <v>398</v>
          </cell>
          <cell r="AK50">
            <v>408</v>
          </cell>
          <cell r="AL50">
            <v>418</v>
          </cell>
          <cell r="AM50">
            <v>429</v>
          </cell>
          <cell r="AN50">
            <v>533.46895197218544</v>
          </cell>
          <cell r="AO50">
            <v>548.28753397141281</v>
          </cell>
          <cell r="AP50">
            <v>563.51774324839653</v>
          </cell>
          <cell r="AQ50">
            <v>579.17101389418531</v>
          </cell>
          <cell r="AR50">
            <v>595.25909761346827</v>
          </cell>
          <cell r="AS50">
            <v>611.79407254717569</v>
          </cell>
          <cell r="AT50">
            <v>628.78835234015287</v>
          </cell>
          <cell r="AU50">
            <v>646.25469546071258</v>
          </cell>
          <cell r="AV50">
            <v>664.2062147790657</v>
          </cell>
          <cell r="AW50">
            <v>682.6563874118176</v>
          </cell>
        </row>
        <row r="51">
          <cell r="B51">
            <v>1000</v>
          </cell>
          <cell r="C51">
            <v>187</v>
          </cell>
          <cell r="D51">
            <v>53</v>
          </cell>
          <cell r="E51">
            <v>63</v>
          </cell>
          <cell r="F51">
            <v>72</v>
          </cell>
          <cell r="G51">
            <v>82</v>
          </cell>
          <cell r="H51">
            <v>92</v>
          </cell>
          <cell r="I51">
            <v>101</v>
          </cell>
          <cell r="J51">
            <v>115</v>
          </cell>
          <cell r="K51">
            <v>125</v>
          </cell>
          <cell r="L51">
            <v>135</v>
          </cell>
          <cell r="M51">
            <v>145</v>
          </cell>
          <cell r="N51">
            <v>156</v>
          </cell>
          <cell r="O51">
            <v>172</v>
          </cell>
          <cell r="P51">
            <v>182</v>
          </cell>
          <cell r="Q51">
            <v>192</v>
          </cell>
          <cell r="R51">
            <v>203</v>
          </cell>
          <cell r="S51">
            <v>213</v>
          </cell>
          <cell r="T51">
            <v>224</v>
          </cell>
          <cell r="U51">
            <v>234</v>
          </cell>
          <cell r="V51">
            <v>258</v>
          </cell>
          <cell r="W51">
            <v>268</v>
          </cell>
          <cell r="X51">
            <v>279</v>
          </cell>
          <cell r="Y51">
            <v>290</v>
          </cell>
          <cell r="Z51">
            <v>301</v>
          </cell>
          <cell r="AA51">
            <v>312</v>
          </cell>
          <cell r="AB51">
            <v>345</v>
          </cell>
          <cell r="AC51">
            <v>357</v>
          </cell>
          <cell r="AD51">
            <v>369</v>
          </cell>
          <cell r="AE51">
            <v>380</v>
          </cell>
          <cell r="AF51">
            <v>392</v>
          </cell>
          <cell r="AG51">
            <v>403</v>
          </cell>
          <cell r="AH51">
            <v>438</v>
          </cell>
          <cell r="AI51">
            <v>450</v>
          </cell>
          <cell r="AJ51">
            <v>462</v>
          </cell>
          <cell r="AK51">
            <v>474</v>
          </cell>
          <cell r="AL51">
            <v>487</v>
          </cell>
          <cell r="AM51">
            <v>499</v>
          </cell>
          <cell r="AN51">
            <v>530</v>
          </cell>
          <cell r="AO51">
            <v>542</v>
          </cell>
          <cell r="AP51">
            <v>554</v>
          </cell>
          <cell r="AQ51">
            <v>566</v>
          </cell>
          <cell r="AR51">
            <v>578</v>
          </cell>
          <cell r="AS51">
            <v>590</v>
          </cell>
          <cell r="AT51">
            <v>602</v>
          </cell>
          <cell r="AU51">
            <v>615</v>
          </cell>
          <cell r="AV51">
            <v>627</v>
          </cell>
          <cell r="AW51">
            <v>639</v>
          </cell>
        </row>
        <row r="52">
          <cell r="B52">
            <v>1100</v>
          </cell>
          <cell r="C52">
            <v>206</v>
          </cell>
          <cell r="D52">
            <v>63</v>
          </cell>
          <cell r="E52">
            <v>75</v>
          </cell>
          <cell r="F52">
            <v>86</v>
          </cell>
          <cell r="G52">
            <v>97</v>
          </cell>
          <cell r="H52">
            <v>109</v>
          </cell>
          <cell r="I52">
            <v>120</v>
          </cell>
          <cell r="J52">
            <v>136</v>
          </cell>
          <cell r="K52">
            <v>147</v>
          </cell>
          <cell r="L52">
            <v>159</v>
          </cell>
          <cell r="M52">
            <v>171</v>
          </cell>
          <cell r="N52">
            <v>184</v>
          </cell>
          <cell r="O52">
            <v>208.12</v>
          </cell>
          <cell r="P52">
            <v>215</v>
          </cell>
          <cell r="Q52">
            <v>227</v>
          </cell>
          <cell r="R52">
            <v>239</v>
          </cell>
          <cell r="S52">
            <v>251</v>
          </cell>
          <cell r="T52">
            <v>263</v>
          </cell>
          <cell r="U52">
            <v>275</v>
          </cell>
          <cell r="V52">
            <v>303</v>
          </cell>
          <cell r="W52">
            <v>316</v>
          </cell>
          <cell r="X52">
            <v>328</v>
          </cell>
          <cell r="Y52">
            <v>341</v>
          </cell>
          <cell r="Z52">
            <v>354</v>
          </cell>
          <cell r="AA52">
            <v>366</v>
          </cell>
          <cell r="AB52">
            <v>403</v>
          </cell>
          <cell r="AC52">
            <v>418</v>
          </cell>
          <cell r="AD52">
            <v>431</v>
          </cell>
          <cell r="AE52">
            <v>445</v>
          </cell>
          <cell r="AF52">
            <v>458</v>
          </cell>
          <cell r="AG52">
            <v>471</v>
          </cell>
          <cell r="AH52">
            <v>511</v>
          </cell>
          <cell r="AI52">
            <v>525</v>
          </cell>
          <cell r="AJ52">
            <v>539</v>
          </cell>
          <cell r="AK52">
            <v>573.54</v>
          </cell>
          <cell r="AL52">
            <v>589.27</v>
          </cell>
          <cell r="AM52">
            <v>582</v>
          </cell>
          <cell r="AN52">
            <v>617</v>
          </cell>
          <cell r="AO52">
            <v>631</v>
          </cell>
          <cell r="AP52">
            <v>645</v>
          </cell>
          <cell r="AQ52">
            <v>659</v>
          </cell>
          <cell r="AR52">
            <v>673</v>
          </cell>
          <cell r="AS52">
            <v>687</v>
          </cell>
          <cell r="AT52">
            <v>702</v>
          </cell>
          <cell r="AU52">
            <v>716</v>
          </cell>
          <cell r="AV52">
            <v>730</v>
          </cell>
          <cell r="AW52">
            <v>744</v>
          </cell>
        </row>
        <row r="53">
          <cell r="B53">
            <v>1200</v>
          </cell>
          <cell r="C53">
            <v>226</v>
          </cell>
          <cell r="D53">
            <v>75</v>
          </cell>
          <cell r="E53">
            <v>89</v>
          </cell>
          <cell r="F53">
            <v>102</v>
          </cell>
          <cell r="G53">
            <v>115</v>
          </cell>
          <cell r="H53">
            <v>129</v>
          </cell>
          <cell r="I53">
            <v>143</v>
          </cell>
          <cell r="J53">
            <v>160</v>
          </cell>
          <cell r="K53">
            <v>174</v>
          </cell>
          <cell r="L53">
            <v>188</v>
          </cell>
          <cell r="M53">
            <v>202</v>
          </cell>
          <cell r="N53">
            <v>218.97520661157026</v>
          </cell>
          <cell r="O53">
            <v>236</v>
          </cell>
          <cell r="P53">
            <v>250</v>
          </cell>
          <cell r="Q53">
            <v>264</v>
          </cell>
          <cell r="R53">
            <v>279</v>
          </cell>
          <cell r="S53">
            <v>293</v>
          </cell>
          <cell r="T53">
            <v>307</v>
          </cell>
          <cell r="U53">
            <v>321</v>
          </cell>
          <cell r="V53">
            <v>352</v>
          </cell>
          <cell r="W53">
            <v>366</v>
          </cell>
          <cell r="X53">
            <v>380</v>
          </cell>
          <cell r="Y53">
            <v>396</v>
          </cell>
          <cell r="Z53">
            <v>410</v>
          </cell>
          <cell r="AA53">
            <v>425</v>
          </cell>
          <cell r="AB53">
            <v>466</v>
          </cell>
          <cell r="AC53">
            <v>483</v>
          </cell>
          <cell r="AD53">
            <v>499</v>
          </cell>
          <cell r="AE53">
            <v>514</v>
          </cell>
          <cell r="AF53">
            <v>530</v>
          </cell>
          <cell r="AG53">
            <v>545</v>
          </cell>
          <cell r="AH53">
            <v>589</v>
          </cell>
          <cell r="AI53">
            <v>605</v>
          </cell>
          <cell r="AJ53">
            <v>621</v>
          </cell>
          <cell r="AK53">
            <v>637</v>
          </cell>
          <cell r="AL53">
            <v>701.28</v>
          </cell>
          <cell r="AM53">
            <v>671</v>
          </cell>
          <cell r="AN53">
            <v>711</v>
          </cell>
          <cell r="AO53">
            <v>727</v>
          </cell>
          <cell r="AP53">
            <v>743</v>
          </cell>
          <cell r="AQ53">
            <v>759</v>
          </cell>
          <cell r="AR53">
            <v>776</v>
          </cell>
          <cell r="AS53">
            <v>792</v>
          </cell>
          <cell r="AT53">
            <v>808</v>
          </cell>
          <cell r="AU53">
            <v>825</v>
          </cell>
          <cell r="AV53">
            <v>841</v>
          </cell>
          <cell r="AW53">
            <v>857</v>
          </cell>
        </row>
        <row r="54">
          <cell r="B54">
            <v>1300</v>
          </cell>
          <cell r="C54">
            <v>246</v>
          </cell>
          <cell r="D54">
            <v>88</v>
          </cell>
          <cell r="E54">
            <v>105</v>
          </cell>
          <cell r="F54">
            <v>119</v>
          </cell>
          <cell r="G54">
            <v>135</v>
          </cell>
          <cell r="H54">
            <v>152</v>
          </cell>
          <cell r="I54">
            <v>167</v>
          </cell>
          <cell r="J54">
            <v>185</v>
          </cell>
          <cell r="K54">
            <v>203</v>
          </cell>
          <cell r="L54">
            <v>219</v>
          </cell>
          <cell r="M54">
            <v>235</v>
          </cell>
          <cell r="N54">
            <v>251</v>
          </cell>
          <cell r="O54">
            <v>275</v>
          </cell>
          <cell r="P54">
            <v>292</v>
          </cell>
          <cell r="Q54">
            <v>308</v>
          </cell>
          <cell r="R54">
            <v>325</v>
          </cell>
          <cell r="S54">
            <v>341</v>
          </cell>
          <cell r="T54">
            <v>358</v>
          </cell>
          <cell r="U54">
            <v>374</v>
          </cell>
          <cell r="V54">
            <v>409</v>
          </cell>
          <cell r="W54">
            <v>426</v>
          </cell>
          <cell r="X54">
            <v>443</v>
          </cell>
          <cell r="Y54">
            <v>460</v>
          </cell>
          <cell r="Z54">
            <v>477</v>
          </cell>
          <cell r="AA54">
            <v>495</v>
          </cell>
          <cell r="AB54">
            <v>540</v>
          </cell>
          <cell r="AC54">
            <v>560</v>
          </cell>
          <cell r="AD54">
            <v>578</v>
          </cell>
          <cell r="AE54">
            <v>596</v>
          </cell>
          <cell r="AF54">
            <v>614</v>
          </cell>
          <cell r="AG54">
            <v>632</v>
          </cell>
          <cell r="AH54">
            <v>680</v>
          </cell>
          <cell r="AI54">
            <v>699</v>
          </cell>
          <cell r="AJ54">
            <v>718</v>
          </cell>
          <cell r="AK54">
            <v>736</v>
          </cell>
          <cell r="AL54">
            <v>755</v>
          </cell>
          <cell r="AM54">
            <v>775</v>
          </cell>
          <cell r="AN54">
            <v>820</v>
          </cell>
          <cell r="AO54">
            <v>839</v>
          </cell>
          <cell r="AP54">
            <v>858</v>
          </cell>
          <cell r="AQ54">
            <v>876</v>
          </cell>
          <cell r="AR54">
            <v>895</v>
          </cell>
          <cell r="AS54">
            <v>914</v>
          </cell>
          <cell r="AT54">
            <v>933</v>
          </cell>
          <cell r="AU54">
            <v>952</v>
          </cell>
          <cell r="AV54">
            <v>970</v>
          </cell>
          <cell r="AW54">
            <v>989</v>
          </cell>
        </row>
        <row r="55">
          <cell r="B55">
            <v>1400</v>
          </cell>
          <cell r="C55">
            <v>265</v>
          </cell>
          <cell r="D55">
            <v>100</v>
          </cell>
          <cell r="E55">
            <v>120</v>
          </cell>
          <cell r="F55">
            <v>138</v>
          </cell>
          <cell r="G55">
            <v>156</v>
          </cell>
          <cell r="H55">
            <v>174</v>
          </cell>
          <cell r="I55">
            <v>192</v>
          </cell>
          <cell r="J55">
            <v>213</v>
          </cell>
          <cell r="K55">
            <v>232</v>
          </cell>
          <cell r="L55">
            <v>252</v>
          </cell>
          <cell r="M55">
            <v>270</v>
          </cell>
          <cell r="N55">
            <v>287</v>
          </cell>
          <cell r="O55">
            <v>316</v>
          </cell>
          <cell r="P55">
            <v>335</v>
          </cell>
          <cell r="Q55">
            <v>353</v>
          </cell>
          <cell r="R55">
            <v>372</v>
          </cell>
          <cell r="S55">
            <v>391</v>
          </cell>
          <cell r="T55">
            <v>410</v>
          </cell>
          <cell r="U55">
            <v>429</v>
          </cell>
          <cell r="V55">
            <v>470</v>
          </cell>
          <cell r="W55">
            <v>490</v>
          </cell>
          <cell r="X55">
            <v>512</v>
          </cell>
          <cell r="Y55">
            <v>531</v>
          </cell>
          <cell r="Z55">
            <v>551</v>
          </cell>
          <cell r="AA55">
            <v>571</v>
          </cell>
          <cell r="AB55">
            <v>613</v>
          </cell>
          <cell r="AC55">
            <v>635</v>
          </cell>
          <cell r="AD55">
            <v>656</v>
          </cell>
          <cell r="AE55">
            <v>676</v>
          </cell>
          <cell r="AF55">
            <v>696</v>
          </cell>
          <cell r="AG55">
            <v>717</v>
          </cell>
          <cell r="AH55">
            <v>770</v>
          </cell>
          <cell r="AI55">
            <v>791</v>
          </cell>
          <cell r="AJ55">
            <v>812</v>
          </cell>
          <cell r="AK55">
            <v>833</v>
          </cell>
          <cell r="AL55">
            <v>854</v>
          </cell>
          <cell r="AM55">
            <v>877</v>
          </cell>
          <cell r="AN55">
            <v>928</v>
          </cell>
          <cell r="AO55">
            <v>949</v>
          </cell>
          <cell r="AP55">
            <v>970</v>
          </cell>
          <cell r="AQ55">
            <v>992</v>
          </cell>
          <cell r="AR55">
            <v>1013</v>
          </cell>
          <cell r="AS55">
            <v>1034</v>
          </cell>
          <cell r="AT55">
            <v>1055</v>
          </cell>
          <cell r="AU55">
            <v>1077</v>
          </cell>
          <cell r="AV55">
            <v>1098</v>
          </cell>
          <cell r="AW55">
            <v>1119</v>
          </cell>
        </row>
        <row r="56">
          <cell r="B56">
            <v>1500</v>
          </cell>
          <cell r="C56">
            <v>284</v>
          </cell>
          <cell r="D56">
            <v>113</v>
          </cell>
          <cell r="E56">
            <v>136</v>
          </cell>
          <cell r="F56">
            <v>157</v>
          </cell>
          <cell r="G56">
            <v>177</v>
          </cell>
          <cell r="H56">
            <v>198</v>
          </cell>
          <cell r="I56">
            <v>218</v>
          </cell>
          <cell r="J56">
            <v>241</v>
          </cell>
          <cell r="K56">
            <v>262</v>
          </cell>
          <cell r="L56">
            <v>285</v>
          </cell>
          <cell r="M56">
            <v>306</v>
          </cell>
          <cell r="N56">
            <v>325</v>
          </cell>
          <cell r="O56">
            <v>347</v>
          </cell>
          <cell r="P56">
            <v>379</v>
          </cell>
          <cell r="Q56">
            <v>400</v>
          </cell>
          <cell r="R56">
            <v>421</v>
          </cell>
          <cell r="S56">
            <v>442</v>
          </cell>
          <cell r="T56">
            <v>464</v>
          </cell>
          <cell r="U56">
            <v>485</v>
          </cell>
          <cell r="V56">
            <v>531</v>
          </cell>
          <cell r="W56">
            <v>553</v>
          </cell>
          <cell r="X56">
            <v>578</v>
          </cell>
          <cell r="Y56">
            <v>600</v>
          </cell>
          <cell r="Z56">
            <v>622</v>
          </cell>
          <cell r="AA56">
            <v>644</v>
          </cell>
          <cell r="AB56">
            <v>690</v>
          </cell>
          <cell r="AC56">
            <v>715</v>
          </cell>
          <cell r="AD56">
            <v>738</v>
          </cell>
          <cell r="AE56">
            <v>761</v>
          </cell>
          <cell r="AF56">
            <v>784</v>
          </cell>
          <cell r="AG56">
            <v>807</v>
          </cell>
          <cell r="AH56">
            <v>866</v>
          </cell>
          <cell r="AI56">
            <v>889</v>
          </cell>
          <cell r="AJ56">
            <v>913</v>
          </cell>
          <cell r="AK56">
            <v>937</v>
          </cell>
          <cell r="AL56">
            <v>960</v>
          </cell>
          <cell r="AM56">
            <v>986</v>
          </cell>
          <cell r="AN56">
            <v>1042</v>
          </cell>
          <cell r="AO56">
            <v>1066</v>
          </cell>
          <cell r="AP56">
            <v>1090</v>
          </cell>
          <cell r="AQ56">
            <v>1114</v>
          </cell>
          <cell r="AR56">
            <v>1138</v>
          </cell>
          <cell r="AS56">
            <v>1162</v>
          </cell>
          <cell r="AT56">
            <v>1185</v>
          </cell>
          <cell r="AU56">
            <v>1209</v>
          </cell>
          <cell r="AV56">
            <v>1233</v>
          </cell>
          <cell r="AW56">
            <v>1257</v>
          </cell>
        </row>
        <row r="57">
          <cell r="B57">
            <v>1600</v>
          </cell>
          <cell r="C57">
            <v>304</v>
          </cell>
          <cell r="D57">
            <v>128</v>
          </cell>
          <cell r="E57">
            <v>153</v>
          </cell>
          <cell r="F57">
            <v>176</v>
          </cell>
          <cell r="G57">
            <v>199</v>
          </cell>
          <cell r="H57">
            <v>222</v>
          </cell>
          <cell r="I57">
            <v>246</v>
          </cell>
          <cell r="J57">
            <v>271</v>
          </cell>
          <cell r="K57">
            <v>295</v>
          </cell>
          <cell r="L57">
            <v>321</v>
          </cell>
          <cell r="M57">
            <v>344</v>
          </cell>
          <cell r="N57">
            <v>365</v>
          </cell>
          <cell r="O57">
            <v>406</v>
          </cell>
          <cell r="P57">
            <v>430</v>
          </cell>
          <cell r="Q57">
            <v>454</v>
          </cell>
          <cell r="R57">
            <v>478</v>
          </cell>
          <cell r="S57">
            <v>502</v>
          </cell>
          <cell r="T57">
            <v>526</v>
          </cell>
          <cell r="U57">
            <v>550</v>
          </cell>
          <cell r="V57">
            <v>595</v>
          </cell>
          <cell r="W57">
            <v>620</v>
          </cell>
          <cell r="X57">
            <v>647</v>
          </cell>
          <cell r="Y57">
            <v>672</v>
          </cell>
          <cell r="Z57">
            <v>697</v>
          </cell>
          <cell r="AA57">
            <v>722</v>
          </cell>
          <cell r="AB57">
            <v>777</v>
          </cell>
          <cell r="AC57">
            <v>803</v>
          </cell>
          <cell r="AD57">
            <v>828</v>
          </cell>
          <cell r="AE57">
            <v>854</v>
          </cell>
          <cell r="AF57">
            <v>882</v>
          </cell>
          <cell r="AG57">
            <v>908</v>
          </cell>
          <cell r="AH57">
            <v>972</v>
          </cell>
          <cell r="AI57">
            <v>998</v>
          </cell>
          <cell r="AJ57">
            <v>1024</v>
          </cell>
          <cell r="AK57">
            <v>1051</v>
          </cell>
          <cell r="AL57">
            <v>1077</v>
          </cell>
          <cell r="AM57">
            <v>1106</v>
          </cell>
          <cell r="AN57">
            <v>1168</v>
          </cell>
          <cell r="AO57">
            <v>1195</v>
          </cell>
          <cell r="AP57">
            <v>1222</v>
          </cell>
          <cell r="AQ57">
            <v>1248</v>
          </cell>
          <cell r="AR57">
            <v>1275</v>
          </cell>
          <cell r="AS57">
            <v>1302</v>
          </cell>
          <cell r="AT57">
            <v>1328</v>
          </cell>
          <cell r="AU57">
            <v>1355</v>
          </cell>
          <cell r="AV57">
            <v>1382</v>
          </cell>
          <cell r="AW57">
            <v>1408</v>
          </cell>
        </row>
        <row r="58">
          <cell r="B58">
            <v>1700</v>
          </cell>
          <cell r="C58">
            <v>323</v>
          </cell>
          <cell r="D58">
            <v>141</v>
          </cell>
          <cell r="E58">
            <v>170</v>
          </cell>
          <cell r="F58">
            <v>198</v>
          </cell>
          <cell r="G58">
            <v>224</v>
          </cell>
          <cell r="H58">
            <v>252</v>
          </cell>
          <cell r="I58">
            <v>274</v>
          </cell>
          <cell r="J58">
            <v>309</v>
          </cell>
          <cell r="K58">
            <v>335</v>
          </cell>
          <cell r="L58">
            <v>362</v>
          </cell>
          <cell r="M58">
            <v>388</v>
          </cell>
          <cell r="N58">
            <v>415</v>
          </cell>
          <cell r="O58">
            <v>455</v>
          </cell>
          <cell r="P58">
            <v>482</v>
          </cell>
          <cell r="Q58">
            <v>509</v>
          </cell>
          <cell r="R58">
            <v>536</v>
          </cell>
          <cell r="S58">
            <v>563</v>
          </cell>
          <cell r="T58">
            <v>590</v>
          </cell>
          <cell r="U58">
            <v>617</v>
          </cell>
          <cell r="V58">
            <v>665</v>
          </cell>
          <cell r="W58">
            <v>696</v>
          </cell>
          <cell r="X58">
            <v>723</v>
          </cell>
          <cell r="Y58">
            <v>751</v>
          </cell>
          <cell r="Z58">
            <v>779</v>
          </cell>
          <cell r="AA58">
            <v>806</v>
          </cell>
          <cell r="AB58">
            <v>872</v>
          </cell>
          <cell r="AC58">
            <v>901</v>
          </cell>
          <cell r="AD58">
            <v>929</v>
          </cell>
          <cell r="AE58">
            <v>958</v>
          </cell>
          <cell r="AF58">
            <v>990</v>
          </cell>
          <cell r="AG58">
            <v>1018</v>
          </cell>
          <cell r="AH58">
            <v>1089</v>
          </cell>
          <cell r="AI58">
            <v>1119</v>
          </cell>
          <cell r="AJ58">
            <v>1148</v>
          </cell>
          <cell r="AK58">
            <v>1178</v>
          </cell>
          <cell r="AL58">
            <v>1207</v>
          </cell>
          <cell r="AM58">
            <v>1240</v>
          </cell>
          <cell r="AN58">
            <v>1308</v>
          </cell>
          <cell r="AO58">
            <v>1338</v>
          </cell>
          <cell r="AP58">
            <v>1368</v>
          </cell>
          <cell r="AQ58">
            <v>1398</v>
          </cell>
          <cell r="AR58">
            <v>1428</v>
          </cell>
          <cell r="AS58">
            <v>1458</v>
          </cell>
          <cell r="AT58">
            <v>1488</v>
          </cell>
          <cell r="AU58">
            <v>1517</v>
          </cell>
          <cell r="AV58">
            <v>1547</v>
          </cell>
          <cell r="AW58">
            <v>1577</v>
          </cell>
        </row>
        <row r="59">
          <cell r="B59">
            <v>1800</v>
          </cell>
          <cell r="C59">
            <v>342</v>
          </cell>
          <cell r="D59">
            <v>157</v>
          </cell>
          <cell r="E59">
            <v>189</v>
          </cell>
          <cell r="F59">
            <v>220</v>
          </cell>
          <cell r="G59">
            <v>249</v>
          </cell>
          <cell r="H59">
            <v>280</v>
          </cell>
          <cell r="I59">
            <v>305</v>
          </cell>
          <cell r="J59">
            <v>343</v>
          </cell>
          <cell r="K59">
            <v>372</v>
          </cell>
          <cell r="L59">
            <v>402</v>
          </cell>
          <cell r="M59">
            <v>431</v>
          </cell>
          <cell r="N59">
            <v>460</v>
          </cell>
          <cell r="O59">
            <v>505</v>
          </cell>
          <cell r="P59">
            <v>535</v>
          </cell>
          <cell r="Q59">
            <v>564</v>
          </cell>
          <cell r="R59">
            <v>594</v>
          </cell>
          <cell r="S59">
            <v>624</v>
          </cell>
          <cell r="T59">
            <v>654</v>
          </cell>
          <cell r="U59">
            <v>684</v>
          </cell>
          <cell r="V59">
            <v>737</v>
          </cell>
          <cell r="W59">
            <v>770</v>
          </cell>
          <cell r="X59">
            <v>801</v>
          </cell>
          <cell r="Y59">
            <v>832</v>
          </cell>
          <cell r="Z59">
            <v>862</v>
          </cell>
          <cell r="AA59">
            <v>893</v>
          </cell>
          <cell r="AB59">
            <v>964</v>
          </cell>
          <cell r="AC59">
            <v>996</v>
          </cell>
          <cell r="AD59">
            <v>1028</v>
          </cell>
          <cell r="AE59">
            <v>1059</v>
          </cell>
          <cell r="AF59">
            <v>1094</v>
          </cell>
          <cell r="AG59">
            <v>1126</v>
          </cell>
          <cell r="AH59">
            <v>1202</v>
          </cell>
          <cell r="AI59">
            <v>1235</v>
          </cell>
          <cell r="AJ59">
            <v>1267</v>
          </cell>
          <cell r="AK59">
            <v>1300</v>
          </cell>
          <cell r="AL59">
            <v>1333</v>
          </cell>
          <cell r="AM59">
            <v>1368</v>
          </cell>
          <cell r="AN59">
            <v>1444</v>
          </cell>
          <cell r="AO59">
            <v>1477</v>
          </cell>
          <cell r="AP59">
            <v>1510</v>
          </cell>
          <cell r="AQ59">
            <v>1543</v>
          </cell>
          <cell r="AR59">
            <v>1576</v>
          </cell>
          <cell r="AS59">
            <v>1609</v>
          </cell>
          <cell r="AT59">
            <v>1642</v>
          </cell>
          <cell r="AU59">
            <v>1675</v>
          </cell>
          <cell r="AV59">
            <v>1707</v>
          </cell>
          <cell r="AW59">
            <v>1740</v>
          </cell>
        </row>
        <row r="60">
          <cell r="B60">
            <v>1900</v>
          </cell>
          <cell r="C60">
            <v>362</v>
          </cell>
          <cell r="D60">
            <v>174</v>
          </cell>
          <cell r="E60">
            <v>208</v>
          </cell>
          <cell r="F60">
            <v>243</v>
          </cell>
          <cell r="G60">
            <v>275</v>
          </cell>
          <cell r="H60">
            <v>310</v>
          </cell>
          <cell r="I60">
            <v>337</v>
          </cell>
          <cell r="J60">
            <v>379</v>
          </cell>
          <cell r="K60">
            <v>411</v>
          </cell>
          <cell r="L60">
            <v>444</v>
          </cell>
          <cell r="M60">
            <v>476</v>
          </cell>
          <cell r="N60">
            <v>508</v>
          </cell>
          <cell r="O60">
            <v>557</v>
          </cell>
          <cell r="P60">
            <v>590</v>
          </cell>
          <cell r="Q60">
            <v>623</v>
          </cell>
          <cell r="R60">
            <v>656</v>
          </cell>
          <cell r="S60">
            <v>689</v>
          </cell>
          <cell r="T60">
            <v>722</v>
          </cell>
          <cell r="U60">
            <v>755</v>
          </cell>
          <cell r="V60">
            <v>826</v>
          </cell>
          <cell r="W60">
            <v>860</v>
          </cell>
          <cell r="X60">
            <v>894</v>
          </cell>
          <cell r="Y60">
            <v>928</v>
          </cell>
          <cell r="Z60">
            <v>965</v>
          </cell>
          <cell r="AA60">
            <v>999</v>
          </cell>
          <cell r="AB60">
            <v>1064</v>
          </cell>
          <cell r="AC60">
            <v>1103</v>
          </cell>
          <cell r="AD60">
            <v>1138</v>
          </cell>
          <cell r="AE60">
            <v>1173</v>
          </cell>
          <cell r="AF60">
            <v>1208</v>
          </cell>
          <cell r="AG60">
            <v>1246</v>
          </cell>
          <cell r="AH60">
            <v>1324</v>
          </cell>
          <cell r="AI60">
            <v>1364</v>
          </cell>
          <cell r="AJ60">
            <v>1400</v>
          </cell>
          <cell r="AK60">
            <v>1436</v>
          </cell>
          <cell r="AL60">
            <v>1472</v>
          </cell>
          <cell r="AM60">
            <v>1515</v>
          </cell>
          <cell r="AN60">
            <v>1593</v>
          </cell>
          <cell r="AO60">
            <v>1630</v>
          </cell>
          <cell r="AP60">
            <v>1666</v>
          </cell>
          <cell r="AQ60">
            <v>1702</v>
          </cell>
          <cell r="AR60">
            <v>1738</v>
          </cell>
          <cell r="AS60">
            <v>1774</v>
          </cell>
          <cell r="AT60">
            <v>1811</v>
          </cell>
          <cell r="AU60">
            <v>1847</v>
          </cell>
          <cell r="AV60">
            <v>1883</v>
          </cell>
          <cell r="AW60">
            <v>1919</v>
          </cell>
        </row>
        <row r="61">
          <cell r="B61">
            <v>2000</v>
          </cell>
          <cell r="C61">
            <v>381</v>
          </cell>
          <cell r="D61">
            <v>194</v>
          </cell>
          <cell r="E61">
            <v>232</v>
          </cell>
          <cell r="F61">
            <v>271</v>
          </cell>
          <cell r="G61">
            <v>307</v>
          </cell>
          <cell r="H61">
            <v>342</v>
          </cell>
          <cell r="I61">
            <v>378</v>
          </cell>
          <cell r="J61">
            <v>420</v>
          </cell>
          <cell r="K61">
            <v>456</v>
          </cell>
          <cell r="L61">
            <v>495</v>
          </cell>
          <cell r="M61">
            <v>531</v>
          </cell>
          <cell r="N61">
            <v>567</v>
          </cell>
          <cell r="O61">
            <v>617</v>
          </cell>
          <cell r="P61">
            <v>657</v>
          </cell>
          <cell r="Q61">
            <v>693</v>
          </cell>
          <cell r="R61">
            <v>730</v>
          </cell>
          <cell r="S61">
            <v>766</v>
          </cell>
          <cell r="T61">
            <v>803</v>
          </cell>
          <cell r="U61">
            <v>839</v>
          </cell>
          <cell r="V61">
            <v>905</v>
          </cell>
          <cell r="W61">
            <v>943</v>
          </cell>
          <cell r="X61">
            <v>980</v>
          </cell>
          <cell r="Y61">
            <v>1018</v>
          </cell>
          <cell r="Z61">
            <v>1059</v>
          </cell>
          <cell r="AA61">
            <v>1096</v>
          </cell>
          <cell r="AB61">
            <v>1165</v>
          </cell>
          <cell r="AC61">
            <v>1207</v>
          </cell>
          <cell r="AD61">
            <v>1246</v>
          </cell>
          <cell r="AE61">
            <v>1284</v>
          </cell>
          <cell r="AF61">
            <v>1322</v>
          </cell>
          <cell r="AG61">
            <v>1365</v>
          </cell>
          <cell r="AH61">
            <v>1449</v>
          </cell>
          <cell r="AI61">
            <v>1492</v>
          </cell>
          <cell r="AJ61">
            <v>1532</v>
          </cell>
          <cell r="AK61">
            <v>1571</v>
          </cell>
          <cell r="AL61">
            <v>1610</v>
          </cell>
          <cell r="AM61">
            <v>1653</v>
          </cell>
          <cell r="AN61">
            <v>1743</v>
          </cell>
          <cell r="AO61">
            <v>1782</v>
          </cell>
          <cell r="AP61">
            <v>1822</v>
          </cell>
          <cell r="AQ61">
            <v>1861</v>
          </cell>
          <cell r="AR61">
            <v>1901</v>
          </cell>
          <cell r="AS61">
            <v>1941</v>
          </cell>
          <cell r="AT61">
            <v>1980</v>
          </cell>
          <cell r="AU61">
            <v>2020</v>
          </cell>
          <cell r="AV61">
            <v>2059</v>
          </cell>
          <cell r="AW61">
            <v>2099</v>
          </cell>
        </row>
        <row r="62">
          <cell r="B62">
            <v>2100</v>
          </cell>
          <cell r="C62">
            <v>400</v>
          </cell>
          <cell r="D62">
            <v>213.88499999999999</v>
          </cell>
          <cell r="E62">
            <v>255</v>
          </cell>
          <cell r="F62">
            <v>297</v>
          </cell>
          <cell r="G62">
            <v>336</v>
          </cell>
          <cell r="H62">
            <v>374</v>
          </cell>
          <cell r="I62">
            <v>413</v>
          </cell>
          <cell r="J62">
            <v>459</v>
          </cell>
          <cell r="K62">
            <v>499</v>
          </cell>
          <cell r="L62">
            <v>542</v>
          </cell>
          <cell r="M62">
            <v>581</v>
          </cell>
          <cell r="N62">
            <v>621</v>
          </cell>
          <cell r="O62">
            <v>682</v>
          </cell>
          <cell r="P62">
            <v>722</v>
          </cell>
          <cell r="Q62">
            <v>762</v>
          </cell>
          <cell r="R62">
            <v>806</v>
          </cell>
          <cell r="S62">
            <v>842</v>
          </cell>
          <cell r="T62">
            <v>882</v>
          </cell>
          <cell r="U62">
            <v>922</v>
          </cell>
          <cell r="V62">
            <v>993</v>
          </cell>
          <cell r="W62">
            <v>1034</v>
          </cell>
          <cell r="X62">
            <v>1075</v>
          </cell>
          <cell r="Y62">
            <v>1120</v>
          </cell>
          <cell r="Z62">
            <v>1160</v>
          </cell>
          <cell r="AA62">
            <v>1201</v>
          </cell>
          <cell r="AB62">
            <v>1271</v>
          </cell>
          <cell r="AC62">
            <v>1317</v>
          </cell>
          <cell r="AD62">
            <v>1359</v>
          </cell>
          <cell r="AE62">
            <v>1401</v>
          </cell>
          <cell r="AF62">
            <v>1443</v>
          </cell>
          <cell r="AG62">
            <v>1489</v>
          </cell>
          <cell r="AH62">
            <v>1600</v>
          </cell>
          <cell r="AI62">
            <v>1643</v>
          </cell>
          <cell r="AJ62">
            <v>1691</v>
          </cell>
          <cell r="AK62">
            <v>1734</v>
          </cell>
          <cell r="AL62">
            <v>1777</v>
          </cell>
          <cell r="AM62">
            <v>1824</v>
          </cell>
          <cell r="AN62">
            <v>1922</v>
          </cell>
          <cell r="AO62">
            <v>1966</v>
          </cell>
          <cell r="AP62">
            <v>2009</v>
          </cell>
          <cell r="AQ62">
            <v>2053</v>
          </cell>
          <cell r="AR62">
            <v>2096</v>
          </cell>
          <cell r="AS62">
            <v>2140</v>
          </cell>
          <cell r="AT62">
            <v>2183</v>
          </cell>
          <cell r="AU62">
            <v>2226</v>
          </cell>
          <cell r="AV62">
            <v>2270</v>
          </cell>
          <cell r="AW62">
            <v>2313</v>
          </cell>
        </row>
        <row r="63">
          <cell r="B63">
            <v>2200</v>
          </cell>
          <cell r="C63">
            <v>420</v>
          </cell>
          <cell r="D63">
            <v>234.74</v>
          </cell>
          <cell r="E63">
            <v>283</v>
          </cell>
          <cell r="F63">
            <v>330</v>
          </cell>
          <cell r="G63">
            <v>372</v>
          </cell>
          <cell r="H63">
            <v>415</v>
          </cell>
          <cell r="I63">
            <v>454</v>
          </cell>
          <cell r="J63">
            <v>509</v>
          </cell>
          <cell r="K63">
            <v>552</v>
          </cell>
          <cell r="L63">
            <v>595</v>
          </cell>
          <cell r="M63">
            <v>643</v>
          </cell>
          <cell r="N63">
            <v>686</v>
          </cell>
          <cell r="O63">
            <v>749</v>
          </cell>
          <cell r="P63">
            <v>797</v>
          </cell>
          <cell r="Q63">
            <v>841</v>
          </cell>
          <cell r="R63">
            <v>889</v>
          </cell>
          <cell r="S63">
            <v>928</v>
          </cell>
          <cell r="T63">
            <v>977</v>
          </cell>
          <cell r="U63">
            <v>1020</v>
          </cell>
          <cell r="V63">
            <v>1097</v>
          </cell>
          <cell r="W63">
            <v>1142</v>
          </cell>
          <cell r="X63">
            <v>1187</v>
          </cell>
          <cell r="Y63">
            <v>1232</v>
          </cell>
          <cell r="Z63">
            <v>1277</v>
          </cell>
          <cell r="AA63">
            <v>1321</v>
          </cell>
          <cell r="AB63">
            <v>1402</v>
          </cell>
          <cell r="AC63">
            <v>1447</v>
          </cell>
          <cell r="AD63">
            <v>1493</v>
          </cell>
          <cell r="AE63">
            <v>1544</v>
          </cell>
          <cell r="AF63">
            <v>1589</v>
          </cell>
          <cell r="AG63">
            <v>1635</v>
          </cell>
          <cell r="AH63">
            <v>1737</v>
          </cell>
          <cell r="AI63">
            <v>1784</v>
          </cell>
          <cell r="AJ63">
            <v>1836</v>
          </cell>
          <cell r="AK63">
            <v>1883</v>
          </cell>
          <cell r="AL63">
            <v>1929</v>
          </cell>
          <cell r="AM63">
            <v>1981</v>
          </cell>
          <cell r="AN63">
            <v>2102</v>
          </cell>
          <cell r="AO63">
            <v>2149</v>
          </cell>
          <cell r="AP63">
            <v>2197</v>
          </cell>
          <cell r="AQ63">
            <v>2244</v>
          </cell>
          <cell r="AR63">
            <v>2292</v>
          </cell>
          <cell r="AS63">
            <v>2339</v>
          </cell>
          <cell r="AT63">
            <v>2387</v>
          </cell>
          <cell r="AU63">
            <v>2434</v>
          </cell>
          <cell r="AV63">
            <v>2482</v>
          </cell>
          <cell r="AW63">
            <v>2529</v>
          </cell>
        </row>
        <row r="64">
          <cell r="B64">
            <v>2300</v>
          </cell>
          <cell r="C64">
            <v>439</v>
          </cell>
          <cell r="D64">
            <v>256.565</v>
          </cell>
          <cell r="E64">
            <v>307</v>
          </cell>
          <cell r="F64">
            <v>358</v>
          </cell>
          <cell r="G64">
            <v>404</v>
          </cell>
          <cell r="H64">
            <v>450</v>
          </cell>
          <cell r="I64">
            <v>494</v>
          </cell>
          <cell r="J64">
            <v>533</v>
          </cell>
          <cell r="K64">
            <v>599</v>
          </cell>
          <cell r="L64">
            <v>646</v>
          </cell>
          <cell r="M64">
            <v>698</v>
          </cell>
          <cell r="N64">
            <v>745</v>
          </cell>
          <cell r="O64">
            <v>813</v>
          </cell>
          <cell r="P64">
            <v>865</v>
          </cell>
          <cell r="Q64">
            <v>912</v>
          </cell>
          <cell r="R64">
            <v>965</v>
          </cell>
          <cell r="S64">
            <v>1007</v>
          </cell>
          <cell r="T64">
            <v>1060</v>
          </cell>
          <cell r="U64">
            <v>1107</v>
          </cell>
          <cell r="V64">
            <v>1190</v>
          </cell>
          <cell r="W64">
            <v>1238</v>
          </cell>
          <cell r="X64">
            <v>1287</v>
          </cell>
          <cell r="Y64">
            <v>1335</v>
          </cell>
          <cell r="Z64">
            <v>1384</v>
          </cell>
          <cell r="AA64">
            <v>1433</v>
          </cell>
          <cell r="AB64">
            <v>1518</v>
          </cell>
          <cell r="AC64">
            <v>1568</v>
          </cell>
          <cell r="AD64">
            <v>1617</v>
          </cell>
          <cell r="AE64">
            <v>1672</v>
          </cell>
          <cell r="AF64">
            <v>1722</v>
          </cell>
          <cell r="AG64">
            <v>1771</v>
          </cell>
          <cell r="AH64">
            <v>1880</v>
          </cell>
          <cell r="AI64">
            <v>1931</v>
          </cell>
          <cell r="AJ64">
            <v>1987</v>
          </cell>
          <cell r="AK64">
            <v>2037</v>
          </cell>
          <cell r="AL64">
            <v>2088</v>
          </cell>
          <cell r="AM64">
            <v>2144</v>
          </cell>
          <cell r="AN64">
            <v>2273</v>
          </cell>
          <cell r="AO64">
            <v>2324</v>
          </cell>
          <cell r="AP64">
            <v>2376</v>
          </cell>
          <cell r="AQ64">
            <v>2427</v>
          </cell>
          <cell r="AR64">
            <v>2479</v>
          </cell>
          <cell r="AS64">
            <v>2530</v>
          </cell>
          <cell r="AT64">
            <v>2581</v>
          </cell>
          <cell r="AU64">
            <v>2633</v>
          </cell>
          <cell r="AV64">
            <v>2684</v>
          </cell>
          <cell r="AW64">
            <v>2735</v>
          </cell>
        </row>
        <row r="65">
          <cell r="B65">
            <v>2400</v>
          </cell>
          <cell r="C65">
            <v>458</v>
          </cell>
          <cell r="D65">
            <v>279.36</v>
          </cell>
          <cell r="E65">
            <v>338</v>
          </cell>
          <cell r="F65">
            <v>388</v>
          </cell>
          <cell r="G65">
            <v>438</v>
          </cell>
          <cell r="H65">
            <v>488</v>
          </cell>
          <cell r="I65">
            <v>535</v>
          </cell>
          <cell r="J65">
            <v>598</v>
          </cell>
          <cell r="K65">
            <v>649</v>
          </cell>
          <cell r="L65">
            <v>699</v>
          </cell>
          <cell r="M65">
            <v>755</v>
          </cell>
          <cell r="N65">
            <v>806</v>
          </cell>
          <cell r="O65">
            <v>879</v>
          </cell>
          <cell r="P65">
            <v>935</v>
          </cell>
          <cell r="Q65">
            <v>987</v>
          </cell>
          <cell r="R65">
            <v>1043</v>
          </cell>
          <cell r="S65">
            <v>1090</v>
          </cell>
          <cell r="T65">
            <v>1146</v>
          </cell>
          <cell r="U65">
            <v>1197</v>
          </cell>
          <cell r="V65">
            <v>1286</v>
          </cell>
          <cell r="W65">
            <v>1338</v>
          </cell>
          <cell r="X65">
            <v>1391</v>
          </cell>
          <cell r="Y65">
            <v>1443</v>
          </cell>
          <cell r="Z65">
            <v>1496</v>
          </cell>
          <cell r="AA65">
            <v>1548</v>
          </cell>
          <cell r="AB65">
            <v>1639</v>
          </cell>
          <cell r="AC65">
            <v>1693</v>
          </cell>
          <cell r="AD65">
            <v>1746</v>
          </cell>
          <cell r="AE65">
            <v>1805</v>
          </cell>
          <cell r="AF65">
            <v>1859</v>
          </cell>
          <cell r="AG65">
            <v>1912</v>
          </cell>
          <cell r="AH65">
            <v>2029</v>
          </cell>
          <cell r="AI65">
            <v>2083</v>
          </cell>
          <cell r="AJ65">
            <v>2143</v>
          </cell>
          <cell r="AK65">
            <v>2198</v>
          </cell>
          <cell r="AL65">
            <v>2253</v>
          </cell>
          <cell r="AM65">
            <v>2313</v>
          </cell>
          <cell r="AN65">
            <v>2451</v>
          </cell>
          <cell r="AO65">
            <v>2507</v>
          </cell>
          <cell r="AP65">
            <v>2562</v>
          </cell>
          <cell r="AQ65">
            <v>2617</v>
          </cell>
          <cell r="AR65">
            <v>2672</v>
          </cell>
          <cell r="AS65">
            <v>2728</v>
          </cell>
          <cell r="AT65">
            <v>2783</v>
          </cell>
          <cell r="AU65">
            <v>2839</v>
          </cell>
          <cell r="AV65">
            <v>2895</v>
          </cell>
          <cell r="AW65">
            <v>2950</v>
          </cell>
        </row>
        <row r="66">
          <cell r="B66">
            <v>2500</v>
          </cell>
          <cell r="C66">
            <v>478</v>
          </cell>
          <cell r="D66">
            <v>303.125</v>
          </cell>
          <cell r="E66">
            <v>366.75347222222223</v>
          </cell>
          <cell r="F66">
            <v>419</v>
          </cell>
          <cell r="G66">
            <v>473</v>
          </cell>
          <cell r="H66">
            <v>526</v>
          </cell>
          <cell r="I66">
            <v>577</v>
          </cell>
          <cell r="J66">
            <v>645</v>
          </cell>
          <cell r="K66">
            <v>700</v>
          </cell>
          <cell r="L66">
            <v>755</v>
          </cell>
          <cell r="M66">
            <v>815</v>
          </cell>
          <cell r="N66">
            <v>869</v>
          </cell>
          <cell r="O66">
            <v>948</v>
          </cell>
          <cell r="P66">
            <v>1009</v>
          </cell>
          <cell r="Q66">
            <v>1064</v>
          </cell>
          <cell r="R66">
            <v>1125</v>
          </cell>
          <cell r="S66">
            <v>1175</v>
          </cell>
          <cell r="T66">
            <v>1236</v>
          </cell>
          <cell r="U66">
            <v>1291</v>
          </cell>
          <cell r="V66">
            <v>1380</v>
          </cell>
          <cell r="W66">
            <v>1436</v>
          </cell>
          <cell r="X66">
            <v>1504</v>
          </cell>
          <cell r="Y66">
            <v>1561</v>
          </cell>
          <cell r="Z66">
            <v>1623</v>
          </cell>
          <cell r="AA66">
            <v>1680</v>
          </cell>
          <cell r="AB66">
            <v>1783</v>
          </cell>
          <cell r="AC66">
            <v>1847</v>
          </cell>
          <cell r="AD66">
            <v>1905</v>
          </cell>
          <cell r="AE66">
            <v>1963</v>
          </cell>
          <cell r="AF66">
            <v>2027</v>
          </cell>
          <cell r="AG66">
            <v>2085</v>
          </cell>
          <cell r="AH66">
            <v>2209</v>
          </cell>
          <cell r="AI66">
            <v>2268</v>
          </cell>
          <cell r="AJ66">
            <v>2333</v>
          </cell>
          <cell r="AK66">
            <v>2393</v>
          </cell>
          <cell r="AL66">
            <v>2452</v>
          </cell>
          <cell r="AM66">
            <v>2517</v>
          </cell>
          <cell r="AN66">
            <v>2649</v>
          </cell>
          <cell r="AO66">
            <v>2708</v>
          </cell>
          <cell r="AP66">
            <v>2768</v>
          </cell>
          <cell r="AQ66">
            <v>2827</v>
          </cell>
          <cell r="AR66">
            <v>2887</v>
          </cell>
          <cell r="AS66">
            <v>2946</v>
          </cell>
          <cell r="AT66">
            <v>3006</v>
          </cell>
          <cell r="AU66">
            <v>3066</v>
          </cell>
          <cell r="AV66">
            <v>3125</v>
          </cell>
          <cell r="AW66">
            <v>3185</v>
          </cell>
        </row>
        <row r="67">
          <cell r="B67">
            <v>2600</v>
          </cell>
          <cell r="C67">
            <v>497</v>
          </cell>
          <cell r="D67">
            <v>327.86</v>
          </cell>
          <cell r="E67">
            <v>396.68055555555554</v>
          </cell>
          <cell r="F67">
            <v>455</v>
          </cell>
          <cell r="G67">
            <v>513</v>
          </cell>
          <cell r="H67">
            <v>571</v>
          </cell>
          <cell r="I67">
            <v>629</v>
          </cell>
          <cell r="J67">
            <v>712</v>
          </cell>
          <cell r="K67">
            <v>777</v>
          </cell>
          <cell r="L67">
            <v>835</v>
          </cell>
          <cell r="M67">
            <v>900</v>
          </cell>
          <cell r="N67">
            <v>959</v>
          </cell>
          <cell r="P67">
            <v>1103</v>
          </cell>
          <cell r="Q67">
            <v>1162</v>
          </cell>
          <cell r="R67">
            <v>1228</v>
          </cell>
          <cell r="S67">
            <v>1270</v>
          </cell>
          <cell r="T67">
            <v>1329</v>
          </cell>
          <cell r="U67">
            <v>1395</v>
          </cell>
          <cell r="V67">
            <v>1483</v>
          </cell>
          <cell r="W67">
            <v>1544</v>
          </cell>
          <cell r="X67">
            <v>1617</v>
          </cell>
          <cell r="Y67">
            <v>1677</v>
          </cell>
          <cell r="Z67">
            <v>1744</v>
          </cell>
          <cell r="AA67">
            <v>1805</v>
          </cell>
          <cell r="AB67">
            <v>1914</v>
          </cell>
          <cell r="AC67">
            <v>1982</v>
          </cell>
          <cell r="AD67">
            <v>2045</v>
          </cell>
          <cell r="AE67">
            <v>2107</v>
          </cell>
          <cell r="AF67">
            <v>2176</v>
          </cell>
          <cell r="AG67">
            <v>2238</v>
          </cell>
          <cell r="AH67">
            <v>2370</v>
          </cell>
          <cell r="AI67">
            <v>2434</v>
          </cell>
          <cell r="AJ67">
            <v>2504</v>
          </cell>
          <cell r="AM67">
            <v>2700</v>
          </cell>
          <cell r="AN67">
            <v>2841</v>
          </cell>
          <cell r="AO67">
            <v>2905</v>
          </cell>
          <cell r="AP67">
            <v>2969</v>
          </cell>
          <cell r="AQ67">
            <v>3033</v>
          </cell>
          <cell r="AR67">
            <v>3097</v>
          </cell>
          <cell r="AS67">
            <v>3161</v>
          </cell>
          <cell r="AT67">
            <v>3225</v>
          </cell>
          <cell r="AU67">
            <v>3289</v>
          </cell>
          <cell r="AV67">
            <v>3353</v>
          </cell>
          <cell r="AW67">
            <v>3417</v>
          </cell>
        </row>
        <row r="68">
          <cell r="B68">
            <v>2700</v>
          </cell>
          <cell r="C68">
            <v>517</v>
          </cell>
          <cell r="D68">
            <v>353.565</v>
          </cell>
          <cell r="E68">
            <v>427.78125</v>
          </cell>
          <cell r="F68">
            <v>488</v>
          </cell>
          <cell r="G68">
            <v>550</v>
          </cell>
          <cell r="H68">
            <v>613</v>
          </cell>
          <cell r="I68">
            <v>675</v>
          </cell>
          <cell r="J68">
            <v>764</v>
          </cell>
          <cell r="K68">
            <v>833</v>
          </cell>
          <cell r="L68">
            <v>897</v>
          </cell>
          <cell r="M68">
            <v>966</v>
          </cell>
          <cell r="P68">
            <v>1183</v>
          </cell>
          <cell r="Q68">
            <v>1247</v>
          </cell>
          <cell r="R68">
            <v>1317</v>
          </cell>
          <cell r="S68">
            <v>1362</v>
          </cell>
          <cell r="T68">
            <v>1426</v>
          </cell>
          <cell r="U68">
            <v>1496</v>
          </cell>
          <cell r="V68">
            <v>1590</v>
          </cell>
          <cell r="W68">
            <v>1655</v>
          </cell>
          <cell r="X68">
            <v>1733</v>
          </cell>
          <cell r="Y68">
            <v>1798</v>
          </cell>
          <cell r="Z68">
            <v>1870</v>
          </cell>
          <cell r="AA68">
            <v>1935</v>
          </cell>
          <cell r="AB68">
            <v>2050</v>
          </cell>
          <cell r="AC68">
            <v>2124</v>
          </cell>
          <cell r="AD68">
            <v>2190</v>
          </cell>
          <cell r="AE68">
            <v>2257</v>
          </cell>
          <cell r="AF68">
            <v>2331</v>
          </cell>
          <cell r="AG68">
            <v>2397</v>
          </cell>
          <cell r="AH68">
            <v>2537</v>
          </cell>
          <cell r="AI68">
            <v>2605</v>
          </cell>
          <cell r="AJ68">
            <v>2680</v>
          </cell>
          <cell r="AK68">
            <v>2748</v>
          </cell>
          <cell r="AM68">
            <v>2890</v>
          </cell>
          <cell r="AN68">
            <v>3041</v>
          </cell>
          <cell r="AO68">
            <v>3109</v>
          </cell>
          <cell r="AP68">
            <v>3177</v>
          </cell>
          <cell r="AQ68">
            <v>3246</v>
          </cell>
          <cell r="AR68">
            <v>3314</v>
          </cell>
          <cell r="AS68">
            <v>3383</v>
          </cell>
          <cell r="AT68">
            <v>3451</v>
          </cell>
          <cell r="AU68">
            <v>3520</v>
          </cell>
          <cell r="AV68">
            <v>3588</v>
          </cell>
          <cell r="AW68">
            <v>3656</v>
          </cell>
        </row>
        <row r="69">
          <cell r="B69">
            <v>2800</v>
          </cell>
          <cell r="C69">
            <v>536</v>
          </cell>
          <cell r="D69">
            <v>380.24</v>
          </cell>
          <cell r="E69">
            <v>460.05555555555554</v>
          </cell>
          <cell r="F69">
            <v>526</v>
          </cell>
          <cell r="G69">
            <v>593</v>
          </cell>
          <cell r="H69">
            <v>660</v>
          </cell>
          <cell r="I69">
            <v>728</v>
          </cell>
          <cell r="J69">
            <v>823</v>
          </cell>
          <cell r="K69">
            <v>898</v>
          </cell>
          <cell r="L69">
            <v>966</v>
          </cell>
          <cell r="M69">
            <v>1041</v>
          </cell>
          <cell r="N69">
            <v>1109</v>
          </cell>
          <cell r="O69">
            <v>1212</v>
          </cell>
          <cell r="P69">
            <v>1280</v>
          </cell>
          <cell r="Q69">
            <v>1356</v>
          </cell>
          <cell r="R69">
            <v>1432</v>
          </cell>
          <cell r="S69">
            <v>1494</v>
          </cell>
          <cell r="T69">
            <v>1570</v>
          </cell>
          <cell r="U69">
            <v>1638</v>
          </cell>
          <cell r="V69">
            <v>1745</v>
          </cell>
          <cell r="W69">
            <v>1815</v>
          </cell>
          <cell r="X69">
            <v>1871</v>
          </cell>
          <cell r="Y69">
            <v>1942</v>
          </cell>
          <cell r="Z69">
            <v>2019</v>
          </cell>
          <cell r="AA69">
            <v>2089</v>
          </cell>
          <cell r="AB69">
            <v>2218</v>
          </cell>
          <cell r="AC69">
            <v>2290</v>
          </cell>
          <cell r="AD69">
            <v>2362</v>
          </cell>
          <cell r="AE69">
            <v>2441</v>
          </cell>
          <cell r="AF69">
            <v>2513</v>
          </cell>
          <cell r="AG69">
            <v>2591</v>
          </cell>
          <cell r="AH69">
            <v>2725</v>
          </cell>
          <cell r="AI69">
            <v>2798</v>
          </cell>
          <cell r="AJ69">
            <v>2879</v>
          </cell>
          <cell r="AK69">
            <v>2952</v>
          </cell>
          <cell r="AL69">
            <v>3025</v>
          </cell>
          <cell r="AM69">
            <v>3105</v>
          </cell>
          <cell r="AN69">
            <v>3266</v>
          </cell>
          <cell r="AO69">
            <v>3339</v>
          </cell>
          <cell r="AP69">
            <v>3413</v>
          </cell>
          <cell r="AQ69">
            <v>3486</v>
          </cell>
          <cell r="AR69">
            <v>3560</v>
          </cell>
          <cell r="AS69">
            <v>3633</v>
          </cell>
          <cell r="AT69">
            <v>3707</v>
          </cell>
          <cell r="AU69">
            <v>3780</v>
          </cell>
          <cell r="AV69">
            <v>3854</v>
          </cell>
          <cell r="AW69">
            <v>3927</v>
          </cell>
        </row>
        <row r="70">
          <cell r="B70">
            <v>2900</v>
          </cell>
          <cell r="C70">
            <v>555</v>
          </cell>
          <cell r="D70">
            <v>407.88499999999999</v>
          </cell>
          <cell r="E70">
            <v>493.50347222222223</v>
          </cell>
          <cell r="F70">
            <v>564.24234693877554</v>
          </cell>
          <cell r="G70">
            <v>639</v>
          </cell>
          <cell r="H70">
            <v>719</v>
          </cell>
          <cell r="I70">
            <v>791</v>
          </cell>
          <cell r="J70">
            <v>893</v>
          </cell>
          <cell r="K70">
            <v>966</v>
          </cell>
          <cell r="L70">
            <v>1046</v>
          </cell>
          <cell r="M70">
            <v>1119</v>
          </cell>
          <cell r="N70">
            <v>1191</v>
          </cell>
          <cell r="O70">
            <v>1293</v>
          </cell>
          <cell r="P70">
            <v>1367</v>
          </cell>
          <cell r="Q70">
            <v>1448</v>
          </cell>
          <cell r="R70">
            <v>1529</v>
          </cell>
          <cell r="S70">
            <v>1595</v>
          </cell>
          <cell r="T70">
            <v>1676</v>
          </cell>
          <cell r="U70">
            <v>1749</v>
          </cell>
          <cell r="V70">
            <v>1862</v>
          </cell>
          <cell r="W70">
            <v>1937</v>
          </cell>
          <cell r="X70">
            <v>1997</v>
          </cell>
          <cell r="Y70">
            <v>2072</v>
          </cell>
          <cell r="Z70">
            <v>2154</v>
          </cell>
          <cell r="AA70">
            <v>2229</v>
          </cell>
          <cell r="AB70">
            <v>2365</v>
          </cell>
          <cell r="AC70">
            <v>2441</v>
          </cell>
          <cell r="AD70">
            <v>2518</v>
          </cell>
          <cell r="AE70">
            <v>2602</v>
          </cell>
          <cell r="AF70">
            <v>2679</v>
          </cell>
          <cell r="AG70">
            <v>2763</v>
          </cell>
          <cell r="AH70">
            <v>2920</v>
          </cell>
          <cell r="AI70">
            <v>2999</v>
          </cell>
          <cell r="AJ70">
            <v>3085</v>
          </cell>
          <cell r="AK70">
            <v>3163</v>
          </cell>
          <cell r="AL70">
            <v>3241</v>
          </cell>
          <cell r="AM70">
            <v>3327</v>
          </cell>
          <cell r="AN70">
            <v>3499</v>
          </cell>
          <cell r="AO70">
            <v>3578</v>
          </cell>
          <cell r="AP70">
            <v>3657</v>
          </cell>
          <cell r="AQ70">
            <v>3735</v>
          </cell>
          <cell r="AR70">
            <v>3814</v>
          </cell>
          <cell r="AS70">
            <v>3893</v>
          </cell>
          <cell r="AT70">
            <v>3971</v>
          </cell>
          <cell r="AU70">
            <v>4050</v>
          </cell>
          <cell r="AV70">
            <v>4129</v>
          </cell>
          <cell r="AW70">
            <v>4208</v>
          </cell>
        </row>
        <row r="71">
          <cell r="B71">
            <v>3000</v>
          </cell>
          <cell r="C71">
            <v>574</v>
          </cell>
          <cell r="D71">
            <v>436.5</v>
          </cell>
          <cell r="E71">
            <v>528.125</v>
          </cell>
          <cell r="F71">
            <v>603.82653061224494</v>
          </cell>
          <cell r="G71">
            <v>682</v>
          </cell>
          <cell r="H71">
            <v>767</v>
          </cell>
          <cell r="I71">
            <v>844</v>
          </cell>
          <cell r="J71">
            <v>957</v>
          </cell>
          <cell r="K71">
            <v>1035</v>
          </cell>
          <cell r="L71">
            <v>1121</v>
          </cell>
          <cell r="M71">
            <v>1199</v>
          </cell>
          <cell r="N71">
            <v>1277</v>
          </cell>
          <cell r="O71">
            <v>1386</v>
          </cell>
          <cell r="P71">
            <v>1465</v>
          </cell>
          <cell r="Q71">
            <v>1551</v>
          </cell>
          <cell r="R71">
            <v>1638</v>
          </cell>
          <cell r="S71">
            <v>1709</v>
          </cell>
          <cell r="T71">
            <v>1795</v>
          </cell>
          <cell r="U71">
            <v>1874</v>
          </cell>
          <cell r="V71">
            <v>1994</v>
          </cell>
          <cell r="W71">
            <v>2074</v>
          </cell>
          <cell r="X71">
            <v>2138</v>
          </cell>
          <cell r="Y71">
            <v>2218</v>
          </cell>
          <cell r="Z71">
            <v>2306</v>
          </cell>
          <cell r="AA71">
            <v>2386</v>
          </cell>
          <cell r="AB71">
            <v>2516</v>
          </cell>
          <cell r="AC71">
            <v>2598</v>
          </cell>
          <cell r="AD71">
            <v>2679</v>
          </cell>
          <cell r="AE71">
            <v>2769</v>
          </cell>
          <cell r="AF71">
            <v>2850</v>
          </cell>
          <cell r="AG71">
            <v>2940</v>
          </cell>
          <cell r="AH71">
            <v>3105</v>
          </cell>
          <cell r="AI71">
            <v>3189</v>
          </cell>
          <cell r="AJ71">
            <v>3280</v>
          </cell>
          <cell r="AK71">
            <v>3363</v>
          </cell>
          <cell r="AL71">
            <v>3447</v>
          </cell>
          <cell r="AM71">
            <v>3538</v>
          </cell>
          <cell r="AN71">
            <v>3720</v>
          </cell>
          <cell r="AO71">
            <v>3803</v>
          </cell>
          <cell r="AP71">
            <v>3887</v>
          </cell>
          <cell r="AQ71">
            <v>3971</v>
          </cell>
          <cell r="AR71">
            <v>4055</v>
          </cell>
          <cell r="AS71">
            <v>4139</v>
          </cell>
          <cell r="AT71">
            <v>4222</v>
          </cell>
          <cell r="AU71">
            <v>4306</v>
          </cell>
          <cell r="AV71">
            <v>4390</v>
          </cell>
          <cell r="AW71">
            <v>4473</v>
          </cell>
        </row>
        <row r="72">
          <cell r="B72">
            <v>3100</v>
          </cell>
          <cell r="C72">
            <v>594</v>
          </cell>
          <cell r="D72">
            <v>466.08499999999998</v>
          </cell>
          <cell r="E72">
            <v>563.92013888888891</v>
          </cell>
          <cell r="F72">
            <v>644.75255102040819</v>
          </cell>
          <cell r="G72">
            <v>714</v>
          </cell>
          <cell r="H72">
            <v>804</v>
          </cell>
          <cell r="I72">
            <v>893</v>
          </cell>
          <cell r="J72">
            <v>1017</v>
          </cell>
          <cell r="K72">
            <v>1100</v>
          </cell>
          <cell r="L72">
            <v>1183</v>
          </cell>
          <cell r="M72">
            <v>1266</v>
          </cell>
          <cell r="N72">
            <v>1349</v>
          </cell>
          <cell r="O72">
            <v>1476</v>
          </cell>
          <cell r="P72">
            <v>1560</v>
          </cell>
          <cell r="Q72">
            <v>1643</v>
          </cell>
          <cell r="R72">
            <v>1727</v>
          </cell>
          <cell r="S72">
            <v>1811</v>
          </cell>
          <cell r="T72">
            <v>1894</v>
          </cell>
          <cell r="U72">
            <v>1978</v>
          </cell>
          <cell r="V72">
            <v>2119</v>
          </cell>
          <cell r="W72">
            <v>2204</v>
          </cell>
          <cell r="X72">
            <v>2289</v>
          </cell>
          <cell r="Y72">
            <v>2374</v>
          </cell>
          <cell r="Z72">
            <v>2459</v>
          </cell>
          <cell r="AA72">
            <v>2544</v>
          </cell>
          <cell r="AB72">
            <v>2688</v>
          </cell>
          <cell r="AC72">
            <v>2775</v>
          </cell>
          <cell r="AD72">
            <v>2862</v>
          </cell>
          <cell r="AE72">
            <v>2948</v>
          </cell>
          <cell r="AF72">
            <v>3035</v>
          </cell>
          <cell r="AG72">
            <v>3122</v>
          </cell>
          <cell r="AH72">
            <v>3298</v>
          </cell>
          <cell r="AI72">
            <v>3387</v>
          </cell>
          <cell r="AJ72">
            <v>3475</v>
          </cell>
          <cell r="AK72">
            <v>3564</v>
          </cell>
          <cell r="AL72">
            <v>3652</v>
          </cell>
          <cell r="AM72">
            <v>3740</v>
          </cell>
          <cell r="AN72">
            <v>3948</v>
          </cell>
          <cell r="AO72">
            <v>4036</v>
          </cell>
          <cell r="AP72">
            <v>4125</v>
          </cell>
          <cell r="AQ72">
            <v>4214</v>
          </cell>
          <cell r="AR72">
            <v>4303</v>
          </cell>
          <cell r="AS72">
            <v>4392</v>
          </cell>
          <cell r="AT72">
            <v>4481</v>
          </cell>
          <cell r="AU72">
            <v>4569</v>
          </cell>
          <cell r="AV72">
            <v>4658</v>
          </cell>
          <cell r="AW72">
            <v>4747</v>
          </cell>
        </row>
        <row r="73">
          <cell r="B73">
            <v>3200</v>
          </cell>
          <cell r="C73">
            <v>613</v>
          </cell>
          <cell r="D73">
            <v>496.64</v>
          </cell>
          <cell r="E73">
            <v>600.88888888888891</v>
          </cell>
          <cell r="F73">
            <v>687.0204081632653</v>
          </cell>
          <cell r="G73">
            <v>779</v>
          </cell>
          <cell r="H73">
            <v>877</v>
          </cell>
          <cell r="I73">
            <v>974</v>
          </cell>
          <cell r="J73">
            <v>1080</v>
          </cell>
          <cell r="K73">
            <v>1169</v>
          </cell>
          <cell r="L73">
            <v>1266</v>
          </cell>
          <cell r="M73">
            <v>1354</v>
          </cell>
          <cell r="N73">
            <v>1441</v>
          </cell>
          <cell r="O73">
            <v>1563</v>
          </cell>
          <cell r="P73">
            <v>1652</v>
          </cell>
          <cell r="Q73">
            <v>1750</v>
          </cell>
          <cell r="R73">
            <v>1848</v>
          </cell>
          <cell r="S73">
            <v>1928</v>
          </cell>
          <cell r="T73">
            <v>2025</v>
          </cell>
          <cell r="U73">
            <v>2114</v>
          </cell>
          <cell r="V73">
            <v>2247</v>
          </cell>
          <cell r="W73">
            <v>2338</v>
          </cell>
          <cell r="X73">
            <v>2410</v>
          </cell>
          <cell r="Y73">
            <v>2500</v>
          </cell>
          <cell r="Z73">
            <v>2599</v>
          </cell>
          <cell r="AA73">
            <v>2689</v>
          </cell>
          <cell r="AB73">
            <v>2848</v>
          </cell>
          <cell r="AC73">
            <v>2940</v>
          </cell>
          <cell r="AD73">
            <v>3032</v>
          </cell>
          <cell r="AE73">
            <v>3134</v>
          </cell>
          <cell r="AF73">
            <v>3226</v>
          </cell>
          <cell r="AG73">
            <v>3327</v>
          </cell>
          <cell r="AH73">
            <v>3492</v>
          </cell>
          <cell r="AI73">
            <v>3586</v>
          </cell>
          <cell r="AJ73">
            <v>3688</v>
          </cell>
          <cell r="AK73">
            <v>3782</v>
          </cell>
          <cell r="AL73">
            <v>3876</v>
          </cell>
          <cell r="AM73">
            <v>3979</v>
          </cell>
          <cell r="AN73">
            <v>4182</v>
          </cell>
          <cell r="AO73">
            <v>2476</v>
          </cell>
          <cell r="AP73">
            <v>4370</v>
          </cell>
          <cell r="AQ73">
            <v>4464</v>
          </cell>
          <cell r="AR73">
            <v>4558</v>
          </cell>
          <cell r="AS73">
            <v>4652</v>
          </cell>
          <cell r="AT73">
            <v>4746</v>
          </cell>
          <cell r="AU73">
            <v>4841</v>
          </cell>
          <cell r="AV73">
            <v>4935</v>
          </cell>
          <cell r="AW73">
            <v>5029</v>
          </cell>
        </row>
        <row r="74">
          <cell r="B74">
            <v>3300</v>
          </cell>
          <cell r="C74">
            <v>632</v>
          </cell>
          <cell r="D74">
            <v>528.16499999999996</v>
          </cell>
          <cell r="E74">
            <v>639.03125</v>
          </cell>
          <cell r="F74">
            <v>730.63010204081638</v>
          </cell>
          <cell r="G74">
            <v>828.4482421875</v>
          </cell>
          <cell r="H74">
            <v>930</v>
          </cell>
          <cell r="I74">
            <v>1033</v>
          </cell>
          <cell r="J74">
            <v>1145</v>
          </cell>
          <cell r="K74">
            <v>1238</v>
          </cell>
          <cell r="L74">
            <v>1331</v>
          </cell>
          <cell r="M74">
            <v>1424</v>
          </cell>
          <cell r="N74">
            <v>1517</v>
          </cell>
          <cell r="O74">
            <v>1659</v>
          </cell>
          <cell r="P74">
            <v>1753</v>
          </cell>
          <cell r="Q74">
            <v>1847</v>
          </cell>
          <cell r="R74">
            <v>1941</v>
          </cell>
          <cell r="S74">
            <v>2035</v>
          </cell>
          <cell r="T74">
            <v>2129</v>
          </cell>
          <cell r="U74">
            <v>2224</v>
          </cell>
          <cell r="V74">
            <v>2380</v>
          </cell>
          <cell r="W74">
            <v>2475</v>
          </cell>
          <cell r="X74">
            <v>2571</v>
          </cell>
          <cell r="Y74">
            <v>2666</v>
          </cell>
          <cell r="Z74">
            <v>2762</v>
          </cell>
          <cell r="AA74">
            <v>2858</v>
          </cell>
          <cell r="AB74">
            <v>3015</v>
          </cell>
          <cell r="AC74">
            <v>3113</v>
          </cell>
          <cell r="AD74">
            <v>3210</v>
          </cell>
          <cell r="AE74">
            <v>3308</v>
          </cell>
          <cell r="AF74">
            <v>3405</v>
          </cell>
          <cell r="AG74">
            <v>3503</v>
          </cell>
          <cell r="AH74">
            <v>3736</v>
          </cell>
          <cell r="AI74">
            <v>3835</v>
          </cell>
          <cell r="AJ74">
            <v>3934</v>
          </cell>
          <cell r="AK74">
            <v>4033</v>
          </cell>
          <cell r="AL74">
            <v>4133</v>
          </cell>
          <cell r="AM74">
            <v>4232</v>
          </cell>
          <cell r="AN74">
            <v>4423</v>
          </cell>
          <cell r="AO74">
            <v>4523</v>
          </cell>
          <cell r="AP74">
            <v>4622</v>
          </cell>
          <cell r="AQ74">
            <v>4722</v>
          </cell>
          <cell r="AR74">
            <v>4821</v>
          </cell>
          <cell r="AS74">
            <v>4921</v>
          </cell>
          <cell r="AT74">
            <v>5020</v>
          </cell>
          <cell r="AU74">
            <v>5120</v>
          </cell>
          <cell r="AV74">
            <v>5219</v>
          </cell>
          <cell r="AW74">
            <v>5319</v>
          </cell>
        </row>
        <row r="75">
          <cell r="B75">
            <v>3400</v>
          </cell>
          <cell r="C75">
            <v>651</v>
          </cell>
          <cell r="D75">
            <v>560.66</v>
          </cell>
          <cell r="E75">
            <v>678.34722222222217</v>
          </cell>
          <cell r="F75">
            <v>775.58163265306121</v>
          </cell>
          <cell r="G75">
            <v>879.41796875</v>
          </cell>
          <cell r="H75">
            <v>979</v>
          </cell>
          <cell r="I75">
            <v>1088</v>
          </cell>
          <cell r="J75">
            <v>1206</v>
          </cell>
          <cell r="K75">
            <v>1315</v>
          </cell>
          <cell r="L75">
            <v>1414</v>
          </cell>
          <cell r="M75">
            <v>1512</v>
          </cell>
          <cell r="N75">
            <v>1616</v>
          </cell>
          <cell r="O75">
            <v>1752</v>
          </cell>
          <cell r="P75">
            <v>1851</v>
          </cell>
          <cell r="Q75">
            <v>1961</v>
          </cell>
          <cell r="R75">
            <v>2070</v>
          </cell>
          <cell r="S75">
            <v>2160</v>
          </cell>
          <cell r="T75">
            <v>2269</v>
          </cell>
          <cell r="U75">
            <v>2369</v>
          </cell>
          <cell r="V75">
            <v>2528</v>
          </cell>
          <cell r="W75">
            <v>2630</v>
          </cell>
          <cell r="X75">
            <v>2711</v>
          </cell>
          <cell r="Y75">
            <v>2813</v>
          </cell>
          <cell r="Z75">
            <v>2924</v>
          </cell>
          <cell r="AA75">
            <v>3026</v>
          </cell>
          <cell r="AB75">
            <v>3205</v>
          </cell>
          <cell r="AC75">
            <v>3319</v>
          </cell>
          <cell r="AD75">
            <v>3422</v>
          </cell>
          <cell r="AE75">
            <v>3525</v>
          </cell>
          <cell r="AF75">
            <v>3638</v>
          </cell>
          <cell r="AG75">
            <v>3741</v>
          </cell>
          <cell r="AH75">
            <v>3963</v>
          </cell>
          <cell r="AI75">
            <v>4068</v>
          </cell>
          <cell r="AJ75">
            <v>4183</v>
          </cell>
          <cell r="AK75">
            <v>4289</v>
          </cell>
          <cell r="AL75">
            <v>4394</v>
          </cell>
          <cell r="AM75">
            <v>4509</v>
          </cell>
          <cell r="AN75">
            <v>4694</v>
          </cell>
          <cell r="AO75">
            <v>4800</v>
          </cell>
          <cell r="AP75">
            <v>4905</v>
          </cell>
          <cell r="AQ75">
            <v>5011</v>
          </cell>
          <cell r="AR75">
            <v>5116</v>
          </cell>
          <cell r="AS75">
            <v>5222</v>
          </cell>
          <cell r="AT75">
            <v>5327</v>
          </cell>
          <cell r="AU75">
            <v>5433</v>
          </cell>
          <cell r="AV75">
            <v>5539</v>
          </cell>
          <cell r="AW75">
            <v>5644</v>
          </cell>
        </row>
        <row r="76">
          <cell r="B76">
            <v>3500</v>
          </cell>
          <cell r="C76">
            <v>671</v>
          </cell>
          <cell r="D76">
            <v>594.125</v>
          </cell>
          <cell r="E76">
            <v>718.83680555555554</v>
          </cell>
          <cell r="F76">
            <v>821.875</v>
          </cell>
          <cell r="G76">
            <v>931.9091796875</v>
          </cell>
          <cell r="H76">
            <v>1039</v>
          </cell>
          <cell r="I76">
            <v>1154</v>
          </cell>
          <cell r="J76">
            <v>1280</v>
          </cell>
          <cell r="K76">
            <v>1396</v>
          </cell>
          <cell r="L76">
            <v>1501</v>
          </cell>
          <cell r="M76">
            <v>1605</v>
          </cell>
          <cell r="N76">
            <v>1710</v>
          </cell>
          <cell r="O76">
            <v>1862</v>
          </cell>
          <cell r="P76">
            <v>1968</v>
          </cell>
          <cell r="Q76">
            <v>2073</v>
          </cell>
          <cell r="R76">
            <v>2179</v>
          </cell>
          <cell r="S76">
            <v>2285</v>
          </cell>
          <cell r="T76">
            <v>2390</v>
          </cell>
          <cell r="U76">
            <v>2496</v>
          </cell>
          <cell r="V76">
            <v>2669</v>
          </cell>
          <cell r="W76">
            <v>2776</v>
          </cell>
          <cell r="X76">
            <v>2883</v>
          </cell>
          <cell r="Y76">
            <v>2990</v>
          </cell>
          <cell r="Z76">
            <v>3097</v>
          </cell>
          <cell r="AA76">
            <v>3204</v>
          </cell>
          <cell r="AB76">
            <v>3405</v>
          </cell>
          <cell r="AC76">
            <v>3514</v>
          </cell>
          <cell r="AD76">
            <v>3623</v>
          </cell>
          <cell r="AE76">
            <v>3732</v>
          </cell>
          <cell r="AF76">
            <v>3842</v>
          </cell>
          <cell r="AG76">
            <v>3951</v>
          </cell>
          <cell r="AH76">
            <v>4182</v>
          </cell>
          <cell r="AI76">
            <v>4293</v>
          </cell>
          <cell r="AJ76">
            <v>4404</v>
          </cell>
          <cell r="AK76">
            <v>4515</v>
          </cell>
          <cell r="AL76">
            <v>4625</v>
          </cell>
          <cell r="AM76">
            <v>4736</v>
          </cell>
          <cell r="AN76">
            <v>4949</v>
          </cell>
          <cell r="AO76">
            <v>5060</v>
          </cell>
          <cell r="AP76">
            <v>5172</v>
          </cell>
          <cell r="AQ76">
            <v>5283</v>
          </cell>
          <cell r="AR76">
            <v>5394</v>
          </cell>
          <cell r="AS76">
            <v>5506</v>
          </cell>
          <cell r="AT76">
            <v>5617</v>
          </cell>
          <cell r="AU76">
            <v>5728</v>
          </cell>
          <cell r="AV76">
            <v>5840</v>
          </cell>
          <cell r="AW76">
            <v>5951</v>
          </cell>
        </row>
        <row r="77">
          <cell r="B77">
            <v>3600</v>
          </cell>
          <cell r="C77">
            <v>690</v>
          </cell>
          <cell r="D77">
            <v>628.55999999999995</v>
          </cell>
          <cell r="E77">
            <v>760.5</v>
          </cell>
          <cell r="F77">
            <v>869.51020408163265</v>
          </cell>
          <cell r="G77">
            <v>985.921875</v>
          </cell>
          <cell r="H77">
            <v>1096</v>
          </cell>
          <cell r="I77">
            <v>1218</v>
          </cell>
          <cell r="J77">
            <v>1350</v>
          </cell>
          <cell r="K77">
            <v>1473</v>
          </cell>
          <cell r="L77">
            <v>1583</v>
          </cell>
          <cell r="M77">
            <v>1693</v>
          </cell>
          <cell r="N77">
            <v>1809</v>
          </cell>
          <cell r="O77">
            <v>1960</v>
          </cell>
          <cell r="P77">
            <v>2071</v>
          </cell>
          <cell r="Q77">
            <v>2194</v>
          </cell>
          <cell r="R77">
            <v>2316</v>
          </cell>
          <cell r="S77">
            <v>2417</v>
          </cell>
          <cell r="T77">
            <v>2539</v>
          </cell>
          <cell r="U77">
            <v>2650</v>
          </cell>
          <cell r="V77">
            <v>2813</v>
          </cell>
          <cell r="W77">
            <v>2926</v>
          </cell>
          <cell r="X77">
            <v>3016</v>
          </cell>
          <cell r="Y77">
            <v>3129</v>
          </cell>
          <cell r="Z77">
            <v>3253</v>
          </cell>
          <cell r="AA77">
            <v>3366</v>
          </cell>
          <cell r="AB77">
            <v>3580</v>
          </cell>
          <cell r="AC77">
            <v>3706</v>
          </cell>
          <cell r="AD77">
            <v>3821</v>
          </cell>
          <cell r="AE77">
            <v>3936</v>
          </cell>
          <cell r="AF77">
            <v>4063</v>
          </cell>
          <cell r="AG77">
            <v>4178</v>
          </cell>
          <cell r="AH77">
            <v>4400</v>
          </cell>
          <cell r="AI77">
            <v>4517</v>
          </cell>
          <cell r="AJ77">
            <v>4645</v>
          </cell>
          <cell r="AK77">
            <v>4762</v>
          </cell>
          <cell r="AL77">
            <v>4879</v>
          </cell>
          <cell r="AM77">
            <v>5007</v>
          </cell>
          <cell r="AN77">
            <v>5211</v>
          </cell>
          <cell r="AO77">
            <v>5328</v>
          </cell>
          <cell r="AP77">
            <v>5446</v>
          </cell>
          <cell r="AQ77">
            <v>5563</v>
          </cell>
          <cell r="AR77">
            <v>5680</v>
          </cell>
          <cell r="AS77">
            <v>5797</v>
          </cell>
          <cell r="AT77">
            <v>5915</v>
          </cell>
          <cell r="AU77">
            <v>6032</v>
          </cell>
          <cell r="AV77">
            <v>6149</v>
          </cell>
          <cell r="AW77">
            <v>6266</v>
          </cell>
        </row>
        <row r="78">
          <cell r="B78">
            <v>3700</v>
          </cell>
          <cell r="C78">
            <v>709</v>
          </cell>
          <cell r="D78">
            <v>663.96500000000003</v>
          </cell>
          <cell r="E78">
            <v>803.33680555555554</v>
          </cell>
          <cell r="F78">
            <v>918.48724489795916</v>
          </cell>
          <cell r="G78">
            <v>1041.4560546875</v>
          </cell>
          <cell r="H78">
            <v>1157.7345679012346</v>
          </cell>
          <cell r="I78">
            <v>1291</v>
          </cell>
          <cell r="J78">
            <v>1428</v>
          </cell>
          <cell r="K78">
            <v>1558</v>
          </cell>
          <cell r="L78">
            <v>1688</v>
          </cell>
          <cell r="M78">
            <v>1804</v>
          </cell>
          <cell r="N78">
            <v>1920</v>
          </cell>
          <cell r="O78">
            <v>2097</v>
          </cell>
          <cell r="P78">
            <v>2214</v>
          </cell>
          <cell r="Q78">
            <v>2331</v>
          </cell>
          <cell r="R78">
            <v>2448</v>
          </cell>
          <cell r="S78">
            <v>2566</v>
          </cell>
          <cell r="T78">
            <v>2683</v>
          </cell>
          <cell r="U78">
            <v>2800</v>
          </cell>
          <cell r="V78">
            <v>3004</v>
          </cell>
          <cell r="W78">
            <v>3123</v>
          </cell>
          <cell r="X78">
            <v>3243</v>
          </cell>
          <cell r="Y78">
            <v>3362</v>
          </cell>
          <cell r="Z78">
            <v>3482</v>
          </cell>
          <cell r="AA78">
            <v>3601</v>
          </cell>
          <cell r="AB78">
            <v>3803</v>
          </cell>
          <cell r="AC78">
            <v>3925</v>
          </cell>
          <cell r="AD78">
            <v>4046</v>
          </cell>
          <cell r="AE78">
            <v>4167</v>
          </cell>
          <cell r="AF78">
            <v>4288</v>
          </cell>
          <cell r="AG78">
            <v>4409</v>
          </cell>
          <cell r="AH78">
            <v>4631</v>
          </cell>
          <cell r="AI78">
            <v>4754</v>
          </cell>
          <cell r="AJ78">
            <v>4877</v>
          </cell>
          <cell r="AK78">
            <v>5000</v>
          </cell>
          <cell r="AL78">
            <v>5122</v>
          </cell>
          <cell r="AM78">
            <v>5245</v>
          </cell>
          <cell r="AN78">
            <v>5480</v>
          </cell>
          <cell r="AO78">
            <v>5603</v>
          </cell>
          <cell r="AP78">
            <v>5727</v>
          </cell>
          <cell r="AQ78">
            <v>5850</v>
          </cell>
          <cell r="AR78">
            <v>5973</v>
          </cell>
          <cell r="AS78">
            <v>6096</v>
          </cell>
          <cell r="AT78">
            <v>6220</v>
          </cell>
          <cell r="AU78">
            <v>6343</v>
          </cell>
          <cell r="AV78">
            <v>6466</v>
          </cell>
          <cell r="AW78">
            <v>6590</v>
          </cell>
        </row>
        <row r="79">
          <cell r="B79">
            <v>3800</v>
          </cell>
          <cell r="C79">
            <v>727</v>
          </cell>
          <cell r="D79">
            <v>700.34</v>
          </cell>
          <cell r="E79">
            <v>847.34722222222217</v>
          </cell>
          <cell r="F79">
            <v>968.80612244897964</v>
          </cell>
          <cell r="G79">
            <v>1098.51171875</v>
          </cell>
          <cell r="H79">
            <v>1221.1604938271605</v>
          </cell>
          <cell r="I79">
            <v>1358</v>
          </cell>
          <cell r="J79">
            <v>1504</v>
          </cell>
          <cell r="K79">
            <v>1641</v>
          </cell>
          <cell r="L79">
            <v>1777</v>
          </cell>
          <cell r="M79">
            <v>1914</v>
          </cell>
          <cell r="N79">
            <v>2036</v>
          </cell>
          <cell r="O79">
            <v>2215</v>
          </cell>
          <cell r="P79">
            <v>2338</v>
          </cell>
          <cell r="Q79">
            <v>2462</v>
          </cell>
          <cell r="R79">
            <v>2586</v>
          </cell>
          <cell r="S79">
            <v>2710</v>
          </cell>
          <cell r="T79">
            <v>2834</v>
          </cell>
          <cell r="U79">
            <v>2958</v>
          </cell>
          <cell r="V79">
            <v>3157</v>
          </cell>
          <cell r="W79">
            <v>3283</v>
          </cell>
          <cell r="X79">
            <v>3408</v>
          </cell>
          <cell r="Y79">
            <v>3534</v>
          </cell>
          <cell r="Z79">
            <v>3659</v>
          </cell>
          <cell r="AA79">
            <v>3785</v>
          </cell>
          <cell r="AB79">
            <v>4014</v>
          </cell>
          <cell r="AC79">
            <v>4142</v>
          </cell>
          <cell r="AD79">
            <v>4270</v>
          </cell>
          <cell r="AE79">
            <v>4398</v>
          </cell>
          <cell r="AF79">
            <v>4525</v>
          </cell>
          <cell r="AG79">
            <v>4653</v>
          </cell>
          <cell r="AH79">
            <v>4865</v>
          </cell>
          <cell r="AI79">
            <v>4994</v>
          </cell>
          <cell r="AJ79">
            <v>5123</v>
          </cell>
          <cell r="AK79">
            <v>5252</v>
          </cell>
          <cell r="AL79">
            <v>5381</v>
          </cell>
          <cell r="AM79">
            <v>5510</v>
          </cell>
          <cell r="AN79">
            <v>5755</v>
          </cell>
          <cell r="AO79">
            <v>5885</v>
          </cell>
          <cell r="AP79">
            <v>6014</v>
          </cell>
          <cell r="AQ79">
            <v>6144</v>
          </cell>
          <cell r="AR79">
            <v>6273</v>
          </cell>
          <cell r="AS79">
            <v>6403</v>
          </cell>
          <cell r="AT79">
            <v>6532</v>
          </cell>
          <cell r="AU79">
            <v>6662</v>
          </cell>
          <cell r="AV79">
            <v>6792</v>
          </cell>
          <cell r="AW79">
            <v>6921</v>
          </cell>
        </row>
        <row r="80">
          <cell r="B80">
            <v>3900</v>
          </cell>
          <cell r="C80">
            <v>747</v>
          </cell>
          <cell r="D80">
            <v>737.68499999999995</v>
          </cell>
          <cell r="E80">
            <v>892.53125</v>
          </cell>
          <cell r="F80">
            <v>1020.4668367346939</v>
          </cell>
          <cell r="G80">
            <v>1157.0888671875</v>
          </cell>
          <cell r="H80">
            <v>1286.2777777777778</v>
          </cell>
          <cell r="I80">
            <v>1426</v>
          </cell>
          <cell r="J80">
            <v>1579</v>
          </cell>
          <cell r="K80">
            <v>1723</v>
          </cell>
          <cell r="L80">
            <v>1866</v>
          </cell>
          <cell r="M80">
            <v>2010</v>
          </cell>
          <cell r="N80">
            <v>2139</v>
          </cell>
          <cell r="O80">
            <v>2326</v>
          </cell>
          <cell r="P80">
            <v>2456</v>
          </cell>
          <cell r="Q80">
            <v>2586</v>
          </cell>
          <cell r="R80">
            <v>2716</v>
          </cell>
          <cell r="S80">
            <v>2846</v>
          </cell>
          <cell r="T80">
            <v>2976</v>
          </cell>
          <cell r="U80">
            <v>3106</v>
          </cell>
          <cell r="V80">
            <v>3315</v>
          </cell>
          <cell r="W80">
            <v>3447</v>
          </cell>
          <cell r="X80">
            <v>3578</v>
          </cell>
          <cell r="Y80">
            <v>3710</v>
          </cell>
          <cell r="Z80">
            <v>3842</v>
          </cell>
          <cell r="AA80">
            <v>3974</v>
          </cell>
          <cell r="AB80">
            <v>4212</v>
          </cell>
          <cell r="AC80">
            <v>4347</v>
          </cell>
          <cell r="AD80">
            <v>4481</v>
          </cell>
          <cell r="AE80">
            <v>4615</v>
          </cell>
          <cell r="AF80">
            <v>4749</v>
          </cell>
          <cell r="AG80">
            <v>4883</v>
          </cell>
          <cell r="AH80">
            <v>5104</v>
          </cell>
          <cell r="AI80">
            <v>5239</v>
          </cell>
          <cell r="AJ80">
            <v>5374</v>
          </cell>
          <cell r="AK80">
            <v>5510</v>
          </cell>
          <cell r="AL80">
            <v>5645</v>
          </cell>
          <cell r="AM80">
            <v>5780</v>
          </cell>
          <cell r="AN80">
            <v>6063</v>
          </cell>
          <cell r="AO80">
            <v>6200</v>
          </cell>
          <cell r="AP80">
            <v>6336</v>
          </cell>
          <cell r="AQ80">
            <v>6473</v>
          </cell>
          <cell r="AR80">
            <v>6609</v>
          </cell>
          <cell r="AS80">
            <v>6746</v>
          </cell>
          <cell r="AT80">
            <v>6882</v>
          </cell>
          <cell r="AU80">
            <v>7018</v>
          </cell>
          <cell r="AV80">
            <v>7155</v>
          </cell>
          <cell r="AW80">
            <v>7291</v>
          </cell>
        </row>
        <row r="81">
          <cell r="B81">
            <v>4000</v>
          </cell>
          <cell r="C81">
            <v>766</v>
          </cell>
          <cell r="D81">
            <v>776</v>
          </cell>
          <cell r="E81">
            <v>938.88888888888891</v>
          </cell>
          <cell r="F81">
            <v>1073.4693877551019</v>
          </cell>
          <cell r="G81">
            <v>1217.1875</v>
          </cell>
          <cell r="H81">
            <v>1353.0864197530864</v>
          </cell>
          <cell r="I81">
            <v>1496</v>
          </cell>
          <cell r="J81">
            <v>1657</v>
          </cell>
          <cell r="K81">
            <v>1808</v>
          </cell>
          <cell r="L81">
            <v>1958</v>
          </cell>
          <cell r="M81">
            <v>2109</v>
          </cell>
          <cell r="N81">
            <v>2244</v>
          </cell>
          <cell r="O81">
            <v>2440</v>
          </cell>
          <cell r="P81">
            <v>2576</v>
          </cell>
          <cell r="Q81">
            <v>2712</v>
          </cell>
          <cell r="R81">
            <v>2849</v>
          </cell>
          <cell r="S81">
            <v>2985</v>
          </cell>
          <cell r="T81">
            <v>3122</v>
          </cell>
          <cell r="U81">
            <v>3258</v>
          </cell>
          <cell r="V81">
            <v>3476</v>
          </cell>
          <cell r="W81">
            <v>3614</v>
          </cell>
          <cell r="X81">
            <v>3752</v>
          </cell>
          <cell r="Y81">
            <v>3891</v>
          </cell>
          <cell r="Z81">
            <v>4029</v>
          </cell>
          <cell r="AA81">
            <v>4167</v>
          </cell>
          <cell r="AB81">
            <v>4415</v>
          </cell>
          <cell r="AC81">
            <v>4556</v>
          </cell>
          <cell r="AD81">
            <v>4696</v>
          </cell>
          <cell r="AE81">
            <v>4837</v>
          </cell>
          <cell r="AF81">
            <v>4978</v>
          </cell>
          <cell r="AG81">
            <v>5118</v>
          </cell>
          <cell r="AH81">
            <v>5349</v>
          </cell>
          <cell r="AI81">
            <v>5490</v>
          </cell>
          <cell r="AJ81">
            <v>5632</v>
          </cell>
          <cell r="AK81">
            <v>5774</v>
          </cell>
          <cell r="AL81">
            <v>5916</v>
          </cell>
          <cell r="AM81">
            <v>6057</v>
          </cell>
          <cell r="AN81">
            <v>6353</v>
          </cell>
          <cell r="AO81">
            <v>6496</v>
          </cell>
          <cell r="AP81">
            <v>6639</v>
          </cell>
          <cell r="AQ81">
            <v>6782</v>
          </cell>
          <cell r="AR81">
            <v>6925</v>
          </cell>
          <cell r="AS81">
            <v>7068</v>
          </cell>
          <cell r="AT81">
            <v>7211</v>
          </cell>
          <cell r="AU81">
            <v>7354</v>
          </cell>
          <cell r="AV81">
            <v>7497</v>
          </cell>
          <cell r="AW81">
            <v>7640</v>
          </cell>
        </row>
        <row r="82">
          <cell r="B82">
            <v>4100</v>
          </cell>
          <cell r="C82">
            <v>787</v>
          </cell>
          <cell r="D82">
            <v>815.28499999999997</v>
          </cell>
          <cell r="E82">
            <v>986.42013888888891</v>
          </cell>
          <cell r="F82">
            <v>1127.8137755102041</v>
          </cell>
          <cell r="G82">
            <v>1278.8076171875</v>
          </cell>
          <cell r="H82">
            <v>1421.5864197530864</v>
          </cell>
          <cell r="I82">
            <v>1571.7349999999999</v>
          </cell>
          <cell r="J82">
            <v>1735</v>
          </cell>
          <cell r="K82">
            <v>1893</v>
          </cell>
          <cell r="L82">
            <v>2050</v>
          </cell>
          <cell r="M82">
            <v>2208</v>
          </cell>
          <cell r="N82">
            <v>2349</v>
          </cell>
          <cell r="O82">
            <v>2554</v>
          </cell>
          <cell r="P82">
            <v>2696</v>
          </cell>
          <cell r="Q82">
            <v>2838</v>
          </cell>
          <cell r="R82">
            <v>2982</v>
          </cell>
          <cell r="S82">
            <v>3124</v>
          </cell>
          <cell r="T82">
            <v>3280.05125</v>
          </cell>
          <cell r="U82">
            <v>3422.9362500000002</v>
          </cell>
          <cell r="V82">
            <v>3651.9724999999999</v>
          </cell>
          <cell r="W82">
            <v>3796.9587499999998</v>
          </cell>
          <cell r="X82">
            <v>3941.9450000000002</v>
          </cell>
          <cell r="Y82">
            <v>4087.9818749999999</v>
          </cell>
          <cell r="Z82">
            <v>4232.9681250000003</v>
          </cell>
          <cell r="AA82">
            <v>4377.9543750000003</v>
          </cell>
          <cell r="AB82">
            <v>4638.5093749999996</v>
          </cell>
          <cell r="AC82">
            <v>4786.6475</v>
          </cell>
          <cell r="AD82">
            <v>4933.7349999999997</v>
          </cell>
          <cell r="AE82">
            <v>5081.8731250000001</v>
          </cell>
          <cell r="AF82">
            <v>5230.0112499999996</v>
          </cell>
          <cell r="AG82">
            <v>5377.0987500000001</v>
          </cell>
          <cell r="AH82">
            <v>5619.7931250000001</v>
          </cell>
          <cell r="AI82">
            <v>5767.9312499999996</v>
          </cell>
          <cell r="AJ82">
            <v>5917.12</v>
          </cell>
          <cell r="AK82">
            <v>6066.3087500000001</v>
          </cell>
          <cell r="AL82">
            <v>6215.4975000000004</v>
          </cell>
          <cell r="AM82">
            <v>6363.6356249999999</v>
          </cell>
          <cell r="AN82">
            <v>6674.6206249999996</v>
          </cell>
          <cell r="AO82">
            <v>6824.86</v>
          </cell>
          <cell r="AP82">
            <v>6975.0993749999998</v>
          </cell>
          <cell r="AQ82">
            <v>7125.3387499999999</v>
          </cell>
          <cell r="AR82">
            <v>7275.578125</v>
          </cell>
          <cell r="AS82">
            <v>7425.8175000000001</v>
          </cell>
          <cell r="AT82">
            <v>7576.0568750000002</v>
          </cell>
          <cell r="AU82">
            <v>7726.2962500000003</v>
          </cell>
          <cell r="AV82">
            <v>7876.5356250000004</v>
          </cell>
          <cell r="AW82">
            <v>8026.7749999999996</v>
          </cell>
        </row>
        <row r="83">
          <cell r="B83">
            <v>4200</v>
          </cell>
          <cell r="C83">
            <v>808</v>
          </cell>
          <cell r="D83">
            <v>855.54</v>
          </cell>
          <cell r="E83">
            <v>1035.125</v>
          </cell>
          <cell r="F83">
            <v>1183.5</v>
          </cell>
          <cell r="G83">
            <v>1341.94921875</v>
          </cell>
          <cell r="H83">
            <v>1491.7777777777778</v>
          </cell>
          <cell r="I83">
            <v>1649.34</v>
          </cell>
          <cell r="J83">
            <v>1813</v>
          </cell>
          <cell r="K83">
            <v>1978</v>
          </cell>
          <cell r="L83">
            <v>2142</v>
          </cell>
          <cell r="M83">
            <v>2307</v>
          </cell>
          <cell r="N83">
            <v>2454</v>
          </cell>
          <cell r="O83">
            <v>2668</v>
          </cell>
          <cell r="P83">
            <v>2816</v>
          </cell>
          <cell r="Q83">
            <v>2964</v>
          </cell>
          <cell r="R83">
            <v>3115</v>
          </cell>
          <cell r="S83">
            <v>3263</v>
          </cell>
          <cell r="T83">
            <v>3442.0050000000001</v>
          </cell>
          <cell r="U83">
            <v>3591.9450000000002</v>
          </cell>
          <cell r="V83">
            <v>3832.29</v>
          </cell>
          <cell r="W83">
            <v>3984.4349999999999</v>
          </cell>
          <cell r="X83">
            <v>4136.58</v>
          </cell>
          <cell r="Y83">
            <v>4289.8275000000003</v>
          </cell>
          <cell r="Z83">
            <v>4441.9724999999999</v>
          </cell>
          <cell r="AA83">
            <v>4594.1175000000003</v>
          </cell>
          <cell r="AB83">
            <v>4867.5375000000004</v>
          </cell>
          <cell r="AC83">
            <v>5022.99</v>
          </cell>
          <cell r="AD83">
            <v>5177.34</v>
          </cell>
          <cell r="AE83">
            <v>5332.7924999999996</v>
          </cell>
          <cell r="AF83">
            <v>5488.2449999999999</v>
          </cell>
          <cell r="AG83">
            <v>5642.5950000000003</v>
          </cell>
          <cell r="AH83">
            <v>5897.2725</v>
          </cell>
          <cell r="AI83">
            <v>6052.7250000000004</v>
          </cell>
          <cell r="AJ83">
            <v>6209.28</v>
          </cell>
          <cell r="AK83">
            <v>6365.835</v>
          </cell>
          <cell r="AL83">
            <v>6522.39</v>
          </cell>
          <cell r="AM83">
            <v>6677.8424999999997</v>
          </cell>
          <cell r="AN83">
            <v>7004.1824999999999</v>
          </cell>
          <cell r="AO83">
            <v>7161.84</v>
          </cell>
          <cell r="AP83">
            <v>7319.4975000000004</v>
          </cell>
          <cell r="AQ83">
            <v>7477.1549999999997</v>
          </cell>
          <cell r="AR83">
            <v>7634.8125</v>
          </cell>
          <cell r="AS83">
            <v>7792.47</v>
          </cell>
          <cell r="AT83">
            <v>7950.1274999999996</v>
          </cell>
          <cell r="AU83">
            <v>8107.7849999999999</v>
          </cell>
          <cell r="AV83">
            <v>8265.4424999999992</v>
          </cell>
          <cell r="AW83">
            <v>8423.1</v>
          </cell>
        </row>
        <row r="84">
          <cell r="B84">
            <v>4300</v>
          </cell>
          <cell r="C84">
            <v>828</v>
          </cell>
          <cell r="D84">
            <v>896.76499999999999</v>
          </cell>
          <cell r="E84">
            <v>1085.0034722222222</v>
          </cell>
          <cell r="F84">
            <v>1240.5280612244899</v>
          </cell>
          <cell r="G84">
            <v>1406.6123046875</v>
          </cell>
          <cell r="H84">
            <v>1563.6604938271605</v>
          </cell>
          <cell r="I84">
            <v>1728.8150000000001</v>
          </cell>
          <cell r="J84">
            <v>1891</v>
          </cell>
          <cell r="K84">
            <v>2063</v>
          </cell>
          <cell r="L84">
            <v>2234</v>
          </cell>
          <cell r="M84">
            <v>2406</v>
          </cell>
          <cell r="O84">
            <v>2782</v>
          </cell>
          <cell r="P84">
            <v>2936</v>
          </cell>
          <cell r="Q84">
            <v>3090</v>
          </cell>
          <cell r="R84">
            <v>3248</v>
          </cell>
          <cell r="S84">
            <v>3402</v>
          </cell>
          <cell r="T84">
            <v>3607.8612499999999</v>
          </cell>
          <cell r="U84">
            <v>3765.0262499999999</v>
          </cell>
          <cell r="V84">
            <v>4016.9524999999999</v>
          </cell>
          <cell r="W84">
            <v>4176.42875</v>
          </cell>
          <cell r="X84">
            <v>4335.9049999999997</v>
          </cell>
          <cell r="Y84">
            <v>4496.5368749999998</v>
          </cell>
          <cell r="Z84">
            <v>4656.0131250000004</v>
          </cell>
          <cell r="AA84">
            <v>4815.4893750000001</v>
          </cell>
          <cell r="AB84">
            <v>5102.0843750000004</v>
          </cell>
          <cell r="AC84">
            <v>5265.0275000000001</v>
          </cell>
          <cell r="AD84">
            <v>5426.8149999999996</v>
          </cell>
          <cell r="AE84">
            <v>5589.7581250000003</v>
          </cell>
          <cell r="AF84">
            <v>5752.7012500000001</v>
          </cell>
          <cell r="AG84">
            <v>5914.4887500000004</v>
          </cell>
          <cell r="AH84">
            <v>6181.4381249999997</v>
          </cell>
          <cell r="AI84">
            <v>6344.3812500000004</v>
          </cell>
          <cell r="AJ84">
            <v>6508.48</v>
          </cell>
          <cell r="AK84">
            <v>6672.5787499999997</v>
          </cell>
          <cell r="AL84">
            <v>6836.6774999999998</v>
          </cell>
          <cell r="AM84">
            <v>6999.6206249999996</v>
          </cell>
          <cell r="AN84">
            <v>7341.6856250000001</v>
          </cell>
          <cell r="AO84">
            <v>7506.94</v>
          </cell>
          <cell r="AP84">
            <v>7672.194375</v>
          </cell>
          <cell r="AQ84">
            <v>7837.4487499999996</v>
          </cell>
          <cell r="AR84">
            <v>8002.703125</v>
          </cell>
          <cell r="AS84">
            <v>8167.9575000000004</v>
          </cell>
          <cell r="AT84">
            <v>8333.2118750000009</v>
          </cell>
          <cell r="AU84">
            <v>8498.4662499999995</v>
          </cell>
          <cell r="AV84">
            <v>8663.7206249999999</v>
          </cell>
          <cell r="AW84">
            <v>8828.9750000000004</v>
          </cell>
        </row>
        <row r="85">
          <cell r="B85">
            <v>4400</v>
          </cell>
          <cell r="C85">
            <v>847</v>
          </cell>
          <cell r="D85">
            <v>938.96</v>
          </cell>
          <cell r="E85">
            <v>1136.0555555555557</v>
          </cell>
          <cell r="F85">
            <v>1298.8979591836735</v>
          </cell>
          <cell r="G85">
            <v>1472.796875</v>
          </cell>
          <cell r="H85">
            <v>1637.2345679012346</v>
          </cell>
          <cell r="I85">
            <v>1810.16</v>
          </cell>
          <cell r="J85">
            <v>1969</v>
          </cell>
          <cell r="K85">
            <v>2148</v>
          </cell>
          <cell r="L85">
            <v>2326</v>
          </cell>
          <cell r="M85">
            <v>2505</v>
          </cell>
          <cell r="N85">
            <v>2664</v>
          </cell>
          <cell r="O85">
            <v>2896</v>
          </cell>
          <cell r="P85">
            <v>3056</v>
          </cell>
          <cell r="Q85">
            <v>3216</v>
          </cell>
          <cell r="R85">
            <v>3381</v>
          </cell>
          <cell r="S85">
            <v>3541</v>
          </cell>
          <cell r="T85">
            <v>3777.62</v>
          </cell>
          <cell r="U85">
            <v>3942.18</v>
          </cell>
          <cell r="V85">
            <v>4205.96</v>
          </cell>
          <cell r="W85">
            <v>4372.9399999999996</v>
          </cell>
          <cell r="X85">
            <v>4539.92</v>
          </cell>
          <cell r="Y85">
            <v>4708.1099999999997</v>
          </cell>
          <cell r="Z85">
            <v>4875.09</v>
          </cell>
          <cell r="AA85">
            <v>5042.07</v>
          </cell>
          <cell r="AB85">
            <v>5342.15</v>
          </cell>
          <cell r="AC85">
            <v>5512.76</v>
          </cell>
          <cell r="AD85">
            <v>5682.16</v>
          </cell>
          <cell r="AE85">
            <v>5852.77</v>
          </cell>
          <cell r="AF85">
            <v>6023.38</v>
          </cell>
          <cell r="AG85">
            <v>6192.78</v>
          </cell>
          <cell r="AH85">
            <v>6472.29</v>
          </cell>
          <cell r="AI85">
            <v>6642.9</v>
          </cell>
          <cell r="AJ85">
            <v>6814.72</v>
          </cell>
          <cell r="AK85">
            <v>6986.54</v>
          </cell>
          <cell r="AL85">
            <v>7158.36</v>
          </cell>
          <cell r="AM85">
            <v>7328.97</v>
          </cell>
          <cell r="AN85">
            <v>7687.13</v>
          </cell>
          <cell r="AO85">
            <v>7860.16</v>
          </cell>
          <cell r="AP85">
            <v>8033.19</v>
          </cell>
          <cell r="AQ85">
            <v>8206.2199999999993</v>
          </cell>
          <cell r="AR85">
            <v>8379.25</v>
          </cell>
          <cell r="AS85">
            <v>8552.2800000000007</v>
          </cell>
          <cell r="AT85">
            <v>8725.31</v>
          </cell>
          <cell r="AU85">
            <v>8898.34</v>
          </cell>
          <cell r="AV85">
            <v>9071.3700000000008</v>
          </cell>
          <cell r="AW85">
            <v>9244.4</v>
          </cell>
        </row>
      </sheetData>
      <sheetData sheetId="3">
        <row r="4">
          <cell r="B4" t="str">
            <v>DIA</v>
          </cell>
          <cell r="C4" t="str">
            <v>SO-150</v>
          </cell>
          <cell r="D4" t="str">
            <v>SO-300</v>
          </cell>
          <cell r="E4" t="str">
            <v>SO-400</v>
          </cell>
          <cell r="F4" t="str">
            <v>SO-600</v>
          </cell>
          <cell r="G4" t="str">
            <v>SO-900</v>
          </cell>
          <cell r="H4" t="str">
            <v>SO-1500</v>
          </cell>
          <cell r="I4" t="str">
            <v>WN-150</v>
          </cell>
          <cell r="J4" t="str">
            <v>WN-300</v>
          </cell>
          <cell r="K4" t="str">
            <v>WN-400</v>
          </cell>
          <cell r="L4" t="str">
            <v>WN-600</v>
          </cell>
          <cell r="M4" t="str">
            <v>WN-900</v>
          </cell>
          <cell r="N4" t="str">
            <v>WN-1500</v>
          </cell>
          <cell r="O4" t="str">
            <v>BL-150</v>
          </cell>
          <cell r="P4" t="str">
            <v>BL-300</v>
          </cell>
          <cell r="Q4" t="str">
            <v>BL-400</v>
          </cell>
          <cell r="R4" t="str">
            <v>BL-600</v>
          </cell>
          <cell r="S4" t="str">
            <v>BL-900</v>
          </cell>
          <cell r="T4" t="str">
            <v>BL-1500</v>
          </cell>
          <cell r="U4" t="str">
            <v>BL-2500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</row>
        <row r="6">
          <cell r="B6">
            <v>0.5</v>
          </cell>
          <cell r="C6">
            <v>0.39</v>
          </cell>
          <cell r="D6">
            <v>0.64</v>
          </cell>
          <cell r="F6">
            <v>0.74</v>
          </cell>
          <cell r="G6">
            <v>0</v>
          </cell>
          <cell r="H6">
            <v>1.74</v>
          </cell>
          <cell r="I6">
            <v>0.48</v>
          </cell>
          <cell r="J6">
            <v>0.75</v>
          </cell>
          <cell r="L6">
            <v>0.87</v>
          </cell>
          <cell r="N6">
            <v>1.87</v>
          </cell>
          <cell r="O6">
            <v>0.42</v>
          </cell>
          <cell r="P6">
            <v>0.64</v>
          </cell>
          <cell r="R6">
            <v>0.76</v>
          </cell>
          <cell r="T6">
            <v>1.77</v>
          </cell>
          <cell r="U6">
            <v>2.99</v>
          </cell>
        </row>
        <row r="7">
          <cell r="B7">
            <v>0.75</v>
          </cell>
          <cell r="C7">
            <v>0.56000000000000005</v>
          </cell>
          <cell r="D7">
            <v>1.1200000000000001</v>
          </cell>
          <cell r="F7">
            <v>1.27</v>
          </cell>
          <cell r="G7">
            <v>0</v>
          </cell>
          <cell r="H7">
            <v>2.34</v>
          </cell>
          <cell r="I7">
            <v>0.71</v>
          </cell>
          <cell r="J7">
            <v>1.26</v>
          </cell>
          <cell r="L7">
            <v>1.45</v>
          </cell>
          <cell r="N7">
            <v>2.56</v>
          </cell>
          <cell r="O7">
            <v>0.61</v>
          </cell>
          <cell r="P7">
            <v>1.1100000000000001</v>
          </cell>
          <cell r="R7">
            <v>1.28</v>
          </cell>
          <cell r="T7">
            <v>2.42</v>
          </cell>
          <cell r="U7">
            <v>3.5</v>
          </cell>
        </row>
        <row r="8">
          <cell r="B8">
            <v>1</v>
          </cell>
          <cell r="C8">
            <v>0.78</v>
          </cell>
          <cell r="D8">
            <v>1.36</v>
          </cell>
          <cell r="F8">
            <v>1.52</v>
          </cell>
          <cell r="G8">
            <v>0</v>
          </cell>
          <cell r="H8">
            <v>3.44</v>
          </cell>
          <cell r="I8">
            <v>1.01</v>
          </cell>
          <cell r="J8">
            <v>1.52</v>
          </cell>
          <cell r="L8">
            <v>1.76</v>
          </cell>
          <cell r="N8">
            <v>3.74</v>
          </cell>
          <cell r="O8">
            <v>0.86</v>
          </cell>
          <cell r="P8">
            <v>1.39</v>
          </cell>
          <cell r="R8">
            <v>1.6</v>
          </cell>
          <cell r="T8">
            <v>3.57</v>
          </cell>
          <cell r="U8">
            <v>4.96</v>
          </cell>
        </row>
        <row r="9">
          <cell r="B9">
            <v>1.25</v>
          </cell>
          <cell r="C9">
            <v>1.03</v>
          </cell>
          <cell r="D9">
            <v>1.68</v>
          </cell>
          <cell r="F9">
            <v>2.0299999999999998</v>
          </cell>
          <cell r="G9">
            <v>0</v>
          </cell>
          <cell r="H9">
            <v>3.91</v>
          </cell>
          <cell r="I9">
            <v>1.33</v>
          </cell>
          <cell r="J9">
            <v>2.0299999999999998</v>
          </cell>
          <cell r="L9">
            <v>2.4900000000000002</v>
          </cell>
          <cell r="N9">
            <v>4.33</v>
          </cell>
          <cell r="O9">
            <v>1.17</v>
          </cell>
          <cell r="P9">
            <v>1.79</v>
          </cell>
          <cell r="R9">
            <v>2.23</v>
          </cell>
          <cell r="T9">
            <v>4.1399999999999997</v>
          </cell>
          <cell r="U9">
            <v>7.35</v>
          </cell>
        </row>
        <row r="10">
          <cell r="B10">
            <v>1.5</v>
          </cell>
          <cell r="C10">
            <v>1.32</v>
          </cell>
          <cell r="D10">
            <v>2.4900000000000002</v>
          </cell>
          <cell r="F10">
            <v>2.96</v>
          </cell>
          <cell r="H10">
            <v>5.36</v>
          </cell>
          <cell r="I10">
            <v>1.72</v>
          </cell>
          <cell r="J10">
            <v>2.89</v>
          </cell>
          <cell r="L10">
            <v>3.49</v>
          </cell>
          <cell r="N10">
            <v>5.94</v>
          </cell>
          <cell r="O10">
            <v>1.53</v>
          </cell>
          <cell r="P10">
            <v>2.66</v>
          </cell>
          <cell r="R10">
            <v>3.25</v>
          </cell>
          <cell r="T10">
            <v>5.75</v>
          </cell>
          <cell r="U10">
            <v>10.4</v>
          </cell>
        </row>
        <row r="11">
          <cell r="B11">
            <v>2</v>
          </cell>
          <cell r="C11">
            <v>2.06</v>
          </cell>
          <cell r="D11">
            <v>2.87</v>
          </cell>
          <cell r="F11">
            <v>3.62</v>
          </cell>
          <cell r="H11">
            <v>9.85</v>
          </cell>
          <cell r="I11">
            <v>2.58</v>
          </cell>
          <cell r="J11">
            <v>3.4</v>
          </cell>
          <cell r="L11">
            <v>4.3600000000000003</v>
          </cell>
          <cell r="N11">
            <v>10.8</v>
          </cell>
          <cell r="O11">
            <v>2.42</v>
          </cell>
          <cell r="P11">
            <v>3.18</v>
          </cell>
          <cell r="R11">
            <v>4.1500000000000004</v>
          </cell>
          <cell r="T11">
            <v>10.1</v>
          </cell>
          <cell r="U11">
            <v>15.6</v>
          </cell>
        </row>
        <row r="12">
          <cell r="B12">
            <v>2.5</v>
          </cell>
          <cell r="C12">
            <v>3.28</v>
          </cell>
          <cell r="D12">
            <v>4.32</v>
          </cell>
          <cell r="F12">
            <v>5.28</v>
          </cell>
          <cell r="H12">
            <v>13.7</v>
          </cell>
          <cell r="I12">
            <v>4.1100000000000003</v>
          </cell>
          <cell r="J12">
            <v>5.17</v>
          </cell>
          <cell r="L12">
            <v>6.43</v>
          </cell>
          <cell r="N12">
            <v>15</v>
          </cell>
          <cell r="O12">
            <v>3.94</v>
          </cell>
          <cell r="P12">
            <v>4.8499999999999996</v>
          </cell>
          <cell r="R12">
            <v>6.13</v>
          </cell>
          <cell r="T12">
            <v>14</v>
          </cell>
          <cell r="U12">
            <v>22.6</v>
          </cell>
        </row>
        <row r="13">
          <cell r="B13">
            <v>3</v>
          </cell>
          <cell r="C13">
            <v>3.85</v>
          </cell>
          <cell r="D13">
            <v>5.85</v>
          </cell>
          <cell r="F13">
            <v>7</v>
          </cell>
          <cell r="G13">
            <v>11.6</v>
          </cell>
          <cell r="I13">
            <v>4.92</v>
          </cell>
          <cell r="J13">
            <v>6.93</v>
          </cell>
          <cell r="L13">
            <v>8.5299999999999994</v>
          </cell>
          <cell r="M13">
            <v>13.7</v>
          </cell>
          <cell r="N13">
            <v>19.899999999999999</v>
          </cell>
          <cell r="O13">
            <v>4.93</v>
          </cell>
          <cell r="P13">
            <v>6.81</v>
          </cell>
          <cell r="R13">
            <v>8.44</v>
          </cell>
          <cell r="S13">
            <v>13.1</v>
          </cell>
          <cell r="T13">
            <v>19.100000000000001</v>
          </cell>
          <cell r="U13">
            <v>34.799999999999997</v>
          </cell>
        </row>
        <row r="14">
          <cell r="B14">
            <v>3.5</v>
          </cell>
          <cell r="C14">
            <v>4.8099999999999996</v>
          </cell>
          <cell r="D14">
            <v>7.34</v>
          </cell>
          <cell r="F14">
            <v>8.84</v>
          </cell>
          <cell r="I14">
            <v>6.08</v>
          </cell>
          <cell r="J14">
            <v>8.67</v>
          </cell>
          <cell r="L14">
            <v>10.7</v>
          </cell>
          <cell r="O14">
            <v>6.17</v>
          </cell>
          <cell r="P14">
            <v>8.7100000000000009</v>
          </cell>
          <cell r="R14">
            <v>11</v>
          </cell>
        </row>
        <row r="15">
          <cell r="B15">
            <v>4</v>
          </cell>
          <cell r="C15">
            <v>5.3</v>
          </cell>
          <cell r="D15">
            <v>9.61</v>
          </cell>
          <cell r="E15">
            <v>11.1</v>
          </cell>
          <cell r="F15">
            <v>14.5</v>
          </cell>
          <cell r="G15">
            <v>19.7</v>
          </cell>
          <cell r="I15">
            <v>6.84</v>
          </cell>
          <cell r="J15">
            <v>11.2</v>
          </cell>
          <cell r="K15">
            <v>12.8</v>
          </cell>
          <cell r="L15">
            <v>17.399999999999999</v>
          </cell>
          <cell r="M15">
            <v>22.5</v>
          </cell>
          <cell r="N15">
            <v>29.9</v>
          </cell>
          <cell r="O15">
            <v>7</v>
          </cell>
          <cell r="P15">
            <v>11.5</v>
          </cell>
          <cell r="Q15">
            <v>13.7</v>
          </cell>
          <cell r="R15">
            <v>17.3</v>
          </cell>
          <cell r="S15">
            <v>26.9</v>
          </cell>
          <cell r="T15">
            <v>29.9</v>
          </cell>
          <cell r="U15">
            <v>53.9</v>
          </cell>
        </row>
        <row r="16">
          <cell r="B16">
            <v>5</v>
          </cell>
          <cell r="C16">
            <v>6.07</v>
          </cell>
          <cell r="D16">
            <v>12.3</v>
          </cell>
          <cell r="E16">
            <v>13.9</v>
          </cell>
          <cell r="F16">
            <v>24.4</v>
          </cell>
          <cell r="G16">
            <v>31.9</v>
          </cell>
          <cell r="I16">
            <v>8.56</v>
          </cell>
          <cell r="J16">
            <v>15.1</v>
          </cell>
          <cell r="K16">
            <v>16.899999999999999</v>
          </cell>
          <cell r="L16">
            <v>29.2</v>
          </cell>
          <cell r="M16">
            <v>37.4</v>
          </cell>
          <cell r="N16">
            <v>55.4</v>
          </cell>
          <cell r="O16">
            <v>8.6300000000000008</v>
          </cell>
          <cell r="P16">
            <v>15.6</v>
          </cell>
          <cell r="Q16">
            <v>18.5</v>
          </cell>
          <cell r="R16">
            <v>29.4</v>
          </cell>
          <cell r="S16">
            <v>36.5</v>
          </cell>
          <cell r="T16">
            <v>58.4</v>
          </cell>
          <cell r="U16">
            <v>90.8</v>
          </cell>
        </row>
        <row r="17">
          <cell r="B17">
            <v>6</v>
          </cell>
          <cell r="C17">
            <v>7.45</v>
          </cell>
          <cell r="D17">
            <v>15.6</v>
          </cell>
          <cell r="E17">
            <v>18.3</v>
          </cell>
          <cell r="F17">
            <v>28.7</v>
          </cell>
          <cell r="G17">
            <v>41.1</v>
          </cell>
          <cell r="I17">
            <v>10.6</v>
          </cell>
          <cell r="J17">
            <v>19.100000000000001</v>
          </cell>
          <cell r="K17">
            <v>22</v>
          </cell>
          <cell r="L17">
            <v>34.9</v>
          </cell>
          <cell r="M17">
            <v>47.7</v>
          </cell>
          <cell r="N17">
            <v>68.400000000000006</v>
          </cell>
          <cell r="O17">
            <v>11.3</v>
          </cell>
          <cell r="P17">
            <v>20.9</v>
          </cell>
          <cell r="Q17">
            <v>25.5</v>
          </cell>
          <cell r="R17">
            <v>36.1</v>
          </cell>
          <cell r="S17">
            <v>47.4</v>
          </cell>
          <cell r="T17">
            <v>71.8</v>
          </cell>
          <cell r="U17">
            <v>141</v>
          </cell>
        </row>
        <row r="18">
          <cell r="B18">
            <v>8</v>
          </cell>
          <cell r="C18">
            <v>12.1</v>
          </cell>
          <cell r="D18">
            <v>24.2</v>
          </cell>
          <cell r="E18">
            <v>28.6</v>
          </cell>
          <cell r="F18">
            <v>43.4</v>
          </cell>
          <cell r="G18">
            <v>70.7</v>
          </cell>
          <cell r="I18">
            <v>17.600000000000001</v>
          </cell>
          <cell r="J18">
            <v>29.9</v>
          </cell>
          <cell r="K18">
            <v>34.700000000000003</v>
          </cell>
          <cell r="L18">
            <v>53.9</v>
          </cell>
          <cell r="M18">
            <v>81.3</v>
          </cell>
          <cell r="N18">
            <v>117</v>
          </cell>
          <cell r="O18">
            <v>19.600000000000001</v>
          </cell>
          <cell r="P18">
            <v>34.299999999999997</v>
          </cell>
          <cell r="Q18">
            <v>42.6</v>
          </cell>
          <cell r="R18">
            <v>58.9</v>
          </cell>
          <cell r="S18">
            <v>82.5</v>
          </cell>
          <cell r="T18">
            <v>122</v>
          </cell>
          <cell r="U18">
            <v>214</v>
          </cell>
        </row>
        <row r="19">
          <cell r="B19">
            <v>10</v>
          </cell>
          <cell r="C19">
            <v>16.5</v>
          </cell>
          <cell r="D19">
            <v>34.1</v>
          </cell>
          <cell r="E19">
            <v>39.200000000000003</v>
          </cell>
          <cell r="F19">
            <v>70.3</v>
          </cell>
          <cell r="G19">
            <v>101</v>
          </cell>
          <cell r="I19">
            <v>24</v>
          </cell>
          <cell r="J19">
            <v>42.7</v>
          </cell>
          <cell r="K19">
            <v>48.5</v>
          </cell>
          <cell r="L19">
            <v>86.5</v>
          </cell>
          <cell r="M19">
            <v>119</v>
          </cell>
          <cell r="N19">
            <v>194</v>
          </cell>
          <cell r="O19">
            <v>28.8</v>
          </cell>
          <cell r="P19">
            <v>53.3</v>
          </cell>
          <cell r="Q19">
            <v>64.5</v>
          </cell>
          <cell r="R19">
            <v>97.5</v>
          </cell>
          <cell r="S19">
            <v>122</v>
          </cell>
          <cell r="T19">
            <v>210</v>
          </cell>
          <cell r="U19">
            <v>411</v>
          </cell>
        </row>
        <row r="20">
          <cell r="B20">
            <v>12</v>
          </cell>
          <cell r="C20">
            <v>26.2</v>
          </cell>
          <cell r="D20">
            <v>49.8</v>
          </cell>
          <cell r="E20">
            <v>57</v>
          </cell>
          <cell r="F20">
            <v>84.2</v>
          </cell>
          <cell r="G20">
            <v>133</v>
          </cell>
          <cell r="I20">
            <v>36.5</v>
          </cell>
          <cell r="J20">
            <v>61.8</v>
          </cell>
          <cell r="K20">
            <v>69.599999999999994</v>
          </cell>
          <cell r="L20">
            <v>103</v>
          </cell>
          <cell r="M20">
            <v>157</v>
          </cell>
          <cell r="N20">
            <v>288</v>
          </cell>
          <cell r="O20">
            <v>43.2</v>
          </cell>
          <cell r="P20">
            <v>78.8</v>
          </cell>
          <cell r="Q20">
            <v>94.3</v>
          </cell>
          <cell r="R20">
            <v>124</v>
          </cell>
          <cell r="S20">
            <v>173</v>
          </cell>
          <cell r="T20">
            <v>316</v>
          </cell>
          <cell r="U20">
            <v>592</v>
          </cell>
        </row>
        <row r="21">
          <cell r="B21">
            <v>14</v>
          </cell>
          <cell r="C21">
            <v>34.6</v>
          </cell>
          <cell r="D21">
            <v>69.900000000000006</v>
          </cell>
          <cell r="E21">
            <v>79.099999999999994</v>
          </cell>
          <cell r="F21">
            <v>98.7</v>
          </cell>
          <cell r="G21">
            <v>153</v>
          </cell>
          <cell r="I21">
            <v>48.4</v>
          </cell>
          <cell r="J21">
            <v>85.8</v>
          </cell>
          <cell r="K21">
            <v>95.5</v>
          </cell>
          <cell r="L21">
            <v>122</v>
          </cell>
          <cell r="M21">
            <v>180</v>
          </cell>
          <cell r="N21">
            <v>380</v>
          </cell>
          <cell r="O21">
            <v>58.1</v>
          </cell>
          <cell r="P21">
            <v>105</v>
          </cell>
          <cell r="Q21">
            <v>124</v>
          </cell>
          <cell r="R21">
            <v>151</v>
          </cell>
          <cell r="S21">
            <v>206</v>
          </cell>
          <cell r="T21">
            <v>420</v>
          </cell>
        </row>
        <row r="22">
          <cell r="B22">
            <v>16</v>
          </cell>
          <cell r="C22">
            <v>44.8</v>
          </cell>
          <cell r="D22">
            <v>88.1</v>
          </cell>
          <cell r="E22">
            <v>101</v>
          </cell>
          <cell r="F22">
            <v>142</v>
          </cell>
          <cell r="G22">
            <v>185</v>
          </cell>
          <cell r="I22">
            <v>60.6</v>
          </cell>
          <cell r="J22">
            <v>106</v>
          </cell>
          <cell r="K22">
            <v>118</v>
          </cell>
          <cell r="L22">
            <v>170</v>
          </cell>
          <cell r="M22">
            <v>217</v>
          </cell>
          <cell r="N22">
            <v>485</v>
          </cell>
          <cell r="O22">
            <v>76</v>
          </cell>
          <cell r="P22">
            <v>137</v>
          </cell>
          <cell r="Q22">
            <v>162</v>
          </cell>
          <cell r="R22">
            <v>214</v>
          </cell>
          <cell r="S22">
            <v>259</v>
          </cell>
          <cell r="T22">
            <v>558</v>
          </cell>
        </row>
        <row r="23">
          <cell r="B23">
            <v>18</v>
          </cell>
          <cell r="C23">
            <v>48.9</v>
          </cell>
          <cell r="D23">
            <v>109</v>
          </cell>
          <cell r="E23">
            <v>123</v>
          </cell>
          <cell r="F23">
            <v>173</v>
          </cell>
          <cell r="G23">
            <v>258</v>
          </cell>
          <cell r="I23">
            <v>68.3</v>
          </cell>
          <cell r="J23">
            <v>131</v>
          </cell>
          <cell r="K23">
            <v>145</v>
          </cell>
          <cell r="L23">
            <v>204</v>
          </cell>
          <cell r="M23">
            <v>292</v>
          </cell>
          <cell r="N23">
            <v>644</v>
          </cell>
          <cell r="O23">
            <v>93.7</v>
          </cell>
          <cell r="P23">
            <v>175</v>
          </cell>
          <cell r="Q23">
            <v>205</v>
          </cell>
          <cell r="R23">
            <v>272</v>
          </cell>
          <cell r="S23">
            <v>367</v>
          </cell>
          <cell r="T23">
            <v>760</v>
          </cell>
        </row>
        <row r="24">
          <cell r="B24">
            <v>20</v>
          </cell>
          <cell r="C24">
            <v>61.9</v>
          </cell>
          <cell r="D24">
            <v>134</v>
          </cell>
          <cell r="E24">
            <v>146</v>
          </cell>
          <cell r="F24">
            <v>220</v>
          </cell>
          <cell r="G24">
            <v>317</v>
          </cell>
          <cell r="I24">
            <v>84.5</v>
          </cell>
          <cell r="J24">
            <v>158</v>
          </cell>
          <cell r="K24">
            <v>173</v>
          </cell>
          <cell r="L24">
            <v>254</v>
          </cell>
          <cell r="M24">
            <v>362</v>
          </cell>
          <cell r="N24">
            <v>775</v>
          </cell>
          <cell r="O24">
            <v>122</v>
          </cell>
          <cell r="P24">
            <v>221</v>
          </cell>
          <cell r="Q24">
            <v>254</v>
          </cell>
          <cell r="R24">
            <v>349</v>
          </cell>
          <cell r="S24">
            <v>463</v>
          </cell>
          <cell r="T24">
            <v>965</v>
          </cell>
        </row>
        <row r="25">
          <cell r="B25">
            <v>22</v>
          </cell>
        </row>
        <row r="26">
          <cell r="B26">
            <v>24</v>
          </cell>
          <cell r="C26">
            <v>86.9</v>
          </cell>
          <cell r="D26">
            <v>201</v>
          </cell>
          <cell r="E26">
            <v>219</v>
          </cell>
          <cell r="F26">
            <v>312</v>
          </cell>
          <cell r="G26">
            <v>606</v>
          </cell>
          <cell r="I26">
            <v>115</v>
          </cell>
          <cell r="J26">
            <v>230</v>
          </cell>
          <cell r="K26">
            <v>249</v>
          </cell>
          <cell r="L26">
            <v>358</v>
          </cell>
          <cell r="M26">
            <v>665</v>
          </cell>
          <cell r="N26">
            <v>1232</v>
          </cell>
          <cell r="O26">
            <v>185</v>
          </cell>
          <cell r="P26">
            <v>339</v>
          </cell>
          <cell r="Q26">
            <v>386</v>
          </cell>
          <cell r="R26">
            <v>533</v>
          </cell>
          <cell r="S26">
            <v>876</v>
          </cell>
          <cell r="T26">
            <v>1558</v>
          </cell>
        </row>
      </sheetData>
      <sheetData sheetId="4">
        <row r="4">
          <cell r="B4" t="str">
            <v>DIA</v>
          </cell>
          <cell r="C4" t="str">
            <v>SO-150</v>
          </cell>
          <cell r="D4" t="str">
            <v>SO-300</v>
          </cell>
          <cell r="E4" t="str">
            <v>SO-400</v>
          </cell>
          <cell r="F4" t="str">
            <v>SO-600</v>
          </cell>
          <cell r="G4" t="str">
            <v>SO-900</v>
          </cell>
          <cell r="H4" t="str">
            <v>SO-1500</v>
          </cell>
          <cell r="I4" t="str">
            <v>WN-150</v>
          </cell>
          <cell r="J4" t="str">
            <v>WN-300</v>
          </cell>
          <cell r="K4" t="str">
            <v>WN-400</v>
          </cell>
          <cell r="L4" t="str">
            <v>WN-600</v>
          </cell>
          <cell r="M4" t="str">
            <v>WN-900</v>
          </cell>
          <cell r="N4" t="str">
            <v>WN-1500</v>
          </cell>
          <cell r="O4" t="str">
            <v>BL-150</v>
          </cell>
          <cell r="P4" t="str">
            <v>BL-300</v>
          </cell>
          <cell r="Q4" t="str">
            <v>BL-400</v>
          </cell>
          <cell r="R4" t="str">
            <v>BL-600</v>
          </cell>
          <cell r="S4" t="str">
            <v>BL-900</v>
          </cell>
          <cell r="T4" t="str">
            <v>BL-1500</v>
          </cell>
          <cell r="U4" t="str">
            <v>BL-2500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0.5</v>
          </cell>
          <cell r="P5">
            <v>0.9</v>
          </cell>
          <cell r="Q5">
            <v>0.9</v>
          </cell>
          <cell r="R5">
            <v>0.9</v>
          </cell>
          <cell r="S5">
            <v>0</v>
          </cell>
          <cell r="T5">
            <v>0</v>
          </cell>
          <cell r="U5">
            <v>0</v>
          </cell>
        </row>
        <row r="6">
          <cell r="B6">
            <v>0.5</v>
          </cell>
          <cell r="C6">
            <v>0.5</v>
          </cell>
          <cell r="D6">
            <v>0.9</v>
          </cell>
          <cell r="E6">
            <v>0.9</v>
          </cell>
          <cell r="F6">
            <v>0.9</v>
          </cell>
          <cell r="G6">
            <v>1.8</v>
          </cell>
          <cell r="H6">
            <v>1.8</v>
          </cell>
          <cell r="I6">
            <v>0.5</v>
          </cell>
          <cell r="J6">
            <v>0.8</v>
          </cell>
          <cell r="K6">
            <v>0.9</v>
          </cell>
          <cell r="L6">
            <v>0.9</v>
          </cell>
          <cell r="M6">
            <v>2.2999999999999998</v>
          </cell>
          <cell r="N6">
            <v>2.2999999999999998</v>
          </cell>
          <cell r="O6">
            <v>0.9</v>
          </cell>
          <cell r="P6">
            <v>1.4</v>
          </cell>
          <cell r="Q6">
            <v>1.4</v>
          </cell>
          <cell r="R6">
            <v>1.4</v>
          </cell>
          <cell r="S6">
            <v>1.8</v>
          </cell>
          <cell r="T6">
            <v>1.8</v>
          </cell>
          <cell r="U6">
            <v>3.2</v>
          </cell>
        </row>
        <row r="7">
          <cell r="B7">
            <v>0.75</v>
          </cell>
          <cell r="C7">
            <v>0.8</v>
          </cell>
          <cell r="D7">
            <v>1.4</v>
          </cell>
          <cell r="E7">
            <v>1.4</v>
          </cell>
          <cell r="F7">
            <v>1.4</v>
          </cell>
          <cell r="G7">
            <v>2.2999999999999998</v>
          </cell>
          <cell r="H7">
            <v>2.2999999999999998</v>
          </cell>
          <cell r="I7">
            <v>0.7</v>
          </cell>
          <cell r="J7">
            <v>1.3</v>
          </cell>
          <cell r="K7">
            <v>1.8</v>
          </cell>
          <cell r="L7">
            <v>1.8</v>
          </cell>
          <cell r="M7">
            <v>2.7</v>
          </cell>
          <cell r="N7">
            <v>2.7</v>
          </cell>
          <cell r="O7">
            <v>0.9</v>
          </cell>
          <cell r="P7">
            <v>1.4</v>
          </cell>
          <cell r="Q7">
            <v>1.8</v>
          </cell>
          <cell r="R7">
            <v>1.8</v>
          </cell>
          <cell r="S7">
            <v>2.7</v>
          </cell>
          <cell r="T7">
            <v>2.7</v>
          </cell>
          <cell r="U7">
            <v>3.6</v>
          </cell>
        </row>
        <row r="8">
          <cell r="B8">
            <v>1</v>
          </cell>
          <cell r="C8">
            <v>0.9</v>
          </cell>
          <cell r="D8">
            <v>1.5</v>
          </cell>
          <cell r="E8">
            <v>1.8</v>
          </cell>
          <cell r="F8">
            <v>1.8</v>
          </cell>
          <cell r="G8">
            <v>3.6</v>
          </cell>
          <cell r="H8">
            <v>3.6</v>
          </cell>
          <cell r="I8">
            <v>1.1000000000000001</v>
          </cell>
          <cell r="J8">
            <v>1.7</v>
          </cell>
          <cell r="K8">
            <v>1.8</v>
          </cell>
          <cell r="L8">
            <v>1.8</v>
          </cell>
          <cell r="M8">
            <v>4.0999999999999996</v>
          </cell>
          <cell r="N8">
            <v>4.0999999999999996</v>
          </cell>
          <cell r="O8">
            <v>1.4</v>
          </cell>
          <cell r="P8">
            <v>1.8</v>
          </cell>
          <cell r="Q8">
            <v>2.2999999999999998</v>
          </cell>
          <cell r="R8">
            <v>2.2999999999999998</v>
          </cell>
          <cell r="S8">
            <v>3.6</v>
          </cell>
          <cell r="T8">
            <v>3.6</v>
          </cell>
          <cell r="U8">
            <v>5</v>
          </cell>
        </row>
        <row r="9">
          <cell r="B9">
            <v>1.25</v>
          </cell>
          <cell r="C9">
            <v>1.4</v>
          </cell>
          <cell r="D9">
            <v>1.8</v>
          </cell>
          <cell r="E9">
            <v>2.2999999999999998</v>
          </cell>
          <cell r="F9">
            <v>2.2999999999999998</v>
          </cell>
          <cell r="G9">
            <v>4.0999999999999996</v>
          </cell>
          <cell r="H9">
            <v>4.0999999999999996</v>
          </cell>
          <cell r="I9">
            <v>1.5</v>
          </cell>
          <cell r="J9">
            <v>2.2000000000000002</v>
          </cell>
          <cell r="K9">
            <v>2.7</v>
          </cell>
          <cell r="L9">
            <v>2.7</v>
          </cell>
          <cell r="M9">
            <v>4.5</v>
          </cell>
          <cell r="N9">
            <v>4.5</v>
          </cell>
          <cell r="O9">
            <v>1.8</v>
          </cell>
          <cell r="P9">
            <v>2.7</v>
          </cell>
          <cell r="Q9">
            <v>3.6</v>
          </cell>
          <cell r="R9">
            <v>3.6</v>
          </cell>
          <cell r="S9">
            <v>4.0999999999999996</v>
          </cell>
          <cell r="T9">
            <v>4.0999999999999996</v>
          </cell>
          <cell r="U9">
            <v>7.7</v>
          </cell>
        </row>
        <row r="10">
          <cell r="B10">
            <v>1.5</v>
          </cell>
          <cell r="C10">
            <v>1.4</v>
          </cell>
          <cell r="D10">
            <v>2.7</v>
          </cell>
          <cell r="E10">
            <v>3.2</v>
          </cell>
          <cell r="F10">
            <v>3.2</v>
          </cell>
          <cell r="G10">
            <v>5.4</v>
          </cell>
          <cell r="H10">
            <v>5.4</v>
          </cell>
          <cell r="I10">
            <v>1.8</v>
          </cell>
          <cell r="J10">
            <v>3.2</v>
          </cell>
          <cell r="K10">
            <v>3.6</v>
          </cell>
          <cell r="L10">
            <v>3.6</v>
          </cell>
          <cell r="M10">
            <v>5.9</v>
          </cell>
          <cell r="N10">
            <v>5.9</v>
          </cell>
          <cell r="O10">
            <v>2.2999999999999998</v>
          </cell>
          <cell r="P10">
            <v>3.6</v>
          </cell>
          <cell r="Q10">
            <v>4.5</v>
          </cell>
          <cell r="R10">
            <v>4.5</v>
          </cell>
          <cell r="S10">
            <v>5.9</v>
          </cell>
          <cell r="T10">
            <v>5.9</v>
          </cell>
          <cell r="U10">
            <v>10.4</v>
          </cell>
        </row>
        <row r="11">
          <cell r="B11">
            <v>2</v>
          </cell>
          <cell r="C11">
            <v>2.2999999999999998</v>
          </cell>
          <cell r="D11">
            <v>3.2</v>
          </cell>
          <cell r="E11">
            <v>4.0999999999999996</v>
          </cell>
          <cell r="F11">
            <v>4.0999999999999996</v>
          </cell>
          <cell r="G11">
            <v>11.3</v>
          </cell>
          <cell r="H11">
            <v>11.3</v>
          </cell>
          <cell r="I11">
            <v>2.7</v>
          </cell>
          <cell r="J11">
            <v>3.6</v>
          </cell>
          <cell r="K11">
            <v>5.4</v>
          </cell>
          <cell r="L11">
            <v>5.4</v>
          </cell>
          <cell r="M11">
            <v>11.3</v>
          </cell>
          <cell r="N11">
            <v>11.3</v>
          </cell>
          <cell r="O11">
            <v>3.2</v>
          </cell>
          <cell r="P11">
            <v>5.4</v>
          </cell>
          <cell r="Q11">
            <v>6.8</v>
          </cell>
          <cell r="R11">
            <v>6.8</v>
          </cell>
          <cell r="S11">
            <v>11.3</v>
          </cell>
          <cell r="T11">
            <v>11.3</v>
          </cell>
          <cell r="U11">
            <v>17.7</v>
          </cell>
        </row>
        <row r="12">
          <cell r="B12">
            <v>2.5</v>
          </cell>
          <cell r="C12">
            <v>3.2</v>
          </cell>
          <cell r="D12">
            <v>4.5</v>
          </cell>
          <cell r="E12">
            <v>5.9</v>
          </cell>
          <cell r="F12">
            <v>5.9</v>
          </cell>
          <cell r="G12">
            <v>16.3</v>
          </cell>
          <cell r="H12">
            <v>16.3</v>
          </cell>
          <cell r="I12">
            <v>4.4000000000000004</v>
          </cell>
          <cell r="J12">
            <v>5.4</v>
          </cell>
          <cell r="K12">
            <v>8.1999999999999993</v>
          </cell>
          <cell r="L12">
            <v>8.1999999999999993</v>
          </cell>
          <cell r="M12">
            <v>16.3</v>
          </cell>
          <cell r="N12">
            <v>16.3</v>
          </cell>
          <cell r="O12">
            <v>4.0999999999999996</v>
          </cell>
          <cell r="P12">
            <v>7.3</v>
          </cell>
          <cell r="Q12">
            <v>9.1</v>
          </cell>
          <cell r="R12">
            <v>9.1</v>
          </cell>
          <cell r="S12">
            <v>15.9</v>
          </cell>
          <cell r="T12">
            <v>15.9</v>
          </cell>
          <cell r="U12">
            <v>25.4</v>
          </cell>
        </row>
        <row r="13">
          <cell r="B13">
            <v>3</v>
          </cell>
          <cell r="C13">
            <v>3.6</v>
          </cell>
          <cell r="D13">
            <v>5.4</v>
          </cell>
          <cell r="E13">
            <v>7.3</v>
          </cell>
          <cell r="F13">
            <v>7.3</v>
          </cell>
          <cell r="G13">
            <v>11.8</v>
          </cell>
          <cell r="H13">
            <v>21.5</v>
          </cell>
          <cell r="I13">
            <v>5.2</v>
          </cell>
          <cell r="J13">
            <v>7.4</v>
          </cell>
          <cell r="K13">
            <v>10.4</v>
          </cell>
          <cell r="L13">
            <v>10.4</v>
          </cell>
          <cell r="M13">
            <v>14</v>
          </cell>
          <cell r="N13">
            <v>21.8</v>
          </cell>
          <cell r="O13">
            <v>5.9</v>
          </cell>
          <cell r="P13">
            <v>9.5</v>
          </cell>
          <cell r="Q13">
            <v>13.2</v>
          </cell>
          <cell r="R13">
            <v>13.2</v>
          </cell>
          <cell r="S13">
            <v>13.2</v>
          </cell>
          <cell r="T13">
            <v>21.8</v>
          </cell>
          <cell r="U13">
            <v>39</v>
          </cell>
        </row>
        <row r="14">
          <cell r="B14">
            <v>3.5</v>
          </cell>
          <cell r="C14">
            <v>5</v>
          </cell>
          <cell r="D14">
            <v>7.7</v>
          </cell>
          <cell r="E14">
            <v>9.5</v>
          </cell>
          <cell r="F14">
            <v>9.5</v>
          </cell>
          <cell r="G14">
            <v>24</v>
          </cell>
          <cell r="H14">
            <v>33.200000000000003</v>
          </cell>
          <cell r="I14">
            <v>6.4</v>
          </cell>
          <cell r="J14">
            <v>8.9</v>
          </cell>
          <cell r="K14">
            <v>11.8</v>
          </cell>
          <cell r="L14">
            <v>11.8</v>
          </cell>
          <cell r="M14">
            <v>23</v>
          </cell>
          <cell r="N14">
            <v>33</v>
          </cell>
          <cell r="O14">
            <v>7.7</v>
          </cell>
          <cell r="P14">
            <v>12.2</v>
          </cell>
          <cell r="Q14">
            <v>15</v>
          </cell>
          <cell r="R14">
            <v>18.600000000000001</v>
          </cell>
          <cell r="S14">
            <v>24.5</v>
          </cell>
          <cell r="T14">
            <v>33.1</v>
          </cell>
          <cell r="U14">
            <v>61.2</v>
          </cell>
        </row>
        <row r="15">
          <cell r="B15">
            <v>4</v>
          </cell>
          <cell r="C15">
            <v>5.9</v>
          </cell>
          <cell r="D15">
            <v>10</v>
          </cell>
          <cell r="E15">
            <v>11.8</v>
          </cell>
          <cell r="F15">
            <v>16.8</v>
          </cell>
          <cell r="G15">
            <v>37.6</v>
          </cell>
          <cell r="H15">
            <v>60.8</v>
          </cell>
          <cell r="I15">
            <v>7.5</v>
          </cell>
          <cell r="J15">
            <v>11.9</v>
          </cell>
          <cell r="K15">
            <v>16</v>
          </cell>
          <cell r="L15">
            <v>19</v>
          </cell>
          <cell r="M15">
            <v>39</v>
          </cell>
          <cell r="N15">
            <v>59</v>
          </cell>
          <cell r="O15">
            <v>9.1</v>
          </cell>
          <cell r="P15">
            <v>15.9</v>
          </cell>
          <cell r="Q15">
            <v>20</v>
          </cell>
          <cell r="R15">
            <v>30.8</v>
          </cell>
          <cell r="S15">
            <v>39.5</v>
          </cell>
          <cell r="T15">
            <v>63.5</v>
          </cell>
          <cell r="U15">
            <v>102</v>
          </cell>
        </row>
        <row r="16">
          <cell r="B16">
            <v>5</v>
          </cell>
          <cell r="C16">
            <v>6.8</v>
          </cell>
          <cell r="D16">
            <v>12.7</v>
          </cell>
          <cell r="E16">
            <v>14.1</v>
          </cell>
          <cell r="F16">
            <v>28.6</v>
          </cell>
          <cell r="G16">
            <v>49.9</v>
          </cell>
          <cell r="H16">
            <v>74.8</v>
          </cell>
          <cell r="I16">
            <v>9.1999999999999993</v>
          </cell>
          <cell r="J16">
            <v>16</v>
          </cell>
          <cell r="K16">
            <v>19.5</v>
          </cell>
          <cell r="L16">
            <v>31</v>
          </cell>
          <cell r="M16">
            <v>50</v>
          </cell>
          <cell r="N16">
            <v>75</v>
          </cell>
          <cell r="O16">
            <v>11.8</v>
          </cell>
          <cell r="P16">
            <v>22.7</v>
          </cell>
          <cell r="Q16">
            <v>27.7</v>
          </cell>
          <cell r="R16">
            <v>39</v>
          </cell>
          <cell r="S16">
            <v>52.2</v>
          </cell>
          <cell r="T16">
            <v>72.599999999999994</v>
          </cell>
          <cell r="U16">
            <v>156</v>
          </cell>
        </row>
        <row r="17">
          <cell r="B17">
            <v>6</v>
          </cell>
          <cell r="C17">
            <v>8.6</v>
          </cell>
          <cell r="D17">
            <v>17.7</v>
          </cell>
          <cell r="E17">
            <v>20</v>
          </cell>
          <cell r="F17">
            <v>36.299999999999997</v>
          </cell>
          <cell r="G17">
            <v>77.099999999999994</v>
          </cell>
          <cell r="H17">
            <v>118</v>
          </cell>
          <cell r="I17">
            <v>11</v>
          </cell>
          <cell r="J17">
            <v>20.2</v>
          </cell>
          <cell r="K17">
            <v>26</v>
          </cell>
          <cell r="L17">
            <v>36.700000000000003</v>
          </cell>
          <cell r="M17">
            <v>79.400000000000006</v>
          </cell>
          <cell r="N17">
            <v>125</v>
          </cell>
          <cell r="O17">
            <v>20.399999999999999</v>
          </cell>
          <cell r="P17">
            <v>36.700000000000003</v>
          </cell>
          <cell r="Q17">
            <v>45.4</v>
          </cell>
          <cell r="R17">
            <v>63.5</v>
          </cell>
          <cell r="S17">
            <v>90.7</v>
          </cell>
          <cell r="T17">
            <v>136</v>
          </cell>
          <cell r="U17">
            <v>240</v>
          </cell>
        </row>
        <row r="18">
          <cell r="B18">
            <v>8</v>
          </cell>
          <cell r="C18">
            <v>13.6</v>
          </cell>
          <cell r="D18">
            <v>26.3</v>
          </cell>
          <cell r="E18">
            <v>30.4</v>
          </cell>
          <cell r="F18">
            <v>52.2</v>
          </cell>
          <cell r="G18">
            <v>111</v>
          </cell>
          <cell r="H18">
            <v>197</v>
          </cell>
          <cell r="I18">
            <v>18.3</v>
          </cell>
          <cell r="J18">
            <v>31</v>
          </cell>
          <cell r="K18">
            <v>40.4</v>
          </cell>
          <cell r="L18">
            <v>54.4</v>
          </cell>
          <cell r="M18">
            <v>118</v>
          </cell>
          <cell r="N18">
            <v>206</v>
          </cell>
          <cell r="O18">
            <v>31.8</v>
          </cell>
          <cell r="P18">
            <v>56.7</v>
          </cell>
          <cell r="Q18">
            <v>70.3</v>
          </cell>
          <cell r="R18">
            <v>104</v>
          </cell>
          <cell r="S18">
            <v>132</v>
          </cell>
          <cell r="T18">
            <v>231</v>
          </cell>
          <cell r="U18">
            <v>465</v>
          </cell>
        </row>
        <row r="19">
          <cell r="B19">
            <v>10</v>
          </cell>
          <cell r="C19">
            <v>19.5</v>
          </cell>
          <cell r="D19">
            <v>36.700000000000003</v>
          </cell>
          <cell r="E19">
            <v>41.3</v>
          </cell>
          <cell r="F19">
            <v>77.099999999999994</v>
          </cell>
          <cell r="G19">
            <v>147</v>
          </cell>
          <cell r="H19">
            <v>264</v>
          </cell>
          <cell r="I19">
            <v>25</v>
          </cell>
          <cell r="J19">
            <v>44.3</v>
          </cell>
          <cell r="K19">
            <v>56.7</v>
          </cell>
          <cell r="L19">
            <v>86.2</v>
          </cell>
          <cell r="M19">
            <v>147</v>
          </cell>
          <cell r="N19">
            <v>313</v>
          </cell>
          <cell r="O19">
            <v>49.9</v>
          </cell>
          <cell r="P19">
            <v>83.9</v>
          </cell>
          <cell r="Q19">
            <v>102</v>
          </cell>
          <cell r="R19">
            <v>134</v>
          </cell>
          <cell r="S19">
            <v>188</v>
          </cell>
          <cell r="T19">
            <v>313</v>
          </cell>
          <cell r="U19">
            <v>590</v>
          </cell>
        </row>
        <row r="20">
          <cell r="B20">
            <v>12</v>
          </cell>
          <cell r="C20">
            <v>29</v>
          </cell>
          <cell r="D20">
            <v>52.2</v>
          </cell>
          <cell r="E20">
            <v>59</v>
          </cell>
          <cell r="F20">
            <v>90.7</v>
          </cell>
          <cell r="G20">
            <v>181</v>
          </cell>
          <cell r="I20">
            <v>39</v>
          </cell>
          <cell r="J20">
            <v>63.5</v>
          </cell>
          <cell r="K20">
            <v>79.400000000000006</v>
          </cell>
          <cell r="L20">
            <v>102</v>
          </cell>
          <cell r="M20">
            <v>181</v>
          </cell>
          <cell r="N20">
            <v>426</v>
          </cell>
          <cell r="O20">
            <v>63.5</v>
          </cell>
          <cell r="P20">
            <v>113</v>
          </cell>
          <cell r="Q20">
            <v>132</v>
          </cell>
          <cell r="R20">
            <v>161</v>
          </cell>
          <cell r="S20">
            <v>236</v>
          </cell>
          <cell r="T20">
            <v>442</v>
          </cell>
        </row>
        <row r="21">
          <cell r="B21">
            <v>14</v>
          </cell>
          <cell r="C21">
            <v>41</v>
          </cell>
          <cell r="D21">
            <v>74.8</v>
          </cell>
          <cell r="E21">
            <v>82</v>
          </cell>
          <cell r="F21">
            <v>104</v>
          </cell>
          <cell r="G21">
            <v>193</v>
          </cell>
          <cell r="I21">
            <v>51</v>
          </cell>
          <cell r="J21">
            <v>81.599999999999994</v>
          </cell>
          <cell r="K21">
            <v>104</v>
          </cell>
          <cell r="L21">
            <v>127</v>
          </cell>
          <cell r="M21">
            <v>225</v>
          </cell>
          <cell r="N21">
            <v>567</v>
          </cell>
          <cell r="O21">
            <v>81.599999999999994</v>
          </cell>
          <cell r="P21">
            <v>134</v>
          </cell>
          <cell r="Q21">
            <v>168</v>
          </cell>
          <cell r="R21">
            <v>225</v>
          </cell>
          <cell r="S21">
            <v>272</v>
          </cell>
          <cell r="T21">
            <v>590</v>
          </cell>
        </row>
        <row r="22">
          <cell r="B22">
            <v>16</v>
          </cell>
          <cell r="C22">
            <v>44.5</v>
          </cell>
          <cell r="D22">
            <v>86.2</v>
          </cell>
          <cell r="E22">
            <v>107</v>
          </cell>
          <cell r="F22">
            <v>150</v>
          </cell>
          <cell r="G22">
            <v>272</v>
          </cell>
          <cell r="I22">
            <v>60</v>
          </cell>
          <cell r="J22">
            <v>113</v>
          </cell>
          <cell r="K22">
            <v>134</v>
          </cell>
          <cell r="L22">
            <v>177</v>
          </cell>
          <cell r="M22">
            <v>308</v>
          </cell>
          <cell r="N22">
            <v>737</v>
          </cell>
          <cell r="O22">
            <v>99.8</v>
          </cell>
          <cell r="P22">
            <v>179</v>
          </cell>
          <cell r="Q22">
            <v>206</v>
          </cell>
          <cell r="R22">
            <v>286</v>
          </cell>
          <cell r="S22">
            <v>386</v>
          </cell>
          <cell r="T22">
            <v>794</v>
          </cell>
        </row>
        <row r="23">
          <cell r="B23">
            <v>18</v>
          </cell>
          <cell r="C23">
            <v>59</v>
          </cell>
          <cell r="D23">
            <v>113</v>
          </cell>
          <cell r="E23">
            <v>129</v>
          </cell>
          <cell r="F23">
            <v>181</v>
          </cell>
          <cell r="G23">
            <v>331</v>
          </cell>
          <cell r="I23">
            <v>71</v>
          </cell>
          <cell r="J23">
            <v>145</v>
          </cell>
          <cell r="K23">
            <v>159</v>
          </cell>
          <cell r="L23">
            <v>215</v>
          </cell>
          <cell r="M23">
            <v>376</v>
          </cell>
          <cell r="N23">
            <v>930</v>
          </cell>
          <cell r="O23">
            <v>129</v>
          </cell>
          <cell r="P23">
            <v>229</v>
          </cell>
          <cell r="Q23">
            <v>265</v>
          </cell>
          <cell r="R23">
            <v>367</v>
          </cell>
          <cell r="S23">
            <v>488</v>
          </cell>
          <cell r="T23">
            <v>1010</v>
          </cell>
        </row>
        <row r="24">
          <cell r="B24">
            <v>20</v>
          </cell>
          <cell r="C24">
            <v>75</v>
          </cell>
          <cell r="D24">
            <v>143</v>
          </cell>
          <cell r="E24">
            <v>156</v>
          </cell>
          <cell r="F24">
            <v>231</v>
          </cell>
          <cell r="I24">
            <v>88</v>
          </cell>
          <cell r="J24">
            <v>181</v>
          </cell>
          <cell r="K24">
            <v>193</v>
          </cell>
          <cell r="L24">
            <v>268</v>
          </cell>
          <cell r="O24">
            <v>161</v>
          </cell>
          <cell r="P24">
            <v>290</v>
          </cell>
          <cell r="Q24">
            <v>328</v>
          </cell>
          <cell r="R24">
            <v>454</v>
          </cell>
        </row>
        <row r="25">
          <cell r="B25">
            <v>22</v>
          </cell>
          <cell r="C25">
            <v>94</v>
          </cell>
          <cell r="D25">
            <v>168</v>
          </cell>
          <cell r="E25">
            <v>184</v>
          </cell>
          <cell r="F25">
            <v>320</v>
          </cell>
          <cell r="G25">
            <v>635</v>
          </cell>
          <cell r="I25">
            <v>102</v>
          </cell>
          <cell r="J25">
            <v>195</v>
          </cell>
          <cell r="K25">
            <v>211</v>
          </cell>
          <cell r="L25">
            <v>281</v>
          </cell>
          <cell r="M25">
            <v>680</v>
          </cell>
          <cell r="N25">
            <v>1510</v>
          </cell>
          <cell r="O25">
            <v>195</v>
          </cell>
          <cell r="P25">
            <v>358</v>
          </cell>
          <cell r="Q25">
            <v>404</v>
          </cell>
          <cell r="R25">
            <v>567</v>
          </cell>
          <cell r="S25">
            <v>918</v>
          </cell>
          <cell r="T25">
            <v>1644</v>
          </cell>
        </row>
        <row r="26">
          <cell r="B26">
            <v>24</v>
          </cell>
          <cell r="C26">
            <v>99</v>
          </cell>
          <cell r="D26">
            <v>215</v>
          </cell>
          <cell r="E26">
            <v>232</v>
          </cell>
          <cell r="F26">
            <v>331</v>
          </cell>
          <cell r="I26">
            <v>119</v>
          </cell>
          <cell r="J26">
            <v>263</v>
          </cell>
          <cell r="K26">
            <v>281</v>
          </cell>
          <cell r="L26">
            <v>376</v>
          </cell>
        </row>
      </sheetData>
      <sheetData sheetId="5">
        <row r="3">
          <cell r="D3">
            <v>6</v>
          </cell>
          <cell r="E3">
            <v>8</v>
          </cell>
          <cell r="F3">
            <v>10</v>
          </cell>
          <cell r="G3">
            <v>15</v>
          </cell>
          <cell r="H3">
            <v>20</v>
          </cell>
          <cell r="I3">
            <v>25</v>
          </cell>
          <cell r="J3">
            <v>32</v>
          </cell>
          <cell r="K3">
            <v>40</v>
          </cell>
          <cell r="L3">
            <v>50</v>
          </cell>
          <cell r="M3">
            <v>65</v>
          </cell>
          <cell r="N3">
            <v>80</v>
          </cell>
          <cell r="O3">
            <v>100</v>
          </cell>
          <cell r="P3">
            <v>125</v>
          </cell>
          <cell r="Q3">
            <v>150</v>
          </cell>
          <cell r="R3">
            <v>175</v>
          </cell>
          <cell r="S3">
            <v>200</v>
          </cell>
          <cell r="T3">
            <v>250</v>
          </cell>
          <cell r="U3">
            <v>300</v>
          </cell>
          <cell r="V3">
            <v>350</v>
          </cell>
          <cell r="W3">
            <v>400</v>
          </cell>
          <cell r="X3">
            <v>450</v>
          </cell>
          <cell r="Y3">
            <v>500</v>
          </cell>
          <cell r="Z3">
            <v>600</v>
          </cell>
          <cell r="AA3">
            <v>700</v>
          </cell>
          <cell r="AB3">
            <v>800</v>
          </cell>
          <cell r="AC3">
            <v>900</v>
          </cell>
          <cell r="AD3">
            <v>1000</v>
          </cell>
          <cell r="AE3">
            <v>1200</v>
          </cell>
          <cell r="AF3">
            <v>1400</v>
          </cell>
          <cell r="AG3">
            <v>1600</v>
          </cell>
          <cell r="AH3">
            <v>1800</v>
          </cell>
          <cell r="AI3">
            <v>2000</v>
          </cell>
          <cell r="AJ3">
            <v>2200</v>
          </cell>
          <cell r="AK3">
            <v>2400</v>
          </cell>
          <cell r="AL3">
            <v>2600</v>
          </cell>
          <cell r="AM3">
            <v>2800</v>
          </cell>
          <cell r="AN3">
            <v>3000</v>
          </cell>
        </row>
        <row r="4">
          <cell r="C4" t="str">
            <v>ND-6</v>
          </cell>
          <cell r="F4">
            <v>0.38</v>
          </cell>
          <cell r="G4">
            <v>0.44</v>
          </cell>
          <cell r="H4">
            <v>0.65</v>
          </cell>
          <cell r="I4">
            <v>0.82</v>
          </cell>
          <cell r="J4">
            <v>1.17</v>
          </cell>
          <cell r="K4">
            <v>1.39</v>
          </cell>
          <cell r="L4">
            <v>1.62</v>
          </cell>
          <cell r="M4">
            <v>2.44</v>
          </cell>
          <cell r="N4">
            <v>3.43</v>
          </cell>
          <cell r="O4">
            <v>4.76</v>
          </cell>
          <cell r="P4">
            <v>6.11</v>
          </cell>
          <cell r="Q4">
            <v>7.51</v>
          </cell>
          <cell r="R4">
            <v>10.4</v>
          </cell>
          <cell r="S4">
            <v>12.3</v>
          </cell>
          <cell r="T4">
            <v>18.3</v>
          </cell>
          <cell r="U4">
            <v>25.3</v>
          </cell>
          <cell r="V4">
            <v>31.6</v>
          </cell>
          <cell r="W4">
            <v>38.4</v>
          </cell>
          <cell r="Y4">
            <v>60.4</v>
          </cell>
          <cell r="Z4">
            <v>90</v>
          </cell>
        </row>
        <row r="5">
          <cell r="C5" t="str">
            <v>ND-10</v>
          </cell>
          <cell r="F5">
            <v>0.63</v>
          </cell>
          <cell r="G5">
            <v>0.72</v>
          </cell>
          <cell r="H5">
            <v>1.01</v>
          </cell>
          <cell r="I5">
            <v>1.23</v>
          </cell>
          <cell r="J5">
            <v>1.8</v>
          </cell>
          <cell r="K5">
            <v>2.09</v>
          </cell>
          <cell r="L5">
            <v>2.88</v>
          </cell>
          <cell r="M5">
            <v>3.66</v>
          </cell>
          <cell r="N5">
            <v>4.7699999999999996</v>
          </cell>
          <cell r="O5">
            <v>5.65</v>
          </cell>
          <cell r="P5">
            <v>8.42</v>
          </cell>
          <cell r="Q5">
            <v>10.4</v>
          </cell>
          <cell r="R5">
            <v>14</v>
          </cell>
          <cell r="S5">
            <v>16.5</v>
          </cell>
          <cell r="T5">
            <v>24</v>
          </cell>
          <cell r="U5">
            <v>30.9</v>
          </cell>
          <cell r="V5">
            <v>40.6</v>
          </cell>
          <cell r="W5">
            <v>49.4</v>
          </cell>
          <cell r="Y5">
            <v>75</v>
          </cell>
          <cell r="Z5">
            <v>105</v>
          </cell>
        </row>
        <row r="6">
          <cell r="C6" t="str">
            <v>ND-16</v>
          </cell>
          <cell r="F6">
            <v>0.63</v>
          </cell>
          <cell r="G6">
            <v>0.72</v>
          </cell>
          <cell r="H6">
            <v>1.01</v>
          </cell>
          <cell r="I6">
            <v>1.23</v>
          </cell>
          <cell r="J6">
            <v>1.8</v>
          </cell>
          <cell r="K6">
            <v>2.09</v>
          </cell>
          <cell r="L6">
            <v>2.88</v>
          </cell>
          <cell r="M6">
            <v>3.66</v>
          </cell>
          <cell r="N6">
            <v>4.7699999999999996</v>
          </cell>
          <cell r="O6">
            <v>5.65</v>
          </cell>
          <cell r="P6">
            <v>8.42</v>
          </cell>
          <cell r="Q6">
            <v>10.4</v>
          </cell>
          <cell r="R6">
            <v>14</v>
          </cell>
          <cell r="S6">
            <v>16.100000000000001</v>
          </cell>
          <cell r="T6">
            <v>24.9</v>
          </cell>
          <cell r="U6">
            <v>35.1</v>
          </cell>
          <cell r="V6">
            <v>47.8</v>
          </cell>
          <cell r="W6">
            <v>63.5</v>
          </cell>
          <cell r="Y6">
            <v>102</v>
          </cell>
          <cell r="Z6">
            <v>145</v>
          </cell>
        </row>
        <row r="7">
          <cell r="C7" t="str">
            <v>ND-25</v>
          </cell>
          <cell r="F7">
            <v>0.72</v>
          </cell>
          <cell r="G7">
            <v>0.81</v>
          </cell>
          <cell r="H7">
            <v>1.24</v>
          </cell>
          <cell r="I7">
            <v>1.38</v>
          </cell>
          <cell r="J7">
            <v>2.0299999999999998</v>
          </cell>
          <cell r="K7">
            <v>2.35</v>
          </cell>
          <cell r="L7">
            <v>3.2</v>
          </cell>
          <cell r="M7">
            <v>4.29</v>
          </cell>
          <cell r="N7">
            <v>5.88</v>
          </cell>
          <cell r="O7">
            <v>7.54</v>
          </cell>
          <cell r="P7">
            <v>10.8</v>
          </cell>
          <cell r="Q7">
            <v>14.5</v>
          </cell>
          <cell r="R7">
            <v>17.3</v>
          </cell>
          <cell r="S7">
            <v>22.3</v>
          </cell>
          <cell r="T7">
            <v>33.5</v>
          </cell>
          <cell r="U7">
            <v>46.3</v>
          </cell>
          <cell r="V7">
            <v>68</v>
          </cell>
          <cell r="W7">
            <v>89.7</v>
          </cell>
          <cell r="Y7">
            <v>138</v>
          </cell>
          <cell r="Z7">
            <v>190</v>
          </cell>
        </row>
        <row r="8">
          <cell r="C8" t="str">
            <v>ND-40</v>
          </cell>
          <cell r="F8">
            <v>0.72</v>
          </cell>
          <cell r="G8">
            <v>0.81</v>
          </cell>
          <cell r="H8">
            <v>1.24</v>
          </cell>
          <cell r="I8">
            <v>1.38</v>
          </cell>
          <cell r="J8">
            <v>2.0299999999999998</v>
          </cell>
          <cell r="K8">
            <v>2.35</v>
          </cell>
          <cell r="L8">
            <v>3.2</v>
          </cell>
          <cell r="M8">
            <v>4.29</v>
          </cell>
          <cell r="N8">
            <v>5.88</v>
          </cell>
          <cell r="O8">
            <v>7.54</v>
          </cell>
          <cell r="P8">
            <v>10.8</v>
          </cell>
          <cell r="Q8">
            <v>14.5</v>
          </cell>
          <cell r="R8">
            <v>22.1</v>
          </cell>
          <cell r="S8">
            <v>27.2</v>
          </cell>
          <cell r="T8">
            <v>43.8</v>
          </cell>
          <cell r="U8">
            <v>63.3</v>
          </cell>
          <cell r="V8">
            <v>89.5</v>
          </cell>
          <cell r="W8">
            <v>127</v>
          </cell>
          <cell r="Y8">
            <v>172</v>
          </cell>
          <cell r="Z8">
            <v>230</v>
          </cell>
        </row>
        <row r="9">
          <cell r="C9" t="str">
            <v>ND-64</v>
          </cell>
          <cell r="F9">
            <v>1</v>
          </cell>
          <cell r="G9">
            <v>1.22</v>
          </cell>
          <cell r="I9">
            <v>2.65</v>
          </cell>
          <cell r="J9">
            <v>3.24</v>
          </cell>
          <cell r="K9">
            <v>4.09</v>
          </cell>
          <cell r="L9">
            <v>4.51</v>
          </cell>
          <cell r="M9">
            <v>5.71</v>
          </cell>
          <cell r="N9">
            <v>6.92</v>
          </cell>
          <cell r="O9">
            <v>10.1</v>
          </cell>
          <cell r="P9">
            <v>16</v>
          </cell>
          <cell r="Q9">
            <v>23.5</v>
          </cell>
          <cell r="R9">
            <v>30.8</v>
          </cell>
          <cell r="S9">
            <v>39.700000000000003</v>
          </cell>
          <cell r="T9">
            <v>57.4</v>
          </cell>
          <cell r="U9">
            <v>81</v>
          </cell>
          <cell r="V9">
            <v>114</v>
          </cell>
          <cell r="W9">
            <v>153</v>
          </cell>
        </row>
        <row r="10">
          <cell r="C10" t="str">
            <v>ND-100</v>
          </cell>
          <cell r="F10">
            <v>1</v>
          </cell>
          <cell r="G10">
            <v>1.22</v>
          </cell>
          <cell r="I10">
            <v>2.65</v>
          </cell>
          <cell r="J10">
            <v>3.24</v>
          </cell>
          <cell r="K10">
            <v>4.09</v>
          </cell>
          <cell r="L10">
            <v>5.84</v>
          </cell>
          <cell r="M10">
            <v>8.0299999999999994</v>
          </cell>
          <cell r="N10">
            <v>9.43</v>
          </cell>
          <cell r="O10">
            <v>14.3</v>
          </cell>
          <cell r="P10">
            <v>22.6</v>
          </cell>
          <cell r="Q10">
            <v>31.8</v>
          </cell>
          <cell r="R10">
            <v>41.3</v>
          </cell>
          <cell r="S10">
            <v>56.1</v>
          </cell>
          <cell r="T10">
            <v>89.6</v>
          </cell>
          <cell r="U10">
            <v>119</v>
          </cell>
          <cell r="V10">
            <v>175</v>
          </cell>
        </row>
        <row r="11">
          <cell r="D11">
            <v>0.32600000000000001</v>
          </cell>
          <cell r="E11">
            <v>0.38</v>
          </cell>
          <cell r="F11">
            <v>0.54400000000000004</v>
          </cell>
          <cell r="G11">
            <v>0.61299999999999999</v>
          </cell>
          <cell r="H11">
            <v>0.91</v>
          </cell>
          <cell r="I11">
            <v>1.1000000000000001</v>
          </cell>
          <cell r="J11">
            <v>1.6</v>
          </cell>
          <cell r="K11">
            <v>1.78</v>
          </cell>
          <cell r="L11">
            <v>2.4300000000000002</v>
          </cell>
          <cell r="M11">
            <v>3.18</v>
          </cell>
          <cell r="N11">
            <v>4.12</v>
          </cell>
          <cell r="O11">
            <v>4.47</v>
          </cell>
        </row>
      </sheetData>
      <sheetData sheetId="6"/>
      <sheetData sheetId="7">
        <row r="5">
          <cell r="C5" t="str">
            <v>UPN40X20</v>
          </cell>
          <cell r="D5">
            <v>3.66</v>
          </cell>
          <cell r="E5">
            <v>2.87</v>
          </cell>
        </row>
        <row r="6">
          <cell r="C6" t="str">
            <v>UPN40</v>
          </cell>
          <cell r="D6">
            <v>6.21</v>
          </cell>
          <cell r="E6">
            <v>4.87</v>
          </cell>
        </row>
        <row r="7">
          <cell r="C7" t="str">
            <v>UPN50X25</v>
          </cell>
          <cell r="D7">
            <v>4.92</v>
          </cell>
          <cell r="E7">
            <v>3.86</v>
          </cell>
        </row>
        <row r="8">
          <cell r="C8" t="str">
            <v>UPN50</v>
          </cell>
          <cell r="D8">
            <v>7.12</v>
          </cell>
          <cell r="E8">
            <v>5.59</v>
          </cell>
        </row>
        <row r="9">
          <cell r="C9" t="str">
            <v>UPN60</v>
          </cell>
          <cell r="D9">
            <v>6.46</v>
          </cell>
          <cell r="E9">
            <v>5.07</v>
          </cell>
        </row>
        <row r="10">
          <cell r="C10" t="str">
            <v>UPN65</v>
          </cell>
          <cell r="D10">
            <v>9.0299999999999994</v>
          </cell>
          <cell r="E10">
            <v>7.09</v>
          </cell>
        </row>
        <row r="11">
          <cell r="C11" t="str">
            <v>UPN80</v>
          </cell>
          <cell r="D11">
            <v>11</v>
          </cell>
          <cell r="E11">
            <v>8.64</v>
          </cell>
        </row>
        <row r="12">
          <cell r="C12" t="str">
            <v>UPN100</v>
          </cell>
          <cell r="D12">
            <v>13.5</v>
          </cell>
          <cell r="E12">
            <v>10.6</v>
          </cell>
        </row>
        <row r="13">
          <cell r="C13" t="str">
            <v>UPN120</v>
          </cell>
          <cell r="D13">
            <v>17</v>
          </cell>
          <cell r="E13">
            <v>13.4</v>
          </cell>
        </row>
        <row r="14">
          <cell r="C14" t="str">
            <v>UPN140</v>
          </cell>
          <cell r="D14">
            <v>20.399999999999999</v>
          </cell>
          <cell r="E14">
            <v>16</v>
          </cell>
        </row>
        <row r="15">
          <cell r="C15" t="str">
            <v>UPN160</v>
          </cell>
          <cell r="D15">
            <v>24</v>
          </cell>
          <cell r="E15">
            <v>18.5</v>
          </cell>
        </row>
        <row r="16">
          <cell r="C16" t="str">
            <v>UPN180</v>
          </cell>
          <cell r="D16">
            <v>28</v>
          </cell>
          <cell r="E16">
            <v>22</v>
          </cell>
        </row>
        <row r="17">
          <cell r="C17" t="str">
            <v>UPN200</v>
          </cell>
          <cell r="D17">
            <v>32.200000000000003</v>
          </cell>
          <cell r="E17">
            <v>25.3</v>
          </cell>
        </row>
        <row r="18">
          <cell r="C18" t="str">
            <v>UPN220</v>
          </cell>
          <cell r="D18">
            <v>37.4</v>
          </cell>
          <cell r="E18">
            <v>29.4</v>
          </cell>
        </row>
        <row r="19">
          <cell r="C19" t="str">
            <v>UPN240</v>
          </cell>
          <cell r="D19">
            <v>42.3</v>
          </cell>
          <cell r="E19">
            <v>33.200000000000003</v>
          </cell>
        </row>
        <row r="20">
          <cell r="C20" t="str">
            <v>UPN260</v>
          </cell>
          <cell r="D20">
            <v>48.3</v>
          </cell>
          <cell r="E20">
            <v>37.9</v>
          </cell>
        </row>
        <row r="21">
          <cell r="C21" t="str">
            <v>UPN280</v>
          </cell>
          <cell r="D21">
            <v>53.3</v>
          </cell>
          <cell r="E21">
            <v>41.8</v>
          </cell>
        </row>
        <row r="22">
          <cell r="C22" t="str">
            <v>UPN300</v>
          </cell>
          <cell r="D22">
            <v>58.8</v>
          </cell>
          <cell r="E22">
            <v>46.2</v>
          </cell>
        </row>
        <row r="23">
          <cell r="C23" t="str">
            <v>UPN320</v>
          </cell>
          <cell r="D23">
            <v>75.8</v>
          </cell>
          <cell r="E23">
            <v>59.5</v>
          </cell>
        </row>
        <row r="24">
          <cell r="C24" t="str">
            <v>UPN350</v>
          </cell>
          <cell r="D24">
            <v>77.3</v>
          </cell>
          <cell r="E24">
            <v>60.6</v>
          </cell>
        </row>
        <row r="25">
          <cell r="C25" t="str">
            <v>UPN380</v>
          </cell>
          <cell r="D25">
            <v>80.400000000000006</v>
          </cell>
          <cell r="E25">
            <v>63.1</v>
          </cell>
        </row>
        <row r="26">
          <cell r="C26" t="str">
            <v>UPN400</v>
          </cell>
          <cell r="D26">
            <v>91.5</v>
          </cell>
          <cell r="E26">
            <v>71.8</v>
          </cell>
        </row>
        <row r="27">
          <cell r="C27" t="str">
            <v>IPE80</v>
          </cell>
          <cell r="D27">
            <v>7.64</v>
          </cell>
          <cell r="E27">
            <v>6</v>
          </cell>
        </row>
        <row r="28">
          <cell r="C28" t="str">
            <v>IPE100</v>
          </cell>
          <cell r="D28">
            <v>10.3</v>
          </cell>
          <cell r="E28">
            <v>8.1</v>
          </cell>
        </row>
        <row r="29">
          <cell r="C29" t="str">
            <v>IPE120</v>
          </cell>
          <cell r="D29">
            <v>13.2</v>
          </cell>
          <cell r="E29">
            <v>10.4</v>
          </cell>
        </row>
        <row r="30">
          <cell r="C30" t="str">
            <v>IPE140</v>
          </cell>
          <cell r="D30">
            <v>16.399999999999999</v>
          </cell>
          <cell r="E30">
            <v>12.9</v>
          </cell>
        </row>
        <row r="31">
          <cell r="C31" t="str">
            <v>IPE160</v>
          </cell>
          <cell r="D31">
            <v>20.100000000000001</v>
          </cell>
          <cell r="E31">
            <v>15.8</v>
          </cell>
        </row>
        <row r="32">
          <cell r="C32" t="str">
            <v>IPE180</v>
          </cell>
          <cell r="D32">
            <v>23.9</v>
          </cell>
          <cell r="E32">
            <v>18.8</v>
          </cell>
        </row>
        <row r="33">
          <cell r="C33" t="str">
            <v>IPE200</v>
          </cell>
          <cell r="D33">
            <v>28.5</v>
          </cell>
          <cell r="E33">
            <v>22.4</v>
          </cell>
        </row>
        <row r="34">
          <cell r="C34" t="str">
            <v>IPE220</v>
          </cell>
          <cell r="D34">
            <v>33.4</v>
          </cell>
          <cell r="E34">
            <v>26.2</v>
          </cell>
        </row>
        <row r="35">
          <cell r="C35" t="str">
            <v>IPE240</v>
          </cell>
          <cell r="D35">
            <v>39.1</v>
          </cell>
          <cell r="E35">
            <v>30.7</v>
          </cell>
        </row>
        <row r="36">
          <cell r="C36" t="str">
            <v>IPE270</v>
          </cell>
          <cell r="D36">
            <v>45.9</v>
          </cell>
          <cell r="E36">
            <v>36.1</v>
          </cell>
        </row>
        <row r="37">
          <cell r="C37" t="str">
            <v>IPE300</v>
          </cell>
          <cell r="D37">
            <v>53.8</v>
          </cell>
          <cell r="E37">
            <v>42.2</v>
          </cell>
        </row>
        <row r="38">
          <cell r="C38" t="str">
            <v>IPE330</v>
          </cell>
          <cell r="D38">
            <v>62.6</v>
          </cell>
          <cell r="E38">
            <v>49.1</v>
          </cell>
        </row>
        <row r="39">
          <cell r="C39" t="str">
            <v>IPE360</v>
          </cell>
          <cell r="D39">
            <v>72.7</v>
          </cell>
          <cell r="E39">
            <v>57.1</v>
          </cell>
        </row>
        <row r="40">
          <cell r="C40" t="str">
            <v>IPE400</v>
          </cell>
          <cell r="D40">
            <v>84.5</v>
          </cell>
          <cell r="E40">
            <v>66.3</v>
          </cell>
        </row>
        <row r="41">
          <cell r="C41" t="str">
            <v>IPE450</v>
          </cell>
          <cell r="D41">
            <v>98.8</v>
          </cell>
          <cell r="E41">
            <v>77.599999999999994</v>
          </cell>
        </row>
        <row r="42">
          <cell r="C42" t="str">
            <v>IPE500</v>
          </cell>
          <cell r="D42">
            <v>116</v>
          </cell>
          <cell r="E42">
            <v>90.7</v>
          </cell>
        </row>
        <row r="43">
          <cell r="C43" t="str">
            <v>IPE550</v>
          </cell>
          <cell r="D43">
            <v>134</v>
          </cell>
          <cell r="E43">
            <v>106</v>
          </cell>
        </row>
        <row r="44">
          <cell r="C44" t="str">
            <v>IPE600</v>
          </cell>
          <cell r="D44">
            <v>156</v>
          </cell>
          <cell r="E44">
            <v>122</v>
          </cell>
        </row>
        <row r="45">
          <cell r="C45" t="str">
            <v>HEA100</v>
          </cell>
          <cell r="D45">
            <v>21.2</v>
          </cell>
          <cell r="E45">
            <v>16.7</v>
          </cell>
        </row>
        <row r="46">
          <cell r="C46" t="str">
            <v>HEA120</v>
          </cell>
          <cell r="D46">
            <v>25.3</v>
          </cell>
          <cell r="E46">
            <v>19.899999999999999</v>
          </cell>
        </row>
        <row r="47">
          <cell r="C47" t="str">
            <v>HEA140</v>
          </cell>
          <cell r="D47">
            <v>31.4</v>
          </cell>
          <cell r="E47">
            <v>24.7</v>
          </cell>
        </row>
        <row r="48">
          <cell r="C48" t="str">
            <v>HEA160</v>
          </cell>
          <cell r="D48">
            <v>38.799999999999997</v>
          </cell>
          <cell r="E48">
            <v>30.4</v>
          </cell>
        </row>
        <row r="49">
          <cell r="C49" t="str">
            <v>HEA180</v>
          </cell>
          <cell r="D49">
            <v>45.3</v>
          </cell>
          <cell r="E49">
            <v>35.5</v>
          </cell>
        </row>
        <row r="50">
          <cell r="C50" t="str">
            <v>HEA200</v>
          </cell>
          <cell r="D50">
            <v>53.8</v>
          </cell>
          <cell r="E50">
            <v>42.3</v>
          </cell>
        </row>
        <row r="51">
          <cell r="C51" t="str">
            <v>HEA220</v>
          </cell>
          <cell r="D51">
            <v>64.3</v>
          </cell>
          <cell r="E51">
            <v>50.5</v>
          </cell>
        </row>
        <row r="52">
          <cell r="C52" t="str">
            <v>HEA240</v>
          </cell>
          <cell r="D52">
            <v>76.8</v>
          </cell>
          <cell r="E52">
            <v>60.3</v>
          </cell>
        </row>
        <row r="53">
          <cell r="C53" t="str">
            <v>HEA260</v>
          </cell>
          <cell r="D53">
            <v>86.8</v>
          </cell>
          <cell r="E53">
            <v>68.2</v>
          </cell>
        </row>
        <row r="54">
          <cell r="C54" t="str">
            <v>HEA280</v>
          </cell>
          <cell r="D54">
            <v>97.3</v>
          </cell>
          <cell r="E54">
            <v>76.400000000000006</v>
          </cell>
        </row>
        <row r="55">
          <cell r="C55" t="str">
            <v>HEA300</v>
          </cell>
          <cell r="D55">
            <v>113</v>
          </cell>
          <cell r="E55">
            <v>88.3</v>
          </cell>
        </row>
        <row r="56">
          <cell r="C56" t="str">
            <v>HEA320</v>
          </cell>
          <cell r="D56">
            <v>124</v>
          </cell>
          <cell r="E56">
            <v>97.6</v>
          </cell>
        </row>
        <row r="57">
          <cell r="C57" t="str">
            <v>HEA340</v>
          </cell>
          <cell r="D57">
            <v>133</v>
          </cell>
          <cell r="E57">
            <v>105</v>
          </cell>
        </row>
        <row r="58">
          <cell r="C58" t="str">
            <v>HEA360</v>
          </cell>
          <cell r="D58">
            <v>143</v>
          </cell>
          <cell r="E58">
            <v>112</v>
          </cell>
        </row>
        <row r="59">
          <cell r="C59" t="str">
            <v>HEA400</v>
          </cell>
          <cell r="D59">
            <v>159</v>
          </cell>
          <cell r="E59">
            <v>125</v>
          </cell>
        </row>
        <row r="60">
          <cell r="C60" t="str">
            <v>HEA450</v>
          </cell>
          <cell r="D60">
            <v>178</v>
          </cell>
          <cell r="E60">
            <v>140</v>
          </cell>
        </row>
        <row r="61">
          <cell r="C61" t="str">
            <v>HEA500</v>
          </cell>
          <cell r="D61">
            <v>198</v>
          </cell>
          <cell r="E61">
            <v>155</v>
          </cell>
        </row>
        <row r="62">
          <cell r="C62" t="str">
            <v>HEA550</v>
          </cell>
          <cell r="D62">
            <v>212</v>
          </cell>
          <cell r="E62">
            <v>165</v>
          </cell>
        </row>
        <row r="63">
          <cell r="C63" t="str">
            <v>HEA600</v>
          </cell>
          <cell r="D63">
            <v>226</v>
          </cell>
          <cell r="E63">
            <v>178</v>
          </cell>
        </row>
        <row r="64">
          <cell r="C64" t="str">
            <v>HEA650</v>
          </cell>
          <cell r="D64">
            <v>242</v>
          </cell>
          <cell r="E64">
            <v>190</v>
          </cell>
        </row>
        <row r="65">
          <cell r="C65" t="str">
            <v>HEA700</v>
          </cell>
          <cell r="D65">
            <v>260</v>
          </cell>
          <cell r="E65">
            <v>204</v>
          </cell>
        </row>
        <row r="66">
          <cell r="C66" t="str">
            <v>HEA800</v>
          </cell>
          <cell r="D66">
            <v>286</v>
          </cell>
          <cell r="E66">
            <v>224</v>
          </cell>
        </row>
        <row r="67">
          <cell r="C67" t="str">
            <v>HEA900</v>
          </cell>
          <cell r="D67">
            <v>321</v>
          </cell>
          <cell r="E67">
            <v>252</v>
          </cell>
        </row>
        <row r="68">
          <cell r="C68" t="str">
            <v>HEA1000</v>
          </cell>
          <cell r="D68">
            <v>347</v>
          </cell>
          <cell r="E68">
            <v>272</v>
          </cell>
        </row>
        <row r="69">
          <cell r="C69" t="str">
            <v>HEM100</v>
          </cell>
          <cell r="D69">
            <v>53.2</v>
          </cell>
          <cell r="E69">
            <v>41.8</v>
          </cell>
        </row>
        <row r="70">
          <cell r="C70" t="str">
            <v>HEM120</v>
          </cell>
          <cell r="D70">
            <v>66.400000000000006</v>
          </cell>
          <cell r="E70">
            <v>52.1</v>
          </cell>
        </row>
        <row r="71">
          <cell r="C71" t="str">
            <v>HEM140</v>
          </cell>
          <cell r="D71">
            <v>80.599999999999994</v>
          </cell>
          <cell r="E71">
            <v>63.2</v>
          </cell>
        </row>
        <row r="72">
          <cell r="C72" t="str">
            <v>HEM160</v>
          </cell>
          <cell r="D72">
            <v>97.1</v>
          </cell>
          <cell r="E72">
            <v>76.2</v>
          </cell>
        </row>
        <row r="73">
          <cell r="C73" t="str">
            <v>HEM180</v>
          </cell>
          <cell r="D73">
            <v>113</v>
          </cell>
          <cell r="E73">
            <v>88.9</v>
          </cell>
        </row>
        <row r="74">
          <cell r="C74" t="str">
            <v>HEM200</v>
          </cell>
          <cell r="D74">
            <v>131</v>
          </cell>
          <cell r="E74">
            <v>103</v>
          </cell>
        </row>
        <row r="75">
          <cell r="C75" t="str">
            <v>HEM220</v>
          </cell>
          <cell r="D75">
            <v>149</v>
          </cell>
          <cell r="E75">
            <v>117</v>
          </cell>
        </row>
        <row r="76">
          <cell r="C76" t="str">
            <v>HEM240</v>
          </cell>
          <cell r="D76">
            <v>200</v>
          </cell>
          <cell r="E76">
            <v>157</v>
          </cell>
        </row>
        <row r="77">
          <cell r="C77" t="str">
            <v>HEM260</v>
          </cell>
          <cell r="D77">
            <v>220</v>
          </cell>
          <cell r="E77">
            <v>172</v>
          </cell>
        </row>
        <row r="78">
          <cell r="C78" t="str">
            <v>HEM280</v>
          </cell>
          <cell r="D78">
            <v>240</v>
          </cell>
          <cell r="E78">
            <v>189</v>
          </cell>
        </row>
        <row r="79">
          <cell r="C79" t="str">
            <v>HEM300</v>
          </cell>
          <cell r="D79">
            <v>303</v>
          </cell>
          <cell r="E79">
            <v>238</v>
          </cell>
        </row>
        <row r="80">
          <cell r="C80" t="str">
            <v>HEM305</v>
          </cell>
          <cell r="D80">
            <v>225</v>
          </cell>
          <cell r="E80">
            <v>177</v>
          </cell>
        </row>
        <row r="81">
          <cell r="C81" t="str">
            <v>HEM320</v>
          </cell>
          <cell r="D81">
            <v>312</v>
          </cell>
          <cell r="E81">
            <v>245</v>
          </cell>
        </row>
        <row r="82">
          <cell r="C82" t="str">
            <v>HEM340</v>
          </cell>
          <cell r="D82">
            <v>316</v>
          </cell>
          <cell r="E82">
            <v>248</v>
          </cell>
        </row>
        <row r="83">
          <cell r="C83" t="str">
            <v>HEM360</v>
          </cell>
          <cell r="D83">
            <v>319</v>
          </cell>
          <cell r="E83">
            <v>250</v>
          </cell>
        </row>
        <row r="84">
          <cell r="C84" t="str">
            <v>HEM400</v>
          </cell>
          <cell r="D84">
            <v>326</v>
          </cell>
          <cell r="E84">
            <v>256</v>
          </cell>
        </row>
        <row r="85">
          <cell r="C85" t="str">
            <v>HEM450</v>
          </cell>
          <cell r="D85">
            <v>335</v>
          </cell>
          <cell r="E85">
            <v>263</v>
          </cell>
        </row>
        <row r="86">
          <cell r="C86" t="str">
            <v>HEM500</v>
          </cell>
          <cell r="D86">
            <v>344</v>
          </cell>
          <cell r="E86">
            <v>270</v>
          </cell>
        </row>
        <row r="87">
          <cell r="C87" t="str">
            <v>HEM550</v>
          </cell>
          <cell r="D87">
            <v>354</v>
          </cell>
          <cell r="E87">
            <v>278</v>
          </cell>
        </row>
        <row r="88">
          <cell r="C88" t="str">
            <v>HEM600</v>
          </cell>
          <cell r="D88">
            <v>364</v>
          </cell>
          <cell r="E88">
            <v>285</v>
          </cell>
        </row>
        <row r="89">
          <cell r="C89" t="str">
            <v>HEM650</v>
          </cell>
          <cell r="D89">
            <v>374</v>
          </cell>
          <cell r="E89">
            <v>293</v>
          </cell>
        </row>
        <row r="90">
          <cell r="C90" t="str">
            <v>HEM700</v>
          </cell>
          <cell r="D90">
            <v>383</v>
          </cell>
          <cell r="E90">
            <v>301</v>
          </cell>
        </row>
        <row r="91">
          <cell r="C91" t="str">
            <v>HEM800</v>
          </cell>
          <cell r="D91">
            <v>404</v>
          </cell>
          <cell r="E91">
            <v>317</v>
          </cell>
        </row>
        <row r="92">
          <cell r="C92" t="str">
            <v>HEM900</v>
          </cell>
          <cell r="D92">
            <v>424</v>
          </cell>
          <cell r="E92">
            <v>333</v>
          </cell>
        </row>
        <row r="93">
          <cell r="C93" t="str">
            <v>HEM1000</v>
          </cell>
          <cell r="D93">
            <v>444</v>
          </cell>
          <cell r="E93">
            <v>349</v>
          </cell>
        </row>
        <row r="94">
          <cell r="C94" t="str">
            <v>HEB100</v>
          </cell>
          <cell r="D94">
            <v>26</v>
          </cell>
          <cell r="E94">
            <v>20.399999999999999</v>
          </cell>
        </row>
        <row r="95">
          <cell r="C95" t="str">
            <v>HEB120</v>
          </cell>
          <cell r="D95">
            <v>34</v>
          </cell>
          <cell r="E95">
            <v>26.7</v>
          </cell>
        </row>
        <row r="96">
          <cell r="C96" t="str">
            <v>HEB140</v>
          </cell>
          <cell r="D96">
            <v>43</v>
          </cell>
          <cell r="E96">
            <v>33.700000000000003</v>
          </cell>
        </row>
        <row r="97">
          <cell r="C97" t="str">
            <v>HEB160</v>
          </cell>
          <cell r="D97">
            <v>54.3</v>
          </cell>
          <cell r="E97">
            <v>42.6</v>
          </cell>
        </row>
        <row r="98">
          <cell r="C98" t="str">
            <v>HEB180</v>
          </cell>
          <cell r="D98">
            <v>65.3</v>
          </cell>
          <cell r="E98">
            <v>51.2</v>
          </cell>
        </row>
        <row r="99">
          <cell r="C99" t="str">
            <v>HEB200</v>
          </cell>
          <cell r="D99">
            <v>78.099999999999994</v>
          </cell>
          <cell r="E99">
            <v>61.3</v>
          </cell>
        </row>
        <row r="100">
          <cell r="C100" t="str">
            <v>HEB220</v>
          </cell>
          <cell r="D100">
            <v>91</v>
          </cell>
          <cell r="E100">
            <v>71.5</v>
          </cell>
        </row>
        <row r="101">
          <cell r="C101" t="str">
            <v>HEB240</v>
          </cell>
          <cell r="D101">
            <v>106</v>
          </cell>
          <cell r="E101">
            <v>83.2</v>
          </cell>
        </row>
        <row r="102">
          <cell r="C102" t="str">
            <v>HEB260</v>
          </cell>
          <cell r="D102">
            <v>118</v>
          </cell>
          <cell r="E102">
            <v>93</v>
          </cell>
        </row>
        <row r="103">
          <cell r="C103" t="str">
            <v>HEB280</v>
          </cell>
          <cell r="D103">
            <v>131</v>
          </cell>
          <cell r="E103">
            <v>103</v>
          </cell>
        </row>
        <row r="104">
          <cell r="C104" t="str">
            <v>HEB300</v>
          </cell>
          <cell r="D104">
            <v>149</v>
          </cell>
          <cell r="E104">
            <v>117</v>
          </cell>
        </row>
        <row r="105">
          <cell r="C105" t="str">
            <v>HEB320</v>
          </cell>
          <cell r="D105">
            <v>161</v>
          </cell>
          <cell r="E105">
            <v>127</v>
          </cell>
        </row>
        <row r="106">
          <cell r="C106" t="str">
            <v>HEB340</v>
          </cell>
          <cell r="D106">
            <v>171</v>
          </cell>
          <cell r="E106">
            <v>134</v>
          </cell>
        </row>
        <row r="107">
          <cell r="C107" t="str">
            <v>HEB350</v>
          </cell>
          <cell r="D107">
            <v>181</v>
          </cell>
          <cell r="E107">
            <v>142</v>
          </cell>
        </row>
        <row r="108">
          <cell r="C108" t="str">
            <v>HEB400</v>
          </cell>
          <cell r="D108">
            <v>198</v>
          </cell>
          <cell r="E108">
            <v>155</v>
          </cell>
        </row>
        <row r="109">
          <cell r="C109" t="str">
            <v>HEB450</v>
          </cell>
          <cell r="D109">
            <v>218</v>
          </cell>
          <cell r="E109">
            <v>171</v>
          </cell>
        </row>
        <row r="110">
          <cell r="C110" t="str">
            <v>HEB500</v>
          </cell>
          <cell r="D110">
            <v>239</v>
          </cell>
          <cell r="E110">
            <v>187</v>
          </cell>
        </row>
        <row r="111">
          <cell r="C111" t="str">
            <v>HEB550</v>
          </cell>
          <cell r="D111">
            <v>254</v>
          </cell>
          <cell r="E111">
            <v>199</v>
          </cell>
        </row>
        <row r="112">
          <cell r="C112" t="str">
            <v>HEB600</v>
          </cell>
          <cell r="D112">
            <v>270</v>
          </cell>
          <cell r="E112">
            <v>212</v>
          </cell>
        </row>
        <row r="113">
          <cell r="C113" t="str">
            <v>HEB650</v>
          </cell>
          <cell r="D113">
            <v>286</v>
          </cell>
          <cell r="E113">
            <v>225</v>
          </cell>
        </row>
        <row r="114">
          <cell r="C114" t="str">
            <v>HEB700</v>
          </cell>
          <cell r="D114">
            <v>306</v>
          </cell>
          <cell r="E114">
            <v>241</v>
          </cell>
        </row>
        <row r="115">
          <cell r="C115" t="str">
            <v>HEB800</v>
          </cell>
          <cell r="D115">
            <v>334</v>
          </cell>
          <cell r="E115">
            <v>262</v>
          </cell>
        </row>
        <row r="116">
          <cell r="C116" t="str">
            <v>HEB900</v>
          </cell>
          <cell r="D116">
            <v>371</v>
          </cell>
          <cell r="E116">
            <v>291</v>
          </cell>
        </row>
        <row r="117">
          <cell r="C117" t="str">
            <v>HEB1000</v>
          </cell>
          <cell r="D117">
            <v>400</v>
          </cell>
          <cell r="E117">
            <v>314</v>
          </cell>
        </row>
        <row r="118">
          <cell r="C118" t="str">
            <v>IPN80</v>
          </cell>
          <cell r="D118">
            <v>7.57</v>
          </cell>
          <cell r="E118">
            <v>5.94</v>
          </cell>
        </row>
        <row r="119">
          <cell r="C119" t="str">
            <v>IPN100</v>
          </cell>
          <cell r="D119">
            <v>10.6</v>
          </cell>
          <cell r="E119">
            <v>8.34</v>
          </cell>
        </row>
        <row r="120">
          <cell r="C120" t="str">
            <v>IPN120</v>
          </cell>
          <cell r="D120">
            <v>14.2</v>
          </cell>
          <cell r="E120">
            <v>11.1</v>
          </cell>
        </row>
        <row r="121">
          <cell r="C121" t="str">
            <v>IPN140</v>
          </cell>
          <cell r="D121">
            <v>18.2</v>
          </cell>
          <cell r="E121">
            <v>14.3</v>
          </cell>
        </row>
        <row r="122">
          <cell r="C122" t="str">
            <v>IPN160</v>
          </cell>
          <cell r="D122">
            <v>22.8</v>
          </cell>
          <cell r="E122">
            <v>17.899999999999999</v>
          </cell>
        </row>
        <row r="123">
          <cell r="C123" t="str">
            <v>IPN180</v>
          </cell>
          <cell r="D123">
            <v>27.9</v>
          </cell>
          <cell r="E123">
            <v>21.9</v>
          </cell>
        </row>
        <row r="124">
          <cell r="C124" t="str">
            <v>IPN200</v>
          </cell>
          <cell r="D124">
            <v>33.4</v>
          </cell>
          <cell r="E124">
            <v>26.2</v>
          </cell>
        </row>
        <row r="125">
          <cell r="C125" t="str">
            <v>IPN220</v>
          </cell>
          <cell r="D125">
            <v>39.5</v>
          </cell>
          <cell r="E125">
            <v>31.1</v>
          </cell>
        </row>
        <row r="126">
          <cell r="C126" t="str">
            <v>IPN240</v>
          </cell>
          <cell r="D126">
            <v>46.1</v>
          </cell>
          <cell r="E126">
            <v>36.200000000000003</v>
          </cell>
        </row>
        <row r="127">
          <cell r="C127" t="str">
            <v>IPN260</v>
          </cell>
          <cell r="D127">
            <v>53.3</v>
          </cell>
          <cell r="E127">
            <v>41.9</v>
          </cell>
        </row>
        <row r="128">
          <cell r="C128" t="str">
            <v>IPN280</v>
          </cell>
          <cell r="D128">
            <v>61</v>
          </cell>
          <cell r="E128">
            <v>47.9</v>
          </cell>
        </row>
        <row r="129">
          <cell r="C129" t="str">
            <v>IPN300</v>
          </cell>
          <cell r="D129">
            <v>69</v>
          </cell>
          <cell r="E129">
            <v>54.2</v>
          </cell>
        </row>
        <row r="130">
          <cell r="C130" t="str">
            <v>IPN320</v>
          </cell>
          <cell r="D130">
            <v>77.7</v>
          </cell>
          <cell r="E130">
            <v>61</v>
          </cell>
        </row>
        <row r="131">
          <cell r="C131" t="str">
            <v>IPN340</v>
          </cell>
          <cell r="D131">
            <v>86.7</v>
          </cell>
          <cell r="E131">
            <v>68</v>
          </cell>
        </row>
        <row r="132">
          <cell r="C132" t="str">
            <v>IPN360</v>
          </cell>
          <cell r="D132">
            <v>97</v>
          </cell>
          <cell r="E132">
            <v>76.099999999999994</v>
          </cell>
        </row>
        <row r="133">
          <cell r="C133" t="str">
            <v>IPN380</v>
          </cell>
          <cell r="D133">
            <v>107</v>
          </cell>
          <cell r="E133">
            <v>84</v>
          </cell>
        </row>
        <row r="134">
          <cell r="C134" t="str">
            <v>IPN400</v>
          </cell>
          <cell r="D134">
            <v>118</v>
          </cell>
          <cell r="E134">
            <v>92.4</v>
          </cell>
        </row>
        <row r="135">
          <cell r="C135" t="str">
            <v>IPN425</v>
          </cell>
          <cell r="D135">
            <v>132</v>
          </cell>
          <cell r="E135">
            <v>104</v>
          </cell>
        </row>
        <row r="136">
          <cell r="C136" t="str">
            <v>IPN450</v>
          </cell>
          <cell r="D136">
            <v>147</v>
          </cell>
          <cell r="E136">
            <v>115</v>
          </cell>
        </row>
        <row r="137">
          <cell r="C137" t="str">
            <v>IPN475</v>
          </cell>
          <cell r="D137">
            <v>163</v>
          </cell>
          <cell r="E137">
            <v>128</v>
          </cell>
        </row>
        <row r="138">
          <cell r="C138" t="str">
            <v>IPN500</v>
          </cell>
          <cell r="D138">
            <v>179</v>
          </cell>
          <cell r="E138">
            <v>141</v>
          </cell>
        </row>
        <row r="139">
          <cell r="C139" t="str">
            <v>IPN550</v>
          </cell>
          <cell r="D139">
            <v>212</v>
          </cell>
          <cell r="E139">
            <v>166</v>
          </cell>
        </row>
        <row r="140">
          <cell r="C140" t="str">
            <v>IPN600</v>
          </cell>
          <cell r="D140">
            <v>254</v>
          </cell>
          <cell r="E140">
            <v>199</v>
          </cell>
        </row>
        <row r="141">
          <cell r="C141" t="str">
            <v>L30X20X3</v>
          </cell>
          <cell r="D141">
            <v>1.42</v>
          </cell>
          <cell r="E141">
            <v>1.1100000000000001</v>
          </cell>
        </row>
        <row r="142">
          <cell r="C142" t="str">
            <v>L30X20X4</v>
          </cell>
          <cell r="D142">
            <v>1.85</v>
          </cell>
          <cell r="E142">
            <v>1.45</v>
          </cell>
        </row>
        <row r="143">
          <cell r="C143" t="str">
            <v>L40X20X3</v>
          </cell>
          <cell r="D143">
            <v>1.72</v>
          </cell>
          <cell r="E143">
            <v>1.35</v>
          </cell>
        </row>
        <row r="144">
          <cell r="C144" t="str">
            <v>L40X20X4</v>
          </cell>
          <cell r="D144">
            <v>2.25</v>
          </cell>
          <cell r="E144">
            <v>1.77</v>
          </cell>
        </row>
        <row r="145">
          <cell r="C145" t="str">
            <v>L40X25X4</v>
          </cell>
          <cell r="D145">
            <v>2.46</v>
          </cell>
          <cell r="E145">
            <v>1.93</v>
          </cell>
        </row>
        <row r="146">
          <cell r="C146" t="str">
            <v>L45X30X3</v>
          </cell>
          <cell r="D146">
            <v>2.19</v>
          </cell>
          <cell r="E146">
            <v>1.72</v>
          </cell>
        </row>
        <row r="147">
          <cell r="C147" t="str">
            <v>L45X30X4</v>
          </cell>
          <cell r="D147">
            <v>2.87</v>
          </cell>
          <cell r="E147">
            <v>2.25</v>
          </cell>
        </row>
        <row r="148">
          <cell r="C148" t="str">
            <v>L45X30X5</v>
          </cell>
          <cell r="D148">
            <v>3.53</v>
          </cell>
          <cell r="E148">
            <v>2.77</v>
          </cell>
        </row>
        <row r="149">
          <cell r="C149" t="str">
            <v>L50X30X4</v>
          </cell>
          <cell r="D149">
            <v>3.07</v>
          </cell>
          <cell r="E149">
            <v>2.41</v>
          </cell>
        </row>
        <row r="150">
          <cell r="C150" t="str">
            <v>L50X30X5</v>
          </cell>
          <cell r="D150">
            <v>3.78</v>
          </cell>
          <cell r="E150">
            <v>2.96</v>
          </cell>
        </row>
        <row r="151">
          <cell r="C151" t="str">
            <v>L50X40X4</v>
          </cell>
          <cell r="D151">
            <v>3.46</v>
          </cell>
          <cell r="E151">
            <v>2.71</v>
          </cell>
        </row>
        <row r="152">
          <cell r="C152" t="str">
            <v>L50X40X5</v>
          </cell>
          <cell r="D152">
            <v>4.2699999999999996</v>
          </cell>
          <cell r="E152">
            <v>3.35</v>
          </cell>
        </row>
        <row r="153">
          <cell r="C153" t="str">
            <v>L60X30X5</v>
          </cell>
          <cell r="D153">
            <v>4.29</v>
          </cell>
          <cell r="E153">
            <v>3.37</v>
          </cell>
        </row>
        <row r="154">
          <cell r="C154" t="str">
            <v>L60X40X5</v>
          </cell>
          <cell r="D154">
            <v>4.79</v>
          </cell>
          <cell r="E154">
            <v>3.76</v>
          </cell>
        </row>
        <row r="155">
          <cell r="C155" t="str">
            <v>L60X40X6</v>
          </cell>
          <cell r="D155">
            <v>5.68</v>
          </cell>
          <cell r="E155">
            <v>4.46</v>
          </cell>
        </row>
        <row r="156">
          <cell r="C156" t="str">
            <v>L60X40X7</v>
          </cell>
          <cell r="D156">
            <v>6.55</v>
          </cell>
          <cell r="E156">
            <v>5.14</v>
          </cell>
        </row>
        <row r="157">
          <cell r="C157" t="str">
            <v>L65X50X5</v>
          </cell>
          <cell r="D157">
            <v>5.54</v>
          </cell>
          <cell r="E157">
            <v>4.3499999999999996</v>
          </cell>
        </row>
        <row r="158">
          <cell r="C158" t="str">
            <v>L65X50X7</v>
          </cell>
          <cell r="D158">
            <v>7.6</v>
          </cell>
          <cell r="E158">
            <v>5.97</v>
          </cell>
        </row>
        <row r="159">
          <cell r="C159" t="str">
            <v>L65X50X9</v>
          </cell>
          <cell r="D159">
            <v>9.58</v>
          </cell>
          <cell r="E159">
            <v>7.52</v>
          </cell>
        </row>
        <row r="160">
          <cell r="C160" t="str">
            <v>L70X50X6</v>
          </cell>
          <cell r="D160">
            <v>6.88</v>
          </cell>
          <cell r="E160">
            <v>5.4</v>
          </cell>
        </row>
        <row r="161">
          <cell r="C161" t="str">
            <v>L75X50X7</v>
          </cell>
          <cell r="D161">
            <v>8.3000000000000007</v>
          </cell>
          <cell r="E161">
            <v>6.51</v>
          </cell>
        </row>
        <row r="162">
          <cell r="C162" t="str">
            <v>L75X50X9</v>
          </cell>
          <cell r="D162">
            <v>10.5</v>
          </cell>
          <cell r="E162">
            <v>8.23</v>
          </cell>
        </row>
        <row r="163">
          <cell r="C163" t="str">
            <v>L75X55X5</v>
          </cell>
          <cell r="D163">
            <v>6.3</v>
          </cell>
          <cell r="E163">
            <v>4.95</v>
          </cell>
        </row>
        <row r="164">
          <cell r="C164" t="str">
            <v>L75X55X7</v>
          </cell>
          <cell r="D164">
            <v>8.66</v>
          </cell>
          <cell r="E164">
            <v>6.8</v>
          </cell>
        </row>
        <row r="165">
          <cell r="C165" t="str">
            <v>L75X55X9</v>
          </cell>
          <cell r="D165">
            <v>10.9</v>
          </cell>
          <cell r="E165">
            <v>8.59</v>
          </cell>
        </row>
        <row r="166">
          <cell r="C166" t="str">
            <v>L80X40X6</v>
          </cell>
          <cell r="D166">
            <v>6.89</v>
          </cell>
          <cell r="E166">
            <v>5.41</v>
          </cell>
        </row>
        <row r="167">
          <cell r="C167" t="str">
            <v>L80X40X8</v>
          </cell>
          <cell r="D167">
            <v>9.01</v>
          </cell>
          <cell r="E167">
            <v>7.07</v>
          </cell>
        </row>
        <row r="168">
          <cell r="C168" t="str">
            <v>L80X60X7</v>
          </cell>
          <cell r="D168">
            <v>9.3800000000000008</v>
          </cell>
          <cell r="E168">
            <v>7.36</v>
          </cell>
        </row>
        <row r="169">
          <cell r="C169" t="str">
            <v>L80X65X8</v>
          </cell>
          <cell r="D169">
            <v>11</v>
          </cell>
          <cell r="E169">
            <v>8.66</v>
          </cell>
        </row>
        <row r="170">
          <cell r="C170" t="str">
            <v>L80X65X10</v>
          </cell>
          <cell r="D170">
            <v>13.6</v>
          </cell>
          <cell r="E170">
            <v>10.7</v>
          </cell>
        </row>
        <row r="171">
          <cell r="C171" t="str">
            <v>L90X60X6</v>
          </cell>
          <cell r="D171">
            <v>8.69</v>
          </cell>
          <cell r="E171">
            <v>6.82</v>
          </cell>
        </row>
        <row r="172">
          <cell r="C172" t="str">
            <v>L90X60X8</v>
          </cell>
          <cell r="D172">
            <v>11.4</v>
          </cell>
          <cell r="E172">
            <v>8.9600000000000009</v>
          </cell>
        </row>
        <row r="173">
          <cell r="C173" t="str">
            <v>L20X3</v>
          </cell>
          <cell r="D173">
            <v>1.1200000000000001</v>
          </cell>
          <cell r="E173">
            <v>0.88</v>
          </cell>
        </row>
        <row r="174">
          <cell r="C174" t="str">
            <v>L25X3</v>
          </cell>
          <cell r="D174">
            <v>1.42</v>
          </cell>
          <cell r="E174">
            <v>1.1200000000000001</v>
          </cell>
        </row>
        <row r="175">
          <cell r="C175" t="str">
            <v>L25X4</v>
          </cell>
          <cell r="D175">
            <v>1.85</v>
          </cell>
          <cell r="E175">
            <v>1.45</v>
          </cell>
        </row>
        <row r="176">
          <cell r="C176" t="str">
            <v>L30X3</v>
          </cell>
          <cell r="D176">
            <v>1.74</v>
          </cell>
          <cell r="E176">
            <v>1.36</v>
          </cell>
        </row>
        <row r="177">
          <cell r="C177" t="str">
            <v>L30X4</v>
          </cell>
          <cell r="D177">
            <v>2.27</v>
          </cell>
          <cell r="E177">
            <v>1.78</v>
          </cell>
        </row>
        <row r="178">
          <cell r="C178" t="str">
            <v>L30X5</v>
          </cell>
          <cell r="D178">
            <v>2.78</v>
          </cell>
          <cell r="E178">
            <v>2.1800000000000002</v>
          </cell>
        </row>
        <row r="179">
          <cell r="C179" t="str">
            <v>L35X4</v>
          </cell>
          <cell r="D179">
            <v>2.67</v>
          </cell>
          <cell r="E179">
            <v>2.1</v>
          </cell>
        </row>
        <row r="180">
          <cell r="C180" t="str">
            <v>L35X5</v>
          </cell>
          <cell r="D180">
            <v>3.28</v>
          </cell>
          <cell r="E180">
            <v>2.57</v>
          </cell>
        </row>
        <row r="181">
          <cell r="C181" t="str">
            <v>L40X4</v>
          </cell>
          <cell r="D181">
            <v>3.08</v>
          </cell>
          <cell r="E181">
            <v>2.42</v>
          </cell>
        </row>
        <row r="182">
          <cell r="C182" t="str">
            <v>L40X5</v>
          </cell>
          <cell r="D182">
            <v>3.79</v>
          </cell>
          <cell r="E182">
            <v>2.79</v>
          </cell>
        </row>
        <row r="183">
          <cell r="C183" t="str">
            <v>L45X4</v>
          </cell>
          <cell r="D183">
            <v>3.49</v>
          </cell>
          <cell r="E183">
            <v>2.74</v>
          </cell>
        </row>
        <row r="184">
          <cell r="C184" t="str">
            <v>L45X5</v>
          </cell>
          <cell r="D184">
            <v>4.3</v>
          </cell>
          <cell r="E184">
            <v>3.38</v>
          </cell>
        </row>
        <row r="185">
          <cell r="C185" t="str">
            <v>L50X5</v>
          </cell>
          <cell r="D185">
            <v>4.8</v>
          </cell>
          <cell r="E185">
            <v>3.77</v>
          </cell>
        </row>
        <row r="186">
          <cell r="C186" t="str">
            <v>L50X6</v>
          </cell>
          <cell r="D186">
            <v>5.69</v>
          </cell>
          <cell r="E186">
            <v>4.47</v>
          </cell>
        </row>
        <row r="187">
          <cell r="C187" t="str">
            <v>L50X7</v>
          </cell>
          <cell r="D187">
            <v>6.56</v>
          </cell>
          <cell r="E187">
            <v>5.15</v>
          </cell>
        </row>
        <row r="188">
          <cell r="C188" t="str">
            <v>L55X6</v>
          </cell>
          <cell r="D188">
            <v>6.31</v>
          </cell>
          <cell r="E188">
            <v>4.95</v>
          </cell>
        </row>
        <row r="189">
          <cell r="C189" t="str">
            <v>L60X5</v>
          </cell>
          <cell r="D189">
            <v>5.82</v>
          </cell>
          <cell r="E189">
            <v>4.57</v>
          </cell>
        </row>
        <row r="190">
          <cell r="C190" t="str">
            <v>L60X6</v>
          </cell>
          <cell r="D190">
            <v>6.91</v>
          </cell>
          <cell r="E190">
            <v>5.42</v>
          </cell>
        </row>
        <row r="191">
          <cell r="C191" t="str">
            <v>L60X8</v>
          </cell>
          <cell r="D191">
            <v>9.0299999999999994</v>
          </cell>
          <cell r="E191">
            <v>7.09</v>
          </cell>
        </row>
        <row r="192">
          <cell r="C192" t="str">
            <v>L65X7</v>
          </cell>
          <cell r="D192">
            <v>8.6999999999999993</v>
          </cell>
          <cell r="E192">
            <v>6.83</v>
          </cell>
        </row>
        <row r="193">
          <cell r="C193" t="str">
            <v>L70X6</v>
          </cell>
          <cell r="D193">
            <v>8.1300000000000008</v>
          </cell>
          <cell r="E193">
            <v>6.38</v>
          </cell>
        </row>
        <row r="194">
          <cell r="C194" t="str">
            <v>L70x7</v>
          </cell>
          <cell r="D194">
            <v>9.4</v>
          </cell>
          <cell r="E194">
            <v>7.38</v>
          </cell>
        </row>
        <row r="195">
          <cell r="C195" t="str">
            <v>L70X9</v>
          </cell>
          <cell r="D195">
            <v>11.9</v>
          </cell>
          <cell r="E195">
            <v>9.34</v>
          </cell>
        </row>
        <row r="196">
          <cell r="C196" t="str">
            <v>L75X7</v>
          </cell>
          <cell r="D196">
            <v>10.1</v>
          </cell>
          <cell r="E196">
            <v>7.94</v>
          </cell>
        </row>
        <row r="197">
          <cell r="C197" t="str">
            <v>L75X8</v>
          </cell>
          <cell r="D197">
            <v>11.5</v>
          </cell>
          <cell r="E197">
            <v>9.0299999999999994</v>
          </cell>
        </row>
        <row r="198">
          <cell r="C198" t="str">
            <v>L80X6</v>
          </cell>
          <cell r="D198">
            <v>9.35</v>
          </cell>
          <cell r="E198">
            <v>7.34</v>
          </cell>
        </row>
        <row r="199">
          <cell r="C199" t="str">
            <v>L80X8</v>
          </cell>
          <cell r="D199">
            <v>12.3</v>
          </cell>
          <cell r="E199">
            <v>9.66</v>
          </cell>
        </row>
        <row r="200">
          <cell r="C200" t="str">
            <v>L80X10</v>
          </cell>
          <cell r="D200">
            <v>15.1</v>
          </cell>
          <cell r="E200">
            <v>11.9</v>
          </cell>
        </row>
        <row r="201">
          <cell r="C201" t="str">
            <v>L90X7</v>
          </cell>
          <cell r="D201">
            <v>12.2</v>
          </cell>
          <cell r="E201">
            <v>9.61</v>
          </cell>
        </row>
        <row r="202">
          <cell r="C202" t="str">
            <v>L90X9</v>
          </cell>
          <cell r="D202">
            <v>15.5</v>
          </cell>
          <cell r="E202">
            <v>12.2</v>
          </cell>
        </row>
        <row r="203">
          <cell r="C203" t="str">
            <v>L100X8</v>
          </cell>
          <cell r="D203">
            <v>15.5</v>
          </cell>
          <cell r="E203">
            <v>12.2</v>
          </cell>
        </row>
        <row r="204">
          <cell r="C204" t="str">
            <v>L100X10</v>
          </cell>
          <cell r="D204">
            <v>19.2</v>
          </cell>
          <cell r="E204">
            <v>15.1</v>
          </cell>
        </row>
        <row r="205">
          <cell r="C205" t="str">
            <v>L100X12</v>
          </cell>
          <cell r="D205">
            <v>22.7</v>
          </cell>
          <cell r="E205">
            <v>17.8</v>
          </cell>
        </row>
        <row r="206">
          <cell r="C206" t="str">
            <v>L110X10</v>
          </cell>
          <cell r="D206">
            <v>21.2</v>
          </cell>
          <cell r="E206">
            <v>16.600000000000001</v>
          </cell>
        </row>
        <row r="207">
          <cell r="C207" t="str">
            <v>L120X10</v>
          </cell>
          <cell r="D207">
            <v>23.2</v>
          </cell>
          <cell r="E207">
            <v>18.2</v>
          </cell>
        </row>
        <row r="208">
          <cell r="C208" t="str">
            <v>L120X11</v>
          </cell>
          <cell r="D208">
            <v>25.4</v>
          </cell>
          <cell r="E208">
            <v>19.899999999999999</v>
          </cell>
        </row>
        <row r="209">
          <cell r="C209" t="str">
            <v>L120X12</v>
          </cell>
          <cell r="D209">
            <v>27.5</v>
          </cell>
          <cell r="E209">
            <v>21.6</v>
          </cell>
        </row>
        <row r="210">
          <cell r="C210" t="str">
            <v>L130X12</v>
          </cell>
          <cell r="D210">
            <v>30</v>
          </cell>
          <cell r="E210">
            <v>23.6</v>
          </cell>
        </row>
        <row r="211">
          <cell r="C211" t="str">
            <v>L140X13</v>
          </cell>
          <cell r="D211">
            <v>35</v>
          </cell>
          <cell r="E211">
            <v>27.5</v>
          </cell>
        </row>
        <row r="212">
          <cell r="C212" t="str">
            <v>L150X12</v>
          </cell>
          <cell r="D212">
            <v>34.799999999999997</v>
          </cell>
          <cell r="E212">
            <v>27.3</v>
          </cell>
        </row>
        <row r="213">
          <cell r="C213" t="str">
            <v>L150X14</v>
          </cell>
          <cell r="D213">
            <v>40.299999999999997</v>
          </cell>
          <cell r="E213">
            <v>31.6</v>
          </cell>
        </row>
        <row r="214">
          <cell r="C214" t="str">
            <v>L150X15</v>
          </cell>
          <cell r="D214">
            <v>43</v>
          </cell>
          <cell r="E214">
            <v>33.799999999999997</v>
          </cell>
        </row>
        <row r="215">
          <cell r="C215" t="str">
            <v>L160X15</v>
          </cell>
          <cell r="D215">
            <v>46.1</v>
          </cell>
          <cell r="E215">
            <v>36.200000000000003</v>
          </cell>
        </row>
        <row r="216">
          <cell r="C216" t="str">
            <v>L160X17</v>
          </cell>
          <cell r="D216">
            <v>51.8</v>
          </cell>
          <cell r="E216">
            <v>40.700000000000003</v>
          </cell>
        </row>
        <row r="217">
          <cell r="C217" t="str">
            <v>L180X16</v>
          </cell>
          <cell r="D217">
            <v>55.4</v>
          </cell>
          <cell r="E217">
            <v>43.5</v>
          </cell>
        </row>
        <row r="218">
          <cell r="C218" t="str">
            <v>L180X18</v>
          </cell>
          <cell r="D218">
            <v>61.9</v>
          </cell>
          <cell r="E218">
            <v>48.6</v>
          </cell>
        </row>
        <row r="219">
          <cell r="C219" t="str">
            <v>L200X16</v>
          </cell>
          <cell r="D219">
            <v>61.8</v>
          </cell>
          <cell r="E219">
            <v>48.5</v>
          </cell>
        </row>
        <row r="220">
          <cell r="C220" t="str">
            <v>L200X18</v>
          </cell>
          <cell r="D220">
            <v>69.099999999999994</v>
          </cell>
          <cell r="E220">
            <v>54.2</v>
          </cell>
        </row>
        <row r="221">
          <cell r="C221" t="str">
            <v>L200X20</v>
          </cell>
          <cell r="D221">
            <v>76.3</v>
          </cell>
          <cell r="E221">
            <v>59.9</v>
          </cell>
        </row>
        <row r="222">
          <cell r="C222" t="str">
            <v>L200X24</v>
          </cell>
          <cell r="D222">
            <v>90.6</v>
          </cell>
          <cell r="E222">
            <v>71.099999999999994</v>
          </cell>
        </row>
        <row r="223">
          <cell r="C223" t="str">
            <v>CFS30X25X4</v>
          </cell>
          <cell r="D223">
            <v>2.61</v>
          </cell>
          <cell r="E223">
            <v>1.98</v>
          </cell>
        </row>
        <row r="224">
          <cell r="C224" t="str">
            <v>CFS40X20X4</v>
          </cell>
          <cell r="D224">
            <v>2.61</v>
          </cell>
          <cell r="E224">
            <v>1.98</v>
          </cell>
        </row>
        <row r="225">
          <cell r="C225" t="str">
            <v>CFS40X24X4</v>
          </cell>
          <cell r="D225">
            <v>2.93</v>
          </cell>
          <cell r="E225">
            <v>2.23</v>
          </cell>
        </row>
        <row r="226">
          <cell r="C226" t="str">
            <v>CFS50X25X4</v>
          </cell>
          <cell r="D226">
            <v>3.41</v>
          </cell>
          <cell r="E226">
            <v>2.6</v>
          </cell>
        </row>
        <row r="227">
          <cell r="C227" t="str">
            <v>CFS50X35X4</v>
          </cell>
          <cell r="D227">
            <v>4.21</v>
          </cell>
          <cell r="E227">
            <v>3.24</v>
          </cell>
        </row>
        <row r="228">
          <cell r="C228" t="str">
            <v>CFS60X30X4</v>
          </cell>
          <cell r="D228">
            <v>4.21</v>
          </cell>
          <cell r="E228">
            <v>3.24</v>
          </cell>
        </row>
        <row r="229">
          <cell r="C229" t="str">
            <v>CFS65X38X4</v>
          </cell>
          <cell r="D229">
            <v>5.05</v>
          </cell>
          <cell r="E229">
            <v>3.9</v>
          </cell>
        </row>
        <row r="230">
          <cell r="C230" t="str">
            <v>CFS70X25X4</v>
          </cell>
          <cell r="D230">
            <v>4.21</v>
          </cell>
          <cell r="E230">
            <v>3.24</v>
          </cell>
        </row>
        <row r="231">
          <cell r="C231" t="str">
            <v>CFS80X45X4</v>
          </cell>
          <cell r="D231">
            <v>6.21</v>
          </cell>
          <cell r="E231">
            <v>4.8</v>
          </cell>
        </row>
        <row r="232">
          <cell r="C232" t="str">
            <v>CFS100X50X4</v>
          </cell>
          <cell r="D232">
            <v>7.41</v>
          </cell>
          <cell r="E232">
            <v>5.75</v>
          </cell>
        </row>
        <row r="233">
          <cell r="C233" t="str">
            <v>CFS120X60X4</v>
          </cell>
          <cell r="D233">
            <v>8.9700000000000006</v>
          </cell>
          <cell r="E233">
            <v>7.03</v>
          </cell>
        </row>
        <row r="234">
          <cell r="C234" t="str">
            <v>CFS140X65X4</v>
          </cell>
          <cell r="D234">
            <v>10.199999999999999</v>
          </cell>
          <cell r="E234">
            <v>7.94</v>
          </cell>
        </row>
        <row r="235">
          <cell r="C235" t="str">
            <v>CFS160X65X4</v>
          </cell>
          <cell r="D235">
            <v>11</v>
          </cell>
          <cell r="E235">
            <v>8.57</v>
          </cell>
        </row>
        <row r="236">
          <cell r="C236" t="str">
            <v>CFS180X80X4</v>
          </cell>
          <cell r="D236">
            <v>13.1</v>
          </cell>
          <cell r="E236">
            <v>10.3</v>
          </cell>
        </row>
      </sheetData>
      <sheetData sheetId="8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Chk_File"/>
      <sheetName val="Data"/>
      <sheetName val="elimination entries"/>
      <sheetName val="BS LD"/>
      <sheetName val="IS"/>
      <sheetName val="Fixed assets"/>
      <sheetName val="FA Surplus"/>
      <sheetName val="Imperment"/>
      <sheetName val="Provisions"/>
      <sheetName val="RP Balance"/>
      <sheetName val="Fixed assets R F"/>
      <sheetName val="Equity"/>
      <sheetName val="Magority Interest"/>
      <sheetName val="Minority Interest"/>
      <sheetName val="EE at date of acq."/>
      <sheetName val="Inv. since date of acqusition"/>
      <sheetName val="Sigments"/>
      <sheetName val="Balance Sheet"/>
      <sheetName val="Income Statement"/>
      <sheetName val="Shareholders' Equit"/>
      <sheetName val="Cash flow"/>
    </sheetNames>
    <sheetDataSet>
      <sheetData sheetId="0"/>
      <sheetData sheetId="1"/>
      <sheetData sheetId="2"/>
      <sheetData sheetId="3">
        <row r="8">
          <cell r="B8">
            <v>30101000</v>
          </cell>
          <cell r="C8" t="str">
            <v>Dr.</v>
          </cell>
          <cell r="D8" t="str">
            <v>Dr. Owners Equity</v>
          </cell>
          <cell r="F8" t="str">
            <v>Capital</v>
          </cell>
          <cell r="J8">
            <v>0</v>
          </cell>
          <cell r="K8">
            <v>0</v>
          </cell>
          <cell r="L8">
            <v>0</v>
          </cell>
        </row>
        <row r="9">
          <cell r="B9">
            <v>30301000</v>
          </cell>
          <cell r="C9" t="str">
            <v>Dr.</v>
          </cell>
          <cell r="D9" t="str">
            <v>Dr. Owners Equity</v>
          </cell>
          <cell r="F9" t="str">
            <v>Reserves</v>
          </cell>
          <cell r="J9">
            <v>0</v>
          </cell>
          <cell r="K9">
            <v>0</v>
          </cell>
          <cell r="L9">
            <v>0</v>
          </cell>
        </row>
        <row r="10">
          <cell r="B10">
            <v>30401000</v>
          </cell>
          <cell r="C10" t="str">
            <v>Dr.</v>
          </cell>
          <cell r="D10" t="str">
            <v>Dr. Owners Equity</v>
          </cell>
          <cell r="F10" t="str">
            <v>RE + NP - RE 6Months Nincome</v>
          </cell>
          <cell r="J10">
            <v>0</v>
          </cell>
          <cell r="K10">
            <v>0</v>
          </cell>
          <cell r="L10">
            <v>0</v>
          </cell>
        </row>
        <row r="11">
          <cell r="B11">
            <v>10100100</v>
          </cell>
          <cell r="C11" t="str">
            <v>Dr.</v>
          </cell>
          <cell r="D11" t="str">
            <v>Dr. Fixed asset (surplus)</v>
          </cell>
          <cell r="F11" t="str">
            <v>Land</v>
          </cell>
          <cell r="J11">
            <v>0</v>
          </cell>
          <cell r="K11">
            <v>0</v>
          </cell>
          <cell r="L11">
            <v>0</v>
          </cell>
        </row>
        <row r="12">
          <cell r="B12">
            <v>10100110</v>
          </cell>
          <cell r="C12" t="str">
            <v>Dr.</v>
          </cell>
          <cell r="D12" t="str">
            <v>Dr. Fixed asset (surplus)</v>
          </cell>
          <cell r="F12" t="str">
            <v>Buildings and constructions</v>
          </cell>
          <cell r="J12">
            <v>0</v>
          </cell>
          <cell r="K12">
            <v>0</v>
          </cell>
          <cell r="L12">
            <v>0</v>
          </cell>
        </row>
        <row r="13">
          <cell r="B13">
            <v>10100120</v>
          </cell>
          <cell r="C13" t="str">
            <v>Dr.</v>
          </cell>
          <cell r="D13" t="str">
            <v>Dr. Fixed asset (surplus)</v>
          </cell>
          <cell r="F13" t="str">
            <v>Machinery and equipment</v>
          </cell>
          <cell r="J13">
            <v>0</v>
          </cell>
          <cell r="K13">
            <v>0</v>
          </cell>
          <cell r="L13">
            <v>0</v>
          </cell>
        </row>
        <row r="14">
          <cell r="B14">
            <v>10100190</v>
          </cell>
          <cell r="C14" t="str">
            <v>Dr.</v>
          </cell>
          <cell r="D14" t="str">
            <v>Dr. Fixed asset (surplus)</v>
          </cell>
          <cell r="F14" t="str">
            <v>Vehicles and Transportation means</v>
          </cell>
          <cell r="J14">
            <v>0</v>
          </cell>
          <cell r="K14">
            <v>0</v>
          </cell>
          <cell r="L14">
            <v>0</v>
          </cell>
        </row>
        <row r="15">
          <cell r="B15">
            <v>10100160</v>
          </cell>
          <cell r="C15" t="str">
            <v>Dr.</v>
          </cell>
          <cell r="D15" t="str">
            <v>Dr. Fixed asset (surplus)</v>
          </cell>
          <cell r="F15" t="str">
            <v>Furniture and Office Equipments</v>
          </cell>
          <cell r="J15">
            <v>0</v>
          </cell>
          <cell r="K15">
            <v>0</v>
          </cell>
          <cell r="L15">
            <v>0</v>
          </cell>
        </row>
        <row r="16">
          <cell r="B16">
            <v>10100150</v>
          </cell>
          <cell r="C16" t="str">
            <v>Dr.</v>
          </cell>
          <cell r="D16" t="str">
            <v>Dr. Fixed asset (surplus)</v>
          </cell>
          <cell r="F16" t="str">
            <v>Safty &amp; Equipments</v>
          </cell>
          <cell r="J16">
            <v>0</v>
          </cell>
          <cell r="K16">
            <v>0</v>
          </cell>
          <cell r="L16">
            <v>0</v>
          </cell>
        </row>
        <row r="17">
          <cell r="B17">
            <v>10400100</v>
          </cell>
          <cell r="C17" t="str">
            <v>Dr.</v>
          </cell>
          <cell r="D17" t="str">
            <v>Dr/Cr. Goodwill Balance Sheet</v>
          </cell>
          <cell r="J17">
            <v>0</v>
          </cell>
          <cell r="K17">
            <v>0</v>
          </cell>
          <cell r="L17">
            <v>0</v>
          </cell>
        </row>
        <row r="18">
          <cell r="B18">
            <v>39101000</v>
          </cell>
          <cell r="C18" t="str">
            <v>Cr.</v>
          </cell>
          <cell r="E18" t="str">
            <v>Cr Minority interest</v>
          </cell>
          <cell r="G18" t="str">
            <v>Capital</v>
          </cell>
          <cell r="J18">
            <v>0</v>
          </cell>
          <cell r="K18">
            <v>0</v>
          </cell>
          <cell r="L18">
            <v>0</v>
          </cell>
        </row>
        <row r="19">
          <cell r="B19">
            <v>39301000</v>
          </cell>
          <cell r="C19" t="str">
            <v>Cr.</v>
          </cell>
          <cell r="E19" t="str">
            <v>Cr Minority interest</v>
          </cell>
          <cell r="G19" t="str">
            <v>Reserves</v>
          </cell>
          <cell r="J19">
            <v>0</v>
          </cell>
          <cell r="K19">
            <v>0</v>
          </cell>
          <cell r="L19">
            <v>0</v>
          </cell>
        </row>
        <row r="20">
          <cell r="B20">
            <v>39401000</v>
          </cell>
          <cell r="C20" t="str">
            <v>Cr.</v>
          </cell>
          <cell r="E20" t="str">
            <v>Cr Minority interest</v>
          </cell>
          <cell r="G20" t="str">
            <v>RE</v>
          </cell>
          <cell r="J20">
            <v>0</v>
          </cell>
          <cell r="K20">
            <v>0</v>
          </cell>
          <cell r="L20">
            <v>0</v>
          </cell>
        </row>
        <row r="21">
          <cell r="B21">
            <v>39401020</v>
          </cell>
          <cell r="C21" t="str">
            <v>Cr.</v>
          </cell>
          <cell r="E21" t="str">
            <v>Cr Minority interest</v>
          </cell>
          <cell r="G21" t="str">
            <v>Fixed assets revaluation</v>
          </cell>
          <cell r="J21">
            <v>0</v>
          </cell>
          <cell r="K21">
            <v>0</v>
          </cell>
          <cell r="L21">
            <v>0</v>
          </cell>
        </row>
        <row r="22">
          <cell r="B22">
            <v>10300108</v>
          </cell>
          <cell r="C22" t="str">
            <v>Cr.</v>
          </cell>
          <cell r="E22" t="str">
            <v>Cr. Investment</v>
          </cell>
          <cell r="G22" t="str">
            <v>Esaco</v>
          </cell>
          <cell r="J22">
            <v>0</v>
          </cell>
          <cell r="K22">
            <v>0</v>
          </cell>
          <cell r="L22">
            <v>0</v>
          </cell>
        </row>
        <row r="25">
          <cell r="B25">
            <v>30101000</v>
          </cell>
          <cell r="C25" t="str">
            <v>Cr.</v>
          </cell>
          <cell r="D25" t="str">
            <v>Dr. Capital</v>
          </cell>
          <cell r="J25">
            <v>0</v>
          </cell>
          <cell r="K25">
            <v>0</v>
          </cell>
          <cell r="L25">
            <v>0</v>
          </cell>
        </row>
        <row r="26">
          <cell r="B26">
            <v>30201000</v>
          </cell>
          <cell r="C26" t="str">
            <v>Cr.</v>
          </cell>
          <cell r="D26" t="str">
            <v>Dr. Payment under capital increase</v>
          </cell>
          <cell r="J26">
            <v>0</v>
          </cell>
          <cell r="K26">
            <v>-5000000</v>
          </cell>
          <cell r="L26">
            <v>-5000000</v>
          </cell>
        </row>
        <row r="27">
          <cell r="B27">
            <v>10300102</v>
          </cell>
          <cell r="C27" t="str">
            <v>Cr.</v>
          </cell>
          <cell r="E27" t="str">
            <v>Cr. Investment</v>
          </cell>
          <cell r="H27" t="str">
            <v>Aresco</v>
          </cell>
          <cell r="J27">
            <v>0</v>
          </cell>
          <cell r="K27">
            <v>0</v>
          </cell>
          <cell r="L27">
            <v>0</v>
          </cell>
        </row>
        <row r="28">
          <cell r="B28">
            <v>10300107</v>
          </cell>
          <cell r="C28" t="str">
            <v>Dr.</v>
          </cell>
          <cell r="E28" t="str">
            <v>Cr. Investment</v>
          </cell>
          <cell r="H28" t="str">
            <v>Ach</v>
          </cell>
          <cell r="J28">
            <v>0</v>
          </cell>
          <cell r="K28">
            <v>0</v>
          </cell>
          <cell r="L28">
            <v>0</v>
          </cell>
        </row>
        <row r="29">
          <cell r="B29">
            <v>10300106</v>
          </cell>
          <cell r="C29" t="str">
            <v>Cr.</v>
          </cell>
          <cell r="E29" t="str">
            <v>Cr. Investment</v>
          </cell>
          <cell r="H29" t="str">
            <v>United</v>
          </cell>
          <cell r="J29">
            <v>0</v>
          </cell>
          <cell r="K29">
            <v>0</v>
          </cell>
          <cell r="L29">
            <v>0</v>
          </cell>
        </row>
        <row r="30">
          <cell r="B30">
            <v>10302007</v>
          </cell>
          <cell r="C30" t="str">
            <v>Dr.</v>
          </cell>
          <cell r="E30" t="str">
            <v>Cr. Payment under Investment</v>
          </cell>
          <cell r="H30" t="str">
            <v>Ach</v>
          </cell>
          <cell r="J30">
            <v>0</v>
          </cell>
          <cell r="K30">
            <v>0</v>
          </cell>
          <cell r="L30">
            <v>0</v>
          </cell>
        </row>
        <row r="31">
          <cell r="B31">
            <v>10302006</v>
          </cell>
          <cell r="C31" t="str">
            <v>Dr.</v>
          </cell>
          <cell r="E31" t="str">
            <v>Cr. Payment under Investment</v>
          </cell>
          <cell r="H31" t="str">
            <v>United</v>
          </cell>
          <cell r="J31">
            <v>5000000</v>
          </cell>
          <cell r="K31">
            <v>0</v>
          </cell>
          <cell r="L31">
            <v>5000000</v>
          </cell>
        </row>
        <row r="32">
          <cell r="B32">
            <v>39101000</v>
          </cell>
          <cell r="C32" t="str">
            <v>Dr.</v>
          </cell>
          <cell r="E32" t="str">
            <v>Cr. Minority interest</v>
          </cell>
          <cell r="G32" t="str">
            <v>Capital</v>
          </cell>
          <cell r="J32">
            <v>0</v>
          </cell>
          <cell r="K32">
            <v>0</v>
          </cell>
          <cell r="L32">
            <v>0</v>
          </cell>
        </row>
        <row r="33">
          <cell r="B33">
            <v>39201000</v>
          </cell>
          <cell r="C33" t="str">
            <v>Dr.</v>
          </cell>
          <cell r="E33" t="str">
            <v>Cr. Minority interest</v>
          </cell>
          <cell r="G33" t="str">
            <v>Reserves for capital increase</v>
          </cell>
          <cell r="J33">
            <v>0</v>
          </cell>
          <cell r="K33">
            <v>0</v>
          </cell>
          <cell r="L33">
            <v>0</v>
          </cell>
        </row>
        <row r="37">
          <cell r="B37">
            <v>30301000</v>
          </cell>
          <cell r="C37" t="str">
            <v>Dr.</v>
          </cell>
          <cell r="D37" t="str">
            <v>Dr.</v>
          </cell>
          <cell r="E37" t="str">
            <v>Reserves</v>
          </cell>
          <cell r="J37">
            <v>0</v>
          </cell>
          <cell r="K37">
            <v>0</v>
          </cell>
          <cell r="L37">
            <v>0</v>
          </cell>
        </row>
        <row r="38">
          <cell r="B38">
            <v>30401000</v>
          </cell>
          <cell r="C38" t="str">
            <v>Cr.</v>
          </cell>
          <cell r="E38" t="str">
            <v>Cr. Retained earnings</v>
          </cell>
          <cell r="J38">
            <v>0</v>
          </cell>
          <cell r="K38">
            <v>0</v>
          </cell>
          <cell r="L38">
            <v>0</v>
          </cell>
        </row>
        <row r="42">
          <cell r="B42">
            <v>39401000</v>
          </cell>
          <cell r="C42" t="str">
            <v>Dr.</v>
          </cell>
          <cell r="D42" t="str">
            <v>Dr. Minority Interest</v>
          </cell>
          <cell r="F42" t="str">
            <v>Retained earnings</v>
          </cell>
          <cell r="H42" t="str">
            <v>ACH</v>
          </cell>
          <cell r="J42">
            <v>0</v>
          </cell>
          <cell r="K42">
            <v>0</v>
          </cell>
          <cell r="L42">
            <v>0</v>
          </cell>
        </row>
        <row r="43">
          <cell r="B43">
            <v>39301000</v>
          </cell>
          <cell r="C43" t="str">
            <v>Cr.</v>
          </cell>
          <cell r="E43" t="str">
            <v>Dr. Minority interest</v>
          </cell>
          <cell r="G43" t="str">
            <v>Reserves</v>
          </cell>
          <cell r="H43" t="str">
            <v>ACH</v>
          </cell>
          <cell r="J43">
            <v>0</v>
          </cell>
          <cell r="K43">
            <v>0</v>
          </cell>
          <cell r="L43">
            <v>0</v>
          </cell>
        </row>
        <row r="47">
          <cell r="B47">
            <v>401</v>
          </cell>
          <cell r="C47" t="str">
            <v>Dr.</v>
          </cell>
          <cell r="D47" t="str">
            <v>Dr. Sales intercompany</v>
          </cell>
          <cell r="J47">
            <v>19919547.48</v>
          </cell>
          <cell r="K47">
            <v>0</v>
          </cell>
          <cell r="L47">
            <v>19919547.48</v>
          </cell>
        </row>
        <row r="48">
          <cell r="B48">
            <v>415</v>
          </cell>
          <cell r="C48" t="str">
            <v>Dr.</v>
          </cell>
          <cell r="D48" t="str">
            <v>Dr. Otheer operating Income - Asec Eng</v>
          </cell>
          <cell r="J48">
            <v>0</v>
          </cell>
          <cell r="K48">
            <v>0</v>
          </cell>
          <cell r="L48">
            <v>0</v>
          </cell>
        </row>
        <row r="49">
          <cell r="B49">
            <v>201</v>
          </cell>
          <cell r="C49" t="str">
            <v>Cr.</v>
          </cell>
          <cell r="E49" t="str">
            <v>Cr. COGS intercompany</v>
          </cell>
          <cell r="J49">
            <v>0</v>
          </cell>
          <cell r="K49">
            <v>-19919547.48</v>
          </cell>
          <cell r="L49">
            <v>-19919547.48</v>
          </cell>
        </row>
        <row r="50">
          <cell r="B50">
            <v>215</v>
          </cell>
          <cell r="C50" t="str">
            <v>Cr.</v>
          </cell>
          <cell r="E50" t="str">
            <v>Cr. Otheer operating Cost - Asec Eng</v>
          </cell>
          <cell r="J50">
            <v>0</v>
          </cell>
          <cell r="K50">
            <v>0</v>
          </cell>
          <cell r="L50">
            <v>0</v>
          </cell>
        </row>
        <row r="53">
          <cell r="B53">
            <v>402</v>
          </cell>
          <cell r="C53" t="str">
            <v>Dr.</v>
          </cell>
          <cell r="D53" t="str">
            <v>Dr. Sales intercompany</v>
          </cell>
          <cell r="J53">
            <v>0</v>
          </cell>
          <cell r="K53">
            <v>0</v>
          </cell>
          <cell r="L53">
            <v>0</v>
          </cell>
        </row>
        <row r="54">
          <cell r="B54">
            <v>201</v>
          </cell>
          <cell r="C54" t="str">
            <v>Cr.</v>
          </cell>
          <cell r="E54" t="str">
            <v>Cr. COGS</v>
          </cell>
          <cell r="J54">
            <v>0</v>
          </cell>
          <cell r="K54">
            <v>0</v>
          </cell>
          <cell r="L54">
            <v>0</v>
          </cell>
        </row>
        <row r="55">
          <cell r="B55">
            <v>10200100</v>
          </cell>
          <cell r="C55" t="str">
            <v>Cr.</v>
          </cell>
          <cell r="E55" t="str">
            <v>Cr. PUC</v>
          </cell>
          <cell r="J55">
            <v>0</v>
          </cell>
          <cell r="K55">
            <v>0</v>
          </cell>
          <cell r="L55">
            <v>0</v>
          </cell>
        </row>
        <row r="59">
          <cell r="B59">
            <v>401</v>
          </cell>
          <cell r="C59" t="str">
            <v>Dr.</v>
          </cell>
          <cell r="D59" t="str">
            <v>Dr. Dividends Income (P&amp;L)</v>
          </cell>
          <cell r="J59">
            <v>0</v>
          </cell>
          <cell r="K59">
            <v>0</v>
          </cell>
          <cell r="L59">
            <v>0</v>
          </cell>
        </row>
        <row r="60">
          <cell r="B60">
            <v>39401000</v>
          </cell>
          <cell r="C60" t="str">
            <v>Dr.</v>
          </cell>
          <cell r="D60" t="str">
            <v>Dr. Minority interest</v>
          </cell>
          <cell r="F60" t="str">
            <v>Retained earnings</v>
          </cell>
          <cell r="J60">
            <v>0</v>
          </cell>
          <cell r="K60">
            <v>0</v>
          </cell>
          <cell r="L60">
            <v>0</v>
          </cell>
        </row>
        <row r="61">
          <cell r="B61">
            <v>30401000</v>
          </cell>
          <cell r="C61" t="str">
            <v>Cr.</v>
          </cell>
          <cell r="E61" t="str">
            <v>Cr. Retained earnings subsidiaries</v>
          </cell>
          <cell r="J61">
            <v>0</v>
          </cell>
          <cell r="K61">
            <v>0</v>
          </cell>
          <cell r="L61">
            <v>0</v>
          </cell>
        </row>
        <row r="65">
          <cell r="B65">
            <v>210</v>
          </cell>
          <cell r="C65" t="str">
            <v>Dr.</v>
          </cell>
          <cell r="D65" t="str">
            <v>Dr. Depreciation</v>
          </cell>
          <cell r="F65" t="str">
            <v>COGS</v>
          </cell>
          <cell r="J65">
            <v>3565269.3509806683</v>
          </cell>
          <cell r="K65">
            <v>0</v>
          </cell>
          <cell r="L65">
            <v>3565269.3509806683</v>
          </cell>
        </row>
        <row r="66">
          <cell r="B66">
            <v>211</v>
          </cell>
          <cell r="C66" t="str">
            <v>Dr.</v>
          </cell>
          <cell r="D66" t="str">
            <v>Dr. Depreciation</v>
          </cell>
          <cell r="F66" t="str">
            <v>G&amp;A</v>
          </cell>
          <cell r="J66">
            <v>425128.37905135209</v>
          </cell>
          <cell r="K66">
            <v>0</v>
          </cell>
          <cell r="L66">
            <v>425128.37905135209</v>
          </cell>
        </row>
        <row r="67">
          <cell r="C67" t="str">
            <v>Dr.</v>
          </cell>
          <cell r="D67" t="str">
            <v>Dr. Minority interest</v>
          </cell>
          <cell r="F67" t="str">
            <v>B Sheet - N Income</v>
          </cell>
          <cell r="J67">
            <v>184360.22081725096</v>
          </cell>
          <cell r="K67">
            <v>0</v>
          </cell>
          <cell r="L67">
            <v>184360.22081725096</v>
          </cell>
        </row>
        <row r="68">
          <cell r="B68">
            <v>910</v>
          </cell>
          <cell r="C68" t="str">
            <v>Cr.</v>
          </cell>
          <cell r="E68" t="str">
            <v>Cr. Minority interest</v>
          </cell>
          <cell r="G68" t="str">
            <v>Current period net income</v>
          </cell>
          <cell r="J68">
            <v>0</v>
          </cell>
          <cell r="K68">
            <v>-184360.22081725096</v>
          </cell>
          <cell r="L68">
            <v>-184360.22081725096</v>
          </cell>
        </row>
        <row r="69">
          <cell r="B69">
            <v>20200100</v>
          </cell>
          <cell r="C69" t="str">
            <v>Cr.</v>
          </cell>
          <cell r="E69" t="str">
            <v>Cr F A Surplus Dep</v>
          </cell>
          <cell r="G69" t="str">
            <v>Land</v>
          </cell>
          <cell r="J69">
            <v>0</v>
          </cell>
          <cell r="K69">
            <v>0</v>
          </cell>
          <cell r="L69">
            <v>0</v>
          </cell>
        </row>
        <row r="70">
          <cell r="B70">
            <v>20200110</v>
          </cell>
          <cell r="C70" t="str">
            <v>Cr.</v>
          </cell>
          <cell r="E70" t="str">
            <v>Cr F A Surplus Dep</v>
          </cell>
          <cell r="G70" t="str">
            <v>Buildings and constructions</v>
          </cell>
          <cell r="J70">
            <v>0</v>
          </cell>
          <cell r="K70">
            <v>-175664.73100901794</v>
          </cell>
          <cell r="L70">
            <v>-175664.73100901794</v>
          </cell>
        </row>
        <row r="71">
          <cell r="B71">
            <v>20200120</v>
          </cell>
          <cell r="C71" t="str">
            <v>Cr.</v>
          </cell>
          <cell r="E71" t="str">
            <v>Cr F A Surplus Dep</v>
          </cell>
          <cell r="G71" t="str">
            <v>Machinery and equipment</v>
          </cell>
          <cell r="J71">
            <v>0</v>
          </cell>
          <cell r="K71">
            <v>-3182053.6262731822</v>
          </cell>
          <cell r="L71">
            <v>-3182053.6262731822</v>
          </cell>
        </row>
        <row r="72">
          <cell r="B72">
            <v>20200190</v>
          </cell>
          <cell r="C72" t="str">
            <v>Cr.</v>
          </cell>
          <cell r="E72" t="str">
            <v>Cr F A Surplus Dep</v>
          </cell>
          <cell r="G72" t="str">
            <v>Vehicles and Transportation means</v>
          </cell>
          <cell r="J72">
            <v>0</v>
          </cell>
          <cell r="K72">
            <v>-69263.06000925292</v>
          </cell>
          <cell r="L72">
            <v>-69263.06000925292</v>
          </cell>
        </row>
        <row r="73">
          <cell r="B73">
            <v>20200160</v>
          </cell>
          <cell r="C73" t="str">
            <v>Cr.</v>
          </cell>
          <cell r="E73" t="str">
            <v>Cr F A Surplus Dep</v>
          </cell>
          <cell r="G73" t="str">
            <v>Furniture and Office Equipments</v>
          </cell>
          <cell r="J73">
            <v>0</v>
          </cell>
          <cell r="K73">
            <v>-400288.69580389827</v>
          </cell>
          <cell r="L73">
            <v>-400288.69580389827</v>
          </cell>
        </row>
        <row r="74">
          <cell r="B74">
            <v>20200150</v>
          </cell>
          <cell r="C74" t="str">
            <v>Cr.</v>
          </cell>
          <cell r="E74" t="str">
            <v>Cr F A Surplus Dep</v>
          </cell>
          <cell r="G74" t="str">
            <v>Safty &amp; Equipments</v>
          </cell>
          <cell r="J74">
            <v>0</v>
          </cell>
          <cell r="K74">
            <v>-163127.61693666838</v>
          </cell>
          <cell r="L74">
            <v>-163127.61693666838</v>
          </cell>
        </row>
        <row r="78">
          <cell r="B78">
            <v>210</v>
          </cell>
          <cell r="C78" t="str">
            <v>Dr.</v>
          </cell>
          <cell r="D78" t="str">
            <v>Dr. Depreciation</v>
          </cell>
          <cell r="F78" t="str">
            <v>COGS</v>
          </cell>
          <cell r="J78">
            <v>-2613.4147885919715</v>
          </cell>
          <cell r="K78">
            <v>0</v>
          </cell>
          <cell r="L78">
            <v>-2613.4147885919715</v>
          </cell>
        </row>
        <row r="79">
          <cell r="B79">
            <v>211</v>
          </cell>
          <cell r="C79" t="str">
            <v>Dr.</v>
          </cell>
          <cell r="D79" t="str">
            <v>Dr. Depreciation</v>
          </cell>
          <cell r="F79" t="str">
            <v>G&amp;A</v>
          </cell>
          <cell r="J79">
            <v>-1768.4924971474079</v>
          </cell>
          <cell r="K79">
            <v>0</v>
          </cell>
          <cell r="L79">
            <v>-1768.4924971474079</v>
          </cell>
        </row>
        <row r="80">
          <cell r="C80" t="str">
            <v>Dr.</v>
          </cell>
          <cell r="D80" t="str">
            <v>Dr. Minority interest</v>
          </cell>
          <cell r="F80" t="str">
            <v>B Sheet - N Income</v>
          </cell>
          <cell r="J80">
            <v>490.63834203071906</v>
          </cell>
          <cell r="K80">
            <v>0</v>
          </cell>
          <cell r="L80">
            <v>490.63834203071906</v>
          </cell>
        </row>
        <row r="81">
          <cell r="B81">
            <v>20200100</v>
          </cell>
          <cell r="C81" t="str">
            <v>Dr.</v>
          </cell>
          <cell r="D81" t="str">
            <v>Dr. F A Surplus Dep</v>
          </cell>
          <cell r="F81" t="str">
            <v>Land</v>
          </cell>
          <cell r="J81">
            <v>0</v>
          </cell>
          <cell r="K81">
            <v>0</v>
          </cell>
          <cell r="L81">
            <v>0</v>
          </cell>
        </row>
        <row r="82">
          <cell r="B82">
            <v>20200110</v>
          </cell>
          <cell r="C82" t="str">
            <v>Dr.</v>
          </cell>
          <cell r="D82" t="str">
            <v>Dr. F A Surplus Dep</v>
          </cell>
          <cell r="F82" t="str">
            <v>Buildings and constructions</v>
          </cell>
          <cell r="J82">
            <v>0</v>
          </cell>
          <cell r="K82">
            <v>0</v>
          </cell>
          <cell r="L82">
            <v>0</v>
          </cell>
        </row>
        <row r="83">
          <cell r="B83">
            <v>20200120</v>
          </cell>
          <cell r="C83" t="str">
            <v>Dr.</v>
          </cell>
          <cell r="D83" t="str">
            <v>Dr. F A Surplus Dep</v>
          </cell>
          <cell r="F83" t="str">
            <v>Machinery and equipment</v>
          </cell>
          <cell r="J83">
            <v>0</v>
          </cell>
          <cell r="K83">
            <v>0</v>
          </cell>
          <cell r="L83">
            <v>0</v>
          </cell>
        </row>
        <row r="84">
          <cell r="B84">
            <v>20200190</v>
          </cell>
          <cell r="C84" t="str">
            <v>Dr.</v>
          </cell>
          <cell r="D84" t="str">
            <v>Dr. F A Surplus Dep</v>
          </cell>
          <cell r="F84" t="str">
            <v>Vehicles and Transportation means</v>
          </cell>
          <cell r="J84">
            <v>-22002.422198291879</v>
          </cell>
          <cell r="K84">
            <v>0</v>
          </cell>
          <cell r="L84">
            <v>-22002.422198291879</v>
          </cell>
        </row>
        <row r="85">
          <cell r="B85">
            <v>20200160</v>
          </cell>
          <cell r="C85" t="str">
            <v>Dr.</v>
          </cell>
          <cell r="D85" t="str">
            <v>Dr. F A Surplus Dep</v>
          </cell>
          <cell r="F85" t="str">
            <v>Furniture and Office Equipments</v>
          </cell>
          <cell r="J85">
            <v>5351.174512482231</v>
          </cell>
          <cell r="K85">
            <v>0</v>
          </cell>
          <cell r="L85">
            <v>5351.174512482231</v>
          </cell>
        </row>
        <row r="86">
          <cell r="B86">
            <v>20200150</v>
          </cell>
          <cell r="C86" t="str">
            <v>Dr.</v>
          </cell>
          <cell r="D86" t="str">
            <v>Dr. F A Surplus Dep</v>
          </cell>
          <cell r="F86" t="str">
            <v>Safty &amp; Equipments</v>
          </cell>
          <cell r="J86">
            <v>0</v>
          </cell>
          <cell r="K86">
            <v>0</v>
          </cell>
          <cell r="L86">
            <v>0</v>
          </cell>
        </row>
        <row r="87">
          <cell r="B87">
            <v>10100100</v>
          </cell>
          <cell r="C87" t="str">
            <v>Cr.</v>
          </cell>
          <cell r="E87" t="str">
            <v>Cr F A Surplus</v>
          </cell>
          <cell r="G87" t="str">
            <v>Land</v>
          </cell>
          <cell r="J87">
            <v>0</v>
          </cell>
          <cell r="K87">
            <v>0</v>
          </cell>
          <cell r="L87">
            <v>0</v>
          </cell>
        </row>
        <row r="88">
          <cell r="B88">
            <v>10100110</v>
          </cell>
          <cell r="C88" t="str">
            <v>Cr.</v>
          </cell>
          <cell r="E88" t="str">
            <v>Cr F A Surplus</v>
          </cell>
          <cell r="G88" t="str">
            <v>Buildings and constructions</v>
          </cell>
          <cell r="J88">
            <v>0</v>
          </cell>
          <cell r="K88">
            <v>0</v>
          </cell>
          <cell r="L88">
            <v>0</v>
          </cell>
        </row>
        <row r="89">
          <cell r="B89">
            <v>10100120</v>
          </cell>
          <cell r="C89" t="str">
            <v>Cr.</v>
          </cell>
          <cell r="E89" t="str">
            <v>Cr F A Surplus</v>
          </cell>
          <cell r="G89" t="str">
            <v>Machinery and equipment</v>
          </cell>
          <cell r="J89">
            <v>0</v>
          </cell>
          <cell r="K89">
            <v>0</v>
          </cell>
          <cell r="L89">
            <v>0</v>
          </cell>
        </row>
        <row r="90">
          <cell r="B90">
            <v>10100190</v>
          </cell>
          <cell r="C90" t="str">
            <v>Cr.</v>
          </cell>
          <cell r="E90" t="str">
            <v>Cr F A Surplus</v>
          </cell>
          <cell r="G90" t="str">
            <v>Vehicles and Transportation means</v>
          </cell>
          <cell r="J90">
            <v>0</v>
          </cell>
          <cell r="K90">
            <v>27792.533303105531</v>
          </cell>
          <cell r="L90">
            <v>27792.533303105531</v>
          </cell>
        </row>
        <row r="91">
          <cell r="B91">
            <v>10100160</v>
          </cell>
          <cell r="C91" t="str">
            <v>Cr.</v>
          </cell>
          <cell r="E91" t="str">
            <v>Cr F A Surplus</v>
          </cell>
          <cell r="G91" t="str">
            <v>Furniture and Office Equipments</v>
          </cell>
          <cell r="J91">
            <v>0</v>
          </cell>
          <cell r="K91">
            <v>-6759.3783315565033</v>
          </cell>
          <cell r="L91">
            <v>-6759.3783315565033</v>
          </cell>
        </row>
        <row r="92">
          <cell r="B92">
            <v>10100150</v>
          </cell>
          <cell r="C92" t="str">
            <v>Cr.</v>
          </cell>
          <cell r="E92" t="str">
            <v>Cr F A Surplus</v>
          </cell>
          <cell r="G92" t="str">
            <v>Safty &amp; Equipments</v>
          </cell>
          <cell r="J92">
            <v>0</v>
          </cell>
          <cell r="K92">
            <v>0</v>
          </cell>
          <cell r="L92">
            <v>0</v>
          </cell>
        </row>
        <row r="93">
          <cell r="B93">
            <v>910</v>
          </cell>
          <cell r="C93" t="str">
            <v>Cr.</v>
          </cell>
          <cell r="E93" t="str">
            <v>Cr. Minority interest</v>
          </cell>
          <cell r="G93" t="str">
            <v>Current period net income</v>
          </cell>
          <cell r="J93">
            <v>0</v>
          </cell>
          <cell r="K93">
            <v>-490.63834203071906</v>
          </cell>
          <cell r="L93">
            <v>-490.63834203071906</v>
          </cell>
        </row>
        <row r="94">
          <cell r="J94">
            <v>0</v>
          </cell>
          <cell r="K94">
            <v>0</v>
          </cell>
          <cell r="L94">
            <v>0</v>
          </cell>
        </row>
        <row r="98">
          <cell r="B98">
            <v>30401000</v>
          </cell>
          <cell r="C98" t="str">
            <v>Dr.</v>
          </cell>
          <cell r="D98" t="str">
            <v>Dr. Retained earnings</v>
          </cell>
          <cell r="J98">
            <v>0</v>
          </cell>
          <cell r="L98">
            <v>0</v>
          </cell>
        </row>
        <row r="99">
          <cell r="B99">
            <v>39401000</v>
          </cell>
          <cell r="C99" t="str">
            <v>Dr.</v>
          </cell>
          <cell r="D99" t="str">
            <v>Dr. Minority interest</v>
          </cell>
          <cell r="F99" t="str">
            <v>RE</v>
          </cell>
          <cell r="J99">
            <v>0</v>
          </cell>
          <cell r="K99">
            <v>0</v>
          </cell>
          <cell r="L99">
            <v>0</v>
          </cell>
        </row>
        <row r="100">
          <cell r="B100">
            <v>20200100</v>
          </cell>
          <cell r="C100" t="str">
            <v>Dr.</v>
          </cell>
          <cell r="D100" t="str">
            <v>Dr. F A Surplus Dep</v>
          </cell>
          <cell r="F100" t="str">
            <v>Land</v>
          </cell>
          <cell r="J100">
            <v>0</v>
          </cell>
          <cell r="K100">
            <v>0</v>
          </cell>
          <cell r="L100">
            <v>0</v>
          </cell>
        </row>
        <row r="101">
          <cell r="B101">
            <v>20200110</v>
          </cell>
          <cell r="C101" t="str">
            <v>Dr.</v>
          </cell>
          <cell r="D101" t="str">
            <v>Dr. F A Surplus Dep</v>
          </cell>
          <cell r="F101" t="str">
            <v>Buildings and constructions</v>
          </cell>
          <cell r="J101">
            <v>0</v>
          </cell>
          <cell r="K101">
            <v>0</v>
          </cell>
          <cell r="L101">
            <v>0</v>
          </cell>
        </row>
        <row r="102">
          <cell r="B102">
            <v>20200120</v>
          </cell>
          <cell r="C102" t="str">
            <v>Dr.</v>
          </cell>
          <cell r="D102" t="str">
            <v>Dr. F A Surplus Dep</v>
          </cell>
          <cell r="F102" t="str">
            <v>Machinery and equipment</v>
          </cell>
          <cell r="J102">
            <v>0</v>
          </cell>
          <cell r="K102">
            <v>0</v>
          </cell>
          <cell r="L102">
            <v>0</v>
          </cell>
        </row>
        <row r="103">
          <cell r="B103">
            <v>20200190</v>
          </cell>
          <cell r="C103" t="str">
            <v>Dr.</v>
          </cell>
          <cell r="D103" t="str">
            <v>Dr. F A Surplus Dep</v>
          </cell>
          <cell r="F103" t="str">
            <v>Vehicles and Transportation means</v>
          </cell>
          <cell r="J103">
            <v>0</v>
          </cell>
          <cell r="K103">
            <v>0</v>
          </cell>
          <cell r="L103">
            <v>0</v>
          </cell>
        </row>
        <row r="104">
          <cell r="B104">
            <v>20200160</v>
          </cell>
          <cell r="C104" t="str">
            <v>Dr.</v>
          </cell>
          <cell r="D104" t="str">
            <v>Dr. F A Surplus Dep</v>
          </cell>
          <cell r="F104" t="str">
            <v>Furniture and Office Equipments</v>
          </cell>
          <cell r="J104">
            <v>0</v>
          </cell>
          <cell r="K104">
            <v>0</v>
          </cell>
          <cell r="L104">
            <v>0</v>
          </cell>
        </row>
        <row r="105">
          <cell r="B105">
            <v>20200150</v>
          </cell>
          <cell r="C105" t="str">
            <v>Dr.</v>
          </cell>
          <cell r="D105" t="str">
            <v>Dr. F A Surplus Dep</v>
          </cell>
          <cell r="F105" t="str">
            <v>Safty &amp; Equipments</v>
          </cell>
          <cell r="J105">
            <v>0</v>
          </cell>
          <cell r="K105">
            <v>0</v>
          </cell>
          <cell r="L105">
            <v>0</v>
          </cell>
        </row>
        <row r="106">
          <cell r="B106">
            <v>10100100</v>
          </cell>
          <cell r="C106" t="str">
            <v>Cr.</v>
          </cell>
          <cell r="E106" t="str">
            <v>Cr F A Surplus</v>
          </cell>
          <cell r="G106" t="str">
            <v>Land</v>
          </cell>
          <cell r="J106">
            <v>0</v>
          </cell>
          <cell r="K106">
            <v>0</v>
          </cell>
          <cell r="L106">
            <v>0</v>
          </cell>
        </row>
        <row r="107">
          <cell r="B107">
            <v>10100110</v>
          </cell>
          <cell r="C107" t="str">
            <v>Cr.</v>
          </cell>
          <cell r="E107" t="str">
            <v>Cr F A Surplus</v>
          </cell>
          <cell r="G107" t="str">
            <v>Buildings and constructions</v>
          </cell>
          <cell r="J107">
            <v>0</v>
          </cell>
          <cell r="K107">
            <v>0</v>
          </cell>
          <cell r="L107">
            <v>0</v>
          </cell>
        </row>
        <row r="108">
          <cell r="B108">
            <v>10100120</v>
          </cell>
          <cell r="C108" t="str">
            <v>Cr.</v>
          </cell>
          <cell r="E108" t="str">
            <v>Cr F A Surplus</v>
          </cell>
          <cell r="G108" t="str">
            <v>Machinery and equipment</v>
          </cell>
          <cell r="J108">
            <v>0</v>
          </cell>
          <cell r="K108">
            <v>0</v>
          </cell>
          <cell r="L108">
            <v>0</v>
          </cell>
        </row>
        <row r="109">
          <cell r="B109">
            <v>10100190</v>
          </cell>
          <cell r="C109" t="str">
            <v>Cr.</v>
          </cell>
          <cell r="E109" t="str">
            <v>Cr F A Surplus</v>
          </cell>
          <cell r="G109" t="str">
            <v>Vehicles and Transportation means</v>
          </cell>
          <cell r="J109">
            <v>0</v>
          </cell>
          <cell r="K109">
            <v>0</v>
          </cell>
          <cell r="L109">
            <v>0</v>
          </cell>
        </row>
        <row r="110">
          <cell r="B110">
            <v>10100160</v>
          </cell>
          <cell r="C110" t="str">
            <v>Cr.</v>
          </cell>
          <cell r="E110" t="str">
            <v>Cr F A Surplus</v>
          </cell>
          <cell r="G110" t="str">
            <v>Furniture and Office Equipments</v>
          </cell>
          <cell r="J110">
            <v>0</v>
          </cell>
          <cell r="K110">
            <v>0</v>
          </cell>
          <cell r="L110">
            <v>0</v>
          </cell>
        </row>
        <row r="111">
          <cell r="B111">
            <v>10100150</v>
          </cell>
          <cell r="C111" t="str">
            <v>Cr.</v>
          </cell>
          <cell r="E111" t="str">
            <v>Cr F A Surplus</v>
          </cell>
          <cell r="G111" t="str">
            <v>Safty &amp; Equipments</v>
          </cell>
          <cell r="J111">
            <v>0</v>
          </cell>
          <cell r="K111">
            <v>0</v>
          </cell>
          <cell r="L111">
            <v>0</v>
          </cell>
        </row>
        <row r="115">
          <cell r="B115">
            <v>910</v>
          </cell>
          <cell r="C115" t="str">
            <v>Dr.</v>
          </cell>
          <cell r="D115" t="str">
            <v>Dr. Minority interest income S</v>
          </cell>
          <cell r="J115">
            <v>2484740.7185544837</v>
          </cell>
          <cell r="K115">
            <v>0</v>
          </cell>
          <cell r="L115">
            <v>2484740.7185544837</v>
          </cell>
        </row>
        <row r="116">
          <cell r="C116" t="str">
            <v>Cr.</v>
          </cell>
          <cell r="E116" t="str">
            <v>Cr. Minority interest interest B Sheet</v>
          </cell>
          <cell r="J116">
            <v>0</v>
          </cell>
          <cell r="K116">
            <v>-2484740.7185544837</v>
          </cell>
          <cell r="L116">
            <v>-2484740.7185544837</v>
          </cell>
        </row>
        <row r="120">
          <cell r="B120">
            <v>39601000</v>
          </cell>
          <cell r="C120" t="str">
            <v>Dr.</v>
          </cell>
          <cell r="D120" t="str">
            <v>Dr.Minority interest</v>
          </cell>
          <cell r="F120" t="str">
            <v>Unreaslized gain</v>
          </cell>
          <cell r="J120">
            <v>2779480.828018581</v>
          </cell>
          <cell r="K120">
            <v>0</v>
          </cell>
          <cell r="L120">
            <v>2779480.828018581</v>
          </cell>
        </row>
        <row r="121">
          <cell r="B121">
            <v>39701000</v>
          </cell>
          <cell r="C121" t="str">
            <v>Dr.</v>
          </cell>
          <cell r="D121" t="str">
            <v>Dr.Minority interest</v>
          </cell>
          <cell r="F121" t="str">
            <v>Translation Adj</v>
          </cell>
          <cell r="J121">
            <v>2699546.5837216289</v>
          </cell>
          <cell r="K121">
            <v>0</v>
          </cell>
          <cell r="L121">
            <v>2699546.5837216289</v>
          </cell>
        </row>
        <row r="122">
          <cell r="B122">
            <v>30501000</v>
          </cell>
          <cell r="C122" t="str">
            <v>Cr.</v>
          </cell>
          <cell r="E122" t="str">
            <v>Cr. Other changes  equity</v>
          </cell>
          <cell r="H122" t="str">
            <v>Unreaslized gain</v>
          </cell>
          <cell r="J122">
            <v>0</v>
          </cell>
          <cell r="K122">
            <v>-2779480.828018581</v>
          </cell>
          <cell r="L122">
            <v>-2779480.828018581</v>
          </cell>
        </row>
        <row r="123">
          <cell r="B123">
            <v>30601000</v>
          </cell>
          <cell r="C123" t="str">
            <v>Cr.</v>
          </cell>
          <cell r="E123" t="str">
            <v>Cr. Other changes  equity</v>
          </cell>
          <cell r="H123" t="str">
            <v>Translation Adj</v>
          </cell>
          <cell r="J123">
            <v>0</v>
          </cell>
          <cell r="K123">
            <v>-2699546.5837216289</v>
          </cell>
          <cell r="L123">
            <v>-2699546.5837216289</v>
          </cell>
        </row>
        <row r="127">
          <cell r="B127">
            <v>39401000</v>
          </cell>
          <cell r="C127" t="str">
            <v>Dr.</v>
          </cell>
          <cell r="D127" t="str">
            <v>Dr. Minority interest</v>
          </cell>
          <cell r="F127" t="str">
            <v>Retained earnings</v>
          </cell>
          <cell r="H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B128">
            <v>30401000</v>
          </cell>
          <cell r="C128" t="str">
            <v>Cr.</v>
          </cell>
          <cell r="E128" t="str">
            <v>Cr. Retained earnings</v>
          </cell>
          <cell r="J128">
            <v>0</v>
          </cell>
          <cell r="K128">
            <v>0</v>
          </cell>
          <cell r="L128">
            <v>0</v>
          </cell>
        </row>
        <row r="132">
          <cell r="B132">
            <v>30401000</v>
          </cell>
          <cell r="C132" t="str">
            <v>Dr.</v>
          </cell>
          <cell r="D132" t="str">
            <v>Dr. Retained earnings</v>
          </cell>
          <cell r="J132">
            <v>0</v>
          </cell>
          <cell r="K132">
            <v>0</v>
          </cell>
          <cell r="L132">
            <v>0</v>
          </cell>
        </row>
        <row r="133">
          <cell r="B133">
            <v>39401000</v>
          </cell>
          <cell r="C133" t="str">
            <v>Cr.</v>
          </cell>
          <cell r="E133" t="str">
            <v>Cr. Minority interest</v>
          </cell>
          <cell r="G133" t="str">
            <v>Retained earnings</v>
          </cell>
          <cell r="J133">
            <v>0</v>
          </cell>
          <cell r="K133">
            <v>0</v>
          </cell>
          <cell r="L133">
            <v>0</v>
          </cell>
        </row>
        <row r="136">
          <cell r="B136">
            <v>10302004</v>
          </cell>
          <cell r="C136" t="str">
            <v>Dr.</v>
          </cell>
          <cell r="D136" t="str">
            <v>Dr. Payment Under investment</v>
          </cell>
          <cell r="G136" t="str">
            <v>asa</v>
          </cell>
          <cell r="J136">
            <v>0</v>
          </cell>
          <cell r="K136">
            <v>0</v>
          </cell>
          <cell r="L136">
            <v>0</v>
          </cell>
        </row>
        <row r="137">
          <cell r="B137">
            <v>10302002</v>
          </cell>
          <cell r="C137" t="str">
            <v>Dr.</v>
          </cell>
          <cell r="D137" t="str">
            <v>Dr. Payment Under investment</v>
          </cell>
          <cell r="G137" t="str">
            <v>aresco</v>
          </cell>
          <cell r="J137">
            <v>0</v>
          </cell>
          <cell r="K137">
            <v>0</v>
          </cell>
          <cell r="L137">
            <v>0</v>
          </cell>
        </row>
        <row r="138">
          <cell r="B138">
            <v>10300104</v>
          </cell>
          <cell r="C138" t="str">
            <v>Cr.</v>
          </cell>
          <cell r="E138" t="str">
            <v>Cr. Investment - ASA</v>
          </cell>
          <cell r="J138">
            <v>0</v>
          </cell>
          <cell r="K138">
            <v>0</v>
          </cell>
          <cell r="L138">
            <v>0</v>
          </cell>
        </row>
        <row r="139">
          <cell r="B139">
            <v>30201000</v>
          </cell>
          <cell r="C139" t="str">
            <v>Cr.</v>
          </cell>
          <cell r="E139" t="str">
            <v>Cr. Reserves for capital increase - Aresco</v>
          </cell>
          <cell r="J139">
            <v>0</v>
          </cell>
          <cell r="K139">
            <v>0</v>
          </cell>
          <cell r="L139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C144">
            <v>0</v>
          </cell>
          <cell r="E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B145">
            <v>0</v>
          </cell>
          <cell r="C145">
            <v>0</v>
          </cell>
          <cell r="E145">
            <v>0</v>
          </cell>
          <cell r="J145">
            <v>0</v>
          </cell>
          <cell r="K145">
            <v>0</v>
          </cell>
          <cell r="L145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F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B151">
            <v>10300107</v>
          </cell>
          <cell r="C151" t="str">
            <v>Dr.</v>
          </cell>
          <cell r="D151" t="str">
            <v xml:space="preserve"> Investment</v>
          </cell>
          <cell r="F151">
            <v>0</v>
          </cell>
          <cell r="G151" t="str">
            <v>Ach</v>
          </cell>
          <cell r="J151">
            <v>695720205</v>
          </cell>
          <cell r="K151">
            <v>0</v>
          </cell>
          <cell r="L151">
            <v>695720205</v>
          </cell>
        </row>
        <row r="152">
          <cell r="B152">
            <v>10302007</v>
          </cell>
          <cell r="C152" t="str">
            <v>Dr.</v>
          </cell>
          <cell r="D152" t="str">
            <v xml:space="preserve"> Payment under Investment</v>
          </cell>
          <cell r="G152" t="str">
            <v>Ach</v>
          </cell>
          <cell r="J152">
            <v>231906735</v>
          </cell>
          <cell r="K152">
            <v>0</v>
          </cell>
          <cell r="L152">
            <v>231906735</v>
          </cell>
        </row>
        <row r="153">
          <cell r="B153">
            <v>39101000</v>
          </cell>
          <cell r="C153" t="str">
            <v>Dr.</v>
          </cell>
          <cell r="D153" t="str">
            <v xml:space="preserve"> Minority interest</v>
          </cell>
          <cell r="E153">
            <v>0</v>
          </cell>
          <cell r="F153" t="str">
            <v>Capital</v>
          </cell>
          <cell r="G153">
            <v>0</v>
          </cell>
          <cell r="J153">
            <v>668437950</v>
          </cell>
          <cell r="K153">
            <v>0</v>
          </cell>
          <cell r="L153">
            <v>668437950</v>
          </cell>
        </row>
        <row r="154">
          <cell r="B154">
            <v>39201000</v>
          </cell>
          <cell r="C154" t="str">
            <v>Dr.</v>
          </cell>
          <cell r="D154" t="str">
            <v xml:space="preserve"> Minority interest</v>
          </cell>
          <cell r="E154">
            <v>0</v>
          </cell>
          <cell r="F154" t="str">
            <v>Reserves for capital increase</v>
          </cell>
          <cell r="G154">
            <v>0</v>
          </cell>
          <cell r="J154">
            <v>222812650</v>
          </cell>
          <cell r="K154">
            <v>0</v>
          </cell>
          <cell r="L154">
            <v>222812650</v>
          </cell>
        </row>
        <row r="155">
          <cell r="B155">
            <v>30101000</v>
          </cell>
          <cell r="C155" t="str">
            <v>Cr.</v>
          </cell>
          <cell r="E155" t="str">
            <v xml:space="preserve"> Capital</v>
          </cell>
          <cell r="G155">
            <v>0</v>
          </cell>
          <cell r="J155">
            <v>0</v>
          </cell>
          <cell r="K155">
            <v>-1364158155</v>
          </cell>
          <cell r="L155">
            <v>-1364158155</v>
          </cell>
        </row>
        <row r="156">
          <cell r="B156">
            <v>30201000</v>
          </cell>
          <cell r="C156" t="str">
            <v>Cr.</v>
          </cell>
          <cell r="E156" t="str">
            <v xml:space="preserve"> Payment under capital increase</v>
          </cell>
          <cell r="G156">
            <v>0</v>
          </cell>
          <cell r="J156">
            <v>0</v>
          </cell>
          <cell r="K156">
            <v>-454719385</v>
          </cell>
          <cell r="L156">
            <v>-454719385</v>
          </cell>
        </row>
        <row r="157">
          <cell r="B157">
            <v>0</v>
          </cell>
          <cell r="C157">
            <v>0</v>
          </cell>
          <cell r="E157">
            <v>0</v>
          </cell>
          <cell r="G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>
            <v>0</v>
          </cell>
          <cell r="C158">
            <v>0</v>
          </cell>
          <cell r="E158">
            <v>0</v>
          </cell>
          <cell r="G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>
            <v>0</v>
          </cell>
          <cell r="C159">
            <v>0</v>
          </cell>
          <cell r="E159">
            <v>0</v>
          </cell>
          <cell r="J159">
            <v>1818877540</v>
          </cell>
          <cell r="K159">
            <v>-1818877540</v>
          </cell>
          <cell r="L159">
            <v>0</v>
          </cell>
        </row>
        <row r="160">
          <cell r="B160">
            <v>0</v>
          </cell>
          <cell r="C160" t="str">
            <v xml:space="preserve">Reversal 2006 - 2007 Minority interes in Net Profit elmination entry </v>
          </cell>
          <cell r="E160">
            <v>0</v>
          </cell>
          <cell r="J160">
            <v>0</v>
          </cell>
          <cell r="K160">
            <v>0</v>
          </cell>
          <cell r="L160">
            <v>0</v>
          </cell>
        </row>
        <row r="163">
          <cell r="B163">
            <v>0</v>
          </cell>
          <cell r="C163">
            <v>0</v>
          </cell>
          <cell r="D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>
            <v>0</v>
          </cell>
          <cell r="C164">
            <v>0</v>
          </cell>
          <cell r="E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B165">
            <v>0</v>
          </cell>
          <cell r="C165">
            <v>0</v>
          </cell>
          <cell r="E165">
            <v>0</v>
          </cell>
          <cell r="G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B166">
            <v>0</v>
          </cell>
          <cell r="C166">
            <v>0</v>
          </cell>
          <cell r="E166">
            <v>0</v>
          </cell>
          <cell r="G166">
            <v>0</v>
          </cell>
          <cell r="J166">
            <v>11764025.343122082</v>
          </cell>
          <cell r="K166">
            <v>-11764025.343122082</v>
          </cell>
          <cell r="L166">
            <v>0</v>
          </cell>
        </row>
        <row r="167">
          <cell r="B167">
            <v>0</v>
          </cell>
          <cell r="C167" t="str">
            <v>Record 2006 ACH investment income under the equity method ( 51% of net income less movement in RE)</v>
          </cell>
          <cell r="E167">
            <v>0</v>
          </cell>
          <cell r="G167">
            <v>0</v>
          </cell>
          <cell r="J167">
            <v>0</v>
          </cell>
          <cell r="K167">
            <v>0</v>
          </cell>
          <cell r="L167">
            <v>0</v>
          </cell>
        </row>
        <row r="170">
          <cell r="B170">
            <v>0</v>
          </cell>
          <cell r="C170">
            <v>0</v>
          </cell>
          <cell r="D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B171">
            <v>0</v>
          </cell>
          <cell r="C171">
            <v>0</v>
          </cell>
          <cell r="E171">
            <v>0</v>
          </cell>
          <cell r="J171">
            <v>12244173.334775636</v>
          </cell>
          <cell r="K171">
            <v>-12244173.334775636</v>
          </cell>
          <cell r="L171">
            <v>0</v>
          </cell>
        </row>
        <row r="174">
          <cell r="B174">
            <v>30301000</v>
          </cell>
          <cell r="C174" t="str">
            <v>Cr.</v>
          </cell>
          <cell r="D174" t="str">
            <v>Owners Equity</v>
          </cell>
          <cell r="F174" t="str">
            <v>Reserves</v>
          </cell>
          <cell r="J174">
            <v>0</v>
          </cell>
          <cell r="K174">
            <v>-290353</v>
          </cell>
          <cell r="L174">
            <v>-290353</v>
          </cell>
        </row>
        <row r="175">
          <cell r="B175">
            <v>39301000</v>
          </cell>
          <cell r="C175" t="str">
            <v>Dr.</v>
          </cell>
          <cell r="D175" t="str">
            <v>Minority Interest</v>
          </cell>
          <cell r="E175">
            <v>0</v>
          </cell>
          <cell r="F175" t="str">
            <v>Reserves</v>
          </cell>
          <cell r="J175">
            <v>142273.06664185869</v>
          </cell>
          <cell r="K175">
            <v>0</v>
          </cell>
          <cell r="L175">
            <v>142273.06664185869</v>
          </cell>
        </row>
        <row r="178">
          <cell r="B178">
            <v>0</v>
          </cell>
          <cell r="C178">
            <v>0</v>
          </cell>
          <cell r="D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>
            <v>10200100</v>
          </cell>
          <cell r="C179" t="str">
            <v>Dr.</v>
          </cell>
          <cell r="D179" t="str">
            <v>PUC Ach</v>
          </cell>
          <cell r="E179">
            <v>0</v>
          </cell>
          <cell r="J179">
            <v>8170545</v>
          </cell>
          <cell r="K179">
            <v>0</v>
          </cell>
          <cell r="L179">
            <v>8170545</v>
          </cell>
        </row>
        <row r="182">
          <cell r="B182">
            <v>0</v>
          </cell>
          <cell r="C182">
            <v>0</v>
          </cell>
          <cell r="D182">
            <v>0</v>
          </cell>
          <cell r="F182">
            <v>0</v>
          </cell>
          <cell r="J182">
            <v>8170545</v>
          </cell>
          <cell r="K182">
            <v>-8170545</v>
          </cell>
          <cell r="L182">
            <v>0</v>
          </cell>
        </row>
        <row r="183">
          <cell r="B183">
            <v>0</v>
          </cell>
          <cell r="C183" t="str">
            <v>Free Entry</v>
          </cell>
          <cell r="D183">
            <v>0</v>
          </cell>
          <cell r="F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>
            <v>0</v>
          </cell>
          <cell r="C184">
            <v>0</v>
          </cell>
          <cell r="D184">
            <v>0</v>
          </cell>
          <cell r="F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>
            <v>0</v>
          </cell>
          <cell r="C185">
            <v>0</v>
          </cell>
          <cell r="D185">
            <v>0</v>
          </cell>
          <cell r="F185">
            <v>0</v>
          </cell>
          <cell r="J185">
            <v>0</v>
          </cell>
          <cell r="K185">
            <v>0</v>
          </cell>
          <cell r="L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F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>
            <v>0</v>
          </cell>
          <cell r="C187">
            <v>0</v>
          </cell>
          <cell r="D187">
            <v>0</v>
          </cell>
          <cell r="F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>
            <v>0</v>
          </cell>
          <cell r="C188">
            <v>0</v>
          </cell>
          <cell r="E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>
            <v>0</v>
          </cell>
          <cell r="C189">
            <v>0</v>
          </cell>
          <cell r="E189">
            <v>0</v>
          </cell>
          <cell r="J189">
            <v>0</v>
          </cell>
          <cell r="K189">
            <v>0</v>
          </cell>
          <cell r="L189">
            <v>0</v>
          </cell>
        </row>
        <row r="192">
          <cell r="B192">
            <v>0</v>
          </cell>
          <cell r="C192">
            <v>0</v>
          </cell>
          <cell r="D192">
            <v>0</v>
          </cell>
          <cell r="F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B193">
            <v>0</v>
          </cell>
          <cell r="C193" t="str">
            <v>Free Entry</v>
          </cell>
          <cell r="D193">
            <v>0</v>
          </cell>
          <cell r="F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F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>
            <v>0</v>
          </cell>
          <cell r="C195">
            <v>0</v>
          </cell>
          <cell r="D195">
            <v>0</v>
          </cell>
          <cell r="F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F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F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B198">
            <v>0</v>
          </cell>
          <cell r="C198">
            <v>0</v>
          </cell>
          <cell r="E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B199">
            <v>0</v>
          </cell>
          <cell r="C199">
            <v>0</v>
          </cell>
          <cell r="E199">
            <v>0</v>
          </cell>
          <cell r="J199">
            <v>0</v>
          </cell>
          <cell r="K199">
            <v>0</v>
          </cell>
          <cell r="L199">
            <v>0</v>
          </cell>
        </row>
        <row r="202">
          <cell r="B202">
            <v>0</v>
          </cell>
          <cell r="C202">
            <v>0</v>
          </cell>
          <cell r="D202">
            <v>0</v>
          </cell>
          <cell r="J202">
            <v>0</v>
          </cell>
          <cell r="K202">
            <v>0</v>
          </cell>
          <cell r="L202">
            <v>0</v>
          </cell>
        </row>
        <row r="203">
          <cell r="B203">
            <v>0</v>
          </cell>
          <cell r="C203" t="str">
            <v>Minority interest portion in 2007 ditrupution to BOD not recorded in 2007 F S</v>
          </cell>
          <cell r="E203">
            <v>0</v>
          </cell>
          <cell r="J203">
            <v>0</v>
          </cell>
          <cell r="K203">
            <v>0</v>
          </cell>
          <cell r="L203">
            <v>0</v>
          </cell>
        </row>
        <row r="204">
          <cell r="B204">
            <v>30401000</v>
          </cell>
          <cell r="C204" t="str">
            <v>Dr.</v>
          </cell>
          <cell r="D204" t="str">
            <v>Dr Re</v>
          </cell>
          <cell r="J204">
            <v>111385</v>
          </cell>
          <cell r="K204">
            <v>0</v>
          </cell>
          <cell r="L204">
            <v>111385</v>
          </cell>
        </row>
        <row r="205">
          <cell r="B205">
            <v>39401000</v>
          </cell>
          <cell r="C205" t="str">
            <v>Cr.</v>
          </cell>
          <cell r="E205" t="str">
            <v>Cr. Minority interest RE</v>
          </cell>
          <cell r="J205">
            <v>0</v>
          </cell>
          <cell r="K205">
            <v>-111385</v>
          </cell>
          <cell r="L205">
            <v>-111385</v>
          </cell>
        </row>
        <row r="206">
          <cell r="C206">
            <v>0</v>
          </cell>
          <cell r="J206">
            <v>0</v>
          </cell>
          <cell r="K206">
            <v>0</v>
          </cell>
          <cell r="L206">
            <v>0</v>
          </cell>
        </row>
        <row r="207">
          <cell r="C207">
            <v>0</v>
          </cell>
          <cell r="J207">
            <v>0</v>
          </cell>
          <cell r="K207">
            <v>0</v>
          </cell>
          <cell r="L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</row>
        <row r="212">
          <cell r="J212">
            <v>111385</v>
          </cell>
          <cell r="K212">
            <v>-111385</v>
          </cell>
          <cell r="L212">
            <v>0</v>
          </cell>
        </row>
        <row r="213">
          <cell r="C213" t="str">
            <v>Free Entry</v>
          </cell>
          <cell r="J213">
            <v>0</v>
          </cell>
          <cell r="K213">
            <v>0</v>
          </cell>
          <cell r="L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</row>
        <row r="223">
          <cell r="C223" t="str">
            <v>Free Entry</v>
          </cell>
          <cell r="J223">
            <v>0</v>
          </cell>
          <cell r="K223">
            <v>0</v>
          </cell>
          <cell r="L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</row>
        <row r="233">
          <cell r="C233" t="str">
            <v>Free Entry</v>
          </cell>
          <cell r="J233">
            <v>0</v>
          </cell>
          <cell r="K233">
            <v>0</v>
          </cell>
          <cell r="L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</row>
        <row r="243">
          <cell r="C243" t="str">
            <v>Free Entry</v>
          </cell>
          <cell r="J243">
            <v>0</v>
          </cell>
          <cell r="K243">
            <v>0</v>
          </cell>
          <cell r="L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</row>
        <row r="253">
          <cell r="C253" t="str">
            <v>Free Entry</v>
          </cell>
          <cell r="J253">
            <v>0</v>
          </cell>
          <cell r="K253">
            <v>0</v>
          </cell>
          <cell r="L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</row>
        <row r="263">
          <cell r="C263" t="str">
            <v>Free Entry</v>
          </cell>
          <cell r="J263">
            <v>0</v>
          </cell>
          <cell r="K263">
            <v>0</v>
          </cell>
          <cell r="L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</row>
        <row r="268">
          <cell r="J268">
            <v>0</v>
          </cell>
          <cell r="K268">
            <v>0</v>
          </cell>
          <cell r="L268">
            <v>0</v>
          </cell>
        </row>
        <row r="269">
          <cell r="J269">
            <v>0</v>
          </cell>
          <cell r="K269">
            <v>0</v>
          </cell>
          <cell r="L269">
            <v>0</v>
          </cell>
        </row>
        <row r="277">
          <cell r="B277">
            <v>0</v>
          </cell>
          <cell r="D277">
            <v>0</v>
          </cell>
          <cell r="J277">
            <v>0</v>
          </cell>
          <cell r="L277">
            <v>0</v>
          </cell>
        </row>
        <row r="278">
          <cell r="B278">
            <v>0</v>
          </cell>
          <cell r="C278" t="str">
            <v>e. Record Inter Cpmpany (ACH-ARESCO ) Advanced Payments balance</v>
          </cell>
          <cell r="D278">
            <v>0</v>
          </cell>
          <cell r="J278">
            <v>0</v>
          </cell>
          <cell r="L278">
            <v>0</v>
          </cell>
        </row>
        <row r="279">
          <cell r="B279">
            <v>20800100</v>
          </cell>
          <cell r="D279" t="str">
            <v>Dr. Advances from customers</v>
          </cell>
          <cell r="E279">
            <v>0</v>
          </cell>
          <cell r="J279">
            <v>0</v>
          </cell>
          <cell r="K279">
            <v>0</v>
          </cell>
          <cell r="L279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</row>
        <row r="283">
          <cell r="C283" t="str">
            <v>Free Entry</v>
          </cell>
          <cell r="J283">
            <v>0</v>
          </cell>
          <cell r="K283">
            <v>0</v>
          </cell>
          <cell r="L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</row>
        <row r="293">
          <cell r="C293" t="str">
            <v>Free Entry</v>
          </cell>
          <cell r="J293">
            <v>0</v>
          </cell>
          <cell r="K293">
            <v>0</v>
          </cell>
          <cell r="L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</row>
        <row r="303">
          <cell r="C303" t="str">
            <v>Free Entry</v>
          </cell>
          <cell r="J303">
            <v>0</v>
          </cell>
          <cell r="K303">
            <v>0</v>
          </cell>
          <cell r="L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EX"/>
      <sheetName val="ASSUMPTIONS"/>
      <sheetName val="PRICES &amp; COSTS"/>
      <sheetName val="GE INTEREST INCOME"/>
      <sheetName val="GE INTEREST INCOME (2)"/>
      <sheetName val="PURCHASE PLAN"/>
      <sheetName val="CASH FLOW"/>
      <sheetName val="CASH IN"/>
      <sheetName val="TOTAL"/>
      <sheetName val="SPLIT"/>
      <sheetName val="GE"/>
      <sheetName val="EMT"/>
      <sheetName val="SUM"/>
      <sheetName val="TOTAL (2)"/>
      <sheetName val="GE (2)"/>
      <sheetName val="EMT (2)"/>
      <sheetName val="SUM (2)"/>
      <sheetName val="BUS SALES"/>
      <sheetName val="MINI BUS SALES"/>
      <sheetName val="TRUCK SLAES"/>
      <sheetName val="TRAILER SALES"/>
      <sheetName val="TRUCKS P.S."/>
      <sheetName val="TRAILERS P.S."/>
      <sheetName val="EMT MAZDA"/>
      <sheetName val="EMT MITSUBISHI"/>
      <sheetName val="TRADE IN SALES"/>
      <sheetName val="SPARE PARTS"/>
      <sheetName val="BOSCH SALES"/>
      <sheetName val="HEAVY SERVICE"/>
      <sheetName val="AUTO SERVICE"/>
      <sheetName val="NON AUTO"/>
      <sheetName val="GEN SETS"/>
      <sheetName val="ALEX F.Z."/>
      <sheetName val="ALEX INTEREST INCOME"/>
      <sheetName val="ALEX CASH IN"/>
      <sheetName val="ALEX F.Z. EXP"/>
      <sheetName val="F.Z. MAZDA TO EMT"/>
      <sheetName val="F.Z. MAZDA TO 3RD"/>
      <sheetName val="F.Z. MITSUBISHI TO EMT"/>
      <sheetName val="F.Z. MITSUBISHI TO 3RD"/>
      <sheetName val="P.S. F.Z."/>
      <sheetName val="P.S. INTEREST INCOME"/>
      <sheetName val="P.S. CASH IN"/>
      <sheetName val="P.S. F.Z. EXP"/>
      <sheetName val="F.Z. NON AUTO TO EMT"/>
      <sheetName val="F.Z. NON AUTO TO 3RD"/>
      <sheetName val="BLANK"/>
      <sheetName val="TOTAL CO. EXP."/>
      <sheetName val="TOTAL CO. EXP (2)"/>
      <sheetName val="TOTAL G &amp; A"/>
      <sheetName val="TOTAL G &amp; A (2)"/>
      <sheetName val="M.D."/>
      <sheetName val="PROJECTS"/>
      <sheetName val="I.T."/>
      <sheetName val="QTY. SEC. MGR."/>
      <sheetName val="Q.A."/>
      <sheetName val="LEGAL"/>
      <sheetName val="FINANCE"/>
      <sheetName val="H.R."/>
      <sheetName val="ADMIN"/>
      <sheetName val="TOTAL M &amp; S"/>
      <sheetName val="TOTAL M &amp; S (2)"/>
      <sheetName val="MKTG"/>
      <sheetName val="TOTAL SALES EXP"/>
      <sheetName val="SALES MGMT"/>
      <sheetName val="NATL. AC'S"/>
      <sheetName val="BUS EXP"/>
      <sheetName val="EXPORT EXP"/>
      <sheetName val="TRUCK EXP"/>
      <sheetName val="MINI BUS EXP"/>
      <sheetName val="MAZDA EXP"/>
      <sheetName val="TRADE IN EXP"/>
      <sheetName val="SALES OFFICE EXP"/>
      <sheetName val="ENGINES EXP"/>
      <sheetName val="EMAD ELDIN EXP"/>
      <sheetName val="ALEX EXP "/>
      <sheetName val="DELIVERY EXP"/>
      <sheetName val="TOTAL AFTER SALESEXP"/>
      <sheetName val="A.S.S.M"/>
      <sheetName val="TOTAL S.P. EXP"/>
      <sheetName val="SPARE PARTS EXP"/>
      <sheetName val="BOSCH EXP"/>
      <sheetName val="TOTAL SERVICE EXP"/>
      <sheetName val="TOTAL SERVICE (2)"/>
      <sheetName val="TOTAL AUTO"/>
      <sheetName val="MECH."/>
      <sheetName val="BODY R."/>
      <sheetName val="SCANIA SERVICE"/>
      <sheetName val="TOTAL IND. EXP."/>
      <sheetName val="TOTAL LOGISTICS"/>
      <sheetName val="TOTAL LOGISTICS (2)"/>
      <sheetName val="LOGISTICS MGR"/>
      <sheetName val="PROCUREMENT"/>
      <sheetName val="PLANNING"/>
      <sheetName val="FORMALITIES"/>
      <sheetName val="LOCALIZATION"/>
      <sheetName val=" TOTAL MFG. EXP."/>
      <sheetName val=" TOTAL MFG. EXP. (2)"/>
      <sheetName val="MFG. MGMT"/>
      <sheetName val="MFG. QTY"/>
      <sheetName val="TOTAL ENG."/>
      <sheetName val="ENG.MGMT"/>
      <sheetName val="ENG. TECHNOLOGY"/>
      <sheetName val="ENG.MODELS"/>
      <sheetName val="TOTAL PRODUCTION"/>
      <sheetName val="PROD MGMT"/>
      <sheetName val="MACHINING"/>
      <sheetName val="CKD"/>
      <sheetName val="PRE ASS"/>
      <sheetName val="WELDING"/>
      <sheetName val="SHEETING"/>
      <sheetName val="TRIM"/>
      <sheetName val="SEATS"/>
      <sheetName val="PAINT"/>
      <sheetName val="FIBER"/>
      <sheetName val="MTCE"/>
      <sheetName val="PRICES_&amp;_COSTS"/>
      <sheetName val="GE_INTEREST_INCOME"/>
      <sheetName val="GE_INTEREST_INCOME_(2)"/>
      <sheetName val="PURCHASE_PLAN"/>
      <sheetName val="CASH_FLOW"/>
      <sheetName val="CASH_IN"/>
      <sheetName val="TOTAL_(2)"/>
      <sheetName val="GE_(2)"/>
      <sheetName val="EMT_(2)"/>
      <sheetName val="SUM_(2)"/>
      <sheetName val="BUS_SALES"/>
      <sheetName val="MINI_BUS_SALES"/>
      <sheetName val="TRUCK_SLAES"/>
      <sheetName val="TRAILER_SALES"/>
      <sheetName val="TRUCKS_P_S_"/>
      <sheetName val="TRAILERS_P_S_"/>
      <sheetName val="EMT_MAZDA"/>
      <sheetName val="EMT_MITSUBISHI"/>
      <sheetName val="TRADE_IN_SALES"/>
      <sheetName val="SPARE_PARTS"/>
      <sheetName val="BOSCH_SALES"/>
      <sheetName val="HEAVY_SERVICE"/>
      <sheetName val="AUTO_SERVICE"/>
      <sheetName val="NON_AUTO"/>
      <sheetName val="GEN_SETS"/>
      <sheetName val="ALEX_F_Z_"/>
      <sheetName val="ALEX_INTEREST_INCOME"/>
      <sheetName val="ALEX_CASH_IN"/>
      <sheetName val="ALEX_F_Z__EXP"/>
      <sheetName val="F_Z__MAZDA_TO_EMT"/>
      <sheetName val="F_Z__MAZDA_TO_3RD"/>
      <sheetName val="F_Z__MITSUBISHI_TO_EMT"/>
      <sheetName val="F_Z__MITSUBISHI_TO_3RD"/>
      <sheetName val="P_S__F_Z_"/>
      <sheetName val="P_S__INTEREST_INCOME"/>
      <sheetName val="P_S__CASH_IN"/>
      <sheetName val="P_S__F_Z__EXP"/>
      <sheetName val="F_Z__NON_AUTO_TO_EMT"/>
      <sheetName val="F_Z__NON_AUTO_TO_3RD"/>
      <sheetName val="TOTAL_CO__EXP_"/>
      <sheetName val="TOTAL_CO__EXP_(2)"/>
      <sheetName val="TOTAL_G_&amp;_A"/>
      <sheetName val="TOTAL_G_&amp;_A_(2)"/>
      <sheetName val="M_D_"/>
      <sheetName val="I_T_"/>
      <sheetName val="QTY__SEC__MGR_"/>
      <sheetName val="Q_A_"/>
      <sheetName val="H_R_"/>
      <sheetName val="TOTAL_M_&amp;_S"/>
      <sheetName val="TOTAL_M_&amp;_S_(2)"/>
      <sheetName val="TOTAL_SALES_EXP"/>
      <sheetName val="SALES_MGMT"/>
      <sheetName val="NATL__AC'S"/>
      <sheetName val="BUS_EXP"/>
      <sheetName val="EXPORT_EXP"/>
      <sheetName val="TRUCK_EXP"/>
      <sheetName val="MINI_BUS_EXP"/>
      <sheetName val="MAZDA_EXP"/>
      <sheetName val="TRADE_IN_EXP"/>
      <sheetName val="SALES_OFFICE_EXP"/>
      <sheetName val="ENGINES_EXP"/>
      <sheetName val="EMAD_ELDIN_EXP"/>
      <sheetName val="ALEX_EXP_"/>
      <sheetName val="DELIVERY_EXP"/>
      <sheetName val="TOTAL_AFTER_SALESEXP"/>
      <sheetName val="A_S_S_M"/>
      <sheetName val="TOTAL_S_P__EXP"/>
      <sheetName val="SPARE_PARTS_EXP"/>
      <sheetName val="BOSCH_EXP"/>
      <sheetName val="TOTAL_SERVICE_EXP"/>
      <sheetName val="TOTAL_SERVICE_(2)"/>
      <sheetName val="TOTAL_AUTO"/>
      <sheetName val="MECH_"/>
      <sheetName val="BODY_R_"/>
      <sheetName val="SCANIA_SERVICE"/>
      <sheetName val="TOTAL_IND__EXP_"/>
      <sheetName val="TOTAL_LOGISTICS"/>
      <sheetName val="TOTAL_LOGISTICS_(2)"/>
      <sheetName val="LOGISTICS_MGR"/>
      <sheetName val="_TOTAL_MFG__EXP_"/>
      <sheetName val="_TOTAL_MFG__EXP__(2)"/>
      <sheetName val="MFG__MGMT"/>
      <sheetName val="MFG__QTY"/>
      <sheetName val="TOTAL_ENG_"/>
      <sheetName val="ENG_MGMT"/>
      <sheetName val="ENG__TECHNOLOGY"/>
      <sheetName val="ENG_MODELS"/>
      <sheetName val="TOTAL_PRODUCTION"/>
      <sheetName val="PROD_MGMT"/>
      <sheetName val="PRE_A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MFormattingSheet_Cover"/>
      <sheetName val="EPMFormattingSheet_IS"/>
      <sheetName val="EPMFormattingSheet_BS"/>
      <sheetName val="EPMFormattingSheet_CF"/>
      <sheetName val="TransForce"/>
      <sheetName val="Income Statement PCE"/>
      <sheetName val="Income Statement"/>
      <sheetName val="Cover"/>
      <sheetName val="Sheet1"/>
      <sheetName val="Balance Sheet"/>
      <sheetName val="Cash Flo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">
          <cell r="D8" t="str">
            <v>BAS(2018.TOTAL)</v>
          </cell>
        </row>
        <row r="9">
          <cell r="D9" t="str">
            <v>,YEAR&gt;2018;STAT_MONTH=Y;ID&lt;=202012</v>
          </cell>
        </row>
        <row r="10">
          <cell r="D10" t="str">
            <v>,YEAR&gt;2020;PERIOD=DEC;ID&lt;=202312</v>
          </cell>
        </row>
        <row r="12">
          <cell r="D12" t="str">
            <v>5YP_DE</v>
          </cell>
        </row>
        <row r="17">
          <cell r="D17">
            <v>0</v>
          </cell>
        </row>
        <row r="18">
          <cell r="D18">
            <v>0</v>
          </cell>
        </row>
      </sheetData>
      <sheetData sheetId="8"/>
      <sheetData sheetId="9">
        <row r="4">
          <cell r="M4" t="str">
            <v>COL_ACCOUNT</v>
          </cell>
        </row>
      </sheetData>
      <sheetData sheetId="10">
        <row r="25">
          <cell r="J25" t="str">
            <v>Net Income/Loss</v>
          </cell>
        </row>
        <row r="26">
          <cell r="J26" t="str">
            <v>Change in other Receivable</v>
          </cell>
        </row>
        <row r="27">
          <cell r="J27" t="str">
            <v>Taxes</v>
          </cell>
        </row>
        <row r="28">
          <cell r="J28" t="str">
            <v>Minority Interest</v>
          </cell>
        </row>
        <row r="40">
          <cell r="M40" t="str">
            <v>CF</v>
          </cell>
        </row>
        <row r="42">
          <cell r="J42" t="str">
            <v>Financial statement Translation Diff.</v>
          </cell>
        </row>
        <row r="45">
          <cell r="J45" t="str">
            <v>Due from InterCompany Net</v>
          </cell>
        </row>
        <row r="46">
          <cell r="J46" t="str">
            <v>Due From Related parties company</v>
          </cell>
        </row>
        <row r="47">
          <cell r="J47" t="str">
            <v>Due To Related parties company</v>
          </cell>
        </row>
        <row r="48">
          <cell r="J48" t="str">
            <v>Due To InterCompany Net</v>
          </cell>
        </row>
        <row r="50">
          <cell r="J50" t="str">
            <v>Discontinued operations- Operating activities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PRICE &amp; COST "/>
      <sheetName val="GE"/>
      <sheetName val="EMT"/>
      <sheetName val="TOTAL"/>
      <sheetName val="CASH FLOW"/>
      <sheetName val="INTEREST INCOME"/>
      <sheetName val="CAPEX"/>
      <sheetName val="BUSES"/>
      <sheetName val="BOSCH"/>
      <sheetName val="SPARE PARTS"/>
      <sheetName val="SCANIA SERVICE"/>
      <sheetName val="P. CAR SERVICE"/>
      <sheetName val="MAZDA"/>
      <sheetName val="MINI BUS"/>
      <sheetName val="NON AUTO"/>
      <sheetName val="GEN SETS"/>
      <sheetName val="TRUCKS"/>
      <sheetName val="SUMMARY"/>
      <sheetName val="TOTAL2"/>
      <sheetName val="ALEX F.Z."/>
      <sheetName val="PRICE_&amp;_COST_"/>
      <sheetName val="CASH_FLOW"/>
      <sheetName val="INTEREST_INCOME"/>
      <sheetName val="SPARE_PARTS"/>
      <sheetName val="SCANIA_SERVICE"/>
      <sheetName val="P__CAR_SERVICE"/>
      <sheetName val="MINI_BUS"/>
      <sheetName val="NON_AUTO"/>
      <sheetName val="GEN_SETS"/>
      <sheetName val="ALEX_F_Z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urce db"/>
      <sheetName val="cascading"/>
      <sheetName val="Painting Calculator"/>
      <sheetName val="extensions lookup"/>
      <sheetName val="painting"/>
    </sheetNames>
    <sheetDataSet>
      <sheetData sheetId="0"/>
      <sheetData sheetId="1">
        <row r="40">
          <cell r="A40" t="str">
            <v>Primers</v>
          </cell>
        </row>
        <row r="41">
          <cell r="A41" t="str">
            <v>intermediates</v>
          </cell>
        </row>
        <row r="42">
          <cell r="A42" t="str">
            <v>topcoats</v>
          </cell>
        </row>
        <row r="43">
          <cell r="A43" t="str">
            <v>immersion_Lining</v>
          </cell>
        </row>
        <row r="44">
          <cell r="A44" t="str">
            <v>heat_resist</v>
          </cell>
        </row>
        <row r="45">
          <cell r="A45" t="str">
            <v>mastic_surf_tolerant_coatings</v>
          </cell>
        </row>
        <row r="96">
          <cell r="A96" t="str">
            <v>Heavy_structure</v>
          </cell>
          <cell r="B96">
            <v>15</v>
          </cell>
        </row>
        <row r="97">
          <cell r="A97" t="str">
            <v>Light_Structure</v>
          </cell>
          <cell r="B97">
            <v>32</v>
          </cell>
        </row>
        <row r="98">
          <cell r="A98" t="str">
            <v>Medium_Structure</v>
          </cell>
          <cell r="B98">
            <v>20</v>
          </cell>
        </row>
        <row r="99">
          <cell r="A99" t="str">
            <v>PL004</v>
          </cell>
          <cell r="B99">
            <v>32</v>
          </cell>
        </row>
        <row r="100">
          <cell r="A100" t="str">
            <v>PL005</v>
          </cell>
          <cell r="B100">
            <v>25</v>
          </cell>
        </row>
        <row r="101">
          <cell r="A101" t="str">
            <v>PL006</v>
          </cell>
          <cell r="B101">
            <v>21</v>
          </cell>
        </row>
        <row r="102">
          <cell r="A102" t="str">
            <v>PL007</v>
          </cell>
          <cell r="B102">
            <v>18</v>
          </cell>
        </row>
        <row r="103">
          <cell r="A103" t="str">
            <v>PL008</v>
          </cell>
          <cell r="B103">
            <v>16</v>
          </cell>
        </row>
        <row r="104">
          <cell r="A104" t="str">
            <v>PL010</v>
          </cell>
          <cell r="B104">
            <v>13</v>
          </cell>
        </row>
        <row r="105">
          <cell r="A105" t="str">
            <v>PL012</v>
          </cell>
          <cell r="B105">
            <v>11</v>
          </cell>
        </row>
        <row r="106">
          <cell r="A106" t="str">
            <v>PL014</v>
          </cell>
          <cell r="B106">
            <v>9</v>
          </cell>
        </row>
        <row r="107">
          <cell r="A107" t="str">
            <v>PL015</v>
          </cell>
          <cell r="B107">
            <v>8.4700000000000006</v>
          </cell>
        </row>
        <row r="108">
          <cell r="A108" t="str">
            <v>PL016</v>
          </cell>
          <cell r="B108">
            <v>7.94</v>
          </cell>
        </row>
        <row r="109">
          <cell r="A109" t="str">
            <v>PL018</v>
          </cell>
          <cell r="B109">
            <v>7</v>
          </cell>
        </row>
        <row r="110">
          <cell r="A110" t="str">
            <v>PL020</v>
          </cell>
          <cell r="B110">
            <v>6.35</v>
          </cell>
        </row>
        <row r="111">
          <cell r="A111" t="str">
            <v>PL022</v>
          </cell>
          <cell r="B111">
            <v>5.7</v>
          </cell>
        </row>
        <row r="112">
          <cell r="A112" t="str">
            <v>PL025</v>
          </cell>
          <cell r="B112">
            <v>5</v>
          </cell>
        </row>
        <row r="113">
          <cell r="A113" t="str">
            <v>PL028</v>
          </cell>
          <cell r="B113">
            <v>4.53</v>
          </cell>
        </row>
        <row r="114">
          <cell r="A114" t="str">
            <v>PL030</v>
          </cell>
          <cell r="B114">
            <v>4.2300000000000004</v>
          </cell>
        </row>
        <row r="115">
          <cell r="A115" t="str">
            <v>PL032</v>
          </cell>
          <cell r="B115">
            <v>3.9</v>
          </cell>
        </row>
        <row r="116">
          <cell r="A116" t="str">
            <v>PL035</v>
          </cell>
          <cell r="B116">
            <v>3.63</v>
          </cell>
        </row>
        <row r="117">
          <cell r="A117" t="str">
            <v>PL040</v>
          </cell>
          <cell r="B117">
            <v>3.17</v>
          </cell>
        </row>
        <row r="118">
          <cell r="A118" t="str">
            <v>PL045</v>
          </cell>
          <cell r="B118">
            <v>2.82</v>
          </cell>
        </row>
        <row r="119">
          <cell r="A119" t="str">
            <v>PL050</v>
          </cell>
          <cell r="B119">
            <v>2.54</v>
          </cell>
        </row>
        <row r="120">
          <cell r="A120" t="str">
            <v>PL055</v>
          </cell>
          <cell r="B120">
            <v>2.31</v>
          </cell>
        </row>
        <row r="121">
          <cell r="A121" t="str">
            <v>PL060</v>
          </cell>
          <cell r="B121">
            <v>2.12</v>
          </cell>
        </row>
        <row r="122">
          <cell r="A122" t="str">
            <v>PL070</v>
          </cell>
          <cell r="B122">
            <v>1.82</v>
          </cell>
        </row>
        <row r="123">
          <cell r="A123" t="str">
            <v>PL080</v>
          </cell>
          <cell r="B123">
            <v>1.59</v>
          </cell>
        </row>
        <row r="124">
          <cell r="A124" t="str">
            <v>PL090</v>
          </cell>
          <cell r="B124">
            <v>1.41</v>
          </cell>
        </row>
        <row r="125">
          <cell r="A125" t="str">
            <v>PL100</v>
          </cell>
          <cell r="B125">
            <v>1.27</v>
          </cell>
        </row>
        <row r="127">
          <cell r="A127" t="str">
            <v>NA</v>
          </cell>
        </row>
        <row r="128">
          <cell r="A128" t="str">
            <v>Single Side</v>
          </cell>
        </row>
        <row r="129">
          <cell r="A129" t="str">
            <v>Double Side</v>
          </cell>
        </row>
      </sheetData>
      <sheetData sheetId="2"/>
      <sheetData sheetId="3">
        <row r="2">
          <cell r="A2" t="str">
            <v>Alkyd primer</v>
          </cell>
          <cell r="B2">
            <v>40</v>
          </cell>
          <cell r="C2">
            <v>30</v>
          </cell>
          <cell r="D2">
            <v>50</v>
          </cell>
          <cell r="E2">
            <v>13</v>
          </cell>
          <cell r="F2">
            <v>11.88</v>
          </cell>
        </row>
        <row r="3">
          <cell r="A3" t="str">
            <v>Barrier</v>
          </cell>
          <cell r="B3">
            <v>40</v>
          </cell>
          <cell r="C3">
            <v>25</v>
          </cell>
          <cell r="D3">
            <v>90</v>
          </cell>
          <cell r="E3">
            <v>13.3</v>
          </cell>
          <cell r="F3">
            <v>118.8</v>
          </cell>
        </row>
        <row r="4">
          <cell r="A4" t="str">
            <v>Barrier 77</v>
          </cell>
          <cell r="B4">
            <v>50</v>
          </cell>
          <cell r="C4">
            <v>25</v>
          </cell>
          <cell r="D4">
            <v>75</v>
          </cell>
          <cell r="E4">
            <v>10.6</v>
          </cell>
          <cell r="F4">
            <v>92.4</v>
          </cell>
        </row>
        <row r="5">
          <cell r="A5" t="str">
            <v>Barrier 90</v>
          </cell>
          <cell r="B5">
            <v>40</v>
          </cell>
          <cell r="C5">
            <v>25</v>
          </cell>
          <cell r="D5">
            <v>90</v>
          </cell>
          <cell r="E5">
            <v>13.3</v>
          </cell>
          <cell r="F5">
            <v>145.19999999999999</v>
          </cell>
        </row>
        <row r="6">
          <cell r="A6" t="str">
            <v>Barrier ZEP</v>
          </cell>
          <cell r="B6">
            <v>50</v>
          </cell>
          <cell r="C6">
            <v>40</v>
          </cell>
          <cell r="D6">
            <v>90</v>
          </cell>
          <cell r="E6">
            <v>10.8</v>
          </cell>
          <cell r="F6">
            <v>56.1</v>
          </cell>
        </row>
        <row r="7">
          <cell r="A7" t="str">
            <v>Bengalac Matt (Black , Grey)</v>
          </cell>
          <cell r="B7">
            <v>35</v>
          </cell>
          <cell r="C7">
            <v>30</v>
          </cell>
          <cell r="D7">
            <v>40</v>
          </cell>
          <cell r="E7">
            <v>13.4</v>
          </cell>
          <cell r="F7">
            <v>11.88</v>
          </cell>
        </row>
        <row r="8">
          <cell r="A8" t="str">
            <v>Bengalac Matt (White)</v>
          </cell>
          <cell r="B8">
            <v>35</v>
          </cell>
          <cell r="C8">
            <v>30</v>
          </cell>
          <cell r="D8">
            <v>40</v>
          </cell>
          <cell r="E8">
            <v>13.4</v>
          </cell>
          <cell r="F8">
            <v>14.52</v>
          </cell>
        </row>
        <row r="9">
          <cell r="A9" t="str">
            <v>Chemtech GM Clear</v>
          </cell>
          <cell r="B9">
            <v>1650</v>
          </cell>
          <cell r="C9">
            <v>1000</v>
          </cell>
          <cell r="D9">
            <v>3000</v>
          </cell>
          <cell r="E9">
            <v>0.6</v>
          </cell>
          <cell r="F9">
            <v>59.4</v>
          </cell>
        </row>
        <row r="10">
          <cell r="A10" t="str">
            <v>Coal Tar Epoxy 83</v>
          </cell>
          <cell r="B10">
            <v>200</v>
          </cell>
          <cell r="C10">
            <v>150</v>
          </cell>
          <cell r="D10">
            <v>250</v>
          </cell>
          <cell r="E10">
            <v>3.65</v>
          </cell>
          <cell r="F10">
            <v>19.14</v>
          </cell>
        </row>
        <row r="11">
          <cell r="A11" t="str">
            <v>Coal Tar Epoxy 83</v>
          </cell>
          <cell r="B11">
            <v>200</v>
          </cell>
          <cell r="C11">
            <v>150</v>
          </cell>
          <cell r="D11">
            <v>250</v>
          </cell>
          <cell r="E11">
            <v>3.65</v>
          </cell>
          <cell r="F11">
            <v>21.12</v>
          </cell>
        </row>
        <row r="12">
          <cell r="A12" t="str">
            <v>Futura AS</v>
          </cell>
          <cell r="B12">
            <v>40</v>
          </cell>
          <cell r="C12">
            <v>30</v>
          </cell>
          <cell r="D12">
            <v>50</v>
          </cell>
          <cell r="E12">
            <v>11.8</v>
          </cell>
          <cell r="F12">
            <v>33</v>
          </cell>
        </row>
        <row r="13">
          <cell r="A13" t="str">
            <v>Hardtop Xp</v>
          </cell>
          <cell r="B13">
            <v>60</v>
          </cell>
          <cell r="C13">
            <v>40</v>
          </cell>
          <cell r="D13">
            <v>80</v>
          </cell>
          <cell r="E13">
            <v>10.5</v>
          </cell>
          <cell r="F13">
            <v>52.8</v>
          </cell>
        </row>
        <row r="14">
          <cell r="A14" t="str">
            <v>Jotagard Special 70</v>
          </cell>
          <cell r="B14">
            <v>150</v>
          </cell>
          <cell r="C14">
            <v>100</v>
          </cell>
          <cell r="D14">
            <v>200</v>
          </cell>
          <cell r="E14">
            <v>4.7</v>
          </cell>
          <cell r="F14">
            <v>25.08</v>
          </cell>
        </row>
        <row r="15">
          <cell r="A15" t="str">
            <v>Jotagard Special 90</v>
          </cell>
          <cell r="B15">
            <v>300</v>
          </cell>
          <cell r="C15">
            <v>200</v>
          </cell>
          <cell r="D15">
            <v>500</v>
          </cell>
          <cell r="E15">
            <v>3</v>
          </cell>
          <cell r="F15">
            <v>36.96</v>
          </cell>
        </row>
        <row r="16">
          <cell r="A16" t="str">
            <v>JOTAMASTIC 80</v>
          </cell>
          <cell r="B16">
            <v>125</v>
          </cell>
          <cell r="C16">
            <v>100</v>
          </cell>
          <cell r="D16">
            <v>250</v>
          </cell>
          <cell r="E16">
            <v>6.2</v>
          </cell>
          <cell r="F16">
            <v>38.28</v>
          </cell>
        </row>
        <row r="17">
          <cell r="A17" t="str">
            <v>JOTAMASTIC 80</v>
          </cell>
          <cell r="B17">
            <v>125</v>
          </cell>
          <cell r="C17">
            <v>100</v>
          </cell>
          <cell r="D17">
            <v>250</v>
          </cell>
          <cell r="E17">
            <v>6.2</v>
          </cell>
          <cell r="F17">
            <v>39.6</v>
          </cell>
        </row>
        <row r="18">
          <cell r="A18" t="str">
            <v>JOTAMASTIC 87</v>
          </cell>
          <cell r="B18">
            <v>200</v>
          </cell>
          <cell r="C18">
            <v>150</v>
          </cell>
          <cell r="D18">
            <v>300</v>
          </cell>
          <cell r="E18">
            <v>4.0999999999999996</v>
          </cell>
          <cell r="F18">
            <v>39.6</v>
          </cell>
        </row>
        <row r="19">
          <cell r="A19" t="str">
            <v>JOTAMASTIC 87 ALUMINUM</v>
          </cell>
          <cell r="B19">
            <v>200</v>
          </cell>
          <cell r="C19">
            <v>150</v>
          </cell>
          <cell r="D19">
            <v>300</v>
          </cell>
          <cell r="E19">
            <v>4.4000000000000004</v>
          </cell>
          <cell r="F19">
            <v>42.9</v>
          </cell>
        </row>
        <row r="20">
          <cell r="A20" t="str">
            <v>JOTAMASTIC 87 GF</v>
          </cell>
          <cell r="B20">
            <v>250</v>
          </cell>
          <cell r="C20">
            <v>200</v>
          </cell>
          <cell r="D20">
            <v>350</v>
          </cell>
          <cell r="E20">
            <v>3.2</v>
          </cell>
          <cell r="F20">
            <v>59.4</v>
          </cell>
        </row>
        <row r="21">
          <cell r="A21" t="str">
            <v>JOTAMASTIC SMART PACK</v>
          </cell>
          <cell r="B21">
            <v>200</v>
          </cell>
          <cell r="C21">
            <v>150</v>
          </cell>
          <cell r="D21">
            <v>300</v>
          </cell>
          <cell r="E21">
            <v>4.0999999999999996</v>
          </cell>
          <cell r="F21">
            <v>79.2</v>
          </cell>
        </row>
        <row r="22">
          <cell r="A22" t="str">
            <v>Marathon</v>
          </cell>
          <cell r="B22">
            <v>250</v>
          </cell>
          <cell r="C22">
            <v>200</v>
          </cell>
          <cell r="D22">
            <v>400</v>
          </cell>
          <cell r="E22">
            <v>3.2</v>
          </cell>
          <cell r="F22">
            <v>47.52</v>
          </cell>
        </row>
        <row r="23">
          <cell r="A23" t="str">
            <v>Marathon</v>
          </cell>
          <cell r="B23">
            <v>250</v>
          </cell>
          <cell r="C23">
            <v>200</v>
          </cell>
          <cell r="D23">
            <v>400</v>
          </cell>
          <cell r="E23">
            <v>3.2</v>
          </cell>
          <cell r="F23">
            <v>54.12</v>
          </cell>
        </row>
        <row r="24">
          <cell r="A24" t="str">
            <v>Marathon IQ GF</v>
          </cell>
          <cell r="B24">
            <v>300</v>
          </cell>
          <cell r="C24">
            <v>250</v>
          </cell>
          <cell r="D24">
            <v>650</v>
          </cell>
          <cell r="E24">
            <v>3.3</v>
          </cell>
          <cell r="F24">
            <v>89.1</v>
          </cell>
        </row>
        <row r="25">
          <cell r="A25" t="str">
            <v>Penguard Express</v>
          </cell>
          <cell r="B25">
            <v>125</v>
          </cell>
          <cell r="C25">
            <v>75</v>
          </cell>
          <cell r="D25">
            <v>250</v>
          </cell>
          <cell r="E25">
            <v>5.9</v>
          </cell>
          <cell r="F25">
            <v>35.64</v>
          </cell>
        </row>
        <row r="26">
          <cell r="A26" t="str">
            <v>Penguard Express MIO</v>
          </cell>
          <cell r="B26">
            <v>125</v>
          </cell>
          <cell r="C26">
            <v>75</v>
          </cell>
          <cell r="D26">
            <v>250</v>
          </cell>
          <cell r="E26">
            <v>5.9</v>
          </cell>
          <cell r="F26">
            <v>38.28</v>
          </cell>
        </row>
        <row r="27">
          <cell r="A27" t="str">
            <v>Penguard Express ZP</v>
          </cell>
          <cell r="B27">
            <v>125</v>
          </cell>
          <cell r="C27">
            <v>75</v>
          </cell>
          <cell r="D27">
            <v>250</v>
          </cell>
          <cell r="E27">
            <v>5.9</v>
          </cell>
          <cell r="F27">
            <v>40.92</v>
          </cell>
        </row>
        <row r="28">
          <cell r="A28" t="str">
            <v>Penguard MIDcoat</v>
          </cell>
          <cell r="B28">
            <v>150</v>
          </cell>
          <cell r="C28">
            <v>100</v>
          </cell>
          <cell r="D28">
            <v>250</v>
          </cell>
          <cell r="E28">
            <v>5.5</v>
          </cell>
          <cell r="F28">
            <v>34.32</v>
          </cell>
        </row>
        <row r="29">
          <cell r="A29" t="str">
            <v>Penguard MIDcoat MIO</v>
          </cell>
          <cell r="B29">
            <v>150</v>
          </cell>
          <cell r="C29">
            <v>100</v>
          </cell>
          <cell r="D29">
            <v>250</v>
          </cell>
          <cell r="E29">
            <v>5.5</v>
          </cell>
          <cell r="F29">
            <v>36.299999999999997</v>
          </cell>
        </row>
        <row r="30">
          <cell r="A30" t="str">
            <v>Penguard MIDcoat MIO 80</v>
          </cell>
          <cell r="B30">
            <v>150</v>
          </cell>
          <cell r="C30">
            <v>100</v>
          </cell>
          <cell r="D30">
            <v>250</v>
          </cell>
          <cell r="E30">
            <v>5.5</v>
          </cell>
          <cell r="F30">
            <v>49.5</v>
          </cell>
        </row>
        <row r="31">
          <cell r="A31" t="str">
            <v>Penguard primer</v>
          </cell>
          <cell r="B31">
            <v>50</v>
          </cell>
          <cell r="C31">
            <v>40</v>
          </cell>
          <cell r="D31">
            <v>60</v>
          </cell>
          <cell r="E31">
            <v>10.199999999999999</v>
          </cell>
          <cell r="F31">
            <v>23.1</v>
          </cell>
        </row>
        <row r="32">
          <cell r="A32" t="str">
            <v>Penguard Tie Coat 100</v>
          </cell>
          <cell r="B32">
            <v>35</v>
          </cell>
          <cell r="C32">
            <v>30</v>
          </cell>
          <cell r="D32">
            <v>50</v>
          </cell>
          <cell r="E32">
            <v>12</v>
          </cell>
          <cell r="F32">
            <v>29.04</v>
          </cell>
        </row>
        <row r="33">
          <cell r="A33" t="str">
            <v>Penguard Topcoat</v>
          </cell>
          <cell r="B33">
            <v>50</v>
          </cell>
          <cell r="C33">
            <v>40</v>
          </cell>
          <cell r="D33">
            <v>60</v>
          </cell>
          <cell r="E33">
            <v>10</v>
          </cell>
          <cell r="F33">
            <v>29.7</v>
          </cell>
        </row>
        <row r="34">
          <cell r="A34" t="str">
            <v>Permaguard Filler ME</v>
          </cell>
          <cell r="B34" t="str">
            <v>-</v>
          </cell>
          <cell r="C34" t="str">
            <v>-</v>
          </cell>
          <cell r="D34">
            <v>2000</v>
          </cell>
          <cell r="E34">
            <v>0.5</v>
          </cell>
          <cell r="F34">
            <v>39.6</v>
          </cell>
        </row>
        <row r="35">
          <cell r="A35" t="str">
            <v>Pilot II (Color Group I)</v>
          </cell>
          <cell r="B35">
            <v>40</v>
          </cell>
          <cell r="C35">
            <v>30</v>
          </cell>
          <cell r="D35">
            <v>50</v>
          </cell>
          <cell r="E35">
            <v>12</v>
          </cell>
          <cell r="F35">
            <v>16.5</v>
          </cell>
        </row>
        <row r="36">
          <cell r="A36" t="str">
            <v>Pilot II (Color Group II)</v>
          </cell>
          <cell r="B36">
            <v>40</v>
          </cell>
          <cell r="C36">
            <v>30</v>
          </cell>
          <cell r="D36">
            <v>50</v>
          </cell>
          <cell r="E36">
            <v>12</v>
          </cell>
          <cell r="F36">
            <v>17.16</v>
          </cell>
        </row>
        <row r="37">
          <cell r="A37" t="str">
            <v>Pilot II (Color Group III)</v>
          </cell>
          <cell r="B37">
            <v>40</v>
          </cell>
          <cell r="C37">
            <v>30</v>
          </cell>
          <cell r="D37">
            <v>50</v>
          </cell>
          <cell r="E37">
            <v>12</v>
          </cell>
          <cell r="F37">
            <v>23.1</v>
          </cell>
        </row>
        <row r="38">
          <cell r="A38" t="str">
            <v>Pilot primer</v>
          </cell>
          <cell r="B38">
            <v>40</v>
          </cell>
          <cell r="C38">
            <v>30</v>
          </cell>
          <cell r="D38">
            <v>50</v>
          </cell>
          <cell r="E38">
            <v>13</v>
          </cell>
          <cell r="F38">
            <v>16.5</v>
          </cell>
        </row>
        <row r="39">
          <cell r="A39" t="str">
            <v>Pilot QD primer</v>
          </cell>
          <cell r="B39">
            <v>75</v>
          </cell>
          <cell r="C39">
            <v>40</v>
          </cell>
          <cell r="D39">
            <v>125</v>
          </cell>
          <cell r="E39">
            <v>7.5</v>
          </cell>
          <cell r="F39">
            <v>19.8</v>
          </cell>
        </row>
        <row r="40">
          <cell r="A40" t="str">
            <v>Pioner primer</v>
          </cell>
          <cell r="B40">
            <v>75</v>
          </cell>
          <cell r="C40">
            <v>50</v>
          </cell>
          <cell r="D40">
            <v>100</v>
          </cell>
          <cell r="E40">
            <v>5.7</v>
          </cell>
          <cell r="F40">
            <v>23.1</v>
          </cell>
        </row>
        <row r="41">
          <cell r="A41" t="str">
            <v>Pioner Topcoat (Color Group I)</v>
          </cell>
          <cell r="B41">
            <v>50</v>
          </cell>
          <cell r="C41">
            <v>40</v>
          </cell>
          <cell r="D41">
            <v>60</v>
          </cell>
          <cell r="E41">
            <v>6.8</v>
          </cell>
          <cell r="F41">
            <v>23.1</v>
          </cell>
        </row>
        <row r="42">
          <cell r="A42" t="str">
            <v>Pioner Topcoat (Color Group II)</v>
          </cell>
          <cell r="B42">
            <v>50</v>
          </cell>
          <cell r="C42">
            <v>40</v>
          </cell>
          <cell r="D42">
            <v>60</v>
          </cell>
          <cell r="E42">
            <v>6.8</v>
          </cell>
          <cell r="F42">
            <v>26.4</v>
          </cell>
        </row>
        <row r="43">
          <cell r="A43" t="str">
            <v>Pioner Topcoat (Color Group III)</v>
          </cell>
          <cell r="B43">
            <v>50</v>
          </cell>
          <cell r="C43">
            <v>40</v>
          </cell>
          <cell r="D43">
            <v>60</v>
          </cell>
          <cell r="E43">
            <v>6.8</v>
          </cell>
          <cell r="F43">
            <v>31.68</v>
          </cell>
        </row>
        <row r="44">
          <cell r="A44" t="str">
            <v>Resist 78</v>
          </cell>
          <cell r="B44">
            <v>75</v>
          </cell>
          <cell r="C44">
            <v>50</v>
          </cell>
          <cell r="D44">
            <v>90</v>
          </cell>
          <cell r="E44">
            <v>9.6</v>
          </cell>
          <cell r="F44">
            <v>95.7</v>
          </cell>
        </row>
        <row r="45">
          <cell r="A45" t="str">
            <v>Resist 86</v>
          </cell>
          <cell r="B45">
            <v>75</v>
          </cell>
          <cell r="C45">
            <v>50</v>
          </cell>
          <cell r="D45">
            <v>90</v>
          </cell>
          <cell r="E45">
            <v>8</v>
          </cell>
          <cell r="F45">
            <v>115.5</v>
          </cell>
        </row>
        <row r="46">
          <cell r="A46" t="str">
            <v>SOLVALITT</v>
          </cell>
          <cell r="B46">
            <v>20</v>
          </cell>
          <cell r="C46">
            <v>20</v>
          </cell>
          <cell r="D46">
            <v>30</v>
          </cell>
          <cell r="E46">
            <v>21</v>
          </cell>
          <cell r="F46">
            <v>89.1</v>
          </cell>
        </row>
        <row r="47">
          <cell r="A47" t="str">
            <v xml:space="preserve">SOLVALITT </v>
          </cell>
          <cell r="B47">
            <v>20</v>
          </cell>
          <cell r="C47">
            <v>20</v>
          </cell>
          <cell r="D47">
            <v>30</v>
          </cell>
          <cell r="E47">
            <v>19</v>
          </cell>
          <cell r="F47">
            <v>82.5</v>
          </cell>
        </row>
        <row r="48">
          <cell r="A48" t="str">
            <v>SOLVALITT MIDTHERM</v>
          </cell>
          <cell r="B48">
            <v>30</v>
          </cell>
          <cell r="C48">
            <v>20</v>
          </cell>
          <cell r="D48">
            <v>40</v>
          </cell>
          <cell r="E48">
            <v>10.7</v>
          </cell>
          <cell r="F48">
            <v>49.5</v>
          </cell>
        </row>
        <row r="49">
          <cell r="A49" t="str">
            <v>SOLVALITT MIDTHERM</v>
          </cell>
          <cell r="B49">
            <v>30</v>
          </cell>
          <cell r="C49">
            <v>20</v>
          </cell>
          <cell r="D49">
            <v>40</v>
          </cell>
          <cell r="E49">
            <v>13.3</v>
          </cell>
          <cell r="F49">
            <v>49.5</v>
          </cell>
        </row>
        <row r="50">
          <cell r="A50" t="str">
            <v>SOLVALITT MIDTHERM</v>
          </cell>
          <cell r="B50">
            <v>30</v>
          </cell>
          <cell r="C50">
            <v>20</v>
          </cell>
          <cell r="D50">
            <v>40</v>
          </cell>
          <cell r="E50">
            <v>13.3</v>
          </cell>
          <cell r="F50">
            <v>52.8</v>
          </cell>
        </row>
        <row r="51">
          <cell r="A51" t="str">
            <v>TankGuard 412</v>
          </cell>
          <cell r="B51">
            <v>250</v>
          </cell>
          <cell r="C51">
            <v>200</v>
          </cell>
          <cell r="D51">
            <v>500</v>
          </cell>
          <cell r="E51">
            <v>4</v>
          </cell>
          <cell r="F51">
            <v>66</v>
          </cell>
        </row>
        <row r="52">
          <cell r="A52" t="str">
            <v>TankGuard HB</v>
          </cell>
          <cell r="B52">
            <v>100</v>
          </cell>
          <cell r="C52">
            <v>80</v>
          </cell>
          <cell r="D52">
            <v>150</v>
          </cell>
          <cell r="E52">
            <v>5</v>
          </cell>
          <cell r="F52">
            <v>27.72</v>
          </cell>
        </row>
        <row r="53">
          <cell r="A53" t="str">
            <v>TANKGUARD STORAGE</v>
          </cell>
          <cell r="B53">
            <v>125</v>
          </cell>
          <cell r="C53">
            <v>100</v>
          </cell>
          <cell r="D53">
            <v>200</v>
          </cell>
          <cell r="E53">
            <v>5</v>
          </cell>
          <cell r="F53">
            <v>39.6</v>
          </cell>
        </row>
        <row r="57">
          <cell r="A57" t="str">
            <v>THINNER NO.2</v>
          </cell>
          <cell r="B57">
            <v>11.88</v>
          </cell>
        </row>
        <row r="58">
          <cell r="A58" t="str">
            <v>THINNER NO.4</v>
          </cell>
          <cell r="B58">
            <v>16.5</v>
          </cell>
        </row>
        <row r="59">
          <cell r="A59" t="str">
            <v>THINNER NO.7</v>
          </cell>
          <cell r="B59">
            <v>14.52</v>
          </cell>
        </row>
        <row r="60">
          <cell r="A60" t="str">
            <v>THINNER NO.10</v>
          </cell>
          <cell r="B60">
            <v>15.84</v>
          </cell>
        </row>
        <row r="61">
          <cell r="A61" t="str">
            <v>THINNER NO.15</v>
          </cell>
          <cell r="B61">
            <v>17.16</v>
          </cell>
        </row>
        <row r="62">
          <cell r="A62" t="str">
            <v>THINNER NO.17</v>
          </cell>
          <cell r="B62">
            <v>16.5</v>
          </cell>
        </row>
        <row r="63">
          <cell r="A63" t="str">
            <v>THINNER NO.23</v>
          </cell>
          <cell r="B63">
            <v>17.16</v>
          </cell>
        </row>
        <row r="64">
          <cell r="A64" t="str">
            <v>THINNER NO.25</v>
          </cell>
          <cell r="B64">
            <v>22.44</v>
          </cell>
        </row>
        <row r="67">
          <cell r="B67">
            <v>8</v>
          </cell>
        </row>
        <row r="68">
          <cell r="B68">
            <v>2</v>
          </cell>
        </row>
      </sheetData>
      <sheetData sheetId="4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MFormattingSheet"/>
      <sheetName val="EPMFormattingSheet_ReadOnly"/>
      <sheetName val="EPMFormattingSheet_Cover"/>
      <sheetName val="EPMFormattingSheet_BS"/>
      <sheetName val="EPMFormattingSheet_CF"/>
      <sheetName val="EPMFormattingSheet_Taxes"/>
      <sheetName val="EPMFormattingSheet_HeadCount"/>
      <sheetName val="Cover"/>
      <sheetName val="Income Statement"/>
      <sheetName val="Balance Sheet"/>
      <sheetName val="Cash Flow"/>
      <sheetName val="Liquidity Forecast"/>
      <sheetName val="Cash &amp; Cash Equivalent"/>
      <sheetName val="Business Indebtedness"/>
      <sheetName val="Debt Schedule"/>
      <sheetName val="Aging"/>
      <sheetName val="Tax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4">
          <cell r="D44" t="str">
            <v>LC</v>
          </cell>
        </row>
        <row r="55">
          <cell r="O55" t="str">
            <v>ACTUAL</v>
          </cell>
        </row>
        <row r="57">
          <cell r="O57" t="str">
            <v>201605</v>
          </cell>
        </row>
        <row r="61">
          <cell r="O61" t="str">
            <v>IN_MGM_PER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EX"/>
      <sheetName val="ASSUMPTIONS"/>
      <sheetName val="PRICES &amp; COSTS"/>
      <sheetName val="GE INTEREST INCOME"/>
      <sheetName val="GE INTEREST INCOME (2)"/>
      <sheetName val="CASH IN"/>
      <sheetName val="PURCHASE PLAN"/>
      <sheetName val="CASH FLOW"/>
      <sheetName val="TOTAL"/>
      <sheetName val="SPLIT"/>
      <sheetName val="GE"/>
      <sheetName val="EMT"/>
      <sheetName val="SUM"/>
      <sheetName val="TOTAL (2)"/>
      <sheetName val="GE (2)"/>
      <sheetName val="EMT (2)"/>
      <sheetName val="SUM (2)"/>
      <sheetName val="BUS SALES"/>
      <sheetName val="MINI BUS SALES"/>
      <sheetName val="TRUCK SLAES"/>
      <sheetName val="TRAILER SALES"/>
      <sheetName val="TRUCKS P.S."/>
      <sheetName val="TRAILERS P.S."/>
      <sheetName val="EMT MAZDA"/>
      <sheetName val="EMT MITSUBISHI"/>
      <sheetName val="TRADE IN SALES"/>
      <sheetName val="SPARE PARTS"/>
      <sheetName val="BOSCH SALES"/>
      <sheetName val="HEAVY SERVICE"/>
      <sheetName val="AUTO SERVICE"/>
      <sheetName val="NON AUTO"/>
      <sheetName val="GEN SETS"/>
      <sheetName val="ALEX F.Z."/>
      <sheetName val="ALEX INTEREST INCOME"/>
      <sheetName val="ALEX CASH IN"/>
      <sheetName val="ALEX F.Z. EXP"/>
      <sheetName val="F.Z. MAZDA TO EMT"/>
      <sheetName val="F.Z. MAZDA TO 3RD"/>
      <sheetName val="F.Z. MITSUBISHI TO EMT"/>
      <sheetName val="F.Z. MITSUBISHI TO 3RD"/>
      <sheetName val="P.S. F.Z."/>
      <sheetName val="P.S. INTEREST INCOME"/>
      <sheetName val="P.S. CASH IN"/>
      <sheetName val="P.S. F.Z. EXP"/>
      <sheetName val="F.Z. NON AUTO TO EMT"/>
      <sheetName val="F.Z. NON AUTO TO 3RD"/>
      <sheetName val="BLANK"/>
      <sheetName val="TOTAL CO. EXP."/>
      <sheetName val="TOTAL CO. EXP (2)"/>
      <sheetName val="TOTAL G &amp; A"/>
      <sheetName val="TOTAL G &amp; A (2)"/>
      <sheetName val="M.D."/>
      <sheetName val="PROJECTS"/>
      <sheetName val="I.T."/>
      <sheetName val="QTY. SEC. MGR."/>
      <sheetName val="Q.A."/>
      <sheetName val="LEGAL"/>
      <sheetName val="FINANCE"/>
      <sheetName val="H.R."/>
      <sheetName val="ADMIN"/>
      <sheetName val="TOTAL M &amp; S"/>
      <sheetName val="TOTAL M &amp; S (2)"/>
      <sheetName val="MKTG"/>
      <sheetName val="TOTAL SALES EXP"/>
      <sheetName val="SALES MGMT"/>
      <sheetName val="NATL. AC'S"/>
      <sheetName val="BUS EXP"/>
      <sheetName val="EXPORT EXP"/>
      <sheetName val="TRUCK EXP"/>
      <sheetName val="MINI BUS EXP"/>
      <sheetName val="MAZDA EXP"/>
      <sheetName val="TRADE IN EXP"/>
      <sheetName val="SALES OFFICE EXP"/>
      <sheetName val="ENGINES EXP"/>
      <sheetName val="EMAD ELDIN EXP"/>
      <sheetName val="ALEX EXP "/>
      <sheetName val="DELIVERY EXP"/>
      <sheetName val="TOTAL AFTER SALESEXP"/>
      <sheetName val="A.S.S.M"/>
      <sheetName val="TOTAL S.P. EXP"/>
      <sheetName val="SPARE PARTS EXP"/>
      <sheetName val="BOSCH EXP"/>
      <sheetName val="TOTAL SERVICE EXP"/>
      <sheetName val="TOTAL SERVICE (2)"/>
      <sheetName val="TOTAL AUTO"/>
      <sheetName val="MECH."/>
      <sheetName val="BODY R."/>
      <sheetName val="SCANIA SERVICE"/>
      <sheetName val="TOTAL IND. EXP."/>
      <sheetName val="TOTAL LOGISTICS"/>
      <sheetName val="TOTAL LOGISTICS (2)"/>
      <sheetName val="LOGISTICS MGR"/>
      <sheetName val="PROCUREMENT"/>
      <sheetName val="PLANNING"/>
      <sheetName val="FORMALITIES"/>
      <sheetName val="LOCALIZATION"/>
      <sheetName val=" TOTAL MFG. EXP."/>
      <sheetName val=" TOTAL MFG. EXP. (2)"/>
      <sheetName val="MFG. MGMT"/>
      <sheetName val="MFG. QTY"/>
      <sheetName val="TOTAL ENG."/>
      <sheetName val="ENG.MGMT"/>
      <sheetName val="ENG. TECHNOLOGY"/>
      <sheetName val="ENG.MODELS"/>
      <sheetName val="TOTAL PRODUCTION"/>
      <sheetName val="PROD MGMT"/>
      <sheetName val="MACHINING"/>
      <sheetName val="CKD"/>
      <sheetName val="PRE ASS"/>
      <sheetName val="WELDING"/>
      <sheetName val="SHEETING"/>
      <sheetName val="TRIM"/>
      <sheetName val="SEATS"/>
      <sheetName val="PAINT"/>
      <sheetName val="FIBER"/>
      <sheetName val="MTCE"/>
    </sheetNames>
    <sheetDataSet>
      <sheetData sheetId="0" refreshError="1"/>
      <sheetData sheetId="1" refreshError="1">
        <row r="57">
          <cell r="B57">
            <v>0.12</v>
          </cell>
        </row>
        <row r="58">
          <cell r="B58">
            <v>0.02</v>
          </cell>
        </row>
        <row r="60">
          <cell r="B60">
            <v>0.01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EX"/>
      <sheetName val="ASSUMPTIONS"/>
      <sheetName val="PRICES &amp; COSTS"/>
      <sheetName val="GE INTEREST INCOME"/>
      <sheetName val="GE INTEREST INCOME (2)"/>
      <sheetName val="CASH IN"/>
      <sheetName val="PURCHASE PLAN"/>
      <sheetName val="CASH FLOW"/>
      <sheetName val="TOTAL"/>
      <sheetName val="SPLIT"/>
      <sheetName val="GE"/>
      <sheetName val="EMT"/>
      <sheetName val="SUM"/>
      <sheetName val="TOTAL (2)"/>
      <sheetName val="GE (2)"/>
      <sheetName val="EMT (2)"/>
      <sheetName val="SUM (2)"/>
      <sheetName val="BUS SALES"/>
      <sheetName val="MINI BUS SALES"/>
      <sheetName val="TRUCK SLAES"/>
      <sheetName val="TRAILER SALES"/>
      <sheetName val="TRUCKS P.S."/>
      <sheetName val="TRAILERS P.S."/>
      <sheetName val="EMT MAZDA"/>
      <sheetName val="EMT MITSUBISHI"/>
      <sheetName val="TRADE IN SALES"/>
      <sheetName val="SPARE PARTS"/>
      <sheetName val="BOSCH SALES"/>
      <sheetName val="HEAVY SERVICE"/>
      <sheetName val="AUTO SERVICE"/>
      <sheetName val="NON AUTO"/>
      <sheetName val="GEN SETS"/>
      <sheetName val="ALEX F.Z."/>
      <sheetName val="ALEX INTEREST INCOME"/>
      <sheetName val="ALEX CASH IN"/>
      <sheetName val="ALEX F.Z. EXP"/>
      <sheetName val="F.Z. MAZDA TO EMT"/>
      <sheetName val="F.Z. MAZDA TO 3RD"/>
      <sheetName val="F.Z. MITSUBISHI TO EMT"/>
      <sheetName val="F.Z. MITSUBISHI TO 3RD"/>
      <sheetName val="P.S. F.Z."/>
      <sheetName val="P.S. INTEREST INCOME"/>
      <sheetName val="P.S. CASH IN"/>
      <sheetName val="P.S. F.Z. EXP"/>
      <sheetName val="F.Z. NON AUTO TO EMT"/>
      <sheetName val="F.Z. NON AUTO TO 3RD"/>
      <sheetName val="BLANK"/>
      <sheetName val="TOTAL CO. EXP."/>
      <sheetName val="TOTAL CO. EXP (2)"/>
      <sheetName val="TOTAL G &amp; A"/>
      <sheetName val="TOTAL G &amp; A (2)"/>
      <sheetName val="M.D."/>
      <sheetName val="PROJECTS"/>
      <sheetName val="I.T."/>
      <sheetName val="QTY. SEC. MGR."/>
      <sheetName val="Q.A."/>
      <sheetName val="LEGAL"/>
      <sheetName val="FINANCE"/>
      <sheetName val="H.R."/>
      <sheetName val="ADMIN"/>
      <sheetName val="TOTAL M &amp; S"/>
      <sheetName val="TOTAL M &amp; S (2)"/>
      <sheetName val="MKTG"/>
      <sheetName val="TOTAL SALES EXP"/>
      <sheetName val="SALES MGMT"/>
      <sheetName val="NATL. AC'S"/>
      <sheetName val="BUS EXP"/>
      <sheetName val="EXPORT EXP"/>
      <sheetName val="TRUCK EXP"/>
      <sheetName val="MINI BUS EXP"/>
      <sheetName val="MAZDA EXP"/>
      <sheetName val="TRADE IN EXP"/>
      <sheetName val="SALES OFFICE EXP"/>
      <sheetName val="ENGINES EXP"/>
      <sheetName val="EMAD ELDIN EXP"/>
      <sheetName val="ALEX EXP "/>
      <sheetName val="DELIVERY EXP"/>
      <sheetName val="TOTAL AFTER SALESEXP"/>
      <sheetName val="A.S.S.M"/>
      <sheetName val="TOTAL S.P. EXP"/>
      <sheetName val="SPARE PARTS EXP"/>
      <sheetName val="BOSCH EXP"/>
      <sheetName val="TOTAL SERVICE EXP"/>
      <sheetName val="TOTAL SERVICE (2)"/>
      <sheetName val="TOTAL AUTO"/>
      <sheetName val="MECH."/>
      <sheetName val="BODY R."/>
      <sheetName val="SCANIA SERVICE"/>
      <sheetName val="TOTAL IND. EXP."/>
      <sheetName val="TOTAL LOGISTICS"/>
      <sheetName val="TOTAL LOGISTICS (2)"/>
      <sheetName val="LOGISTICS MGR"/>
      <sheetName val="PROCUREMENT"/>
      <sheetName val="PLANNING"/>
      <sheetName val="FORMALITIES"/>
      <sheetName val="LOCALIZATION"/>
      <sheetName val=" TOTAL MFG. EXP."/>
      <sheetName val=" TOTAL MFG. EXP. (2)"/>
      <sheetName val="MFG. MGMT"/>
      <sheetName val="MFG. QTY"/>
      <sheetName val="TOTAL ENG."/>
      <sheetName val="ENG.MGMT"/>
      <sheetName val="ENG. TECHNOLOGY"/>
      <sheetName val="ENG.MODELS"/>
      <sheetName val="TOTAL PRODUCTION"/>
      <sheetName val="PROD MGMT"/>
      <sheetName val="MACHINING"/>
      <sheetName val="CKD"/>
      <sheetName val="PRE ASS"/>
      <sheetName val="WELDING"/>
      <sheetName val="SHEETING"/>
      <sheetName val="TRIM"/>
      <sheetName val="SEATS"/>
      <sheetName val="PAINT"/>
      <sheetName val="FIBER"/>
      <sheetName val="MTCE"/>
    </sheetNames>
    <sheetDataSet>
      <sheetData sheetId="0"/>
      <sheetData sheetId="1" refreshError="1">
        <row r="57">
          <cell r="B57">
            <v>0.12</v>
          </cell>
        </row>
        <row r="58">
          <cell r="B58">
            <v>0.02</v>
          </cell>
        </row>
        <row r="60">
          <cell r="B60">
            <v>0.01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MFormattingSheet_IS"/>
      <sheetName val="EPMFormattingSheet_BS"/>
      <sheetName val="EPMFormattingSheet_CF"/>
      <sheetName val="EPMFormattingSheet_CF2"/>
      <sheetName val="EPMFormattingSheet_TAX"/>
      <sheetName val="EPMFormattingSheet_Cover"/>
      <sheetName val="Cover"/>
      <sheetName val="Income Statement"/>
      <sheetName val="Balance Sheet"/>
      <sheetName val="Cash Flow"/>
      <sheetName val="Taxes"/>
    </sheetNames>
    <sheetDataSet>
      <sheetData sheetId="0"/>
      <sheetData sheetId="1"/>
      <sheetData sheetId="2"/>
      <sheetData sheetId="3"/>
      <sheetData sheetId="4"/>
      <sheetData sheetId="5"/>
      <sheetData sheetId="6">
        <row r="35">
          <cell r="D35" t="str">
            <v>EGP</v>
          </cell>
        </row>
        <row r="37">
          <cell r="D37" t="str">
            <v>N_CH01</v>
          </cell>
        </row>
        <row r="42">
          <cell r="O42" t="str">
            <v>CH01</v>
          </cell>
        </row>
        <row r="44">
          <cell r="O44" t="str">
            <v>N_CH01</v>
          </cell>
        </row>
      </sheetData>
      <sheetData sheetId="7"/>
      <sheetData sheetId="8"/>
      <sheetData sheetId="9">
        <row r="5">
          <cell r="J5" t="str">
            <v>Net Income/Loss</v>
          </cell>
        </row>
        <row r="6">
          <cell r="J6" t="str">
            <v>Exchange Rate Conversion</v>
          </cell>
        </row>
        <row r="7">
          <cell r="J7" t="str">
            <v>Depr Fund</v>
          </cell>
        </row>
        <row r="8">
          <cell r="J8" t="str">
            <v>Provision</v>
          </cell>
        </row>
        <row r="9">
          <cell r="J9" t="str">
            <v>Inventory</v>
          </cell>
        </row>
        <row r="10">
          <cell r="J10" t="str">
            <v>Trade Receivable</v>
          </cell>
        </row>
        <row r="11">
          <cell r="J11" t="str">
            <v>Curr Asset</v>
          </cell>
        </row>
        <row r="12">
          <cell r="J12" t="str">
            <v>Trade Payables</v>
          </cell>
        </row>
        <row r="13">
          <cell r="J13" t="str">
            <v>Curr Liab</v>
          </cell>
        </row>
        <row r="15">
          <cell r="J15" t="str">
            <v>PIK Principal</v>
          </cell>
        </row>
        <row r="16">
          <cell r="J16" t="str">
            <v>PIK Accrued Interests</v>
          </cell>
        </row>
        <row r="17">
          <cell r="J17" t="str">
            <v>Opening Cash</v>
          </cell>
        </row>
        <row r="18">
          <cell r="J18" t="str">
            <v>Deferred Tax - Assets -CF-</v>
          </cell>
        </row>
        <row r="19">
          <cell r="J19" t="str">
            <v>Financial statement Translation Diff. -CF-</v>
          </cell>
        </row>
        <row r="20">
          <cell r="J20" t="str">
            <v>Investment Available for Sale Reval. -CF-</v>
          </cell>
        </row>
        <row r="21">
          <cell r="J21" t="str">
            <v>Change in Short term loans/Overdrafts</v>
          </cell>
        </row>
        <row r="22">
          <cell r="J22" t="str">
            <v>Change in Due From Inter Companies Net</v>
          </cell>
        </row>
        <row r="23">
          <cell r="J23" t="str">
            <v>Change in Due From Related Party Companies</v>
          </cell>
        </row>
        <row r="24">
          <cell r="J24" t="str">
            <v>Change in Due To Related Parties Companies</v>
          </cell>
        </row>
        <row r="25">
          <cell r="J25" t="str">
            <v>Change in Due To Inter companies Net</v>
          </cell>
        </row>
        <row r="26">
          <cell r="J26" t="str">
            <v>Change in Current Portion of Long term liabilities</v>
          </cell>
        </row>
      </sheetData>
      <sheetData sheetId="1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boq"/>
      <sheetName val="Est Fab"/>
      <sheetName val="BASICS"/>
      <sheetName val="VES1"/>
      <sheetName val="design"/>
      <sheetName val="STAT"/>
      <sheetName val="Plate"/>
      <sheetName val="Heads"/>
      <sheetName val="flange"/>
      <sheetName val="trans"/>
    </sheetNames>
    <sheetDataSet>
      <sheetData sheetId="0"/>
      <sheetData sheetId="1"/>
      <sheetData sheetId="2"/>
      <sheetData sheetId="3">
        <row r="4">
          <cell r="B4" t="str">
            <v>ST37-2</v>
          </cell>
          <cell r="D4">
            <v>1.65</v>
          </cell>
          <cell r="E4" t="str">
            <v>LE/KG</v>
          </cell>
          <cell r="F4">
            <v>0</v>
          </cell>
          <cell r="G4">
            <v>0</v>
          </cell>
          <cell r="H4">
            <v>0.1</v>
          </cell>
          <cell r="I4">
            <v>0.02</v>
          </cell>
          <cell r="J4">
            <v>1.8512999999999999</v>
          </cell>
        </row>
        <row r="5">
          <cell r="B5" t="str">
            <v>A285-GrC</v>
          </cell>
          <cell r="D5">
            <v>0.4</v>
          </cell>
          <cell r="E5" t="str">
            <v>US$/KG</v>
          </cell>
          <cell r="G5">
            <v>0.1</v>
          </cell>
          <cell r="H5">
            <v>0.1</v>
          </cell>
          <cell r="I5">
            <v>0.02</v>
          </cell>
          <cell r="J5">
            <v>0.56100000000000005</v>
          </cell>
        </row>
        <row r="6">
          <cell r="B6" t="str">
            <v>A387-Gr11,2</v>
          </cell>
          <cell r="D6">
            <v>2.2000000000000002</v>
          </cell>
          <cell r="E6" t="str">
            <v>US$/KG</v>
          </cell>
          <cell r="F6">
            <v>0</v>
          </cell>
          <cell r="G6">
            <v>0</v>
          </cell>
          <cell r="H6">
            <v>0.1</v>
          </cell>
          <cell r="I6">
            <v>0.02</v>
          </cell>
          <cell r="J6">
            <v>2.4684000000000004</v>
          </cell>
        </row>
        <row r="7">
          <cell r="B7" t="str">
            <v>A387-Gr22,2</v>
          </cell>
          <cell r="D7">
            <v>2.2000000000000002</v>
          </cell>
          <cell r="E7" t="str">
            <v>US$/KG</v>
          </cell>
          <cell r="F7">
            <v>0</v>
          </cell>
          <cell r="G7">
            <v>0</v>
          </cell>
          <cell r="H7">
            <v>0.1</v>
          </cell>
          <cell r="I7">
            <v>0.02</v>
          </cell>
          <cell r="J7">
            <v>2.4684000000000004</v>
          </cell>
        </row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0">
          <cell r="I10">
            <v>0</v>
          </cell>
          <cell r="J10">
            <v>0</v>
          </cell>
        </row>
        <row r="11">
          <cell r="B11" t="str">
            <v>Grating</v>
          </cell>
          <cell r="D11">
            <v>180</v>
          </cell>
          <cell r="E11" t="str">
            <v>LE/KG</v>
          </cell>
          <cell r="F11">
            <v>0</v>
          </cell>
          <cell r="G11">
            <v>0</v>
          </cell>
          <cell r="H11">
            <v>0.1</v>
          </cell>
          <cell r="I11">
            <v>0.02</v>
          </cell>
          <cell r="J11">
            <v>201.96</v>
          </cell>
        </row>
        <row r="12">
          <cell r="B12" t="str">
            <v>Treads</v>
          </cell>
          <cell r="D12">
            <v>80</v>
          </cell>
          <cell r="E12" t="str">
            <v>LE/KG</v>
          </cell>
          <cell r="F12">
            <v>0</v>
          </cell>
          <cell r="G12">
            <v>0</v>
          </cell>
          <cell r="H12">
            <v>0.1</v>
          </cell>
          <cell r="I12">
            <v>0.02</v>
          </cell>
          <cell r="J12">
            <v>89.76</v>
          </cell>
        </row>
        <row r="15">
          <cell r="B15" t="str">
            <v>A285-GrC</v>
          </cell>
          <cell r="D15">
            <v>3.2</v>
          </cell>
          <cell r="E15" t="str">
            <v>US$/KG</v>
          </cell>
          <cell r="G15">
            <v>0.25</v>
          </cell>
          <cell r="I15">
            <v>0.02</v>
          </cell>
          <cell r="J15">
            <v>3.5190000000000001</v>
          </cell>
        </row>
        <row r="16">
          <cell r="B16" t="str">
            <v>A387-Gr11,2</v>
          </cell>
          <cell r="D16">
            <v>4.5</v>
          </cell>
          <cell r="E16" t="str">
            <v>US$/KG</v>
          </cell>
          <cell r="G16">
            <v>0.25</v>
          </cell>
          <cell r="I16">
            <v>0.02</v>
          </cell>
          <cell r="J16">
            <v>4.8449999999999998</v>
          </cell>
        </row>
        <row r="17">
          <cell r="B17" t="str">
            <v>A387-Gr22,2</v>
          </cell>
          <cell r="D17">
            <v>4.5</v>
          </cell>
          <cell r="E17" t="str">
            <v>US$/KG</v>
          </cell>
          <cell r="G17">
            <v>0.25</v>
          </cell>
          <cell r="I17">
            <v>0.02</v>
          </cell>
          <cell r="J17">
            <v>4.8449999999999998</v>
          </cell>
        </row>
        <row r="18">
          <cell r="I18">
            <v>0</v>
          </cell>
          <cell r="J18">
            <v>0</v>
          </cell>
        </row>
        <row r="19">
          <cell r="I19">
            <v>0</v>
          </cell>
          <cell r="J19">
            <v>0</v>
          </cell>
        </row>
        <row r="22">
          <cell r="B22" t="str">
            <v>A106-GrB</v>
          </cell>
          <cell r="D22">
            <v>0.9</v>
          </cell>
          <cell r="E22" t="str">
            <v>US$/KG</v>
          </cell>
          <cell r="H22">
            <v>0.1</v>
          </cell>
          <cell r="I22">
            <v>0.02</v>
          </cell>
          <cell r="J22">
            <v>1.0098</v>
          </cell>
        </row>
        <row r="23">
          <cell r="B23" t="str">
            <v>A335-P11</v>
          </cell>
          <cell r="D23">
            <v>3</v>
          </cell>
          <cell r="E23" t="str">
            <v>US$/KG</v>
          </cell>
          <cell r="H23">
            <v>0.1</v>
          </cell>
          <cell r="I23">
            <v>0.02</v>
          </cell>
          <cell r="J23">
            <v>3.3660000000000005</v>
          </cell>
        </row>
        <row r="24">
          <cell r="B24" t="str">
            <v>A335-P22</v>
          </cell>
          <cell r="D24">
            <v>3</v>
          </cell>
          <cell r="E24" t="str">
            <v>US$/KG</v>
          </cell>
          <cell r="H24">
            <v>0.1</v>
          </cell>
          <cell r="I24">
            <v>0.02</v>
          </cell>
          <cell r="J24">
            <v>3.3660000000000005</v>
          </cell>
        </row>
        <row r="25">
          <cell r="I25">
            <v>0</v>
          </cell>
          <cell r="J25">
            <v>0</v>
          </cell>
        </row>
        <row r="26">
          <cell r="I26">
            <v>0</v>
          </cell>
          <cell r="J26">
            <v>0</v>
          </cell>
        </row>
        <row r="27">
          <cell r="I27">
            <v>0</v>
          </cell>
          <cell r="J27">
            <v>0</v>
          </cell>
        </row>
        <row r="30">
          <cell r="B30" t="str">
            <v>A105</v>
          </cell>
          <cell r="D30">
            <v>1.8</v>
          </cell>
          <cell r="E30" t="str">
            <v>US$/KG</v>
          </cell>
          <cell r="I30">
            <v>0.02</v>
          </cell>
          <cell r="J30">
            <v>1.8360000000000001</v>
          </cell>
        </row>
        <row r="31">
          <cell r="B31" t="str">
            <v>A182-F11</v>
          </cell>
          <cell r="D31">
            <v>6</v>
          </cell>
          <cell r="E31" t="str">
            <v>US$/KG</v>
          </cell>
          <cell r="I31">
            <v>0.02</v>
          </cell>
          <cell r="J31">
            <v>6.12</v>
          </cell>
        </row>
        <row r="32">
          <cell r="B32" t="str">
            <v>A182-F22</v>
          </cell>
          <cell r="D32">
            <v>6</v>
          </cell>
          <cell r="E32" t="str">
            <v>US$/KG</v>
          </cell>
          <cell r="I32">
            <v>0.02</v>
          </cell>
          <cell r="J32">
            <v>6.12</v>
          </cell>
        </row>
        <row r="33">
          <cell r="I33">
            <v>0</v>
          </cell>
          <cell r="J33">
            <v>0</v>
          </cell>
        </row>
        <row r="34">
          <cell r="I34">
            <v>0</v>
          </cell>
          <cell r="J34">
            <v>0</v>
          </cell>
        </row>
        <row r="35">
          <cell r="I35">
            <v>0</v>
          </cell>
          <cell r="J35">
            <v>0</v>
          </cell>
        </row>
        <row r="38">
          <cell r="B38" t="str">
            <v>A234-WP11</v>
          </cell>
          <cell r="D38">
            <v>6</v>
          </cell>
          <cell r="E38" t="str">
            <v>US$/KG</v>
          </cell>
          <cell r="F38">
            <v>0.06</v>
          </cell>
          <cell r="G38">
            <v>0.2</v>
          </cell>
          <cell r="H38">
            <v>0</v>
          </cell>
          <cell r="I38">
            <v>0.02</v>
          </cell>
          <cell r="J38">
            <v>7.7846399999999996</v>
          </cell>
        </row>
        <row r="39">
          <cell r="B39" t="str">
            <v>A234-WP22</v>
          </cell>
          <cell r="D39">
            <v>6</v>
          </cell>
          <cell r="E39" t="str">
            <v>US$/KG</v>
          </cell>
          <cell r="F39">
            <v>0.06</v>
          </cell>
          <cell r="G39">
            <v>0.2</v>
          </cell>
          <cell r="H39">
            <v>0</v>
          </cell>
          <cell r="I39">
            <v>0.02</v>
          </cell>
          <cell r="J39">
            <v>7.7846399999999996</v>
          </cell>
        </row>
        <row r="40">
          <cell r="I40">
            <v>0</v>
          </cell>
          <cell r="J40">
            <v>0</v>
          </cell>
        </row>
        <row r="41">
          <cell r="I41">
            <v>0</v>
          </cell>
          <cell r="J41">
            <v>0</v>
          </cell>
        </row>
        <row r="42">
          <cell r="I42">
            <v>0</v>
          </cell>
          <cell r="J42">
            <v>0</v>
          </cell>
        </row>
        <row r="43">
          <cell r="I43">
            <v>0</v>
          </cell>
          <cell r="J43">
            <v>0</v>
          </cell>
        </row>
        <row r="49">
          <cell r="C49">
            <v>0.23</v>
          </cell>
        </row>
        <row r="50">
          <cell r="C50">
            <v>0.08</v>
          </cell>
        </row>
        <row r="52">
          <cell r="C52">
            <v>0.32999999999999996</v>
          </cell>
        </row>
        <row r="53">
          <cell r="C53">
            <v>0.13</v>
          </cell>
        </row>
        <row r="55">
          <cell r="C55">
            <v>0.32999999999999996</v>
          </cell>
        </row>
        <row r="56">
          <cell r="C56">
            <v>0.32999999999999996</v>
          </cell>
        </row>
        <row r="58">
          <cell r="C58">
            <v>0.18</v>
          </cell>
        </row>
        <row r="59">
          <cell r="C59">
            <v>0.18</v>
          </cell>
        </row>
        <row r="62">
          <cell r="C62">
            <v>0.32999999999999996</v>
          </cell>
        </row>
        <row r="63">
          <cell r="C63">
            <v>0.32999999999999996</v>
          </cell>
        </row>
        <row r="64">
          <cell r="C64">
            <v>0.18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MFormattingSheet_Cover"/>
      <sheetName val="EPMFormattingSheet_IS"/>
      <sheetName val="EPMFormattingSheet_BS"/>
      <sheetName val="EPMFormattingSheet_CF"/>
      <sheetName val="Cover"/>
      <sheetName val="Income Statement"/>
      <sheetName val="Sheet3"/>
      <sheetName val="Sheet2"/>
      <sheetName val="Balance Sheet"/>
      <sheetName val="Sheet1"/>
      <sheetName val="Cash Flow"/>
    </sheetNames>
    <sheetDataSet>
      <sheetData sheetId="0"/>
      <sheetData sheetId="1"/>
      <sheetData sheetId="2"/>
      <sheetData sheetId="3"/>
      <sheetData sheetId="4">
        <row r="13">
          <cell r="D13" t="str">
            <v>201601</v>
          </cell>
        </row>
      </sheetData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QTY Const"/>
      <sheetName val="SALEPRICE Const"/>
      <sheetName val="SALQTY TRUCKS"/>
      <sheetName val="SALEPRICE TRUCKS"/>
      <sheetName val="SALQTY buses"/>
      <sheetName val="SALEPRICE buses"/>
      <sheetName val="S.PARTS"/>
      <sheetName val="SERVECES"/>
      <sheetName val="Sales"/>
      <sheetName val="Collection With Finance"/>
      <sheetName val="In Out Flow"/>
      <sheetName val="SALQTY_Const"/>
      <sheetName val="SALEPRICE_Const"/>
      <sheetName val="SALQTY_TRUCKS"/>
      <sheetName val="SALEPRICE_TRUCKS"/>
      <sheetName val="SALQTY_buses"/>
      <sheetName val="SALEPRICE_buses"/>
      <sheetName val="S_PARTS"/>
      <sheetName val="Collection_With_Finance"/>
      <sheetName val="In_Out_Flo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ry 1&amp;2"/>
      <sheetName val="SAP"/>
      <sheetName val="Jun 11 Rev Calc."/>
      <sheetName val="Final Template _ ASEC"/>
      <sheetName val="Tax Rev 0 to 2010"/>
      <sheetName val="AHE"/>
      <sheetName val="Projects info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chinery"/>
      <sheetName val="Furn &amp; Fix"/>
      <sheetName val="AUTO&amp;TRUCKS"/>
      <sheetName val="Ind. Tools"/>
      <sheetName val="MAINTENANCE TOOLS"/>
      <sheetName val="Lab Tools&amp;Total"/>
      <sheetName val="Adv. Expenses "/>
      <sheetName val="Other Assets"/>
      <sheetName val="J.Entry"/>
      <sheetName val="Total"/>
      <sheetName val="Furn_&amp;_Fix"/>
      <sheetName val="Ind__Tools"/>
      <sheetName val="MAINTENANCE_TOOLS"/>
      <sheetName val="Lab_Tools&amp;Total"/>
      <sheetName val="Adv__Expenses_"/>
      <sheetName val="Other_Assets"/>
      <sheetName val="J_Ent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D3" t="str">
            <v>المسلسل</v>
          </cell>
          <cell r="F3" t="str">
            <v>التاريخ</v>
          </cell>
          <cell r="O3" t="str">
            <v>المسلسل</v>
          </cell>
          <cell r="Q3" t="str">
            <v>التاريخ</v>
          </cell>
          <cell r="Y3">
            <v>439</v>
          </cell>
          <cell r="Z3" t="str">
            <v>المسلسل</v>
          </cell>
          <cell r="AB3" t="str">
            <v>التاريخ</v>
          </cell>
        </row>
        <row r="4">
          <cell r="D4" t="str">
            <v>رقم القيد</v>
          </cell>
          <cell r="F4">
            <v>36922</v>
          </cell>
          <cell r="O4" t="str">
            <v>رقم القيد</v>
          </cell>
          <cell r="Q4">
            <v>36922</v>
          </cell>
          <cell r="Y4">
            <v>109</v>
          </cell>
          <cell r="Z4" t="str">
            <v>رقم القيد</v>
          </cell>
          <cell r="AB4">
            <v>36922</v>
          </cell>
        </row>
        <row r="5">
          <cell r="C5">
            <v>6</v>
          </cell>
          <cell r="D5" t="str">
            <v>رقم اليومية</v>
          </cell>
          <cell r="N5">
            <v>6</v>
          </cell>
          <cell r="O5" t="str">
            <v>رقم اليومية</v>
          </cell>
          <cell r="Y5">
            <v>6</v>
          </cell>
          <cell r="Z5" t="str">
            <v>رقم اليومية</v>
          </cell>
        </row>
        <row r="8">
          <cell r="B8" t="str">
            <v>قيد يومية</v>
          </cell>
          <cell r="K8" t="str">
            <v>قيد يومية</v>
          </cell>
          <cell r="V8" t="str">
            <v>قيد يومية</v>
          </cell>
        </row>
        <row r="10">
          <cell r="C10" t="str">
            <v>دائن</v>
          </cell>
          <cell r="D10" t="str">
            <v>مدين</v>
          </cell>
          <cell r="E10" t="str">
            <v>اسم الحساب</v>
          </cell>
          <cell r="F10" t="str">
            <v>رقم الحساب</v>
          </cell>
          <cell r="L10" t="str">
            <v>مركز التكلفة</v>
          </cell>
          <cell r="N10" t="str">
            <v>دائن</v>
          </cell>
          <cell r="O10" t="str">
            <v>مدين</v>
          </cell>
          <cell r="P10" t="str">
            <v>اسم الحساب</v>
          </cell>
          <cell r="Q10" t="str">
            <v>رقم الحساب</v>
          </cell>
          <cell r="W10" t="str">
            <v>مركز التكلفة</v>
          </cell>
          <cell r="Y10" t="str">
            <v>دائن</v>
          </cell>
          <cell r="Z10" t="str">
            <v>مدين</v>
          </cell>
          <cell r="AA10" t="str">
            <v>اسم الحساب</v>
          </cell>
          <cell r="AB10" t="str">
            <v>رقم الحساب</v>
          </cell>
        </row>
        <row r="11">
          <cell r="D11">
            <v>5710.51</v>
          </cell>
          <cell r="E11" t="str">
            <v>م0اهلاك مبانى</v>
          </cell>
          <cell r="F11">
            <v>3512000</v>
          </cell>
          <cell r="L11" t="str">
            <v>تسويقية</v>
          </cell>
          <cell r="O11">
            <v>18046.880499999999</v>
          </cell>
          <cell r="P11" t="str">
            <v>م0اهلاك حق استغلال علامة</v>
          </cell>
          <cell r="Q11">
            <v>3523000</v>
          </cell>
          <cell r="W11" t="str">
            <v>ادارية</v>
          </cell>
          <cell r="Z11">
            <v>442.47749999999996</v>
          </cell>
          <cell r="AA11" t="str">
            <v>م0 سكن</v>
          </cell>
          <cell r="AB11">
            <v>3123000</v>
          </cell>
        </row>
        <row r="12">
          <cell r="D12">
            <v>16970.071060464743</v>
          </cell>
          <cell r="E12" t="str">
            <v>م0اهلاك الات و معدات</v>
          </cell>
          <cell r="F12">
            <v>3513000</v>
          </cell>
          <cell r="L12" t="str">
            <v>تسويقية</v>
          </cell>
          <cell r="O12">
            <v>11909.889166666662</v>
          </cell>
          <cell r="P12" t="str">
            <v>م0اهك حملة اعلانية</v>
          </cell>
          <cell r="Q12">
            <v>3525000</v>
          </cell>
          <cell r="W12" t="str">
            <v>ادارية</v>
          </cell>
          <cell r="Z12">
            <v>525.85249999999996</v>
          </cell>
          <cell r="AA12" t="str">
            <v>م0تامين الات</v>
          </cell>
          <cell r="AB12">
            <v>3342000</v>
          </cell>
        </row>
        <row r="13">
          <cell r="D13">
            <v>1550.028319722222</v>
          </cell>
          <cell r="E13" t="str">
            <v>م0اهلاك عدد وادوات</v>
          </cell>
          <cell r="F13">
            <v>3514000</v>
          </cell>
          <cell r="N13">
            <v>18046.880499999999</v>
          </cell>
          <cell r="P13" t="str">
            <v>مخصص اهلاك العلامة التجارية</v>
          </cell>
          <cell r="Q13">
            <v>2323000</v>
          </cell>
          <cell r="W13" t="str">
            <v>ادارية</v>
          </cell>
          <cell r="Z13">
            <v>2041.6666666666667</v>
          </cell>
          <cell r="AA13" t="str">
            <v>ايجار الارض</v>
          </cell>
          <cell r="AB13">
            <v>3351300</v>
          </cell>
        </row>
        <row r="14">
          <cell r="D14">
            <v>750.67818583333337</v>
          </cell>
          <cell r="E14" t="str">
            <v>م0 اهلاك نقل وانتقالات</v>
          </cell>
          <cell r="F14">
            <v>3515000</v>
          </cell>
          <cell r="N14">
            <v>11909.889166666662</v>
          </cell>
          <cell r="P14" t="str">
            <v>مخصص اهلاك الحملة الاعلانية</v>
          </cell>
          <cell r="Q14">
            <v>2325000</v>
          </cell>
          <cell r="W14" t="str">
            <v>ادارية</v>
          </cell>
          <cell r="Z14">
            <v>35.766666666666666</v>
          </cell>
          <cell r="AA14" t="str">
            <v>م0بريد وتلكس</v>
          </cell>
          <cell r="AB14">
            <v>3352000</v>
          </cell>
        </row>
        <row r="15">
          <cell r="D15">
            <v>740.87981164258827</v>
          </cell>
          <cell r="E15" t="str">
            <v>م0اهلاك اثاث ومعدات مكتبية</v>
          </cell>
          <cell r="F15">
            <v>3516000</v>
          </cell>
          <cell r="N15">
            <v>29956.76966666666</v>
          </cell>
          <cell r="O15">
            <v>29956.76966666666</v>
          </cell>
          <cell r="Y15">
            <v>3045.7633333333338</v>
          </cell>
          <cell r="AA15" t="str">
            <v>مصروفات مدفوعة مقدما</v>
          </cell>
          <cell r="AB15">
            <v>1460000</v>
          </cell>
        </row>
        <row r="16">
          <cell r="C16">
            <v>5710.51</v>
          </cell>
          <cell r="E16" t="str">
            <v>مخصص اهلاك مبانى</v>
          </cell>
          <cell r="F16">
            <v>2311000</v>
          </cell>
          <cell r="Y16">
            <v>3045.7633333333338</v>
          </cell>
          <cell r="Z16">
            <v>3045.7633333333338</v>
          </cell>
        </row>
        <row r="17">
          <cell r="C17">
            <v>16970.071060464743</v>
          </cell>
          <cell r="E17" t="str">
            <v>مخصص اهلاك الات</v>
          </cell>
          <cell r="F17">
            <v>2312000</v>
          </cell>
        </row>
        <row r="18">
          <cell r="C18">
            <v>1550.028319722222</v>
          </cell>
          <cell r="E18" t="str">
            <v>مخصص اهلاك عدد و ادوات</v>
          </cell>
          <cell r="F18">
            <v>2313000</v>
          </cell>
        </row>
        <row r="19">
          <cell r="C19">
            <v>750.67818583333337</v>
          </cell>
          <cell r="E19" t="str">
            <v>مخصص اهلاك وسائل نقل وانتقال</v>
          </cell>
          <cell r="F19">
            <v>2314000</v>
          </cell>
        </row>
        <row r="20">
          <cell r="C20">
            <v>740.87981164258827</v>
          </cell>
          <cell r="E20" t="str">
            <v>مخصص اهلاك اثاث وتجهيزات</v>
          </cell>
          <cell r="F20">
            <v>2315000</v>
          </cell>
        </row>
        <row r="21">
          <cell r="C21">
            <v>25722.167377662889</v>
          </cell>
          <cell r="D21">
            <v>25722.167377662889</v>
          </cell>
        </row>
        <row r="33">
          <cell r="C33" t="str">
            <v>اهلاك اصول ثابتة يناير 2001</v>
          </cell>
        </row>
        <row r="34">
          <cell r="N34" t="str">
            <v>اهلاك اصول اخرى يناير 2001</v>
          </cell>
          <cell r="Y34" t="str">
            <v>اهلاك مصروفات مدفوعة مقدما  يناير 2001</v>
          </cell>
        </row>
        <row r="43">
          <cell r="D43" t="str">
            <v>المسلسل</v>
          </cell>
          <cell r="F43" t="str">
            <v>التاريخ</v>
          </cell>
          <cell r="O43" t="str">
            <v>المسلسل</v>
          </cell>
          <cell r="Q43" t="str">
            <v>التاريخ</v>
          </cell>
          <cell r="Y43">
            <v>834</v>
          </cell>
          <cell r="Z43" t="str">
            <v>المسلسل</v>
          </cell>
          <cell r="AB43" t="str">
            <v>التاريخ</v>
          </cell>
        </row>
        <row r="44">
          <cell r="D44" t="str">
            <v>رقم القيد</v>
          </cell>
          <cell r="F44">
            <v>36950</v>
          </cell>
          <cell r="O44" t="str">
            <v>رقم القيد</v>
          </cell>
          <cell r="Q44">
            <v>36950</v>
          </cell>
          <cell r="Y44">
            <v>78</v>
          </cell>
          <cell r="Z44" t="str">
            <v>رقم القيد</v>
          </cell>
          <cell r="AB44">
            <v>36950</v>
          </cell>
        </row>
        <row r="45">
          <cell r="C45">
            <v>6</v>
          </cell>
          <cell r="D45" t="str">
            <v>رقم اليومية</v>
          </cell>
          <cell r="N45">
            <v>6</v>
          </cell>
          <cell r="O45" t="str">
            <v>رقم اليومية</v>
          </cell>
          <cell r="Y45">
            <v>6</v>
          </cell>
          <cell r="Z45" t="str">
            <v>رقم اليومية</v>
          </cell>
        </row>
        <row r="48">
          <cell r="B48" t="str">
            <v>قيد يومية</v>
          </cell>
          <cell r="K48" t="str">
            <v>قيد يومية</v>
          </cell>
          <cell r="V48" t="str">
            <v>قيد يومية</v>
          </cell>
        </row>
        <row r="50">
          <cell r="C50" t="str">
            <v>دائن</v>
          </cell>
          <cell r="D50" t="str">
            <v>مدين</v>
          </cell>
          <cell r="E50" t="str">
            <v>اسم الحساب</v>
          </cell>
          <cell r="F50" t="str">
            <v>رقم الحساب</v>
          </cell>
          <cell r="L50" t="str">
            <v>مركز التكلفة</v>
          </cell>
          <cell r="N50" t="str">
            <v>دائن</v>
          </cell>
          <cell r="O50" t="str">
            <v>مدين</v>
          </cell>
          <cell r="P50" t="str">
            <v>اسم الحساب</v>
          </cell>
          <cell r="Q50" t="str">
            <v>رقم الحساب</v>
          </cell>
          <cell r="W50" t="str">
            <v>مركز التكلفة</v>
          </cell>
          <cell r="Y50" t="str">
            <v>دائن</v>
          </cell>
          <cell r="Z50" t="str">
            <v>مدين</v>
          </cell>
          <cell r="AA50" t="str">
            <v>اسم الحساب</v>
          </cell>
          <cell r="AB50" t="str">
            <v>رقم الحساب</v>
          </cell>
        </row>
        <row r="51">
          <cell r="D51">
            <v>5710.51</v>
          </cell>
          <cell r="E51" t="str">
            <v>م0اهلاك مبانى</v>
          </cell>
          <cell r="F51">
            <v>3512000</v>
          </cell>
          <cell r="L51" t="str">
            <v>تسويقية</v>
          </cell>
          <cell r="O51">
            <v>18046.880499999999</v>
          </cell>
          <cell r="P51" t="str">
            <v>م0اهلاك حق استغلال علامة</v>
          </cell>
          <cell r="Q51">
            <v>3523000</v>
          </cell>
          <cell r="W51" t="str">
            <v>ادارية</v>
          </cell>
          <cell r="Z51">
            <v>442.47749999999996</v>
          </cell>
          <cell r="AA51" t="str">
            <v>م0 سكن</v>
          </cell>
          <cell r="AB51">
            <v>3123000</v>
          </cell>
        </row>
        <row r="52">
          <cell r="D52">
            <v>17062.664516666828</v>
          </cell>
          <cell r="E52" t="str">
            <v>م0اهلاك الات و معدات</v>
          </cell>
          <cell r="F52">
            <v>3513000</v>
          </cell>
          <cell r="L52" t="str">
            <v>تسويقية</v>
          </cell>
          <cell r="O52">
            <v>11909.889166666662</v>
          </cell>
          <cell r="P52" t="str">
            <v>م0اهك حملة اعلانية</v>
          </cell>
          <cell r="Q52">
            <v>3525000</v>
          </cell>
          <cell r="W52" t="str">
            <v>ادارية</v>
          </cell>
          <cell r="Z52">
            <v>525.85249999999996</v>
          </cell>
          <cell r="AA52" t="str">
            <v>م0تامين الات</v>
          </cell>
          <cell r="AB52">
            <v>3342000</v>
          </cell>
        </row>
        <row r="53">
          <cell r="D53">
            <v>1429.5762919444444</v>
          </cell>
          <cell r="E53" t="str">
            <v>م0اهلاك عدد وادوات</v>
          </cell>
          <cell r="F53">
            <v>3514000</v>
          </cell>
          <cell r="N53">
            <v>18046.880499999999</v>
          </cell>
          <cell r="P53" t="str">
            <v>مخصص اهلاك العلامة التجارية</v>
          </cell>
          <cell r="Q53">
            <v>2323000</v>
          </cell>
          <cell r="W53" t="str">
            <v>ادارية</v>
          </cell>
          <cell r="Z53">
            <v>2041.6666666666667</v>
          </cell>
          <cell r="AA53" t="str">
            <v>ايجار الارض</v>
          </cell>
          <cell r="AB53">
            <v>3351300</v>
          </cell>
        </row>
        <row r="54">
          <cell r="D54">
            <v>750.67818583333337</v>
          </cell>
          <cell r="E54" t="str">
            <v>م0 اهلاك نقل وانتقالات</v>
          </cell>
          <cell r="F54">
            <v>3515000</v>
          </cell>
          <cell r="N54">
            <v>11909.889166666662</v>
          </cell>
          <cell r="P54" t="str">
            <v>مخصص اهلاك الحملة الاعلانية</v>
          </cell>
          <cell r="Q54">
            <v>2325000</v>
          </cell>
          <cell r="W54" t="str">
            <v>ادارية</v>
          </cell>
          <cell r="Z54">
            <v>35.766666666666666</v>
          </cell>
          <cell r="AA54" t="str">
            <v>م0بريد وتلكس</v>
          </cell>
          <cell r="AB54">
            <v>3352000</v>
          </cell>
        </row>
        <row r="55">
          <cell r="D55">
            <v>744.6490644203659</v>
          </cell>
          <cell r="E55" t="str">
            <v>م0اهلاك اثاث ومعدات مكتبية</v>
          </cell>
          <cell r="F55">
            <v>3516000</v>
          </cell>
          <cell r="N55">
            <v>29956.76966666666</v>
          </cell>
          <cell r="O55">
            <v>29956.76966666666</v>
          </cell>
          <cell r="Y55">
            <v>3045.7633333333338</v>
          </cell>
          <cell r="AA55" t="str">
            <v>مصروفات مدفوعة مقدما</v>
          </cell>
          <cell r="AB55">
            <v>1460000</v>
          </cell>
        </row>
        <row r="56">
          <cell r="C56">
            <v>5710.51</v>
          </cell>
          <cell r="E56" t="str">
            <v>مخصص اهلاك مبانى</v>
          </cell>
          <cell r="F56">
            <v>2311000</v>
          </cell>
          <cell r="Y56">
            <v>3045.7633333333338</v>
          </cell>
          <cell r="Z56">
            <v>3045.7633333333338</v>
          </cell>
        </row>
        <row r="57">
          <cell r="C57">
            <v>17062.664516666828</v>
          </cell>
          <cell r="E57" t="str">
            <v>مخصص اهلاك الات</v>
          </cell>
          <cell r="F57">
            <v>2312000</v>
          </cell>
        </row>
        <row r="58">
          <cell r="C58">
            <v>1429.5762919444444</v>
          </cell>
          <cell r="E58" t="str">
            <v>مخصص اهلاك عدد و ادوات</v>
          </cell>
          <cell r="F58">
            <v>2313000</v>
          </cell>
        </row>
        <row r="59">
          <cell r="C59">
            <v>750.67818583333337</v>
          </cell>
          <cell r="E59" t="str">
            <v>مخصص اهلاك وسائل نقل وانتقال</v>
          </cell>
          <cell r="F59">
            <v>2314000</v>
          </cell>
        </row>
        <row r="60">
          <cell r="C60">
            <v>744.6490644203659</v>
          </cell>
          <cell r="E60" t="str">
            <v>مخصص اهلاك اثاث وتجهيزات</v>
          </cell>
          <cell r="F60">
            <v>2315000</v>
          </cell>
        </row>
        <row r="61">
          <cell r="C61">
            <v>25698.078058864972</v>
          </cell>
          <cell r="D61">
            <v>25698.078058864972</v>
          </cell>
        </row>
        <row r="74">
          <cell r="C74" t="str">
            <v>اهلاك اصول ثابتة فبراير 2001</v>
          </cell>
          <cell r="N74" t="str">
            <v>اهلاك اصول اخرى فبراير 2001</v>
          </cell>
          <cell r="Y74" t="str">
            <v>اهلاك مصروفات مدفوعة مقدما  فبراير 2001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ces Schedule  (2)"/>
      <sheetName val="Prices Schedule "/>
      <sheetName val="Fabrication Hours"/>
      <sheetName val="Est Fab. June2000-June 2001"/>
      <sheetName val="Est Fab. (Escalation Factor)"/>
      <sheetName val="Est Preassembly"/>
      <sheetName val="B.O.Q."/>
      <sheetName val="B.O.Q. (FINAL)"/>
      <sheetName val="Est Painting Shot blasting"/>
      <sheetName val="Est Painting SAND blasting "/>
      <sheetName val="Bolts"/>
      <sheetName val="Est Transportation"/>
      <sheetName val="Transportation Inquiry"/>
      <sheetName val="M1-M4"/>
      <sheetName val="M2-M3"/>
      <sheetName val="TRANSVERSE BEAM"/>
      <sheetName val="Segments with Via duct"/>
      <sheetName val="SEGMENT AT PYLON"/>
      <sheetName val="FAIRINGS"/>
      <sheetName val="BASICS"/>
      <sheetName val="List of Responsibility"/>
      <sheetName val="List of Responsibility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4">
          <cell r="B4" t="str">
            <v>ST37-2</v>
          </cell>
          <cell r="C4">
            <v>1.65</v>
          </cell>
          <cell r="D4">
            <v>1.65</v>
          </cell>
          <cell r="E4" t="str">
            <v>LE/KG</v>
          </cell>
          <cell r="F4">
            <v>0</v>
          </cell>
          <cell r="H4">
            <v>0</v>
          </cell>
          <cell r="I4">
            <v>0.1</v>
          </cell>
          <cell r="K4">
            <v>0.03</v>
          </cell>
          <cell r="L4">
            <v>1.8694500000000001</v>
          </cell>
        </row>
        <row r="5">
          <cell r="B5" t="str">
            <v>ST37-2-1</v>
          </cell>
          <cell r="C5">
            <v>0.83</v>
          </cell>
          <cell r="D5">
            <v>0.83</v>
          </cell>
          <cell r="E5" t="str">
            <v>LE/KG</v>
          </cell>
          <cell r="F5">
            <v>0</v>
          </cell>
          <cell r="H5">
            <v>0</v>
          </cell>
          <cell r="I5">
            <v>0.1</v>
          </cell>
          <cell r="K5">
            <v>0.03</v>
          </cell>
          <cell r="L5">
            <v>0.94039000000000006</v>
          </cell>
        </row>
        <row r="6">
          <cell r="B6" t="str">
            <v>STE355</v>
          </cell>
          <cell r="C6">
            <v>0.86</v>
          </cell>
          <cell r="D6">
            <v>0.86</v>
          </cell>
          <cell r="E6" t="str">
            <v>US$/KG</v>
          </cell>
          <cell r="F6">
            <v>0.06</v>
          </cell>
          <cell r="H6">
            <v>0.2</v>
          </cell>
          <cell r="I6">
            <v>0.1</v>
          </cell>
          <cell r="K6">
            <v>0.03</v>
          </cell>
          <cell r="L6">
            <v>1.2594428000000002</v>
          </cell>
        </row>
        <row r="7">
          <cell r="B7" t="str">
            <v>13CrMo44</v>
          </cell>
          <cell r="C7">
            <v>1.1200000000000001</v>
          </cell>
          <cell r="D7">
            <v>1.1200000000000001</v>
          </cell>
          <cell r="E7" t="str">
            <v>US$/KG</v>
          </cell>
          <cell r="F7">
            <v>0.06</v>
          </cell>
          <cell r="H7">
            <v>0.2</v>
          </cell>
          <cell r="I7">
            <v>0.1</v>
          </cell>
          <cell r="K7">
            <v>0.03</v>
          </cell>
          <cell r="L7">
            <v>1.5716976000000005</v>
          </cell>
        </row>
        <row r="8">
          <cell r="B8" t="str">
            <v>15Mo3</v>
          </cell>
          <cell r="C8">
            <v>1</v>
          </cell>
          <cell r="D8">
            <v>1</v>
          </cell>
          <cell r="E8" t="str">
            <v>US$/KG</v>
          </cell>
          <cell r="F8">
            <v>0.06</v>
          </cell>
          <cell r="H8">
            <v>0.2</v>
          </cell>
          <cell r="I8">
            <v>0.1</v>
          </cell>
          <cell r="K8">
            <v>0.03</v>
          </cell>
          <cell r="L8">
            <v>1.4275800000000003</v>
          </cell>
        </row>
        <row r="9">
          <cell r="B9" t="str">
            <v>1.4435</v>
          </cell>
          <cell r="C9">
            <v>7.4</v>
          </cell>
          <cell r="D9">
            <v>7.4</v>
          </cell>
          <cell r="E9" t="str">
            <v>US$/KG</v>
          </cell>
          <cell r="F9">
            <v>0.06</v>
          </cell>
          <cell r="H9">
            <v>0.2</v>
          </cell>
          <cell r="I9">
            <v>0.1</v>
          </cell>
          <cell r="K9">
            <v>0.03</v>
          </cell>
          <cell r="L9">
            <v>9.1138520000000014</v>
          </cell>
        </row>
        <row r="10">
          <cell r="C10">
            <v>0</v>
          </cell>
          <cell r="L10">
            <v>0</v>
          </cell>
        </row>
        <row r="11">
          <cell r="B11" t="str">
            <v>Grating</v>
          </cell>
          <cell r="C11">
            <v>180</v>
          </cell>
          <cell r="D11">
            <v>180</v>
          </cell>
          <cell r="E11" t="str">
            <v>LE/KG</v>
          </cell>
          <cell r="F11">
            <v>0</v>
          </cell>
          <cell r="H11">
            <v>0</v>
          </cell>
          <cell r="I11">
            <v>0.1</v>
          </cell>
          <cell r="K11">
            <v>0.03</v>
          </cell>
          <cell r="L11">
            <v>203.94000000000003</v>
          </cell>
        </row>
        <row r="12">
          <cell r="B12" t="str">
            <v>Treads</v>
          </cell>
          <cell r="C12">
            <v>80</v>
          </cell>
          <cell r="D12">
            <v>80</v>
          </cell>
          <cell r="E12" t="str">
            <v>LE/KG</v>
          </cell>
          <cell r="F12">
            <v>0</v>
          </cell>
          <cell r="H12">
            <v>0</v>
          </cell>
          <cell r="I12">
            <v>0.1</v>
          </cell>
          <cell r="K12">
            <v>0.03</v>
          </cell>
          <cell r="L12">
            <v>90.640000000000015</v>
          </cell>
        </row>
        <row r="15">
          <cell r="B15" t="str">
            <v>STE355</v>
          </cell>
          <cell r="C15">
            <v>5</v>
          </cell>
          <cell r="D15">
            <v>5</v>
          </cell>
          <cell r="E15" t="str">
            <v>US$/KG</v>
          </cell>
          <cell r="F15">
            <v>0.06</v>
          </cell>
          <cell r="H15">
            <v>0.5</v>
          </cell>
          <cell r="I15">
            <v>0</v>
          </cell>
          <cell r="K15">
            <v>0.03</v>
          </cell>
          <cell r="L15">
            <v>5.9740000000000011</v>
          </cell>
        </row>
        <row r="16">
          <cell r="B16" t="str">
            <v>13CrMo44</v>
          </cell>
          <cell r="C16">
            <v>0</v>
          </cell>
          <cell r="E16" t="str">
            <v>US$/KG</v>
          </cell>
          <cell r="F16">
            <v>0.06</v>
          </cell>
          <cell r="H16">
            <v>0.5</v>
          </cell>
          <cell r="I16">
            <v>0</v>
          </cell>
          <cell r="K16">
            <v>0.03</v>
          </cell>
          <cell r="L16">
            <v>0</v>
          </cell>
        </row>
        <row r="17">
          <cell r="B17" t="str">
            <v>15Mo3</v>
          </cell>
          <cell r="C17">
            <v>0</v>
          </cell>
          <cell r="E17" t="str">
            <v>US$/KG</v>
          </cell>
          <cell r="F17">
            <v>0.06</v>
          </cell>
          <cell r="H17">
            <v>0.5</v>
          </cell>
          <cell r="I17">
            <v>0</v>
          </cell>
          <cell r="K17">
            <v>0.03</v>
          </cell>
          <cell r="L17">
            <v>0</v>
          </cell>
        </row>
        <row r="18">
          <cell r="B18" t="str">
            <v>1.4435</v>
          </cell>
          <cell r="C18">
            <v>0</v>
          </cell>
          <cell r="E18" t="str">
            <v>US$/KG</v>
          </cell>
          <cell r="F18">
            <v>0.06</v>
          </cell>
          <cell r="H18">
            <v>0.5</v>
          </cell>
          <cell r="I18">
            <v>0</v>
          </cell>
          <cell r="K18">
            <v>0.03</v>
          </cell>
          <cell r="L18">
            <v>0</v>
          </cell>
        </row>
        <row r="19">
          <cell r="C19">
            <v>0</v>
          </cell>
          <cell r="L19">
            <v>0</v>
          </cell>
        </row>
        <row r="22">
          <cell r="B22" t="str">
            <v>ST35.8 I</v>
          </cell>
          <cell r="C22">
            <v>4.5999999999999996</v>
          </cell>
          <cell r="D22">
            <v>4.5999999999999996</v>
          </cell>
          <cell r="E22" t="str">
            <v>US$/KG</v>
          </cell>
          <cell r="F22">
            <v>0.06</v>
          </cell>
          <cell r="H22">
            <v>0.2</v>
          </cell>
          <cell r="I22">
            <v>0.1</v>
          </cell>
          <cell r="K22">
            <v>0.03</v>
          </cell>
          <cell r="L22">
            <v>6.6294096000000007</v>
          </cell>
        </row>
        <row r="23">
          <cell r="B23" t="str">
            <v>13CrMo44</v>
          </cell>
          <cell r="C23">
            <v>12</v>
          </cell>
          <cell r="D23">
            <v>12</v>
          </cell>
          <cell r="E23" t="str">
            <v>US$/KG</v>
          </cell>
          <cell r="F23">
            <v>0.06</v>
          </cell>
          <cell r="H23">
            <v>0.2</v>
          </cell>
          <cell r="I23">
            <v>0.1</v>
          </cell>
          <cell r="K23">
            <v>0.03</v>
          </cell>
          <cell r="L23">
            <v>17.294112000000002</v>
          </cell>
        </row>
        <row r="24">
          <cell r="B24" t="str">
            <v>15Mo3</v>
          </cell>
          <cell r="C24">
            <v>12</v>
          </cell>
          <cell r="D24">
            <v>12</v>
          </cell>
          <cell r="E24" t="str">
            <v>US$/KG</v>
          </cell>
          <cell r="F24">
            <v>0.06</v>
          </cell>
          <cell r="H24">
            <v>0.2</v>
          </cell>
          <cell r="I24">
            <v>0.1</v>
          </cell>
          <cell r="K24">
            <v>0.03</v>
          </cell>
          <cell r="L24">
            <v>17.294112000000002</v>
          </cell>
        </row>
        <row r="25">
          <cell r="B25" t="str">
            <v>1.4435</v>
          </cell>
          <cell r="C25">
            <v>14</v>
          </cell>
          <cell r="D25">
            <v>14</v>
          </cell>
          <cell r="E25" t="str">
            <v>US$/KG</v>
          </cell>
          <cell r="F25">
            <v>0.06</v>
          </cell>
          <cell r="H25">
            <v>0.2</v>
          </cell>
          <cell r="I25">
            <v>0.1</v>
          </cell>
          <cell r="K25">
            <v>0.03</v>
          </cell>
          <cell r="L25">
            <v>20.176464000000003</v>
          </cell>
        </row>
        <row r="26">
          <cell r="C26">
            <v>0</v>
          </cell>
          <cell r="L26">
            <v>0</v>
          </cell>
        </row>
        <row r="27">
          <cell r="C27">
            <v>0</v>
          </cell>
          <cell r="L27">
            <v>0</v>
          </cell>
        </row>
        <row r="30">
          <cell r="B30" t="str">
            <v>C22.8</v>
          </cell>
          <cell r="C30">
            <v>7</v>
          </cell>
          <cell r="D30">
            <v>7</v>
          </cell>
          <cell r="E30" t="str">
            <v>US$/KG</v>
          </cell>
          <cell r="F30">
            <v>0.06</v>
          </cell>
          <cell r="H30">
            <v>0.2</v>
          </cell>
          <cell r="I30">
            <v>0</v>
          </cell>
          <cell r="K30">
            <v>0.03</v>
          </cell>
          <cell r="L30">
            <v>9.1711200000000002</v>
          </cell>
        </row>
        <row r="31">
          <cell r="B31" t="str">
            <v>13CrMo44</v>
          </cell>
          <cell r="C31">
            <v>16</v>
          </cell>
          <cell r="D31">
            <v>16</v>
          </cell>
          <cell r="E31" t="str">
            <v>US$/KG</v>
          </cell>
          <cell r="F31">
            <v>0.06</v>
          </cell>
          <cell r="H31">
            <v>0.2</v>
          </cell>
          <cell r="I31">
            <v>0</v>
          </cell>
          <cell r="K31">
            <v>0.03</v>
          </cell>
          <cell r="L31">
            <v>20.96256</v>
          </cell>
        </row>
        <row r="32">
          <cell r="B32" t="str">
            <v>15Mo3</v>
          </cell>
          <cell r="C32">
            <v>16</v>
          </cell>
          <cell r="D32">
            <v>16</v>
          </cell>
          <cell r="E32" t="str">
            <v>US$/KG</v>
          </cell>
          <cell r="F32">
            <v>0.06</v>
          </cell>
          <cell r="H32">
            <v>0.2</v>
          </cell>
          <cell r="I32">
            <v>0</v>
          </cell>
          <cell r="K32">
            <v>0.03</v>
          </cell>
          <cell r="L32">
            <v>20.96256</v>
          </cell>
        </row>
        <row r="33">
          <cell r="B33" t="str">
            <v>1.4435</v>
          </cell>
          <cell r="C33">
            <v>27</v>
          </cell>
          <cell r="D33">
            <v>27</v>
          </cell>
          <cell r="E33" t="str">
            <v>US$/KG</v>
          </cell>
          <cell r="F33">
            <v>0.06</v>
          </cell>
          <cell r="H33">
            <v>0.2</v>
          </cell>
          <cell r="I33">
            <v>0</v>
          </cell>
          <cell r="K33">
            <v>0.03</v>
          </cell>
          <cell r="L33">
            <v>35.374320000000004</v>
          </cell>
        </row>
        <row r="34">
          <cell r="C34">
            <v>0</v>
          </cell>
          <cell r="L34">
            <v>0</v>
          </cell>
        </row>
        <row r="35">
          <cell r="C35">
            <v>0</v>
          </cell>
          <cell r="L35">
            <v>0</v>
          </cell>
        </row>
        <row r="38">
          <cell r="B38" t="str">
            <v>A234WBP</v>
          </cell>
          <cell r="C38">
            <v>6</v>
          </cell>
          <cell r="D38">
            <v>6</v>
          </cell>
          <cell r="E38" t="str">
            <v>US$/KG</v>
          </cell>
          <cell r="F38">
            <v>0.06</v>
          </cell>
          <cell r="H38">
            <v>0.2</v>
          </cell>
          <cell r="I38">
            <v>0</v>
          </cell>
          <cell r="K38">
            <v>0.03</v>
          </cell>
          <cell r="L38">
            <v>7.8609599999999995</v>
          </cell>
        </row>
        <row r="39">
          <cell r="B39" t="str">
            <v>13CrMo44</v>
          </cell>
          <cell r="C39">
            <v>20</v>
          </cell>
          <cell r="D39">
            <v>20</v>
          </cell>
          <cell r="E39" t="str">
            <v>US$/KG</v>
          </cell>
          <cell r="F39">
            <v>0.06</v>
          </cell>
          <cell r="H39">
            <v>0.2</v>
          </cell>
          <cell r="I39">
            <v>0</v>
          </cell>
          <cell r="K39">
            <v>0.03</v>
          </cell>
          <cell r="L39">
            <v>26.203200000000002</v>
          </cell>
        </row>
        <row r="40">
          <cell r="B40" t="str">
            <v>15Mo3</v>
          </cell>
          <cell r="C40">
            <v>20</v>
          </cell>
          <cell r="D40">
            <v>20</v>
          </cell>
          <cell r="E40" t="str">
            <v>US$/KG</v>
          </cell>
          <cell r="F40">
            <v>0.06</v>
          </cell>
          <cell r="H40">
            <v>0.2</v>
          </cell>
          <cell r="I40">
            <v>0</v>
          </cell>
          <cell r="K40">
            <v>0.03</v>
          </cell>
          <cell r="L40">
            <v>26.203200000000002</v>
          </cell>
        </row>
        <row r="41">
          <cell r="C41">
            <v>0</v>
          </cell>
          <cell r="F41">
            <v>0.06</v>
          </cell>
          <cell r="H41">
            <v>0.2</v>
          </cell>
          <cell r="I41">
            <v>0</v>
          </cell>
          <cell r="K41">
            <v>0.03</v>
          </cell>
          <cell r="L41">
            <v>0</v>
          </cell>
        </row>
        <row r="42">
          <cell r="C42">
            <v>0</v>
          </cell>
          <cell r="L42">
            <v>0</v>
          </cell>
        </row>
        <row r="43">
          <cell r="C43">
            <v>0</v>
          </cell>
          <cell r="L43">
            <v>0</v>
          </cell>
        </row>
      </sheetData>
      <sheetData sheetId="20"/>
      <sheetData sheetId="2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간접비(1)"/>
    </sheetNames>
    <sheetDataSet>
      <sheetData sheetId="0">
        <row r="13">
          <cell r="AE13">
            <v>765</v>
          </cell>
        </row>
        <row r="41">
          <cell r="AD41">
            <v>47</v>
          </cell>
          <cell r="AE41">
            <v>43</v>
          </cell>
          <cell r="AF41">
            <v>742</v>
          </cell>
        </row>
        <row r="54">
          <cell r="AE54">
            <v>53</v>
          </cell>
          <cell r="AF54">
            <v>742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Chk_File"/>
      <sheetName val="Data"/>
      <sheetName val="elimination entries"/>
      <sheetName val="BS LD"/>
      <sheetName val="IS"/>
      <sheetName val="Fixed assets"/>
      <sheetName val="FA Surplus"/>
      <sheetName val="Imperment"/>
      <sheetName val="Provisions"/>
      <sheetName val="RP Balance"/>
      <sheetName val="Fixed assets R F"/>
      <sheetName val="Equity"/>
      <sheetName val="Magority Interest"/>
      <sheetName val="Minority Interest"/>
      <sheetName val="EE at date of acq."/>
      <sheetName val="Inv. since date of acqusition"/>
      <sheetName val="Sigments"/>
      <sheetName val="Balance Sheet"/>
      <sheetName val="Income Statement"/>
      <sheetName val="Shareholders' Equit"/>
      <sheetName val="Cash flow"/>
      <sheetName val="CITADAL"/>
    </sheetNames>
    <sheetDataSet>
      <sheetData sheetId="0" refreshError="1"/>
      <sheetData sheetId="1" refreshError="1"/>
      <sheetData sheetId="2" refreshError="1"/>
      <sheetData sheetId="3" refreshError="1">
        <row r="8">
          <cell r="B8">
            <v>30101000</v>
          </cell>
        </row>
        <row r="136">
          <cell r="B136">
            <v>10302004</v>
          </cell>
          <cell r="C136" t="str">
            <v>Dr.</v>
          </cell>
          <cell r="D136" t="str">
            <v>Dr. Payment Under investment</v>
          </cell>
          <cell r="G136" t="str">
            <v>asa</v>
          </cell>
          <cell r="J136">
            <v>0</v>
          </cell>
          <cell r="K136">
            <v>0</v>
          </cell>
          <cell r="L136">
            <v>0</v>
          </cell>
        </row>
        <row r="137">
          <cell r="B137">
            <v>10302002</v>
          </cell>
          <cell r="C137" t="str">
            <v>Dr.</v>
          </cell>
          <cell r="D137" t="str">
            <v>Dr. Payment Under investment</v>
          </cell>
          <cell r="G137" t="str">
            <v>aresco</v>
          </cell>
          <cell r="J137">
            <v>0</v>
          </cell>
          <cell r="K137">
            <v>0</v>
          </cell>
          <cell r="L137">
            <v>0</v>
          </cell>
        </row>
        <row r="138">
          <cell r="B138">
            <v>10300104</v>
          </cell>
          <cell r="C138" t="str">
            <v>Cr.</v>
          </cell>
          <cell r="E138" t="str">
            <v>Cr. Investment - ASA</v>
          </cell>
          <cell r="J138">
            <v>0</v>
          </cell>
          <cell r="K138">
            <v>0</v>
          </cell>
          <cell r="L138">
            <v>0</v>
          </cell>
        </row>
        <row r="139">
          <cell r="B139">
            <v>30201000</v>
          </cell>
          <cell r="C139" t="str">
            <v>Cr.</v>
          </cell>
          <cell r="E139" t="str">
            <v>Cr. Reserves for capital increase - Aresco</v>
          </cell>
          <cell r="J139">
            <v>0</v>
          </cell>
          <cell r="K139">
            <v>0</v>
          </cell>
          <cell r="L139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MFormattingSheet"/>
      <sheetName val="EPMFormattingSheet_ReadOnly"/>
      <sheetName val="EPMFormattingSheet_Cover"/>
      <sheetName val="EPMFormattingSheet_BS"/>
      <sheetName val="EPMFormattingSheet_CF"/>
      <sheetName val="EPMFormattingSheet_Taxes"/>
      <sheetName val="EPMFormattingSheet_HeadCount"/>
      <sheetName val="Cover"/>
      <sheetName val="Income Statement"/>
      <sheetName val="Balance Sheet"/>
      <sheetName val="Cash Flow"/>
      <sheetName val="Liquidity Forecast"/>
      <sheetName val="Cash &amp; Cash Equivalent"/>
      <sheetName val="Business Indebtedness"/>
      <sheetName val="Debt Schedule"/>
      <sheetName val="Aging"/>
      <sheetName val="Tax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4">
          <cell r="D44" t="str">
            <v>LC</v>
          </cell>
        </row>
        <row r="59">
          <cell r="O59" t="str">
            <v>LC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805 Y07"/>
      <sheetName val="2805 REV"/>
      <sheetName val="2805 GL"/>
      <sheetName val="Exp Det 2805"/>
      <sheetName val="2805"/>
      <sheetName val="2805 Chart"/>
      <sheetName val="3027 REV"/>
      <sheetName val="3027 GL"/>
      <sheetName val="Exp Det 3027 V2"/>
      <sheetName val="3027"/>
      <sheetName val="3027 Charts"/>
      <sheetName val="2771 REV"/>
      <sheetName val=" GL 2771"/>
      <sheetName val="Exp Det 2771"/>
      <sheetName val="2771"/>
      <sheetName val="2771 Charts"/>
      <sheetName val="2758 REV"/>
      <sheetName val="GL 2758"/>
      <sheetName val="Exp Det 2758"/>
      <sheetName val="2758"/>
      <sheetName val="2758Charts"/>
      <sheetName val="3428"/>
      <sheetName val="Maint"/>
      <sheetName val="3272 Djelfa"/>
      <sheetName val="2805 Budget Versions"/>
      <sheetName val="3027 Budget Versions"/>
      <sheetName val="2771 Budget versions"/>
      <sheetName val="3428 budget versions"/>
      <sheetName val="2758 Budget versions"/>
      <sheetName val="Total"/>
      <sheetName val="Accrued Revenue Mar 08"/>
      <sheetName val="2805_Y07"/>
      <sheetName val="2805_REV"/>
      <sheetName val="2805_GL"/>
      <sheetName val="Exp_Det_2805"/>
      <sheetName val="2805_Chart"/>
      <sheetName val="3027_REV"/>
      <sheetName val="3027_GL"/>
      <sheetName val="Exp_Det_3027_V2"/>
      <sheetName val="3027_Charts"/>
      <sheetName val="2771_REV"/>
      <sheetName val="_GL_2771"/>
      <sheetName val="Exp_Det_2771"/>
      <sheetName val="2771_Charts"/>
      <sheetName val="2758_REV"/>
      <sheetName val="GL_2758"/>
      <sheetName val="Exp_Det_2758"/>
      <sheetName val="3272_Djelfa"/>
      <sheetName val="2805_Budget_Versions"/>
      <sheetName val="3027_Budget_Versions"/>
      <sheetName val="2771_Budget_versions"/>
      <sheetName val="3428_budget_versions"/>
      <sheetName val="2758_Budget_versions"/>
      <sheetName val="Accrued_Revenue_Mar_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805 Y07"/>
      <sheetName val="2805 REV"/>
      <sheetName val="2805 GL"/>
      <sheetName val="Exp Det 2805"/>
      <sheetName val="2805"/>
      <sheetName val="2805 Chart"/>
      <sheetName val="3027 REV"/>
      <sheetName val="3027 GL"/>
      <sheetName val="Exp Det 3027 V2"/>
      <sheetName val="3027"/>
      <sheetName val="3027 Charts"/>
      <sheetName val="2771 REV"/>
      <sheetName val=" GL 2771"/>
      <sheetName val="Exp Det 2771"/>
      <sheetName val="2771"/>
      <sheetName val="2771 Charts"/>
      <sheetName val="2758 REV"/>
      <sheetName val="GL 2758"/>
      <sheetName val="Exp Det 2758"/>
      <sheetName val="2758"/>
      <sheetName val="2758Charts"/>
      <sheetName val="3428"/>
      <sheetName val="Maint"/>
      <sheetName val="3272 Djelfa"/>
      <sheetName val="2805 Budget Versions"/>
      <sheetName val="3027 Budget Versions"/>
      <sheetName val="2771 Budget versions"/>
      <sheetName val="3428 budget versions"/>
      <sheetName val="2758 Budget versions"/>
      <sheetName val="Total"/>
      <sheetName val="Accrued Revenue Mar 0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 Fab."/>
      <sheetName val="Est Fab. (2)"/>
      <sheetName val="Est Fab. (3)"/>
      <sheetName val="Price Sheet"/>
    </sheetNames>
    <sheetDataSet>
      <sheetData sheetId="0"/>
      <sheetData sheetId="1"/>
      <sheetData sheetId="2"/>
      <sheetData sheetId="3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ميزان_المراجعة_شهرى"/>
      <sheetName val="ميزان_المراجعة_شهرى (2)"/>
    </sheetNames>
    <sheetDataSet>
      <sheetData sheetId="0" refreshError="1">
        <row r="1">
          <cell r="F1" t="str">
            <v>افتتاحى</v>
          </cell>
          <cell r="G1" t="str">
            <v>الشهورالسابقة</v>
          </cell>
          <cell r="H1" t="str">
            <v>الشهورالسابقة</v>
          </cell>
          <cell r="I1" t="str">
            <v>حركة الشهر</v>
          </cell>
          <cell r="J1" t="str">
            <v>حركة الشهر</v>
          </cell>
          <cell r="K1" t="str">
            <v>المجموع</v>
          </cell>
          <cell r="L1" t="str">
            <v>المجموع</v>
          </cell>
          <cell r="M1" t="str">
            <v>ختامى</v>
          </cell>
          <cell r="N1" t="str">
            <v>ختامى</v>
          </cell>
        </row>
        <row r="2">
          <cell r="A2" t="str">
            <v>XXXX</v>
          </cell>
          <cell r="B2" t="str">
            <v>XX</v>
          </cell>
          <cell r="C2" t="str">
            <v>XX</v>
          </cell>
          <cell r="D2" t="str">
            <v>X</v>
          </cell>
          <cell r="E2" t="str">
            <v>إسم الحساب</v>
          </cell>
          <cell r="F2" t="str">
            <v>رصيد</v>
          </cell>
          <cell r="G2" t="str">
            <v>مدين</v>
          </cell>
          <cell r="H2" t="str">
            <v>دائن</v>
          </cell>
          <cell r="I2" t="str">
            <v>مدين</v>
          </cell>
          <cell r="J2" t="str">
            <v>دائن</v>
          </cell>
          <cell r="K2" t="str">
            <v>مدين</v>
          </cell>
          <cell r="L2" t="str">
            <v>دائن</v>
          </cell>
          <cell r="M2" t="str">
            <v>مدين</v>
          </cell>
          <cell r="N2" t="str">
            <v>دائن</v>
          </cell>
        </row>
        <row r="3">
          <cell r="A3" t="str">
            <v>0002</v>
          </cell>
          <cell r="B3" t="str">
            <v>01</v>
          </cell>
          <cell r="C3" t="str">
            <v>01</v>
          </cell>
          <cell r="D3" t="str">
            <v>1</v>
          </cell>
          <cell r="E3" t="str">
            <v>اراضى - التبين</v>
          </cell>
          <cell r="F3">
            <v>3701467</v>
          </cell>
          <cell r="K3">
            <v>3701467</v>
          </cell>
          <cell r="M3">
            <v>3701467</v>
          </cell>
        </row>
        <row r="4">
          <cell r="A4" t="str">
            <v>0001</v>
          </cell>
          <cell r="B4" t="str">
            <v>02</v>
          </cell>
          <cell r="C4" t="str">
            <v>01</v>
          </cell>
          <cell r="D4" t="str">
            <v>1</v>
          </cell>
          <cell r="E4" t="str">
            <v>مباني - التبين</v>
          </cell>
          <cell r="F4">
            <v>80895760.760000005</v>
          </cell>
          <cell r="G4">
            <v>8137140.5499999998</v>
          </cell>
          <cell r="I4">
            <v>363771.62</v>
          </cell>
          <cell r="K4">
            <v>89396672.930000007</v>
          </cell>
          <cell r="M4">
            <v>89396672.930000007</v>
          </cell>
        </row>
        <row r="5">
          <cell r="A5" t="str">
            <v>0001</v>
          </cell>
          <cell r="B5" t="str">
            <v>03</v>
          </cell>
          <cell r="C5" t="str">
            <v>01</v>
          </cell>
          <cell r="D5" t="str">
            <v>1</v>
          </cell>
          <cell r="E5" t="str">
            <v>الآلات والمعدات - التبين</v>
          </cell>
          <cell r="F5">
            <v>49957819.520000003</v>
          </cell>
          <cell r="G5">
            <v>17318490.550000001</v>
          </cell>
          <cell r="H5">
            <v>281458.03000000003</v>
          </cell>
          <cell r="I5">
            <v>4305299.2699999996</v>
          </cell>
          <cell r="K5">
            <v>71581609.340000004</v>
          </cell>
          <cell r="L5">
            <v>281458.03000000003</v>
          </cell>
          <cell r="M5">
            <v>71300151.310000002</v>
          </cell>
        </row>
        <row r="6">
          <cell r="A6" t="str">
            <v>0001</v>
          </cell>
          <cell r="B6" t="str">
            <v>04</v>
          </cell>
          <cell r="C6" t="str">
            <v>01</v>
          </cell>
          <cell r="D6" t="str">
            <v>1</v>
          </cell>
          <cell r="E6" t="str">
            <v>معدات نقل - أوناش - التبين</v>
          </cell>
          <cell r="F6">
            <v>75191010.519999996</v>
          </cell>
          <cell r="G6">
            <v>27529808.100000001</v>
          </cell>
          <cell r="H6">
            <v>414154.6</v>
          </cell>
          <cell r="K6">
            <v>102720818.62</v>
          </cell>
          <cell r="L6">
            <v>414154.6</v>
          </cell>
          <cell r="M6">
            <v>102306664.02</v>
          </cell>
        </row>
        <row r="7">
          <cell r="A7" t="str">
            <v>0001</v>
          </cell>
          <cell r="B7" t="str">
            <v>05</v>
          </cell>
          <cell r="C7" t="str">
            <v>01</v>
          </cell>
          <cell r="D7" t="str">
            <v>1</v>
          </cell>
          <cell r="E7" t="str">
            <v>معدات نقل - سيارات نقل - التبين</v>
          </cell>
          <cell r="F7">
            <v>9134547.6099999994</v>
          </cell>
          <cell r="G7">
            <v>1429460</v>
          </cell>
          <cell r="H7">
            <v>144712</v>
          </cell>
          <cell r="I7">
            <v>97020</v>
          </cell>
          <cell r="K7">
            <v>10661027.609999999</v>
          </cell>
          <cell r="L7">
            <v>144712</v>
          </cell>
          <cell r="M7">
            <v>10516315.609999999</v>
          </cell>
        </row>
        <row r="8">
          <cell r="A8" t="str">
            <v>0001</v>
          </cell>
          <cell r="B8" t="str">
            <v>06</v>
          </cell>
          <cell r="C8" t="str">
            <v>01</v>
          </cell>
          <cell r="D8" t="str">
            <v>1</v>
          </cell>
          <cell r="E8" t="str">
            <v>سيارات ركوب - التبين</v>
          </cell>
          <cell r="F8">
            <v>1946625.25</v>
          </cell>
          <cell r="K8">
            <v>1946625.25</v>
          </cell>
          <cell r="M8">
            <v>1946625.25</v>
          </cell>
        </row>
        <row r="9">
          <cell r="A9" t="str">
            <v>0001</v>
          </cell>
          <cell r="B9" t="str">
            <v>07</v>
          </cell>
          <cell r="C9" t="str">
            <v>01</v>
          </cell>
          <cell r="D9" t="str">
            <v>1</v>
          </cell>
          <cell r="E9" t="str">
            <v>معدات نقل - نهرى - التبين</v>
          </cell>
          <cell r="F9">
            <v>2998000</v>
          </cell>
          <cell r="K9">
            <v>2998000</v>
          </cell>
          <cell r="M9">
            <v>2998000</v>
          </cell>
        </row>
        <row r="10">
          <cell r="A10" t="str">
            <v>0001</v>
          </cell>
          <cell r="B10" t="str">
            <v>08</v>
          </cell>
          <cell r="C10" t="str">
            <v>01</v>
          </cell>
          <cell r="D10" t="str">
            <v>1</v>
          </cell>
          <cell r="E10" t="str">
            <v>عدد وأدوات - التبين</v>
          </cell>
          <cell r="F10">
            <v>9080910.9000000004</v>
          </cell>
          <cell r="G10">
            <v>2994426.25</v>
          </cell>
          <cell r="I10">
            <v>409475</v>
          </cell>
          <cell r="K10">
            <v>12484812.15</v>
          </cell>
          <cell r="M10">
            <v>12484812.15</v>
          </cell>
        </row>
        <row r="11">
          <cell r="A11" t="str">
            <v>0001</v>
          </cell>
          <cell r="B11" t="str">
            <v>09</v>
          </cell>
          <cell r="C11" t="str">
            <v>01</v>
          </cell>
          <cell r="D11" t="str">
            <v>1</v>
          </cell>
          <cell r="E11" t="str">
            <v>معدات إطفاء وأمن وسلامة - التبين</v>
          </cell>
          <cell r="F11">
            <v>75469.73</v>
          </cell>
          <cell r="K11">
            <v>75469.73</v>
          </cell>
          <cell r="M11">
            <v>75469.73</v>
          </cell>
        </row>
        <row r="12">
          <cell r="A12" t="str">
            <v>0001</v>
          </cell>
          <cell r="B12" t="str">
            <v>10</v>
          </cell>
          <cell r="C12" t="str">
            <v>01</v>
          </cell>
          <cell r="D12" t="str">
            <v>1</v>
          </cell>
          <cell r="E12" t="str">
            <v>أثاث وأجهزة مكتبية</v>
          </cell>
          <cell r="F12">
            <v>6544914.0999999996</v>
          </cell>
          <cell r="G12">
            <v>924673.5</v>
          </cell>
          <cell r="K12">
            <v>7469587.5999999996</v>
          </cell>
          <cell r="M12">
            <v>7469587.5999999996</v>
          </cell>
        </row>
        <row r="13">
          <cell r="A13" t="str">
            <v>0001</v>
          </cell>
          <cell r="B13" t="str">
            <v>11</v>
          </cell>
          <cell r="C13" t="str">
            <v>01</v>
          </cell>
          <cell r="D13" t="str">
            <v>1</v>
          </cell>
          <cell r="E13" t="str">
            <v>أجهزة كمبيوتر</v>
          </cell>
          <cell r="F13">
            <v>4277410.22</v>
          </cell>
          <cell r="G13">
            <v>1258461.3400000001</v>
          </cell>
          <cell r="K13">
            <v>5535871.5599999996</v>
          </cell>
          <cell r="M13">
            <v>5535871.5599999996</v>
          </cell>
        </row>
        <row r="14">
          <cell r="A14" t="str">
            <v>0001</v>
          </cell>
          <cell r="B14" t="str">
            <v>12</v>
          </cell>
          <cell r="C14" t="str">
            <v>01</v>
          </cell>
          <cell r="D14" t="str">
            <v>1</v>
          </cell>
          <cell r="E14" t="str">
            <v>برامج تشغيل أجهزة كمبيوتر</v>
          </cell>
          <cell r="F14">
            <v>1883703.81</v>
          </cell>
          <cell r="G14">
            <v>60790</v>
          </cell>
          <cell r="I14">
            <v>2832.5</v>
          </cell>
          <cell r="K14">
            <v>1947326.31</v>
          </cell>
          <cell r="M14">
            <v>1947326.31</v>
          </cell>
        </row>
        <row r="15">
          <cell r="A15" t="str">
            <v>0001</v>
          </cell>
          <cell r="B15" t="str">
            <v>02</v>
          </cell>
          <cell r="C15" t="str">
            <v>02</v>
          </cell>
          <cell r="D15" t="str">
            <v>1</v>
          </cell>
          <cell r="E15" t="str">
            <v>مجمع إهلاك - مباني - التبين</v>
          </cell>
          <cell r="F15">
            <v>-12528402.33</v>
          </cell>
          <cell r="H15">
            <v>5069255.5599999996</v>
          </cell>
          <cell r="J15">
            <v>662044.14</v>
          </cell>
          <cell r="L15">
            <v>18259702.030000001</v>
          </cell>
          <cell r="N15">
            <v>18259702.030000001</v>
          </cell>
        </row>
        <row r="16">
          <cell r="A16" t="str">
            <v>0001</v>
          </cell>
          <cell r="B16" t="str">
            <v>03</v>
          </cell>
          <cell r="C16" t="str">
            <v>02</v>
          </cell>
          <cell r="D16" t="str">
            <v>1</v>
          </cell>
          <cell r="E16" t="str">
            <v>مجمع إهلاك - آلات  ومعدات - التبين</v>
          </cell>
          <cell r="F16">
            <v>-21735641.32</v>
          </cell>
          <cell r="G16">
            <v>226901.81</v>
          </cell>
          <cell r="H16">
            <v>3852728.1</v>
          </cell>
          <cell r="J16">
            <v>511673.55</v>
          </cell>
          <cell r="K16">
            <v>226901.81</v>
          </cell>
          <cell r="L16">
            <v>26100042.960000001</v>
          </cell>
          <cell r="N16">
            <v>25873141.149999999</v>
          </cell>
        </row>
        <row r="17">
          <cell r="A17" t="str">
            <v>0001</v>
          </cell>
          <cell r="B17" t="str">
            <v>04</v>
          </cell>
          <cell r="C17" t="str">
            <v>02</v>
          </cell>
          <cell r="D17" t="str">
            <v>1</v>
          </cell>
          <cell r="E17" t="str">
            <v>مجمع إهلاك - معدات نقل - أوناش - التبين</v>
          </cell>
          <cell r="F17">
            <v>-17731100.399999999</v>
          </cell>
          <cell r="G17">
            <v>330690.76</v>
          </cell>
          <cell r="H17">
            <v>6895898.5300000003</v>
          </cell>
          <cell r="J17">
            <v>944680</v>
          </cell>
          <cell r="K17">
            <v>330690.76</v>
          </cell>
          <cell r="L17">
            <v>25571678.93</v>
          </cell>
          <cell r="N17">
            <v>25240988.170000002</v>
          </cell>
        </row>
        <row r="18">
          <cell r="A18" t="str">
            <v>0001</v>
          </cell>
          <cell r="B18" t="str">
            <v>05</v>
          </cell>
          <cell r="C18" t="str">
            <v>02</v>
          </cell>
          <cell r="D18" t="str">
            <v>1</v>
          </cell>
          <cell r="E18" t="str">
            <v>م. إهلاك - معدات نقل - سيارات نقل التبين</v>
          </cell>
          <cell r="F18">
            <v>-3449530.82</v>
          </cell>
          <cell r="G18">
            <v>144711</v>
          </cell>
          <cell r="H18">
            <v>684257.82</v>
          </cell>
          <cell r="J18">
            <v>91145.75</v>
          </cell>
          <cell r="K18">
            <v>144711</v>
          </cell>
          <cell r="L18">
            <v>4224934.3899999997</v>
          </cell>
          <cell r="N18">
            <v>4080223.39</v>
          </cell>
        </row>
        <row r="19">
          <cell r="A19" t="str">
            <v>0001</v>
          </cell>
          <cell r="B19" t="str">
            <v>06</v>
          </cell>
          <cell r="C19" t="str">
            <v>02</v>
          </cell>
          <cell r="D19" t="str">
            <v>1</v>
          </cell>
          <cell r="E19" t="str">
            <v>مجمع إهلاك -  سيارات ركوب التبين</v>
          </cell>
          <cell r="F19">
            <v>-1152283.0900000001</v>
          </cell>
          <cell r="H19">
            <v>140797.32</v>
          </cell>
          <cell r="J19">
            <v>17599.669999999998</v>
          </cell>
          <cell r="L19">
            <v>1310680.07</v>
          </cell>
          <cell r="N19">
            <v>1310680.07</v>
          </cell>
        </row>
        <row r="20">
          <cell r="A20" t="str">
            <v>0001</v>
          </cell>
          <cell r="B20" t="str">
            <v>07</v>
          </cell>
          <cell r="C20" t="str">
            <v>02</v>
          </cell>
          <cell r="D20" t="str">
            <v>1</v>
          </cell>
          <cell r="E20" t="str">
            <v>مجمع إهلاك - وسائل نقل نهرى</v>
          </cell>
          <cell r="F20">
            <v>-177776.67</v>
          </cell>
          <cell r="H20">
            <v>95352.57</v>
          </cell>
          <cell r="J20">
            <v>11919.07</v>
          </cell>
          <cell r="L20">
            <v>285048.31</v>
          </cell>
          <cell r="N20">
            <v>285048.31</v>
          </cell>
        </row>
        <row r="21">
          <cell r="A21" t="str">
            <v>0001</v>
          </cell>
          <cell r="B21" t="str">
            <v>08</v>
          </cell>
          <cell r="C21" t="str">
            <v>02</v>
          </cell>
          <cell r="D21" t="str">
            <v>1</v>
          </cell>
          <cell r="E21" t="str">
            <v>مجمع إهلاك -  عدد وأدوات - التبين</v>
          </cell>
          <cell r="F21">
            <v>-3213423</v>
          </cell>
          <cell r="H21">
            <v>996901.38</v>
          </cell>
          <cell r="J21">
            <v>164394.25</v>
          </cell>
          <cell r="L21">
            <v>4374718.63</v>
          </cell>
          <cell r="N21">
            <v>4374718.63</v>
          </cell>
        </row>
        <row r="22">
          <cell r="A22" t="str">
            <v>0001</v>
          </cell>
          <cell r="B22" t="str">
            <v>09</v>
          </cell>
          <cell r="C22" t="str">
            <v>02</v>
          </cell>
          <cell r="D22" t="str">
            <v>1</v>
          </cell>
          <cell r="E22" t="str">
            <v>م. إهلاك - م. إطفاء وأمن وسلامة  التبين</v>
          </cell>
          <cell r="F22">
            <v>-63331.63</v>
          </cell>
          <cell r="H22">
            <v>2484.83</v>
          </cell>
          <cell r="J22">
            <v>310.60000000000002</v>
          </cell>
          <cell r="L22">
            <v>66127.06</v>
          </cell>
          <cell r="N22">
            <v>66127.06</v>
          </cell>
        </row>
        <row r="23">
          <cell r="A23" t="str">
            <v>0001</v>
          </cell>
          <cell r="B23" t="str">
            <v>10</v>
          </cell>
          <cell r="C23" t="str">
            <v>02</v>
          </cell>
          <cell r="D23" t="str">
            <v>1</v>
          </cell>
          <cell r="E23" t="str">
            <v>م. إهلاك -  أثاث وأجهزة مكتبية - التبين</v>
          </cell>
          <cell r="F23">
            <v>-3884223.65</v>
          </cell>
          <cell r="G23">
            <v>61</v>
          </cell>
          <cell r="H23">
            <v>529813.62</v>
          </cell>
          <cell r="J23">
            <v>71453.53</v>
          </cell>
          <cell r="K23">
            <v>61</v>
          </cell>
          <cell r="L23">
            <v>4485490.8</v>
          </cell>
          <cell r="N23">
            <v>4485429.8</v>
          </cell>
        </row>
        <row r="24">
          <cell r="A24" t="str">
            <v>0001</v>
          </cell>
          <cell r="B24" t="str">
            <v>11</v>
          </cell>
          <cell r="C24" t="str">
            <v>02</v>
          </cell>
          <cell r="D24" t="str">
            <v>1</v>
          </cell>
          <cell r="E24" t="str">
            <v>مجمع إهلاك -  أجهزة كمبيوتر التبين</v>
          </cell>
          <cell r="F24">
            <v>-2205797.5099999998</v>
          </cell>
          <cell r="H24">
            <v>675657.25</v>
          </cell>
          <cell r="J24">
            <v>91882.55</v>
          </cell>
          <cell r="L24">
            <v>2973337.31</v>
          </cell>
          <cell r="N24">
            <v>2973337.31</v>
          </cell>
        </row>
        <row r="25">
          <cell r="A25" t="str">
            <v>0001</v>
          </cell>
          <cell r="B25" t="str">
            <v>12</v>
          </cell>
          <cell r="C25" t="str">
            <v>02</v>
          </cell>
          <cell r="D25" t="str">
            <v>1</v>
          </cell>
          <cell r="E25" t="str">
            <v>م.إهلاك - برامج ت. أجهزة كمبيوتر التبين</v>
          </cell>
          <cell r="F25">
            <v>-716178.59</v>
          </cell>
          <cell r="H25">
            <v>287058.96000000002</v>
          </cell>
          <cell r="J25">
            <v>36017.949999999997</v>
          </cell>
          <cell r="L25">
            <v>1039255.5</v>
          </cell>
          <cell r="N25">
            <v>1039255.5</v>
          </cell>
        </row>
        <row r="26">
          <cell r="A26" t="str">
            <v>0001</v>
          </cell>
          <cell r="B26" t="str">
            <v>02</v>
          </cell>
          <cell r="C26" t="str">
            <v>03</v>
          </cell>
          <cell r="D26" t="str">
            <v>1</v>
          </cell>
          <cell r="E26" t="str">
            <v>مشروعات تحت التنفيذ - مباني وانشاءالتبين</v>
          </cell>
          <cell r="F26">
            <v>173442.42</v>
          </cell>
          <cell r="G26">
            <v>2509493.5099999998</v>
          </cell>
          <cell r="H26">
            <v>1210958.26</v>
          </cell>
          <cell r="I26">
            <v>78676.160000000003</v>
          </cell>
          <cell r="K26">
            <v>2761612.09</v>
          </cell>
          <cell r="L26">
            <v>1210958.26</v>
          </cell>
          <cell r="M26">
            <v>1550653.83</v>
          </cell>
        </row>
        <row r="27">
          <cell r="A27" t="str">
            <v>0004</v>
          </cell>
          <cell r="B27" t="str">
            <v>02</v>
          </cell>
          <cell r="C27" t="str">
            <v>03</v>
          </cell>
          <cell r="D27" t="str">
            <v>1</v>
          </cell>
          <cell r="E27" t="str">
            <v>اعمال صيانة المبنى الادارى و المصنع</v>
          </cell>
          <cell r="G27">
            <v>20636.400000000001</v>
          </cell>
          <cell r="H27">
            <v>20636.400000000001</v>
          </cell>
          <cell r="I27">
            <v>6534</v>
          </cell>
          <cell r="K27">
            <v>27170.400000000001</v>
          </cell>
          <cell r="L27">
            <v>20636.400000000001</v>
          </cell>
          <cell r="M27">
            <v>6534</v>
          </cell>
        </row>
        <row r="28">
          <cell r="A28" t="str">
            <v>0010</v>
          </cell>
          <cell r="B28" t="str">
            <v>02</v>
          </cell>
          <cell r="C28" t="str">
            <v>03</v>
          </cell>
          <cell r="D28" t="str">
            <v>1</v>
          </cell>
          <cell r="E28" t="str">
            <v>مشروعات تحت التنفيذ - اعمال طرق داخلية</v>
          </cell>
          <cell r="F28">
            <v>37031.15</v>
          </cell>
          <cell r="G28">
            <v>305631.78999999998</v>
          </cell>
          <cell r="K28">
            <v>342662.94</v>
          </cell>
          <cell r="M28">
            <v>342662.94</v>
          </cell>
        </row>
        <row r="29">
          <cell r="A29" t="str">
            <v>0019</v>
          </cell>
          <cell r="B29" t="str">
            <v>02</v>
          </cell>
          <cell r="C29" t="str">
            <v>03</v>
          </cell>
          <cell r="D29" t="str">
            <v>1</v>
          </cell>
          <cell r="E29" t="str">
            <v>مشروعات تحت التنفيذ - عنابر سيناء رمادى</v>
          </cell>
          <cell r="F29">
            <v>326813.59999999998</v>
          </cell>
          <cell r="K29">
            <v>326813.59999999998</v>
          </cell>
          <cell r="M29">
            <v>326813.59999999998</v>
          </cell>
        </row>
        <row r="30">
          <cell r="A30" t="str">
            <v>0031</v>
          </cell>
          <cell r="B30" t="str">
            <v>02</v>
          </cell>
          <cell r="C30" t="str">
            <v>03</v>
          </cell>
          <cell r="D30" t="str">
            <v>1</v>
          </cell>
          <cell r="E30" t="str">
            <v>ورشة المشروعات الكبرى</v>
          </cell>
          <cell r="F30">
            <v>2156140.73</v>
          </cell>
          <cell r="G30">
            <v>387506.24</v>
          </cell>
          <cell r="K30">
            <v>2543646.9700000002</v>
          </cell>
          <cell r="M30">
            <v>2543646.9700000002</v>
          </cell>
        </row>
        <row r="31">
          <cell r="A31" t="str">
            <v>0033</v>
          </cell>
          <cell r="B31" t="str">
            <v>02</v>
          </cell>
          <cell r="C31" t="str">
            <v>03</v>
          </cell>
          <cell r="D31" t="str">
            <v>1</v>
          </cell>
          <cell r="E31" t="str">
            <v>مبنى ادارة المعدات والصيانة - التركيبات</v>
          </cell>
          <cell r="F31">
            <v>628895.96</v>
          </cell>
          <cell r="G31">
            <v>268372.32</v>
          </cell>
          <cell r="K31">
            <v>897268.28</v>
          </cell>
          <cell r="M31">
            <v>897268.28</v>
          </cell>
        </row>
        <row r="32">
          <cell r="A32" t="str">
            <v>0034</v>
          </cell>
          <cell r="B32" t="str">
            <v>02</v>
          </cell>
          <cell r="C32" t="str">
            <v>03</v>
          </cell>
          <cell r="D32" t="str">
            <v>1</v>
          </cell>
          <cell r="E32" t="str">
            <v>غرفة الكهرباء - ارض التركيبات</v>
          </cell>
          <cell r="F32">
            <v>104979.09</v>
          </cell>
          <cell r="G32">
            <v>29036.32</v>
          </cell>
          <cell r="K32">
            <v>134015.41</v>
          </cell>
          <cell r="M32">
            <v>134015.41</v>
          </cell>
        </row>
        <row r="33">
          <cell r="A33" t="str">
            <v>0035</v>
          </cell>
          <cell r="B33" t="str">
            <v>02</v>
          </cell>
          <cell r="C33" t="str">
            <v>03</v>
          </cell>
          <cell r="D33" t="str">
            <v>1</v>
          </cell>
          <cell r="E33" t="str">
            <v>انشاء خط حريق بمصنع التبين</v>
          </cell>
          <cell r="F33">
            <v>74899.199999999997</v>
          </cell>
          <cell r="G33">
            <v>588300.56000000006</v>
          </cell>
          <cell r="K33">
            <v>663199.76</v>
          </cell>
          <cell r="M33">
            <v>663199.76</v>
          </cell>
        </row>
        <row r="34">
          <cell r="A34" t="str">
            <v>0036</v>
          </cell>
          <cell r="B34" t="str">
            <v>02</v>
          </cell>
          <cell r="C34" t="str">
            <v>03</v>
          </cell>
          <cell r="D34" t="str">
            <v>1</v>
          </cell>
          <cell r="E34" t="str">
            <v>مشروعات تحت التنفيذ - عنبر رقم (6)</v>
          </cell>
          <cell r="F34">
            <v>833493.48</v>
          </cell>
          <cell r="G34">
            <v>2658677.75</v>
          </cell>
          <cell r="H34">
            <v>546833.75</v>
          </cell>
          <cell r="K34">
            <v>3492171.23</v>
          </cell>
          <cell r="L34">
            <v>546833.75</v>
          </cell>
          <cell r="M34">
            <v>2945337.48</v>
          </cell>
        </row>
        <row r="35">
          <cell r="A35" t="str">
            <v>0037</v>
          </cell>
          <cell r="B35" t="str">
            <v>02</v>
          </cell>
          <cell r="C35" t="str">
            <v>03</v>
          </cell>
          <cell r="D35" t="str">
            <v>1</v>
          </cell>
          <cell r="E35" t="str">
            <v>مشروعات تحت التنفيذ - عنبر رقم (7)</v>
          </cell>
          <cell r="F35">
            <v>236220.55</v>
          </cell>
          <cell r="G35">
            <v>5058631.5199999996</v>
          </cell>
          <cell r="H35">
            <v>52128.77</v>
          </cell>
          <cell r="K35">
            <v>5294852.07</v>
          </cell>
          <cell r="L35">
            <v>52128.77</v>
          </cell>
          <cell r="M35">
            <v>5242723.3</v>
          </cell>
        </row>
        <row r="36">
          <cell r="A36" t="str">
            <v>0005</v>
          </cell>
          <cell r="B36" t="str">
            <v>03</v>
          </cell>
          <cell r="C36" t="str">
            <v>03</v>
          </cell>
          <cell r="D36" t="str">
            <v>1</v>
          </cell>
          <cell r="E36" t="str">
            <v>مشروعات ت.التنفيذ - خلاطة اسمنت المنيا</v>
          </cell>
          <cell r="F36">
            <v>98464.75</v>
          </cell>
          <cell r="G36">
            <v>28939</v>
          </cell>
          <cell r="K36">
            <v>127403.75</v>
          </cell>
          <cell r="M36">
            <v>127403.75</v>
          </cell>
        </row>
        <row r="37">
          <cell r="A37" t="str">
            <v>0006</v>
          </cell>
          <cell r="B37" t="str">
            <v>03</v>
          </cell>
          <cell r="C37" t="str">
            <v>03</v>
          </cell>
          <cell r="D37" t="str">
            <v>1</v>
          </cell>
          <cell r="E37" t="str">
            <v>مشروعات ت.التنفيذ - ميزان قامة سيناء</v>
          </cell>
          <cell r="F37">
            <v>3504</v>
          </cell>
          <cell r="K37">
            <v>3504</v>
          </cell>
          <cell r="M37">
            <v>3504</v>
          </cell>
        </row>
        <row r="38">
          <cell r="A38" t="str">
            <v>0005</v>
          </cell>
          <cell r="B38" t="str">
            <v>04</v>
          </cell>
          <cell r="C38" t="str">
            <v>03</v>
          </cell>
          <cell r="D38" t="str">
            <v>1</v>
          </cell>
          <cell r="E38" t="str">
            <v>م.ت.التنفيذ - ونش علوي 25 طن - WS-5</v>
          </cell>
          <cell r="F38">
            <v>114946.12</v>
          </cell>
          <cell r="K38">
            <v>114946.12</v>
          </cell>
          <cell r="M38">
            <v>114946.12</v>
          </cell>
        </row>
        <row r="39">
          <cell r="A39" t="str">
            <v>0001</v>
          </cell>
          <cell r="B39" t="str">
            <v>11</v>
          </cell>
          <cell r="C39" t="str">
            <v>03</v>
          </cell>
          <cell r="D39" t="str">
            <v>1</v>
          </cell>
          <cell r="E39" t="str">
            <v>م.تحت التنفيذ -  أجهزة كمبيوتر التبين</v>
          </cell>
          <cell r="F39">
            <v>36137.57</v>
          </cell>
          <cell r="G39">
            <v>94875.6</v>
          </cell>
          <cell r="K39">
            <v>131013.17</v>
          </cell>
          <cell r="M39">
            <v>131013.17</v>
          </cell>
        </row>
        <row r="40">
          <cell r="A40" t="str">
            <v>0001</v>
          </cell>
          <cell r="B40" t="str">
            <v>12</v>
          </cell>
          <cell r="C40" t="str">
            <v>03</v>
          </cell>
          <cell r="D40" t="str">
            <v>1</v>
          </cell>
          <cell r="E40" t="str">
            <v>م.ت. التنفيذ - برامج تشغيل  أجهزة التبين</v>
          </cell>
          <cell r="F40">
            <v>110140.74</v>
          </cell>
          <cell r="K40">
            <v>110140.74</v>
          </cell>
          <cell r="M40">
            <v>110140.74</v>
          </cell>
        </row>
        <row r="41">
          <cell r="A41" t="str">
            <v>0002</v>
          </cell>
          <cell r="B41" t="str">
            <v>12</v>
          </cell>
          <cell r="C41" t="str">
            <v>03</v>
          </cell>
          <cell r="D41" t="str">
            <v>1</v>
          </cell>
          <cell r="E41" t="str">
            <v>مشروعات تحت التنفيذ - برامج تشغيل  SAP</v>
          </cell>
          <cell r="F41">
            <v>992256.83</v>
          </cell>
          <cell r="G41">
            <v>1151643.56</v>
          </cell>
          <cell r="K41">
            <v>2143900.39</v>
          </cell>
          <cell r="M41">
            <v>2143900.39</v>
          </cell>
        </row>
        <row r="42">
          <cell r="A42" t="str">
            <v>0001</v>
          </cell>
          <cell r="B42" t="str">
            <v>95</v>
          </cell>
          <cell r="C42" t="str">
            <v>03</v>
          </cell>
          <cell r="D42" t="str">
            <v>1</v>
          </cell>
          <cell r="E42" t="str">
            <v>مشروعات تحت التنفيذ - L.Cs - اصول ثابتة</v>
          </cell>
          <cell r="G42">
            <v>2930610.61</v>
          </cell>
          <cell r="K42">
            <v>2930610.61</v>
          </cell>
          <cell r="M42">
            <v>2930610.61</v>
          </cell>
        </row>
        <row r="43">
          <cell r="A43" t="str">
            <v>0003</v>
          </cell>
          <cell r="B43" t="str">
            <v>01</v>
          </cell>
          <cell r="C43" t="str">
            <v>05</v>
          </cell>
          <cell r="D43" t="str">
            <v>1</v>
          </cell>
          <cell r="E43" t="str">
            <v>استثمارات فى شركات شقيقة المتحدة للمسابك</v>
          </cell>
          <cell r="F43">
            <v>1000</v>
          </cell>
          <cell r="K43">
            <v>1000</v>
          </cell>
          <cell r="M43">
            <v>1000</v>
          </cell>
        </row>
        <row r="44">
          <cell r="A44" t="str">
            <v>0005</v>
          </cell>
          <cell r="B44" t="str">
            <v>01</v>
          </cell>
          <cell r="C44" t="str">
            <v>05</v>
          </cell>
          <cell r="D44" t="str">
            <v>1</v>
          </cell>
          <cell r="E44" t="str">
            <v>استثمارات فى شركات - ارسكو السعودية</v>
          </cell>
          <cell r="F44">
            <v>1050000</v>
          </cell>
          <cell r="K44">
            <v>1050000</v>
          </cell>
          <cell r="M44">
            <v>1050000</v>
          </cell>
        </row>
        <row r="45">
          <cell r="A45" t="str">
            <v>0006</v>
          </cell>
          <cell r="B45" t="str">
            <v>01</v>
          </cell>
          <cell r="C45" t="str">
            <v>05</v>
          </cell>
          <cell r="D45" t="str">
            <v>1</v>
          </cell>
          <cell r="E45" t="str">
            <v>استثمارات فى شركات - A.S.A International</v>
          </cell>
          <cell r="G45">
            <v>5475</v>
          </cell>
          <cell r="K45">
            <v>5475</v>
          </cell>
          <cell r="M45">
            <v>5475</v>
          </cell>
        </row>
        <row r="46">
          <cell r="A46" t="str">
            <v>0010</v>
          </cell>
          <cell r="B46" t="str">
            <v>01</v>
          </cell>
          <cell r="C46" t="str">
            <v>15</v>
          </cell>
          <cell r="D46" t="str">
            <v>1</v>
          </cell>
          <cell r="E46" t="str">
            <v>مواد خام - المخزن الرئيسي</v>
          </cell>
          <cell r="F46">
            <v>15712593.76</v>
          </cell>
          <cell r="G46">
            <v>8907805.1099999994</v>
          </cell>
          <cell r="H46">
            <v>23516337.16</v>
          </cell>
          <cell r="I46">
            <v>546267.03</v>
          </cell>
          <cell r="J46">
            <v>1125207.78</v>
          </cell>
          <cell r="K46">
            <v>25166665.899999999</v>
          </cell>
          <cell r="L46">
            <v>24641544.940000001</v>
          </cell>
          <cell r="M46">
            <v>525120.97</v>
          </cell>
        </row>
        <row r="47">
          <cell r="A47" t="str">
            <v>0020</v>
          </cell>
          <cell r="B47" t="str">
            <v>01</v>
          </cell>
          <cell r="C47" t="str">
            <v>15</v>
          </cell>
          <cell r="D47" t="str">
            <v>1</v>
          </cell>
          <cell r="E47" t="str">
            <v>مواد خام - مخزن المصنع</v>
          </cell>
          <cell r="F47">
            <v>39902198.840000004</v>
          </cell>
          <cell r="G47">
            <v>103605398.86</v>
          </cell>
          <cell r="H47">
            <v>92852834.890000001</v>
          </cell>
          <cell r="I47">
            <v>11146712.310000001</v>
          </cell>
          <cell r="J47">
            <v>6130824.9299999997</v>
          </cell>
          <cell r="K47">
            <v>154654310.00999999</v>
          </cell>
          <cell r="L47">
            <v>98983659.819999993</v>
          </cell>
          <cell r="M47">
            <v>55670650.189999998</v>
          </cell>
        </row>
        <row r="48">
          <cell r="A48" t="str">
            <v>0010</v>
          </cell>
          <cell r="B48" t="str">
            <v>05</v>
          </cell>
          <cell r="C48" t="str">
            <v>15</v>
          </cell>
          <cell r="D48" t="str">
            <v>1</v>
          </cell>
          <cell r="E48" t="str">
            <v>قطع غيار- المخزن الرئيسي</v>
          </cell>
          <cell r="F48">
            <v>5638619.29</v>
          </cell>
          <cell r="G48">
            <v>28026753.440000001</v>
          </cell>
          <cell r="H48">
            <v>18932856.649999999</v>
          </cell>
          <cell r="I48">
            <v>4325422.57</v>
          </cell>
          <cell r="J48">
            <v>1422327.24</v>
          </cell>
          <cell r="K48">
            <v>37990795.299999997</v>
          </cell>
          <cell r="L48">
            <v>20355183.890000001</v>
          </cell>
          <cell r="M48">
            <v>17635611.41</v>
          </cell>
        </row>
        <row r="49">
          <cell r="A49" t="str">
            <v>0020</v>
          </cell>
          <cell r="B49" t="str">
            <v>05</v>
          </cell>
          <cell r="C49" t="str">
            <v>15</v>
          </cell>
          <cell r="D49" t="str">
            <v>1</v>
          </cell>
          <cell r="E49" t="str">
            <v>قطع غيار- مخزن المصنع</v>
          </cell>
          <cell r="F49">
            <v>2925250.5</v>
          </cell>
          <cell r="G49">
            <v>15060021.279999999</v>
          </cell>
          <cell r="H49">
            <v>15503374.75</v>
          </cell>
          <cell r="I49">
            <v>1093031.05</v>
          </cell>
          <cell r="J49">
            <v>1320967.2</v>
          </cell>
          <cell r="K49">
            <v>19078302.829999998</v>
          </cell>
          <cell r="L49">
            <v>16824341.940000001</v>
          </cell>
          <cell r="M49">
            <v>2253960.88</v>
          </cell>
        </row>
        <row r="50">
          <cell r="A50" t="str">
            <v>0030</v>
          </cell>
          <cell r="B50" t="str">
            <v>05</v>
          </cell>
          <cell r="C50" t="str">
            <v>15</v>
          </cell>
          <cell r="D50" t="str">
            <v>1</v>
          </cell>
          <cell r="E50" t="str">
            <v>قطع غيار- مخزن التركيبات</v>
          </cell>
          <cell r="F50">
            <v>773401.07</v>
          </cell>
          <cell r="G50">
            <v>741122.12</v>
          </cell>
          <cell r="H50">
            <v>832899.28</v>
          </cell>
          <cell r="K50">
            <v>1514523.19</v>
          </cell>
          <cell r="L50">
            <v>832899.28</v>
          </cell>
          <cell r="M50">
            <v>681623.92</v>
          </cell>
        </row>
        <row r="51">
          <cell r="A51" t="str">
            <v>0110</v>
          </cell>
          <cell r="B51" t="str">
            <v>05</v>
          </cell>
          <cell r="C51" t="str">
            <v>15</v>
          </cell>
          <cell r="D51" t="str">
            <v>1</v>
          </cell>
          <cell r="E51" t="str">
            <v>قطع غيار - الاردن</v>
          </cell>
          <cell r="F51">
            <v>260119.95</v>
          </cell>
          <cell r="K51">
            <v>260119.95</v>
          </cell>
          <cell r="M51">
            <v>260119.95</v>
          </cell>
        </row>
        <row r="52">
          <cell r="A52" t="str">
            <v>0120</v>
          </cell>
          <cell r="B52" t="str">
            <v>05</v>
          </cell>
          <cell r="C52" t="str">
            <v>15</v>
          </cell>
          <cell r="D52" t="str">
            <v>1</v>
          </cell>
          <cell r="E52" t="str">
            <v>قطع غيار - القومية</v>
          </cell>
          <cell r="F52">
            <v>619754.98</v>
          </cell>
          <cell r="G52">
            <v>340548.86</v>
          </cell>
          <cell r="H52">
            <v>635061.73</v>
          </cell>
          <cell r="J52">
            <v>1950.1</v>
          </cell>
          <cell r="K52">
            <v>960303.84</v>
          </cell>
          <cell r="L52">
            <v>637011.82999999996</v>
          </cell>
          <cell r="M52">
            <v>323292.01</v>
          </cell>
        </row>
        <row r="53">
          <cell r="A53" t="str">
            <v>0150</v>
          </cell>
          <cell r="B53" t="str">
            <v>05</v>
          </cell>
          <cell r="C53" t="str">
            <v>15</v>
          </cell>
          <cell r="D53" t="str">
            <v>1</v>
          </cell>
          <cell r="E53" t="str">
            <v>مخزن طره</v>
          </cell>
          <cell r="G53">
            <v>342283.2</v>
          </cell>
          <cell r="H53">
            <v>341024.17</v>
          </cell>
          <cell r="K53">
            <v>342283.2</v>
          </cell>
          <cell r="L53">
            <v>341024.17</v>
          </cell>
          <cell r="M53">
            <v>1259.03</v>
          </cell>
        </row>
        <row r="54">
          <cell r="A54" t="str">
            <v>0172</v>
          </cell>
          <cell r="B54" t="str">
            <v>05</v>
          </cell>
          <cell r="C54" t="str">
            <v>15</v>
          </cell>
          <cell r="D54" t="str">
            <v>1</v>
          </cell>
          <cell r="E54" t="str">
            <v>مخزن بنى سويف</v>
          </cell>
          <cell r="F54">
            <v>15250.4</v>
          </cell>
          <cell r="K54">
            <v>15250.4</v>
          </cell>
          <cell r="M54">
            <v>15250.4</v>
          </cell>
        </row>
        <row r="55">
          <cell r="A55" t="str">
            <v>0175</v>
          </cell>
          <cell r="B55" t="str">
            <v>05</v>
          </cell>
          <cell r="C55" t="str">
            <v>15</v>
          </cell>
          <cell r="D55" t="str">
            <v>1</v>
          </cell>
          <cell r="E55" t="str">
            <v>مخزن اسمنت سيناء ابيض</v>
          </cell>
          <cell r="F55">
            <v>69997.789999999994</v>
          </cell>
          <cell r="G55">
            <v>29.2</v>
          </cell>
          <cell r="H55">
            <v>11601.95</v>
          </cell>
          <cell r="K55">
            <v>70026.990000000005</v>
          </cell>
          <cell r="L55">
            <v>11601.95</v>
          </cell>
          <cell r="M55">
            <v>58425.04</v>
          </cell>
        </row>
        <row r="56">
          <cell r="A56" t="str">
            <v>0189</v>
          </cell>
          <cell r="B56" t="str">
            <v>05</v>
          </cell>
          <cell r="C56" t="str">
            <v>15</v>
          </cell>
          <cell r="D56" t="str">
            <v>1</v>
          </cell>
          <cell r="E56" t="str">
            <v>مخزن طلخا</v>
          </cell>
          <cell r="F56">
            <v>2851862.39</v>
          </cell>
          <cell r="G56">
            <v>328294.5</v>
          </cell>
          <cell r="H56">
            <v>2754981.87</v>
          </cell>
          <cell r="K56">
            <v>3180156.89</v>
          </cell>
          <cell r="L56">
            <v>2754981.87</v>
          </cell>
          <cell r="M56">
            <v>425175.02</v>
          </cell>
        </row>
        <row r="57">
          <cell r="A57" t="str">
            <v>0191</v>
          </cell>
          <cell r="B57" t="str">
            <v>05</v>
          </cell>
          <cell r="C57" t="str">
            <v>15</v>
          </cell>
          <cell r="D57" t="str">
            <v>1</v>
          </cell>
          <cell r="E57" t="str">
            <v>مخزن ق.غ السيارات و المعدات</v>
          </cell>
          <cell r="F57">
            <v>984592.44</v>
          </cell>
          <cell r="G57">
            <v>6240580.0999999996</v>
          </cell>
          <cell r="H57">
            <v>5214688.46</v>
          </cell>
          <cell r="I57">
            <v>1759468.62</v>
          </cell>
          <cell r="J57">
            <v>504973.28</v>
          </cell>
          <cell r="K57">
            <v>8984641.1699999999</v>
          </cell>
          <cell r="L57">
            <v>5719661.75</v>
          </cell>
          <cell r="M57">
            <v>3264979.42</v>
          </cell>
        </row>
        <row r="58">
          <cell r="A58" t="str">
            <v>0192</v>
          </cell>
          <cell r="B58" t="str">
            <v>05</v>
          </cell>
          <cell r="C58" t="str">
            <v>15</v>
          </cell>
          <cell r="D58" t="str">
            <v>1</v>
          </cell>
          <cell r="E58" t="str">
            <v>مخزن ق.غ اسمنت سيناء الرمادى خط - 2</v>
          </cell>
          <cell r="F58">
            <v>8042714.0999999996</v>
          </cell>
          <cell r="G58">
            <v>31813327.5</v>
          </cell>
          <cell r="H58">
            <v>36413568.579999998</v>
          </cell>
          <cell r="I58">
            <v>361317.7</v>
          </cell>
          <cell r="J58">
            <v>678483</v>
          </cell>
          <cell r="K58">
            <v>40217359.299999997</v>
          </cell>
          <cell r="L58">
            <v>37092051.590000004</v>
          </cell>
          <cell r="M58">
            <v>3125307.71</v>
          </cell>
        </row>
        <row r="59">
          <cell r="A59" t="str">
            <v>0193</v>
          </cell>
          <cell r="B59" t="str">
            <v>05</v>
          </cell>
          <cell r="C59" t="str">
            <v>15</v>
          </cell>
          <cell r="D59" t="str">
            <v>1</v>
          </cell>
          <cell r="E59" t="str">
            <v>مخزن ق غ كهرباء الكريمات</v>
          </cell>
          <cell r="F59">
            <v>2802768.93</v>
          </cell>
          <cell r="G59">
            <v>208879.45</v>
          </cell>
          <cell r="H59">
            <v>774319.14</v>
          </cell>
          <cell r="I59">
            <v>3909.76</v>
          </cell>
          <cell r="J59">
            <v>154354.29</v>
          </cell>
          <cell r="K59">
            <v>3015558.14</v>
          </cell>
          <cell r="L59">
            <v>928673.44</v>
          </cell>
          <cell r="M59">
            <v>2086884.7</v>
          </cell>
        </row>
        <row r="60">
          <cell r="A60" t="str">
            <v>0195</v>
          </cell>
          <cell r="B60" t="str">
            <v>05</v>
          </cell>
          <cell r="C60" t="str">
            <v>15</v>
          </cell>
          <cell r="D60" t="str">
            <v>1</v>
          </cell>
          <cell r="E60" t="str">
            <v>مخزن ق غ ماس جوردون السودان</v>
          </cell>
          <cell r="F60">
            <v>2236899.91</v>
          </cell>
          <cell r="G60">
            <v>4940513.04</v>
          </cell>
          <cell r="H60">
            <v>3706602.08</v>
          </cell>
          <cell r="I60">
            <v>40925550.840000004</v>
          </cell>
          <cell r="J60">
            <v>448644.72</v>
          </cell>
          <cell r="K60">
            <v>48102963.780000001</v>
          </cell>
          <cell r="L60">
            <v>4155246.8</v>
          </cell>
          <cell r="M60">
            <v>43947716.990000002</v>
          </cell>
        </row>
        <row r="61">
          <cell r="A61" t="str">
            <v>0196</v>
          </cell>
          <cell r="B61" t="str">
            <v>05</v>
          </cell>
          <cell r="C61" t="str">
            <v>15</v>
          </cell>
          <cell r="D61" t="str">
            <v>1</v>
          </cell>
          <cell r="E61" t="str">
            <v>مخزن كربونات الكالسيوم</v>
          </cell>
          <cell r="F61">
            <v>9807019.3800000008</v>
          </cell>
          <cell r="G61">
            <v>29391885.379999999</v>
          </cell>
          <cell r="H61">
            <v>38217147.100000001</v>
          </cell>
          <cell r="I61">
            <v>258361.1</v>
          </cell>
          <cell r="J61">
            <v>282175.24</v>
          </cell>
          <cell r="K61">
            <v>39457265.869999997</v>
          </cell>
          <cell r="L61">
            <v>38499322.340000004</v>
          </cell>
          <cell r="M61">
            <v>957943.53</v>
          </cell>
        </row>
        <row r="62">
          <cell r="A62" t="str">
            <v>0197</v>
          </cell>
          <cell r="B62" t="str">
            <v>05</v>
          </cell>
          <cell r="C62" t="str">
            <v>15</v>
          </cell>
          <cell r="D62" t="str">
            <v>1</v>
          </cell>
          <cell r="E62" t="str">
            <v>مخزن التكامل - السودان</v>
          </cell>
          <cell r="F62">
            <v>2153279.2000000002</v>
          </cell>
          <cell r="G62">
            <v>80684950.549999997</v>
          </cell>
          <cell r="H62">
            <v>4793725.08</v>
          </cell>
          <cell r="I62">
            <v>42263335.68</v>
          </cell>
          <cell r="J62">
            <v>843371.03</v>
          </cell>
          <cell r="K62">
            <v>125101565.43000001</v>
          </cell>
          <cell r="L62">
            <v>5637096.1200000001</v>
          </cell>
          <cell r="M62">
            <v>119464469.31999999</v>
          </cell>
        </row>
        <row r="63">
          <cell r="A63" t="str">
            <v>0198</v>
          </cell>
          <cell r="B63" t="str">
            <v>05</v>
          </cell>
          <cell r="C63" t="str">
            <v>15</v>
          </cell>
          <cell r="D63" t="str">
            <v>1</v>
          </cell>
          <cell r="E63" t="str">
            <v>مخزن ورشة المشروعات الكبرى</v>
          </cell>
          <cell r="F63">
            <v>531232.87</v>
          </cell>
          <cell r="G63">
            <v>1211093.8</v>
          </cell>
          <cell r="H63">
            <v>1462902.61</v>
          </cell>
          <cell r="I63">
            <v>31264.22</v>
          </cell>
          <cell r="J63">
            <v>160292.51999999999</v>
          </cell>
          <cell r="K63">
            <v>1773590.89</v>
          </cell>
          <cell r="L63">
            <v>1623195.12</v>
          </cell>
          <cell r="M63">
            <v>150395.76999999999</v>
          </cell>
        </row>
        <row r="64">
          <cell r="A64" t="str">
            <v>0199</v>
          </cell>
          <cell r="B64" t="str">
            <v>05</v>
          </cell>
          <cell r="C64" t="str">
            <v>15</v>
          </cell>
          <cell r="D64" t="str">
            <v>1</v>
          </cell>
          <cell r="E64" t="str">
            <v>مخزن مشروع سينكو</v>
          </cell>
          <cell r="F64">
            <v>483114.81</v>
          </cell>
          <cell r="G64">
            <v>433505.75</v>
          </cell>
          <cell r="H64">
            <v>247100.29</v>
          </cell>
          <cell r="I64">
            <v>23132.26</v>
          </cell>
          <cell r="J64">
            <v>15384.63</v>
          </cell>
          <cell r="K64">
            <v>939752.82</v>
          </cell>
          <cell r="L64">
            <v>262484.92</v>
          </cell>
          <cell r="M64">
            <v>677267.9</v>
          </cell>
        </row>
        <row r="65">
          <cell r="A65" t="str">
            <v>0200</v>
          </cell>
          <cell r="B65" t="str">
            <v>05</v>
          </cell>
          <cell r="C65" t="str">
            <v>15</v>
          </cell>
          <cell r="D65" t="str">
            <v>1</v>
          </cell>
          <cell r="E65" t="str">
            <v>مخزن مهمات دينابون - دمنهور</v>
          </cell>
          <cell r="G65">
            <v>449000.06</v>
          </cell>
          <cell r="H65">
            <v>63122.04</v>
          </cell>
          <cell r="I65">
            <v>586</v>
          </cell>
          <cell r="J65">
            <v>92996.28</v>
          </cell>
          <cell r="K65">
            <v>449586.06</v>
          </cell>
          <cell r="L65">
            <v>156118.32</v>
          </cell>
          <cell r="M65">
            <v>293467.74</v>
          </cell>
        </row>
        <row r="66">
          <cell r="A66" t="str">
            <v>0201</v>
          </cell>
          <cell r="B66" t="str">
            <v>05</v>
          </cell>
          <cell r="C66" t="str">
            <v>15</v>
          </cell>
          <cell r="D66" t="str">
            <v>1</v>
          </cell>
          <cell r="E66" t="str">
            <v>مخزن مهمات سيمتار - رأس غارب</v>
          </cell>
          <cell r="G66">
            <v>4151936.21</v>
          </cell>
          <cell r="H66">
            <v>1183497.7</v>
          </cell>
          <cell r="I66">
            <v>95934.97</v>
          </cell>
          <cell r="J66">
            <v>185487.27</v>
          </cell>
          <cell r="K66">
            <v>4247871.18</v>
          </cell>
          <cell r="L66">
            <v>1368984.97</v>
          </cell>
          <cell r="M66">
            <v>2878886.21</v>
          </cell>
        </row>
        <row r="67">
          <cell r="A67" t="str">
            <v>0202</v>
          </cell>
          <cell r="B67" t="str">
            <v>05</v>
          </cell>
          <cell r="C67" t="str">
            <v>15</v>
          </cell>
          <cell r="D67" t="str">
            <v>1</v>
          </cell>
          <cell r="E67" t="str">
            <v>مخزن بروكتل اند جامبل2008</v>
          </cell>
          <cell r="I67">
            <v>156136.04999999999</v>
          </cell>
          <cell r="K67">
            <v>156136.04999999999</v>
          </cell>
          <cell r="M67">
            <v>156136.04999999999</v>
          </cell>
        </row>
        <row r="68">
          <cell r="A68" t="str">
            <v>0203</v>
          </cell>
          <cell r="B68" t="str">
            <v>05</v>
          </cell>
          <cell r="C68" t="str">
            <v>15</v>
          </cell>
          <cell r="D68" t="str">
            <v>1</v>
          </cell>
          <cell r="E68" t="str">
            <v>مخزن اليكس فيبر2008</v>
          </cell>
          <cell r="I68">
            <v>116136.27</v>
          </cell>
          <cell r="K68">
            <v>116136.27</v>
          </cell>
          <cell r="M68">
            <v>116136.27</v>
          </cell>
        </row>
        <row r="69">
          <cell r="A69" t="str">
            <v>0020</v>
          </cell>
          <cell r="B69" t="str">
            <v>15</v>
          </cell>
          <cell r="C69" t="str">
            <v>15</v>
          </cell>
          <cell r="D69" t="str">
            <v>1</v>
          </cell>
          <cell r="E69" t="str">
            <v>أعمال تحت التنفيذ- مخزن المصنع</v>
          </cell>
          <cell r="F69">
            <v>26138955.469999999</v>
          </cell>
          <cell r="G69">
            <v>279906252.31999999</v>
          </cell>
          <cell r="H69">
            <v>263276168.43000001</v>
          </cell>
          <cell r="I69">
            <v>39791748.93</v>
          </cell>
          <cell r="J69">
            <v>44480687.159999996</v>
          </cell>
          <cell r="K69">
            <v>345836956.72000003</v>
          </cell>
          <cell r="L69">
            <v>307756855.58999997</v>
          </cell>
          <cell r="M69">
            <v>38080101.130000003</v>
          </cell>
        </row>
        <row r="70">
          <cell r="A70" t="str">
            <v>0020</v>
          </cell>
          <cell r="B70" t="str">
            <v>20</v>
          </cell>
          <cell r="C70" t="str">
            <v>15</v>
          </cell>
          <cell r="D70" t="str">
            <v>1</v>
          </cell>
          <cell r="E70" t="str">
            <v>إنتاج تام -  مخزن المصنع</v>
          </cell>
          <cell r="F70">
            <v>1740715.15</v>
          </cell>
          <cell r="G70">
            <v>61761494.850000001</v>
          </cell>
          <cell r="H70">
            <v>61551745.840000004</v>
          </cell>
          <cell r="I70">
            <v>4668236.57</v>
          </cell>
          <cell r="J70">
            <v>1950464.16</v>
          </cell>
          <cell r="K70">
            <v>68170446.569999993</v>
          </cell>
          <cell r="L70">
            <v>63502210</v>
          </cell>
          <cell r="M70">
            <v>4668236.57</v>
          </cell>
        </row>
        <row r="71">
          <cell r="A71" t="str">
            <v>0001</v>
          </cell>
          <cell r="B71" t="str">
            <v>25</v>
          </cell>
          <cell r="C71" t="str">
            <v>15</v>
          </cell>
          <cell r="D71" t="str">
            <v>1</v>
          </cell>
          <cell r="E71" t="str">
            <v>أدوات كتابية ومكتبية</v>
          </cell>
          <cell r="F71">
            <v>180360.87</v>
          </cell>
          <cell r="G71">
            <v>786879.88</v>
          </cell>
          <cell r="H71">
            <v>746425.16</v>
          </cell>
          <cell r="I71">
            <v>106600.55</v>
          </cell>
          <cell r="J71">
            <v>91325.32</v>
          </cell>
          <cell r="K71">
            <v>1073841.3</v>
          </cell>
          <cell r="L71">
            <v>837750.48</v>
          </cell>
          <cell r="M71">
            <v>236090.82</v>
          </cell>
        </row>
        <row r="72">
          <cell r="A72" t="str">
            <v>0020</v>
          </cell>
          <cell r="B72" t="str">
            <v>90</v>
          </cell>
          <cell r="C72" t="str">
            <v>15</v>
          </cell>
          <cell r="D72" t="str">
            <v>1</v>
          </cell>
          <cell r="E72" t="str">
            <v>بضاعة بالطريق - قطع غيار</v>
          </cell>
          <cell r="G72">
            <v>492578.54</v>
          </cell>
          <cell r="H72">
            <v>846996.66</v>
          </cell>
          <cell r="I72">
            <v>31615150.239999998</v>
          </cell>
          <cell r="J72">
            <v>2087.16</v>
          </cell>
          <cell r="K72">
            <v>32107728.780000001</v>
          </cell>
          <cell r="L72">
            <v>849083.82</v>
          </cell>
          <cell r="M72">
            <v>31258644.960000001</v>
          </cell>
        </row>
        <row r="73">
          <cell r="A73" t="str">
            <v>0040</v>
          </cell>
          <cell r="B73" t="str">
            <v>90</v>
          </cell>
          <cell r="C73" t="str">
            <v>15</v>
          </cell>
          <cell r="D73" t="str">
            <v>1</v>
          </cell>
          <cell r="E73" t="str">
            <v>بضاعة بالطريق - الالات ومعدات</v>
          </cell>
          <cell r="G73">
            <v>69247360.400000006</v>
          </cell>
          <cell r="H73">
            <v>69247360.400000006</v>
          </cell>
          <cell r="I73">
            <v>49836203.200000003</v>
          </cell>
          <cell r="K73">
            <v>119083563.59999999</v>
          </cell>
          <cell r="L73">
            <v>69247360.400000006</v>
          </cell>
          <cell r="M73">
            <v>49836203.200000003</v>
          </cell>
        </row>
        <row r="74">
          <cell r="A74" t="str">
            <v>0999</v>
          </cell>
          <cell r="B74" t="str">
            <v>90</v>
          </cell>
          <cell r="C74" t="str">
            <v>15</v>
          </cell>
          <cell r="D74" t="str">
            <v>1</v>
          </cell>
          <cell r="E74" t="str">
            <v>بضاعة بالطريق - أخرى</v>
          </cell>
          <cell r="G74">
            <v>188756358.27000001</v>
          </cell>
          <cell r="H74">
            <v>69915456.560000002</v>
          </cell>
          <cell r="J74">
            <v>40896199.479999997</v>
          </cell>
          <cell r="K74">
            <v>188756358.27000001</v>
          </cell>
          <cell r="L74">
            <v>110811656.04000001</v>
          </cell>
          <cell r="M74">
            <v>77944702.230000004</v>
          </cell>
        </row>
        <row r="75">
          <cell r="A75" t="str">
            <v>0003</v>
          </cell>
          <cell r="B75" t="str">
            <v>92</v>
          </cell>
          <cell r="C75" t="str">
            <v>15</v>
          </cell>
          <cell r="D75" t="str">
            <v>1</v>
          </cell>
          <cell r="E75" t="str">
            <v>اعتماد مستندى مخزون - 306223 NBE</v>
          </cell>
          <cell r="G75">
            <v>130135.34</v>
          </cell>
          <cell r="H75">
            <v>127935.29</v>
          </cell>
          <cell r="K75">
            <v>130135.34</v>
          </cell>
          <cell r="L75">
            <v>127935.29</v>
          </cell>
          <cell r="M75">
            <v>2200.0500000000002</v>
          </cell>
        </row>
        <row r="76">
          <cell r="A76" t="str">
            <v>0004</v>
          </cell>
          <cell r="B76" t="str">
            <v>92</v>
          </cell>
          <cell r="C76" t="str">
            <v>15</v>
          </cell>
          <cell r="D76" t="str">
            <v>1</v>
          </cell>
          <cell r="E76" t="str">
            <v>اعتماد مستندى مخزون -  306222 NBE</v>
          </cell>
          <cell r="G76">
            <v>295795.40999999997</v>
          </cell>
          <cell r="H76">
            <v>272874.44</v>
          </cell>
          <cell r="K76">
            <v>295795.40999999997</v>
          </cell>
          <cell r="L76">
            <v>272874.44</v>
          </cell>
          <cell r="M76">
            <v>22920.97</v>
          </cell>
        </row>
        <row r="77">
          <cell r="A77" t="str">
            <v>0006</v>
          </cell>
          <cell r="B77" t="str">
            <v>92</v>
          </cell>
          <cell r="C77" t="str">
            <v>15</v>
          </cell>
          <cell r="D77" t="str">
            <v>1</v>
          </cell>
          <cell r="E77" t="str">
            <v>اعتماد مستندى مخزون - 306298 NBE</v>
          </cell>
          <cell r="G77">
            <v>185138.91</v>
          </cell>
          <cell r="K77">
            <v>185138.91</v>
          </cell>
          <cell r="M77">
            <v>185138.91</v>
          </cell>
        </row>
        <row r="78">
          <cell r="A78" t="str">
            <v>0007</v>
          </cell>
          <cell r="B78" t="str">
            <v>92</v>
          </cell>
          <cell r="C78" t="str">
            <v>15</v>
          </cell>
          <cell r="D78" t="str">
            <v>1</v>
          </cell>
          <cell r="E78" t="str">
            <v>اعتماد مستندى مخزون - 11216 NBE</v>
          </cell>
          <cell r="G78">
            <v>926017.16</v>
          </cell>
          <cell r="K78">
            <v>926017.16</v>
          </cell>
          <cell r="M78">
            <v>926017.16</v>
          </cell>
        </row>
        <row r="79">
          <cell r="A79" t="str">
            <v>0010</v>
          </cell>
          <cell r="B79" t="str">
            <v>92</v>
          </cell>
          <cell r="C79" t="str">
            <v>15</v>
          </cell>
          <cell r="D79" t="str">
            <v>1</v>
          </cell>
          <cell r="E79" t="str">
            <v>اعتماد مستندى مخزون -  18188 CIB</v>
          </cell>
          <cell r="G79">
            <v>1819003.31</v>
          </cell>
          <cell r="H79">
            <v>1816405.31</v>
          </cell>
          <cell r="K79">
            <v>1819003.31</v>
          </cell>
          <cell r="L79">
            <v>1816405.31</v>
          </cell>
          <cell r="M79">
            <v>2598</v>
          </cell>
        </row>
        <row r="80">
          <cell r="A80" t="str">
            <v>0015</v>
          </cell>
          <cell r="B80" t="str">
            <v>92</v>
          </cell>
          <cell r="C80" t="str">
            <v>15</v>
          </cell>
          <cell r="D80" t="str">
            <v>1</v>
          </cell>
          <cell r="E80" t="str">
            <v>اعتماد مستندى مخزون - 11214 NBE</v>
          </cell>
          <cell r="G80">
            <v>358373.23</v>
          </cell>
          <cell r="H80">
            <v>314607.96000000002</v>
          </cell>
          <cell r="K80">
            <v>358373.23</v>
          </cell>
          <cell r="L80">
            <v>314607.96000000002</v>
          </cell>
          <cell r="M80">
            <v>43765.27</v>
          </cell>
        </row>
        <row r="81">
          <cell r="A81" t="str">
            <v>0018</v>
          </cell>
          <cell r="B81" t="str">
            <v>92</v>
          </cell>
          <cell r="C81" t="str">
            <v>15</v>
          </cell>
          <cell r="D81" t="str">
            <v>1</v>
          </cell>
          <cell r="E81" t="str">
            <v>اعتماد مستندى مخزون - 11326 NBE</v>
          </cell>
          <cell r="G81">
            <v>26340</v>
          </cell>
          <cell r="K81">
            <v>26340</v>
          </cell>
          <cell r="M81">
            <v>26340</v>
          </cell>
        </row>
        <row r="82">
          <cell r="A82" t="str">
            <v>0021</v>
          </cell>
          <cell r="B82" t="str">
            <v>92</v>
          </cell>
          <cell r="C82" t="str">
            <v>15</v>
          </cell>
          <cell r="D82" t="str">
            <v>1</v>
          </cell>
          <cell r="E82" t="str">
            <v>اعتماد مستندى مخزون - 11094 NBE</v>
          </cell>
          <cell r="G82">
            <v>115279.78</v>
          </cell>
          <cell r="H82">
            <v>115279.78</v>
          </cell>
          <cell r="I82">
            <v>12652.87</v>
          </cell>
          <cell r="K82">
            <v>127932.65</v>
          </cell>
          <cell r="L82">
            <v>115279.78</v>
          </cell>
          <cell r="M82">
            <v>12652.87</v>
          </cell>
        </row>
        <row r="83">
          <cell r="A83" t="str">
            <v>0033</v>
          </cell>
          <cell r="B83" t="str">
            <v>92</v>
          </cell>
          <cell r="C83" t="str">
            <v>15</v>
          </cell>
          <cell r="D83" t="str">
            <v>1</v>
          </cell>
          <cell r="E83" t="str">
            <v>اعتماد مستندى مخزون - 200710011178</v>
          </cell>
          <cell r="G83">
            <v>119307.45</v>
          </cell>
          <cell r="K83">
            <v>119307.45</v>
          </cell>
          <cell r="M83">
            <v>119307.45</v>
          </cell>
        </row>
        <row r="84">
          <cell r="A84" t="str">
            <v>0043</v>
          </cell>
          <cell r="B84" t="str">
            <v>92</v>
          </cell>
          <cell r="C84" t="str">
            <v>15</v>
          </cell>
          <cell r="D84" t="str">
            <v>1</v>
          </cell>
          <cell r="E84" t="str">
            <v>اعتماد شراء خامات glory best 11341 NBE</v>
          </cell>
          <cell r="G84">
            <v>8597990.9800000004</v>
          </cell>
          <cell r="K84">
            <v>8597990.9800000004</v>
          </cell>
          <cell r="M84">
            <v>8597990.9800000004</v>
          </cell>
        </row>
        <row r="85">
          <cell r="A85" t="str">
            <v>0044</v>
          </cell>
          <cell r="B85" t="str">
            <v>92</v>
          </cell>
          <cell r="C85" t="str">
            <v>15</v>
          </cell>
          <cell r="D85" t="str">
            <v>1</v>
          </cell>
          <cell r="E85" t="str">
            <v>اعتماد شراء خامات 11389 NBE</v>
          </cell>
          <cell r="G85">
            <v>796243.57</v>
          </cell>
          <cell r="H85">
            <v>394207.91</v>
          </cell>
          <cell r="K85">
            <v>796243.57</v>
          </cell>
          <cell r="L85">
            <v>394207.91</v>
          </cell>
          <cell r="M85">
            <v>402035.66</v>
          </cell>
        </row>
        <row r="86">
          <cell r="A86" t="str">
            <v>0049</v>
          </cell>
          <cell r="B86" t="str">
            <v>92</v>
          </cell>
          <cell r="C86" t="str">
            <v>15</v>
          </cell>
          <cell r="D86" t="str">
            <v>1</v>
          </cell>
          <cell r="E86" t="str">
            <v>اعتماد مستندى مخزون 11405 NBE</v>
          </cell>
          <cell r="G86">
            <v>438802.6</v>
          </cell>
          <cell r="H86">
            <v>229024.36</v>
          </cell>
          <cell r="K86">
            <v>438802.6</v>
          </cell>
          <cell r="L86">
            <v>229024.36</v>
          </cell>
          <cell r="M86">
            <v>209778.24</v>
          </cell>
        </row>
        <row r="87">
          <cell r="A87" t="str">
            <v>0051</v>
          </cell>
          <cell r="B87" t="str">
            <v>92</v>
          </cell>
          <cell r="C87" t="str">
            <v>15</v>
          </cell>
          <cell r="D87" t="str">
            <v>1</v>
          </cell>
          <cell r="E87" t="str">
            <v>اعتماد مستندى مخزون 11396 NBE</v>
          </cell>
          <cell r="G87">
            <v>1267.1300000000001</v>
          </cell>
          <cell r="K87">
            <v>1267.1300000000001</v>
          </cell>
          <cell r="M87">
            <v>1267.1300000000001</v>
          </cell>
        </row>
        <row r="88">
          <cell r="A88" t="str">
            <v>0057</v>
          </cell>
          <cell r="B88" t="str">
            <v>92</v>
          </cell>
          <cell r="C88" t="str">
            <v>15</v>
          </cell>
          <cell r="D88" t="str">
            <v>1</v>
          </cell>
          <cell r="E88" t="str">
            <v>اعتماد مستندى ق. غ مواتير19526 CIB</v>
          </cell>
          <cell r="G88">
            <v>7097.27</v>
          </cell>
          <cell r="K88">
            <v>7097.27</v>
          </cell>
          <cell r="M88">
            <v>7097.27</v>
          </cell>
        </row>
        <row r="89">
          <cell r="A89" t="str">
            <v>0059</v>
          </cell>
          <cell r="B89" t="str">
            <v>92</v>
          </cell>
          <cell r="C89" t="str">
            <v>15</v>
          </cell>
          <cell r="D89" t="str">
            <v>1</v>
          </cell>
          <cell r="E89" t="str">
            <v>اعتماد مستندى مخزون 19525 CIB</v>
          </cell>
          <cell r="G89">
            <v>8370.35</v>
          </cell>
          <cell r="K89">
            <v>8370.35</v>
          </cell>
          <cell r="M89">
            <v>8370.35</v>
          </cell>
        </row>
        <row r="90">
          <cell r="A90" t="str">
            <v>0004</v>
          </cell>
          <cell r="B90" t="str">
            <v>93</v>
          </cell>
          <cell r="C90" t="str">
            <v>15</v>
          </cell>
          <cell r="D90" t="str">
            <v>1</v>
          </cell>
          <cell r="E90" t="str">
            <v>اعتماد مستندى شراء اصول -  11178 NBE</v>
          </cell>
          <cell r="G90">
            <v>3945081.59</v>
          </cell>
          <cell r="H90">
            <v>3870105.66</v>
          </cell>
          <cell r="K90">
            <v>3945081.59</v>
          </cell>
          <cell r="L90">
            <v>3870105.66</v>
          </cell>
          <cell r="M90">
            <v>74975.929999999993</v>
          </cell>
        </row>
        <row r="91">
          <cell r="A91" t="str">
            <v>0006</v>
          </cell>
          <cell r="B91" t="str">
            <v>93</v>
          </cell>
          <cell r="C91" t="str">
            <v>15</v>
          </cell>
          <cell r="D91" t="str">
            <v>1</v>
          </cell>
          <cell r="E91" t="str">
            <v>اعتماد مستندى شراء اصول -  18489 CIB</v>
          </cell>
          <cell r="G91">
            <v>60213.64</v>
          </cell>
          <cell r="K91">
            <v>60213.64</v>
          </cell>
          <cell r="M91">
            <v>60213.64</v>
          </cell>
        </row>
        <row r="92">
          <cell r="A92" t="str">
            <v>0008</v>
          </cell>
          <cell r="B92" t="str">
            <v>93</v>
          </cell>
          <cell r="C92" t="str">
            <v>15</v>
          </cell>
          <cell r="D92" t="str">
            <v>1</v>
          </cell>
          <cell r="E92" t="str">
            <v>اعتماد مستندى اصول - 11101 NBE</v>
          </cell>
          <cell r="G92">
            <v>3308044.85</v>
          </cell>
          <cell r="H92">
            <v>3053010.61</v>
          </cell>
          <cell r="K92">
            <v>3308044.85</v>
          </cell>
          <cell r="L92">
            <v>3053010.61</v>
          </cell>
          <cell r="M92">
            <v>255034.23999999999</v>
          </cell>
        </row>
        <row r="93">
          <cell r="A93" t="str">
            <v>0018</v>
          </cell>
          <cell r="B93" t="str">
            <v>93</v>
          </cell>
          <cell r="C93" t="str">
            <v>15</v>
          </cell>
          <cell r="D93" t="str">
            <v>1</v>
          </cell>
          <cell r="E93" t="str">
            <v>اعتماد شراء مواتير  -  18780 CIB</v>
          </cell>
          <cell r="G93">
            <v>104.03</v>
          </cell>
          <cell r="K93">
            <v>104.03</v>
          </cell>
          <cell r="M93">
            <v>104.03</v>
          </cell>
        </row>
        <row r="94">
          <cell r="A94" t="str">
            <v>0022</v>
          </cell>
          <cell r="B94" t="str">
            <v>93</v>
          </cell>
          <cell r="C94" t="str">
            <v>15</v>
          </cell>
          <cell r="D94" t="str">
            <v>1</v>
          </cell>
          <cell r="E94" t="str">
            <v>اعتماد شراء 2 مضخة خرسانية  -  18580 CIB</v>
          </cell>
          <cell r="G94">
            <v>4060058.09</v>
          </cell>
          <cell r="H94">
            <v>4427757.1399999997</v>
          </cell>
          <cell r="K94">
            <v>4060058.09</v>
          </cell>
          <cell r="L94">
            <v>4427757.1399999997</v>
          </cell>
          <cell r="N94">
            <v>367699.05</v>
          </cell>
        </row>
        <row r="95">
          <cell r="A95" t="str">
            <v>0001</v>
          </cell>
          <cell r="B95" t="str">
            <v>95</v>
          </cell>
          <cell r="C95" t="str">
            <v>15</v>
          </cell>
          <cell r="D95" t="str">
            <v>1</v>
          </cell>
          <cell r="E95" t="str">
            <v>اعتمادات مستندية - مخزون - خامات</v>
          </cell>
          <cell r="G95">
            <v>23841816.239999998</v>
          </cell>
          <cell r="H95">
            <v>4198654.6399999997</v>
          </cell>
          <cell r="I95">
            <v>3316033.64</v>
          </cell>
          <cell r="J95">
            <v>4645367.8600000003</v>
          </cell>
          <cell r="K95">
            <v>27157849.879999999</v>
          </cell>
          <cell r="L95">
            <v>8844022.5</v>
          </cell>
          <cell r="M95">
            <v>18313827.379999999</v>
          </cell>
        </row>
        <row r="96">
          <cell r="A96" t="str">
            <v>0015</v>
          </cell>
          <cell r="B96" t="str">
            <v>95</v>
          </cell>
          <cell r="C96" t="str">
            <v>15</v>
          </cell>
          <cell r="D96" t="str">
            <v>1</v>
          </cell>
          <cell r="E96" t="str">
            <v>اعتمادات مستندية - مخزون - قطع غيار</v>
          </cell>
          <cell r="I96">
            <v>431367.34</v>
          </cell>
          <cell r="K96">
            <v>431367.34</v>
          </cell>
          <cell r="M96">
            <v>431367.34</v>
          </cell>
        </row>
        <row r="97">
          <cell r="A97" t="str">
            <v>0010</v>
          </cell>
          <cell r="B97" t="str">
            <v>97</v>
          </cell>
          <cell r="C97" t="str">
            <v>15</v>
          </cell>
          <cell r="D97" t="str">
            <v>1</v>
          </cell>
          <cell r="E97" t="str">
            <v>فروق تسعير مخزون - مواد خام</v>
          </cell>
          <cell r="G97">
            <v>1286371.3400000001</v>
          </cell>
          <cell r="H97">
            <v>1274472.8899999999</v>
          </cell>
          <cell r="J97">
            <v>7974.43</v>
          </cell>
          <cell r="K97">
            <v>1286371.3400000001</v>
          </cell>
          <cell r="L97">
            <v>1282447.32</v>
          </cell>
          <cell r="M97">
            <v>3924.02</v>
          </cell>
        </row>
        <row r="98">
          <cell r="A98" t="str">
            <v>0020</v>
          </cell>
          <cell r="B98" t="str">
            <v>97</v>
          </cell>
          <cell r="C98" t="str">
            <v>15</v>
          </cell>
          <cell r="D98" t="str">
            <v>1</v>
          </cell>
          <cell r="E98" t="str">
            <v>فروق تسعير مخزون - قطع غيار</v>
          </cell>
          <cell r="G98">
            <v>358814.21</v>
          </cell>
          <cell r="H98">
            <v>435653.69</v>
          </cell>
          <cell r="I98">
            <v>144141.6</v>
          </cell>
          <cell r="K98">
            <v>502955.81</v>
          </cell>
          <cell r="L98">
            <v>435653.69</v>
          </cell>
          <cell r="M98">
            <v>67302.12</v>
          </cell>
        </row>
        <row r="99">
          <cell r="A99" t="str">
            <v>0040</v>
          </cell>
          <cell r="B99" t="str">
            <v>97</v>
          </cell>
          <cell r="C99" t="str">
            <v>15</v>
          </cell>
          <cell r="D99" t="str">
            <v>1</v>
          </cell>
          <cell r="E99" t="str">
            <v>فروق تسعير مخزون - تسوية بالاضافة والخصم</v>
          </cell>
          <cell r="G99">
            <v>2674043.12</v>
          </cell>
          <cell r="H99">
            <v>5617669.54</v>
          </cell>
          <cell r="J99">
            <v>372771.49</v>
          </cell>
          <cell r="K99">
            <v>2674043.12</v>
          </cell>
          <cell r="L99">
            <v>5990441.0300000003</v>
          </cell>
          <cell r="N99">
            <v>3316397.91</v>
          </cell>
        </row>
        <row r="100">
          <cell r="A100" t="str">
            <v>0001</v>
          </cell>
          <cell r="B100" t="str">
            <v>01</v>
          </cell>
          <cell r="C100" t="str">
            <v>16</v>
          </cell>
          <cell r="D100" t="str">
            <v>1</v>
          </cell>
          <cell r="E100" t="str">
            <v>مخصص المخزون الراكد- المواد الخام</v>
          </cell>
          <cell r="F100">
            <v>-405000</v>
          </cell>
          <cell r="H100">
            <v>6932024</v>
          </cell>
          <cell r="L100">
            <v>7337024</v>
          </cell>
          <cell r="N100">
            <v>7337024</v>
          </cell>
        </row>
        <row r="101">
          <cell r="A101" t="str">
            <v>0001</v>
          </cell>
          <cell r="B101" t="str">
            <v>01</v>
          </cell>
          <cell r="C101" t="str">
            <v>20</v>
          </cell>
          <cell r="D101" t="str">
            <v>1</v>
          </cell>
          <cell r="E101" t="str">
            <v>العملاء</v>
          </cell>
          <cell r="F101">
            <v>34978260.539999999</v>
          </cell>
          <cell r="G101">
            <v>928881146.58000004</v>
          </cell>
          <cell r="H101">
            <v>665009893.54999995</v>
          </cell>
          <cell r="I101">
            <v>127760273.77</v>
          </cell>
          <cell r="J101">
            <v>154074329.37</v>
          </cell>
          <cell r="K101">
            <v>1091619680.8900001</v>
          </cell>
          <cell r="L101">
            <v>819084222.91999996</v>
          </cell>
          <cell r="M101">
            <v>272535457.97000003</v>
          </cell>
        </row>
        <row r="102">
          <cell r="A102" t="str">
            <v>0001</v>
          </cell>
          <cell r="B102" t="str">
            <v>02</v>
          </cell>
          <cell r="C102" t="str">
            <v>20</v>
          </cell>
          <cell r="D102" t="str">
            <v>1</v>
          </cell>
          <cell r="E102" t="str">
            <v>أوراق قبض</v>
          </cell>
          <cell r="F102">
            <v>56325</v>
          </cell>
          <cell r="G102">
            <v>191802588.03</v>
          </cell>
          <cell r="H102">
            <v>191147697.25999999</v>
          </cell>
          <cell r="I102">
            <v>11425857.039999999</v>
          </cell>
          <cell r="J102">
            <v>12025483.859999999</v>
          </cell>
          <cell r="K102">
            <v>203284770.06999999</v>
          </cell>
          <cell r="L102">
            <v>203173181.12</v>
          </cell>
          <cell r="M102">
            <v>111588.95</v>
          </cell>
        </row>
        <row r="103">
          <cell r="A103" t="str">
            <v>0001</v>
          </cell>
          <cell r="B103" t="str">
            <v>03</v>
          </cell>
          <cell r="C103" t="str">
            <v>20</v>
          </cell>
          <cell r="D103" t="str">
            <v>1</v>
          </cell>
          <cell r="E103" t="str">
            <v>شيكات تحت التحصيل</v>
          </cell>
          <cell r="F103">
            <v>9206893.5999999996</v>
          </cell>
          <cell r="G103">
            <v>191481302.22999999</v>
          </cell>
          <cell r="H103">
            <v>200676265.09</v>
          </cell>
          <cell r="I103">
            <v>12025483.859999999</v>
          </cell>
          <cell r="J103">
            <v>12028497.949999999</v>
          </cell>
          <cell r="K103">
            <v>212713679.69</v>
          </cell>
          <cell r="L103">
            <v>212704763.03999999</v>
          </cell>
          <cell r="M103">
            <v>8916.65</v>
          </cell>
        </row>
        <row r="104">
          <cell r="A104" t="str">
            <v>0001</v>
          </cell>
          <cell r="B104" t="str">
            <v>01</v>
          </cell>
          <cell r="C104" t="str">
            <v>22</v>
          </cell>
          <cell r="D104" t="str">
            <v>1</v>
          </cell>
          <cell r="E104" t="str">
            <v>مخصص ديون مشكوك في تحصيلها - عملاء</v>
          </cell>
          <cell r="F104">
            <v>-6986825.0800000001</v>
          </cell>
          <cell r="H104">
            <v>55325</v>
          </cell>
          <cell r="L104">
            <v>7042150.0800000001</v>
          </cell>
          <cell r="N104">
            <v>7042150.0800000001</v>
          </cell>
        </row>
        <row r="105">
          <cell r="A105" t="str">
            <v>0002</v>
          </cell>
          <cell r="B105" t="str">
            <v>01</v>
          </cell>
          <cell r="C105" t="str">
            <v>22</v>
          </cell>
          <cell r="D105" t="str">
            <v>1</v>
          </cell>
          <cell r="E105" t="str">
            <v>مخصص د م فى تحصيلهاارصدة مدينة ض اعمال</v>
          </cell>
          <cell r="F105">
            <v>-5339377.6399999997</v>
          </cell>
          <cell r="L105">
            <v>5339377.6399999997</v>
          </cell>
          <cell r="N105">
            <v>5339377.6399999997</v>
          </cell>
        </row>
        <row r="106">
          <cell r="A106" t="str">
            <v>0004</v>
          </cell>
          <cell r="B106" t="str">
            <v>01</v>
          </cell>
          <cell r="C106" t="str">
            <v>22</v>
          </cell>
          <cell r="D106" t="str">
            <v>1</v>
          </cell>
          <cell r="E106" t="str">
            <v>مخصص د م فى تحصيلها - د م موردين</v>
          </cell>
          <cell r="F106">
            <v>-1115929.02</v>
          </cell>
          <cell r="L106">
            <v>1115929.02</v>
          </cell>
          <cell r="N106">
            <v>1115929.02</v>
          </cell>
        </row>
        <row r="107">
          <cell r="A107" t="str">
            <v>0001</v>
          </cell>
          <cell r="B107" t="str">
            <v>02</v>
          </cell>
          <cell r="C107" t="str">
            <v>25</v>
          </cell>
          <cell r="D107" t="str">
            <v>1</v>
          </cell>
          <cell r="E107" t="str">
            <v>تأمينات لدى الغير - عملاء</v>
          </cell>
          <cell r="F107">
            <v>57860105.590000004</v>
          </cell>
          <cell r="G107">
            <v>104919029.33</v>
          </cell>
          <cell r="H107">
            <v>49225510.409999996</v>
          </cell>
          <cell r="I107">
            <v>9214756.1500000004</v>
          </cell>
          <cell r="J107">
            <v>6654095.5599999996</v>
          </cell>
          <cell r="K107">
            <v>171993891.06999999</v>
          </cell>
          <cell r="L107">
            <v>55879605.969999999</v>
          </cell>
          <cell r="M107">
            <v>116114285.09999999</v>
          </cell>
        </row>
        <row r="108">
          <cell r="A108" t="str">
            <v>0002</v>
          </cell>
          <cell r="B108" t="str">
            <v>02</v>
          </cell>
          <cell r="C108" t="str">
            <v>25</v>
          </cell>
          <cell r="D108" t="str">
            <v>1</v>
          </cell>
          <cell r="E108" t="str">
            <v>تأمينات لدى الغير - موردين</v>
          </cell>
          <cell r="F108">
            <v>22567.65</v>
          </cell>
          <cell r="G108">
            <v>9475.44</v>
          </cell>
          <cell r="K108">
            <v>32043.09</v>
          </cell>
          <cell r="M108">
            <v>32043.09</v>
          </cell>
        </row>
        <row r="109">
          <cell r="A109" t="str">
            <v>0003</v>
          </cell>
          <cell r="B109" t="str">
            <v>02</v>
          </cell>
          <cell r="C109" t="str">
            <v>25</v>
          </cell>
          <cell r="D109" t="str">
            <v>1</v>
          </cell>
          <cell r="E109" t="str">
            <v>تامينات لدى الغير - استئجار عقار</v>
          </cell>
          <cell r="F109">
            <v>8600</v>
          </cell>
          <cell r="G109">
            <v>19400</v>
          </cell>
          <cell r="H109">
            <v>11000</v>
          </cell>
          <cell r="K109">
            <v>28000</v>
          </cell>
          <cell r="L109">
            <v>11000</v>
          </cell>
          <cell r="M109">
            <v>17000</v>
          </cell>
        </row>
        <row r="110">
          <cell r="A110" t="str">
            <v>0004</v>
          </cell>
          <cell r="B110" t="str">
            <v>02</v>
          </cell>
          <cell r="C110" t="str">
            <v>25</v>
          </cell>
          <cell r="D110" t="str">
            <v>1</v>
          </cell>
          <cell r="E110" t="str">
            <v>تامينات لدى الغير - تامين تليفون دولى</v>
          </cell>
          <cell r="F110">
            <v>11600</v>
          </cell>
          <cell r="G110">
            <v>15600</v>
          </cell>
          <cell r="K110">
            <v>27200</v>
          </cell>
          <cell r="M110">
            <v>27200</v>
          </cell>
        </row>
        <row r="111">
          <cell r="A111" t="str">
            <v>0001</v>
          </cell>
          <cell r="B111" t="str">
            <v>03</v>
          </cell>
          <cell r="C111" t="str">
            <v>25</v>
          </cell>
          <cell r="D111" t="str">
            <v>1</v>
          </cell>
          <cell r="E111" t="str">
            <v>دفعات مقدمة - موردين</v>
          </cell>
          <cell r="F111">
            <v>97991384</v>
          </cell>
          <cell r="G111">
            <v>169495875.22</v>
          </cell>
          <cell r="H111">
            <v>162117196.50999999</v>
          </cell>
          <cell r="I111">
            <v>3509169.23</v>
          </cell>
          <cell r="J111">
            <v>36802050.549999997</v>
          </cell>
          <cell r="K111">
            <v>270996428.44999999</v>
          </cell>
          <cell r="L111">
            <v>198919247.06</v>
          </cell>
          <cell r="M111">
            <v>72077181.390000001</v>
          </cell>
        </row>
        <row r="112">
          <cell r="A112" t="str">
            <v>0099</v>
          </cell>
          <cell r="B112" t="str">
            <v>03</v>
          </cell>
          <cell r="C112" t="str">
            <v>25</v>
          </cell>
          <cell r="D112" t="str">
            <v>1</v>
          </cell>
          <cell r="E112" t="str">
            <v>دفعات مقدمة موردين / مقاولين شراء</v>
          </cell>
          <cell r="G112">
            <v>10255953.76</v>
          </cell>
          <cell r="H112">
            <v>2737500</v>
          </cell>
          <cell r="K112">
            <v>10255953.76</v>
          </cell>
          <cell r="L112">
            <v>2737500</v>
          </cell>
          <cell r="M112">
            <v>7518453.7599999998</v>
          </cell>
        </row>
        <row r="113">
          <cell r="A113" t="str">
            <v>0003</v>
          </cell>
          <cell r="B113" t="str">
            <v>04</v>
          </cell>
          <cell r="C113" t="str">
            <v>25</v>
          </cell>
          <cell r="D113" t="str">
            <v>1</v>
          </cell>
          <cell r="E113" t="str">
            <v>برنامج مزايا التقاعد للعاملين</v>
          </cell>
          <cell r="G113">
            <v>1919095.02</v>
          </cell>
          <cell r="H113">
            <v>1530445.51</v>
          </cell>
          <cell r="I113">
            <v>493266.4</v>
          </cell>
          <cell r="K113">
            <v>2412361.42</v>
          </cell>
          <cell r="L113">
            <v>1530445.51</v>
          </cell>
          <cell r="M113">
            <v>881915.91</v>
          </cell>
        </row>
        <row r="114">
          <cell r="A114" t="str">
            <v>0001</v>
          </cell>
          <cell r="B114" t="str">
            <v>06</v>
          </cell>
          <cell r="C114" t="str">
            <v>25</v>
          </cell>
          <cell r="D114" t="str">
            <v>1</v>
          </cell>
          <cell r="E114" t="str">
            <v>ضرائب  مدفوعة مقدما</v>
          </cell>
          <cell r="F114">
            <v>8268838.2400000002</v>
          </cell>
          <cell r="G114">
            <v>1403611.53</v>
          </cell>
          <cell r="H114">
            <v>177587.57</v>
          </cell>
          <cell r="I114">
            <v>31311.32</v>
          </cell>
          <cell r="J114">
            <v>322.44</v>
          </cell>
          <cell r="K114">
            <v>9703761.0899999999</v>
          </cell>
          <cell r="L114">
            <v>177910.01</v>
          </cell>
          <cell r="M114">
            <v>9525851.0800000001</v>
          </cell>
        </row>
        <row r="115">
          <cell r="A115" t="str">
            <v>0002</v>
          </cell>
          <cell r="B115" t="str">
            <v>06</v>
          </cell>
          <cell r="C115" t="str">
            <v>25</v>
          </cell>
          <cell r="D115" t="str">
            <v>1</v>
          </cell>
          <cell r="E115" t="str">
            <v>مصروفات مدفوعه مقدما</v>
          </cell>
          <cell r="F115">
            <v>3615976.68</v>
          </cell>
          <cell r="G115">
            <v>432267.16</v>
          </cell>
          <cell r="H115">
            <v>2479606</v>
          </cell>
          <cell r="J115">
            <v>195240.39</v>
          </cell>
          <cell r="K115">
            <v>4048243.84</v>
          </cell>
          <cell r="L115">
            <v>2674846.39</v>
          </cell>
          <cell r="M115">
            <v>1373397.45</v>
          </cell>
        </row>
        <row r="116">
          <cell r="A116" t="str">
            <v>0001</v>
          </cell>
          <cell r="B116" t="str">
            <v>07</v>
          </cell>
          <cell r="C116" t="str">
            <v>25</v>
          </cell>
          <cell r="D116" t="str">
            <v>1</v>
          </cell>
          <cell r="E116" t="str">
            <v>مبالغ امانات جمارك الاسكندرية</v>
          </cell>
          <cell r="G116">
            <v>181458</v>
          </cell>
          <cell r="K116">
            <v>181458</v>
          </cell>
          <cell r="M116">
            <v>181458</v>
          </cell>
        </row>
        <row r="117">
          <cell r="A117" t="str">
            <v>0002</v>
          </cell>
          <cell r="B117" t="str">
            <v>07</v>
          </cell>
          <cell r="C117" t="str">
            <v>25</v>
          </cell>
          <cell r="D117" t="str">
            <v>1</v>
          </cell>
          <cell r="E117" t="str">
            <v>مبالغ مسددة - جمارك القاهرة</v>
          </cell>
          <cell r="F117">
            <v>403112.2</v>
          </cell>
          <cell r="G117">
            <v>542751.76</v>
          </cell>
          <cell r="H117">
            <v>454338.35</v>
          </cell>
          <cell r="I117">
            <v>15620.7</v>
          </cell>
          <cell r="K117">
            <v>961484.66</v>
          </cell>
          <cell r="L117">
            <v>454338.35</v>
          </cell>
          <cell r="M117">
            <v>507146.31</v>
          </cell>
        </row>
        <row r="118">
          <cell r="A118" t="str">
            <v>0003</v>
          </cell>
          <cell r="B118" t="str">
            <v>07</v>
          </cell>
          <cell r="C118" t="str">
            <v>25</v>
          </cell>
          <cell r="D118" t="str">
            <v>1</v>
          </cell>
          <cell r="E118" t="str">
            <v>مبالغ مسددة - جمارك الاسكندرية</v>
          </cell>
          <cell r="F118">
            <v>1308251.8799999999</v>
          </cell>
          <cell r="G118">
            <v>6697587.6500000004</v>
          </cell>
          <cell r="H118">
            <v>5602664.2599999998</v>
          </cell>
          <cell r="I118">
            <v>641037.26</v>
          </cell>
          <cell r="J118">
            <v>1059868.92</v>
          </cell>
          <cell r="K118">
            <v>8646876.7899999991</v>
          </cell>
          <cell r="L118">
            <v>6662533.1799999997</v>
          </cell>
          <cell r="M118">
            <v>1984343.61</v>
          </cell>
        </row>
        <row r="119">
          <cell r="A119" t="str">
            <v>0007</v>
          </cell>
          <cell r="B119" t="str">
            <v>07</v>
          </cell>
          <cell r="C119" t="str">
            <v>25</v>
          </cell>
          <cell r="D119" t="str">
            <v>1</v>
          </cell>
          <cell r="E119" t="str">
            <v>مبالغ مسددة - جمارك دمياط</v>
          </cell>
          <cell r="G119">
            <v>376904</v>
          </cell>
          <cell r="J119">
            <v>306000</v>
          </cell>
          <cell r="K119">
            <v>376904</v>
          </cell>
          <cell r="L119">
            <v>306000</v>
          </cell>
          <cell r="M119">
            <v>70904</v>
          </cell>
        </row>
        <row r="120">
          <cell r="A120" t="str">
            <v>0008</v>
          </cell>
          <cell r="B120" t="str">
            <v>07</v>
          </cell>
          <cell r="C120" t="str">
            <v>25</v>
          </cell>
          <cell r="D120" t="str">
            <v>1</v>
          </cell>
          <cell r="E120" t="str">
            <v>جمارك البحر الاحمر - جمرك سفاجا</v>
          </cell>
          <cell r="F120">
            <v>93939.49</v>
          </cell>
          <cell r="G120">
            <v>153000</v>
          </cell>
          <cell r="H120">
            <v>158939.49</v>
          </cell>
          <cell r="J120">
            <v>60000</v>
          </cell>
          <cell r="K120">
            <v>246939.49</v>
          </cell>
          <cell r="L120">
            <v>218939.49</v>
          </cell>
          <cell r="M120">
            <v>28000</v>
          </cell>
        </row>
        <row r="121">
          <cell r="A121" t="str">
            <v>0010</v>
          </cell>
          <cell r="B121" t="str">
            <v>07</v>
          </cell>
          <cell r="C121" t="str">
            <v>25</v>
          </cell>
          <cell r="D121" t="str">
            <v>1</v>
          </cell>
          <cell r="E121" t="str">
            <v>امانات مسددة للجمارك</v>
          </cell>
          <cell r="F121">
            <v>154363.24</v>
          </cell>
          <cell r="H121">
            <v>154363.24</v>
          </cell>
          <cell r="I121">
            <v>53773.8</v>
          </cell>
          <cell r="K121">
            <v>208137.04</v>
          </cell>
          <cell r="L121">
            <v>154363.24</v>
          </cell>
          <cell r="M121">
            <v>53773.8</v>
          </cell>
        </row>
        <row r="122">
          <cell r="A122" t="str">
            <v>0013</v>
          </cell>
          <cell r="B122" t="str">
            <v>07</v>
          </cell>
          <cell r="C122" t="str">
            <v>25</v>
          </cell>
          <cell r="D122" t="str">
            <v>1</v>
          </cell>
          <cell r="E122" t="str">
            <v>جمارك تحت التسوية - السودان</v>
          </cell>
          <cell r="G122">
            <v>49734873.93</v>
          </cell>
          <cell r="H122">
            <v>42376555.880000003</v>
          </cell>
          <cell r="I122">
            <v>3408124.82</v>
          </cell>
          <cell r="J122">
            <v>2982335.13</v>
          </cell>
          <cell r="K122">
            <v>53142998.75</v>
          </cell>
          <cell r="L122">
            <v>45358891.009999998</v>
          </cell>
          <cell r="M122">
            <v>7784107.7400000002</v>
          </cell>
        </row>
        <row r="123">
          <cell r="A123" t="str">
            <v>0014</v>
          </cell>
          <cell r="B123" t="str">
            <v>07</v>
          </cell>
          <cell r="C123" t="str">
            <v>25</v>
          </cell>
          <cell r="D123" t="str">
            <v>1</v>
          </cell>
          <cell r="E123" t="str">
            <v>جمارك تحت التسوية - سيناء</v>
          </cell>
          <cell r="G123">
            <v>5173054.5999999996</v>
          </cell>
          <cell r="H123">
            <v>4903633.57</v>
          </cell>
          <cell r="K123">
            <v>5173054.5999999996</v>
          </cell>
          <cell r="L123">
            <v>4903633.57</v>
          </cell>
          <cell r="M123">
            <v>269421.03000000003</v>
          </cell>
        </row>
        <row r="124">
          <cell r="A124" t="str">
            <v>0001</v>
          </cell>
          <cell r="B124" t="str">
            <v>09</v>
          </cell>
          <cell r="C124" t="str">
            <v>25</v>
          </cell>
          <cell r="D124" t="str">
            <v>1</v>
          </cell>
          <cell r="E124" t="str">
            <v>ارصدة مدينة تحت التسوية</v>
          </cell>
          <cell r="F124">
            <v>13527801.779999999</v>
          </cell>
          <cell r="G124">
            <v>77584273.939999998</v>
          </cell>
          <cell r="H124">
            <v>59652591.479999997</v>
          </cell>
          <cell r="I124">
            <v>716214.5</v>
          </cell>
          <cell r="J124">
            <v>3208206.99</v>
          </cell>
          <cell r="K124">
            <v>91828290.219999999</v>
          </cell>
          <cell r="L124">
            <v>62860798.469999999</v>
          </cell>
          <cell r="M124">
            <v>28967491.75</v>
          </cell>
        </row>
        <row r="125">
          <cell r="A125" t="str">
            <v>0005</v>
          </cell>
          <cell r="B125" t="str">
            <v>09</v>
          </cell>
          <cell r="C125" t="str">
            <v>25</v>
          </cell>
          <cell r="D125" t="str">
            <v>1</v>
          </cell>
          <cell r="E125" t="str">
            <v>ارصدة مدينة تحت التسوية - عهد نقدية</v>
          </cell>
          <cell r="G125">
            <v>43080822.109999999</v>
          </cell>
          <cell r="H125">
            <v>52725464.880000003</v>
          </cell>
          <cell r="I125">
            <v>9644642.7699999996</v>
          </cell>
          <cell r="J125">
            <v>7853117.6200000001</v>
          </cell>
          <cell r="K125">
            <v>52725464.880000003</v>
          </cell>
          <cell r="L125">
            <v>60578582.5</v>
          </cell>
          <cell r="N125">
            <v>7853117.6200000001</v>
          </cell>
        </row>
        <row r="126">
          <cell r="A126" t="str">
            <v>0006</v>
          </cell>
          <cell r="B126" t="str">
            <v>09</v>
          </cell>
          <cell r="C126" t="str">
            <v>25</v>
          </cell>
          <cell r="D126" t="str">
            <v>1</v>
          </cell>
          <cell r="E126" t="str">
            <v>مطالبات و تعويضات</v>
          </cell>
          <cell r="G126">
            <v>1150715.56</v>
          </cell>
          <cell r="H126">
            <v>2750000</v>
          </cell>
          <cell r="K126">
            <v>1150715.56</v>
          </cell>
          <cell r="L126">
            <v>2750000</v>
          </cell>
          <cell r="N126">
            <v>1599284.44</v>
          </cell>
        </row>
        <row r="127">
          <cell r="A127" t="str">
            <v>0001</v>
          </cell>
          <cell r="B127" t="str">
            <v>11</v>
          </cell>
          <cell r="C127" t="str">
            <v>25</v>
          </cell>
          <cell r="D127" t="str">
            <v>1</v>
          </cell>
          <cell r="E127" t="str">
            <v>سلف موظفين</v>
          </cell>
          <cell r="F127">
            <v>46316.67</v>
          </cell>
          <cell r="G127">
            <v>238199</v>
          </cell>
          <cell r="H127">
            <v>216473</v>
          </cell>
          <cell r="I127">
            <v>2500</v>
          </cell>
          <cell r="J127">
            <v>14142</v>
          </cell>
          <cell r="K127">
            <v>287015.67</v>
          </cell>
          <cell r="L127">
            <v>230615</v>
          </cell>
          <cell r="M127">
            <v>56400.67</v>
          </cell>
        </row>
        <row r="128">
          <cell r="A128" t="str">
            <v>0001</v>
          </cell>
          <cell r="B128" t="str">
            <v>13</v>
          </cell>
          <cell r="C128" t="str">
            <v>25</v>
          </cell>
          <cell r="D128" t="str">
            <v>1</v>
          </cell>
          <cell r="E128" t="str">
            <v>ارصدة مدينة اخرى - ت اعمال تحت التنفيذ</v>
          </cell>
          <cell r="F128">
            <v>91532477</v>
          </cell>
          <cell r="G128">
            <v>361418814.06999999</v>
          </cell>
          <cell r="H128">
            <v>390665431.22000003</v>
          </cell>
          <cell r="I128">
            <v>59260230.270000003</v>
          </cell>
          <cell r="J128">
            <v>64015803.75</v>
          </cell>
          <cell r="K128">
            <v>512211521.33999997</v>
          </cell>
          <cell r="L128">
            <v>454681234.97000003</v>
          </cell>
          <cell r="M128">
            <v>57530286.369999997</v>
          </cell>
        </row>
        <row r="129">
          <cell r="A129" t="str">
            <v>0001</v>
          </cell>
          <cell r="B129" t="str">
            <v>01</v>
          </cell>
          <cell r="C129" t="str">
            <v>30</v>
          </cell>
          <cell r="D129" t="str">
            <v>1</v>
          </cell>
          <cell r="E129" t="str">
            <v>جاري شركات شقيقة - أرصدة مدينة - أسيك</v>
          </cell>
          <cell r="G129">
            <v>4061498.84</v>
          </cell>
          <cell r="H129">
            <v>3124642.11</v>
          </cell>
          <cell r="I129">
            <v>1823775.82</v>
          </cell>
          <cell r="J129">
            <v>936856.73</v>
          </cell>
          <cell r="K129">
            <v>5885274.6600000001</v>
          </cell>
          <cell r="L129">
            <v>4061498.84</v>
          </cell>
          <cell r="M129">
            <v>1823775.82</v>
          </cell>
        </row>
        <row r="130">
          <cell r="A130" t="str">
            <v>0003</v>
          </cell>
          <cell r="B130" t="str">
            <v>01</v>
          </cell>
          <cell r="C130" t="str">
            <v>30</v>
          </cell>
          <cell r="D130" t="str">
            <v>1</v>
          </cell>
          <cell r="E130" t="str">
            <v>جاري شركات شقيقة - أرصدة مدينة - أسكوم</v>
          </cell>
          <cell r="F130">
            <v>11351.5</v>
          </cell>
          <cell r="K130">
            <v>11351.5</v>
          </cell>
          <cell r="M130">
            <v>11351.5</v>
          </cell>
        </row>
        <row r="131">
          <cell r="A131" t="str">
            <v>0005</v>
          </cell>
          <cell r="B131" t="str">
            <v>01</v>
          </cell>
          <cell r="C131" t="str">
            <v>30</v>
          </cell>
          <cell r="D131" t="str">
            <v>1</v>
          </cell>
          <cell r="E131" t="str">
            <v>جاري شركات شقيقة ارصدةمدينة أسيك للتصنيع</v>
          </cell>
          <cell r="F131">
            <v>38123</v>
          </cell>
          <cell r="G131">
            <v>17020870.399999999</v>
          </cell>
          <cell r="H131">
            <v>221331873</v>
          </cell>
          <cell r="J131">
            <v>36838120.399999999</v>
          </cell>
          <cell r="K131">
            <v>17058993.399999999</v>
          </cell>
          <cell r="L131">
            <v>258169993.40000001</v>
          </cell>
          <cell r="N131">
            <v>241111000</v>
          </cell>
        </row>
        <row r="132">
          <cell r="A132" t="str">
            <v>0008</v>
          </cell>
          <cell r="B132" t="str">
            <v>01</v>
          </cell>
          <cell r="C132" t="str">
            <v>30</v>
          </cell>
          <cell r="D132" t="str">
            <v>1</v>
          </cell>
          <cell r="E132" t="str">
            <v>جاري شركات شقيقة - أرصدة مدينة - ريبلكو</v>
          </cell>
          <cell r="F132">
            <v>524982.86</v>
          </cell>
          <cell r="K132">
            <v>524982.86</v>
          </cell>
          <cell r="M132">
            <v>524982.86</v>
          </cell>
        </row>
        <row r="133">
          <cell r="A133" t="str">
            <v>0009</v>
          </cell>
          <cell r="B133" t="str">
            <v>01</v>
          </cell>
          <cell r="C133" t="str">
            <v>30</v>
          </cell>
          <cell r="D133" t="str">
            <v>1</v>
          </cell>
          <cell r="E133" t="str">
            <v>جارى شركات شقيقة - ا.م - المصرية للاكياس</v>
          </cell>
          <cell r="F133">
            <v>19504031.620000001</v>
          </cell>
          <cell r="K133">
            <v>19504031.620000001</v>
          </cell>
          <cell r="M133">
            <v>19504031.620000001</v>
          </cell>
        </row>
        <row r="134">
          <cell r="A134" t="str">
            <v>0011</v>
          </cell>
          <cell r="B134" t="str">
            <v>01</v>
          </cell>
          <cell r="C134" t="str">
            <v>30</v>
          </cell>
          <cell r="D134" t="str">
            <v>1</v>
          </cell>
          <cell r="E134" t="str">
            <v>جارى شركات شقيقة - اسيك اتوميشن</v>
          </cell>
          <cell r="G134">
            <v>133865777.03</v>
          </cell>
          <cell r="H134">
            <v>157537955.11000001</v>
          </cell>
          <cell r="I134">
            <v>95605.96</v>
          </cell>
          <cell r="J134">
            <v>1686116.25</v>
          </cell>
          <cell r="K134">
            <v>133961382.98999999</v>
          </cell>
          <cell r="L134">
            <v>159224071.36000001</v>
          </cell>
          <cell r="N134">
            <v>25262688.370000001</v>
          </cell>
        </row>
        <row r="135">
          <cell r="A135" t="str">
            <v>0031</v>
          </cell>
          <cell r="B135" t="str">
            <v>01</v>
          </cell>
          <cell r="C135" t="str">
            <v>35</v>
          </cell>
          <cell r="D135" t="str">
            <v>1</v>
          </cell>
          <cell r="E135" t="str">
            <v>الاهلى المصرى23420135734جنيةاعتماد11276</v>
          </cell>
          <cell r="G135">
            <v>66137.62</v>
          </cell>
          <cell r="H135">
            <v>2063906.27</v>
          </cell>
          <cell r="I135">
            <v>570000</v>
          </cell>
          <cell r="J135">
            <v>18118.88</v>
          </cell>
          <cell r="K135">
            <v>636137.62</v>
          </cell>
          <cell r="L135">
            <v>2082025.15</v>
          </cell>
          <cell r="N135">
            <v>1445887.53</v>
          </cell>
        </row>
        <row r="136">
          <cell r="A136" t="str">
            <v>0032</v>
          </cell>
          <cell r="B136" t="str">
            <v>01</v>
          </cell>
          <cell r="C136" t="str">
            <v>35</v>
          </cell>
          <cell r="D136" t="str">
            <v>1</v>
          </cell>
          <cell r="E136" t="str">
            <v>الاهلى المصرى23430135732جنيةاعتماد11296</v>
          </cell>
          <cell r="G136">
            <v>81616.89</v>
          </cell>
          <cell r="H136">
            <v>3039400.71</v>
          </cell>
          <cell r="I136">
            <v>29000</v>
          </cell>
          <cell r="J136">
            <v>27825.33</v>
          </cell>
          <cell r="K136">
            <v>110616.89</v>
          </cell>
          <cell r="L136">
            <v>3067226.04</v>
          </cell>
          <cell r="N136">
            <v>2956609.15</v>
          </cell>
        </row>
        <row r="137">
          <cell r="A137" t="str">
            <v>0033</v>
          </cell>
          <cell r="B137" t="str">
            <v>01</v>
          </cell>
          <cell r="C137" t="str">
            <v>35</v>
          </cell>
          <cell r="D137" t="str">
            <v>1</v>
          </cell>
          <cell r="E137" t="str">
            <v>الاهلى المصرى23440135730جنيةاعتماد11296</v>
          </cell>
          <cell r="G137">
            <v>42298.27</v>
          </cell>
          <cell r="H137">
            <v>1559545.53</v>
          </cell>
          <cell r="I137">
            <v>15000</v>
          </cell>
          <cell r="J137">
            <v>14129.62</v>
          </cell>
          <cell r="K137">
            <v>57298.27</v>
          </cell>
          <cell r="L137">
            <v>1573675.15</v>
          </cell>
          <cell r="N137">
            <v>1516376.88</v>
          </cell>
        </row>
        <row r="138">
          <cell r="A138" t="str">
            <v>0035</v>
          </cell>
          <cell r="B138" t="str">
            <v>01</v>
          </cell>
          <cell r="C138" t="str">
            <v>35</v>
          </cell>
          <cell r="D138" t="str">
            <v>1</v>
          </cell>
          <cell r="E138" t="str">
            <v>الاهلى المصرى23480135731جنيةاعتماد11343</v>
          </cell>
          <cell r="H138">
            <v>833383.47</v>
          </cell>
          <cell r="J138">
            <v>7893.99</v>
          </cell>
          <cell r="L138">
            <v>841277.46</v>
          </cell>
          <cell r="N138">
            <v>841277.46</v>
          </cell>
        </row>
        <row r="139">
          <cell r="A139" t="str">
            <v>0036</v>
          </cell>
          <cell r="B139" t="str">
            <v>01</v>
          </cell>
          <cell r="C139" t="str">
            <v>35</v>
          </cell>
          <cell r="D139" t="str">
            <v>1</v>
          </cell>
          <cell r="E139" t="str">
            <v>الاهلى المصرى23108135730جنيةاعتماد11341</v>
          </cell>
          <cell r="G139">
            <v>84049.08</v>
          </cell>
          <cell r="H139">
            <v>83351.240000000005</v>
          </cell>
          <cell r="I139">
            <v>1812613.21</v>
          </cell>
          <cell r="J139">
            <v>56540.65</v>
          </cell>
          <cell r="K139">
            <v>1896662.29</v>
          </cell>
          <cell r="L139">
            <v>139891.89000000001</v>
          </cell>
          <cell r="M139">
            <v>1756770.4</v>
          </cell>
        </row>
        <row r="140">
          <cell r="A140" t="str">
            <v>0037</v>
          </cell>
          <cell r="B140" t="str">
            <v>01</v>
          </cell>
          <cell r="C140" t="str">
            <v>35</v>
          </cell>
          <cell r="D140" t="str">
            <v>1</v>
          </cell>
          <cell r="E140" t="str">
            <v>الاهلى المصرى23110135739جنيةاعتماد11322</v>
          </cell>
          <cell r="G140">
            <v>14640.54</v>
          </cell>
          <cell r="H140">
            <v>571662.31999999995</v>
          </cell>
          <cell r="I140">
            <v>6000</v>
          </cell>
          <cell r="J140">
            <v>5236.3900000000003</v>
          </cell>
          <cell r="K140">
            <v>20640.54</v>
          </cell>
          <cell r="L140">
            <v>576898.71</v>
          </cell>
          <cell r="N140">
            <v>556258.17000000004</v>
          </cell>
        </row>
        <row r="141">
          <cell r="A141" t="str">
            <v>0038</v>
          </cell>
          <cell r="B141" t="str">
            <v>01</v>
          </cell>
          <cell r="C141" t="str">
            <v>35</v>
          </cell>
          <cell r="D141" t="str">
            <v>1</v>
          </cell>
          <cell r="E141" t="str">
            <v>الاهلى المصرى23109135732جنيةاعتماد11357</v>
          </cell>
          <cell r="G141">
            <v>25789.78</v>
          </cell>
          <cell r="H141">
            <v>1005692.71</v>
          </cell>
          <cell r="I141">
            <v>10000</v>
          </cell>
          <cell r="J141">
            <v>9215.67</v>
          </cell>
          <cell r="K141">
            <v>35789.78</v>
          </cell>
          <cell r="L141">
            <v>1014908.38</v>
          </cell>
          <cell r="N141">
            <v>979118.6</v>
          </cell>
        </row>
        <row r="142">
          <cell r="A142" t="str">
            <v>0039</v>
          </cell>
          <cell r="B142" t="str">
            <v>01</v>
          </cell>
          <cell r="C142" t="str">
            <v>35</v>
          </cell>
          <cell r="D142" t="str">
            <v>1</v>
          </cell>
          <cell r="E142" t="str">
            <v>الاهلى المصرى23019135731جنيةاعتماد11358</v>
          </cell>
          <cell r="G142">
            <v>60789.57</v>
          </cell>
          <cell r="H142">
            <v>3352716.61</v>
          </cell>
          <cell r="I142">
            <v>31000</v>
          </cell>
          <cell r="J142">
            <v>30977.75</v>
          </cell>
          <cell r="K142">
            <v>91789.57</v>
          </cell>
          <cell r="L142">
            <v>3383694.36</v>
          </cell>
          <cell r="N142">
            <v>3291904.79</v>
          </cell>
        </row>
        <row r="143">
          <cell r="A143" t="str">
            <v>0040</v>
          </cell>
          <cell r="B143" t="str">
            <v>01</v>
          </cell>
          <cell r="C143" t="str">
            <v>35</v>
          </cell>
          <cell r="D143" t="str">
            <v>1</v>
          </cell>
          <cell r="E143" t="str">
            <v>الاهلى المصرى23115135734جنيةاعتماد11331</v>
          </cell>
          <cell r="G143">
            <v>16988.48</v>
          </cell>
          <cell r="H143">
            <v>941668.19</v>
          </cell>
          <cell r="I143">
            <v>9000</v>
          </cell>
          <cell r="J143">
            <v>8699.39</v>
          </cell>
          <cell r="K143">
            <v>25988.48</v>
          </cell>
          <cell r="L143">
            <v>950367.58</v>
          </cell>
          <cell r="N143">
            <v>924379.1</v>
          </cell>
        </row>
        <row r="144">
          <cell r="A144" t="str">
            <v>0041</v>
          </cell>
          <cell r="B144" t="str">
            <v>01</v>
          </cell>
          <cell r="C144" t="str">
            <v>35</v>
          </cell>
          <cell r="D144" t="str">
            <v>1</v>
          </cell>
          <cell r="E144" t="str">
            <v>الاهلى المصرى23770135733يورو</v>
          </cell>
          <cell r="G144">
            <v>657855.77</v>
          </cell>
          <cell r="H144">
            <v>657855.77</v>
          </cell>
          <cell r="I144">
            <v>980.45</v>
          </cell>
          <cell r="K144">
            <v>658836.22</v>
          </cell>
          <cell r="L144">
            <v>657855.77</v>
          </cell>
          <cell r="M144">
            <v>980.45</v>
          </cell>
        </row>
        <row r="145">
          <cell r="A145" t="str">
            <v>0042</v>
          </cell>
          <cell r="B145" t="str">
            <v>01</v>
          </cell>
          <cell r="C145" t="str">
            <v>35</v>
          </cell>
          <cell r="D145" t="str">
            <v>1</v>
          </cell>
          <cell r="E145" t="str">
            <v>الاهلى المصرى23080135732$اعتماد11094</v>
          </cell>
          <cell r="G145">
            <v>895.68</v>
          </cell>
          <cell r="H145">
            <v>26312.19</v>
          </cell>
          <cell r="I145">
            <v>1091</v>
          </cell>
          <cell r="J145">
            <v>627.45000000000005</v>
          </cell>
          <cell r="K145">
            <v>1986.68</v>
          </cell>
          <cell r="L145">
            <v>26939.64</v>
          </cell>
          <cell r="N145">
            <v>24952.959999999999</v>
          </cell>
        </row>
        <row r="146">
          <cell r="A146" t="str">
            <v>0043</v>
          </cell>
          <cell r="B146" t="str">
            <v>01</v>
          </cell>
          <cell r="C146" t="str">
            <v>35</v>
          </cell>
          <cell r="D146" t="str">
            <v>1</v>
          </cell>
          <cell r="E146" t="str">
            <v>الاهلى المصرى23190135739دولاراعتماد6584</v>
          </cell>
          <cell r="G146">
            <v>59606.79</v>
          </cell>
          <cell r="H146">
            <v>1492726.82</v>
          </cell>
          <cell r="I146">
            <v>8182.5</v>
          </cell>
          <cell r="J146">
            <v>30463.07</v>
          </cell>
          <cell r="K146">
            <v>67789.289999999994</v>
          </cell>
          <cell r="L146">
            <v>1523189.89</v>
          </cell>
          <cell r="N146">
            <v>1455400.6</v>
          </cell>
        </row>
        <row r="147">
          <cell r="A147" t="str">
            <v>0044</v>
          </cell>
          <cell r="B147" t="str">
            <v>01</v>
          </cell>
          <cell r="C147" t="str">
            <v>35</v>
          </cell>
          <cell r="D147" t="str">
            <v>1</v>
          </cell>
          <cell r="E147" t="str">
            <v>الاهلى المصرى23956135739يورواعتماد11241</v>
          </cell>
          <cell r="G147">
            <v>428038.36</v>
          </cell>
          <cell r="H147">
            <v>5598125.0499999998</v>
          </cell>
          <cell r="I147">
            <v>8102.42</v>
          </cell>
          <cell r="J147">
            <v>28767.200000000001</v>
          </cell>
          <cell r="K147">
            <v>436140.78</v>
          </cell>
          <cell r="L147">
            <v>5626892.25</v>
          </cell>
          <cell r="N147">
            <v>5190751.47</v>
          </cell>
        </row>
        <row r="148">
          <cell r="A148" t="str">
            <v>0045</v>
          </cell>
          <cell r="B148" t="str">
            <v>01</v>
          </cell>
          <cell r="C148" t="str">
            <v>35</v>
          </cell>
          <cell r="D148" t="str">
            <v>1</v>
          </cell>
          <cell r="E148" t="str">
            <v>الاهلى المصرى23966135737يورواعتماد6582</v>
          </cell>
          <cell r="G148">
            <v>1477.81</v>
          </cell>
          <cell r="H148">
            <v>23374.240000000002</v>
          </cell>
          <cell r="I148">
            <v>34.32</v>
          </cell>
          <cell r="J148">
            <v>121.54</v>
          </cell>
          <cell r="K148">
            <v>1512.13</v>
          </cell>
          <cell r="L148">
            <v>23495.78</v>
          </cell>
          <cell r="N148">
            <v>21983.65</v>
          </cell>
        </row>
        <row r="149">
          <cell r="A149" t="str">
            <v>0046</v>
          </cell>
          <cell r="B149" t="str">
            <v>01</v>
          </cell>
          <cell r="C149" t="str">
            <v>35</v>
          </cell>
          <cell r="D149" t="str">
            <v>1</v>
          </cell>
          <cell r="E149" t="str">
            <v>الاهلى المصرى23001357301جنيةاعتماد11387</v>
          </cell>
          <cell r="G149">
            <v>11626.93</v>
          </cell>
          <cell r="H149">
            <v>696658.47</v>
          </cell>
          <cell r="I149">
            <v>7000</v>
          </cell>
          <cell r="J149">
            <v>6442.44</v>
          </cell>
          <cell r="K149">
            <v>18626.93</v>
          </cell>
          <cell r="L149">
            <v>703100.91</v>
          </cell>
          <cell r="N149">
            <v>684473.98</v>
          </cell>
        </row>
        <row r="150">
          <cell r="A150" t="str">
            <v>0047</v>
          </cell>
          <cell r="B150" t="str">
            <v>01</v>
          </cell>
          <cell r="C150" t="str">
            <v>35</v>
          </cell>
          <cell r="D150" t="str">
            <v>1</v>
          </cell>
          <cell r="E150" t="str">
            <v>الاهلى المصرى23004135738جنيةاعتماد11331</v>
          </cell>
          <cell r="G150">
            <v>8718.36</v>
          </cell>
          <cell r="H150">
            <v>408973.6</v>
          </cell>
          <cell r="I150">
            <v>4000</v>
          </cell>
          <cell r="J150">
            <v>3764.86</v>
          </cell>
          <cell r="K150">
            <v>12718.36</v>
          </cell>
          <cell r="L150">
            <v>412738.46</v>
          </cell>
          <cell r="N150">
            <v>400020.1</v>
          </cell>
        </row>
        <row r="151">
          <cell r="A151" t="str">
            <v>0048</v>
          </cell>
          <cell r="B151" t="str">
            <v>01</v>
          </cell>
          <cell r="C151" t="str">
            <v>35</v>
          </cell>
          <cell r="D151" t="str">
            <v>1</v>
          </cell>
          <cell r="E151" t="str">
            <v>الاهلى المصرى23005135737جنيةاعتماد11309</v>
          </cell>
          <cell r="G151">
            <v>19474.650000000001</v>
          </cell>
          <cell r="H151">
            <v>1088910.8999999999</v>
          </cell>
          <cell r="I151">
            <v>11000</v>
          </cell>
          <cell r="J151">
            <v>10057.09</v>
          </cell>
          <cell r="K151">
            <v>30474.65</v>
          </cell>
          <cell r="L151">
            <v>1098967.99</v>
          </cell>
          <cell r="N151">
            <v>1068493.3400000001</v>
          </cell>
        </row>
        <row r="152">
          <cell r="A152" t="str">
            <v>0049</v>
          </cell>
          <cell r="B152" t="str">
            <v>01</v>
          </cell>
          <cell r="C152" t="str">
            <v>35</v>
          </cell>
          <cell r="D152" t="str">
            <v>1</v>
          </cell>
          <cell r="E152" t="str">
            <v>الاهلى المصرى23011357309جنيةاعتماد11380</v>
          </cell>
          <cell r="G152">
            <v>48720.480000000003</v>
          </cell>
          <cell r="H152">
            <v>2926758.51</v>
          </cell>
          <cell r="I152">
            <v>27500</v>
          </cell>
          <cell r="J152">
            <v>27080.17</v>
          </cell>
          <cell r="K152">
            <v>76220.479999999996</v>
          </cell>
          <cell r="L152">
            <v>2953838.68</v>
          </cell>
          <cell r="N152">
            <v>2877618.2</v>
          </cell>
        </row>
        <row r="153">
          <cell r="A153" t="str">
            <v>0050</v>
          </cell>
          <cell r="B153" t="str">
            <v>01</v>
          </cell>
          <cell r="C153" t="str">
            <v>35</v>
          </cell>
          <cell r="D153" t="str">
            <v>1</v>
          </cell>
          <cell r="E153" t="str">
            <v>الاهلى المصرى23300135739جنيةاعتماد11370</v>
          </cell>
          <cell r="G153">
            <v>7041.36</v>
          </cell>
          <cell r="H153">
            <v>399930.53</v>
          </cell>
          <cell r="I153">
            <v>4000</v>
          </cell>
          <cell r="J153">
            <v>3695.07</v>
          </cell>
          <cell r="K153">
            <v>11041.36</v>
          </cell>
          <cell r="L153">
            <v>403625.6</v>
          </cell>
          <cell r="N153">
            <v>392584.24</v>
          </cell>
        </row>
        <row r="154">
          <cell r="A154" t="str">
            <v>0051</v>
          </cell>
          <cell r="B154" t="str">
            <v>01</v>
          </cell>
          <cell r="C154" t="str">
            <v>35</v>
          </cell>
          <cell r="D154" t="str">
            <v>1</v>
          </cell>
          <cell r="E154" t="str">
            <v>الاهلى المصرى23120135737جنيةاعتماد11358</v>
          </cell>
          <cell r="G154">
            <v>5599.81</v>
          </cell>
          <cell r="H154">
            <v>403124.77</v>
          </cell>
          <cell r="I154">
            <v>4000</v>
          </cell>
          <cell r="J154">
            <v>3739</v>
          </cell>
          <cell r="K154">
            <v>9599.81</v>
          </cell>
          <cell r="L154">
            <v>406863.77</v>
          </cell>
          <cell r="N154">
            <v>397263.96</v>
          </cell>
        </row>
        <row r="155">
          <cell r="A155" t="str">
            <v>0052</v>
          </cell>
          <cell r="B155" t="str">
            <v>01</v>
          </cell>
          <cell r="C155" t="str">
            <v>35</v>
          </cell>
          <cell r="D155" t="str">
            <v>1</v>
          </cell>
          <cell r="E155" t="str">
            <v>الاهلى المصرى23490135739جنيةاعتماد11334</v>
          </cell>
          <cell r="G155">
            <v>468.66</v>
          </cell>
          <cell r="H155">
            <v>38960.03</v>
          </cell>
          <cell r="I155">
            <v>500</v>
          </cell>
          <cell r="J155">
            <v>729.64</v>
          </cell>
          <cell r="K155">
            <v>968.66</v>
          </cell>
          <cell r="L155">
            <v>39689.67</v>
          </cell>
          <cell r="N155">
            <v>38721.01</v>
          </cell>
        </row>
        <row r="156">
          <cell r="A156" t="str">
            <v>0053</v>
          </cell>
          <cell r="B156" t="str">
            <v>01</v>
          </cell>
          <cell r="C156" t="str">
            <v>35</v>
          </cell>
          <cell r="D156" t="str">
            <v>1</v>
          </cell>
          <cell r="E156" t="str">
            <v>الاهلى المصرى23170135736جنيةاعتماد11405</v>
          </cell>
          <cell r="G156">
            <v>1190</v>
          </cell>
          <cell r="H156">
            <v>231756.74</v>
          </cell>
          <cell r="I156">
            <v>3000</v>
          </cell>
          <cell r="J156">
            <v>2163.9499999999998</v>
          </cell>
          <cell r="K156">
            <v>4190</v>
          </cell>
          <cell r="L156">
            <v>233920.69</v>
          </cell>
          <cell r="N156">
            <v>229730.69</v>
          </cell>
        </row>
        <row r="157">
          <cell r="A157" t="str">
            <v>0054</v>
          </cell>
          <cell r="B157" t="str">
            <v>01</v>
          </cell>
          <cell r="C157" t="str">
            <v>35</v>
          </cell>
          <cell r="D157" t="str">
            <v>1</v>
          </cell>
          <cell r="E157" t="str">
            <v>الاهلى المصرى23160135738جنيةاعتماد11417</v>
          </cell>
          <cell r="G157">
            <v>1410</v>
          </cell>
          <cell r="H157">
            <v>275122.44</v>
          </cell>
          <cell r="I157">
            <v>3000</v>
          </cell>
          <cell r="J157">
            <v>2572.8200000000002</v>
          </cell>
          <cell r="K157">
            <v>4410</v>
          </cell>
          <cell r="L157">
            <v>277695.26</v>
          </cell>
          <cell r="N157">
            <v>273285.26</v>
          </cell>
        </row>
        <row r="158">
          <cell r="A158" t="str">
            <v>0055</v>
          </cell>
          <cell r="B158" t="str">
            <v>01</v>
          </cell>
          <cell r="C158" t="str">
            <v>35</v>
          </cell>
          <cell r="D158" t="str">
            <v>1</v>
          </cell>
          <cell r="E158" t="str">
            <v>الاهلى المصرى23520135733جنيةاعتماد11445</v>
          </cell>
          <cell r="H158">
            <v>1578346.5</v>
          </cell>
          <cell r="I158">
            <v>8000</v>
          </cell>
          <cell r="J158">
            <v>14894.65</v>
          </cell>
          <cell r="K158">
            <v>8000</v>
          </cell>
          <cell r="L158">
            <v>1593241.15</v>
          </cell>
          <cell r="N158">
            <v>1585241.15</v>
          </cell>
        </row>
        <row r="159">
          <cell r="A159" t="str">
            <v>0056</v>
          </cell>
          <cell r="B159" t="str">
            <v>01</v>
          </cell>
          <cell r="C159" t="str">
            <v>35</v>
          </cell>
          <cell r="D159" t="str">
            <v>1</v>
          </cell>
          <cell r="E159" t="str">
            <v>الاهلى المصرى23510135735جنيةاعتماد11426</v>
          </cell>
          <cell r="H159">
            <v>1204967.8600000001</v>
          </cell>
          <cell r="I159">
            <v>5000</v>
          </cell>
          <cell r="J159">
            <v>11380.8</v>
          </cell>
          <cell r="K159">
            <v>5000</v>
          </cell>
          <cell r="L159">
            <v>1216348.6599999999</v>
          </cell>
          <cell r="N159">
            <v>1211348.6599999999</v>
          </cell>
        </row>
        <row r="160">
          <cell r="A160" t="str">
            <v>0057</v>
          </cell>
          <cell r="B160" t="str">
            <v>01</v>
          </cell>
          <cell r="C160" t="str">
            <v>35</v>
          </cell>
          <cell r="D160" t="str">
            <v>1</v>
          </cell>
          <cell r="E160" t="str">
            <v>الاهلى المصرى23550135736جنيةاعتماد11454</v>
          </cell>
          <cell r="H160">
            <v>855525.91</v>
          </cell>
          <cell r="J160">
            <v>8103.73</v>
          </cell>
          <cell r="L160">
            <v>863629.64</v>
          </cell>
          <cell r="N160">
            <v>863629.64</v>
          </cell>
        </row>
        <row r="161">
          <cell r="A161" t="str">
            <v>0058</v>
          </cell>
          <cell r="B161" t="str">
            <v>01</v>
          </cell>
          <cell r="C161" t="str">
            <v>35</v>
          </cell>
          <cell r="D161" t="str">
            <v>1</v>
          </cell>
          <cell r="E161" t="str">
            <v>الاهلى المصرى23530135731جنيةاعتماد11454</v>
          </cell>
          <cell r="H161">
            <v>1515238.62</v>
          </cell>
          <cell r="J161">
            <v>14352.68</v>
          </cell>
          <cell r="L161">
            <v>1529591.3</v>
          </cell>
          <cell r="N161">
            <v>1529591.3</v>
          </cell>
        </row>
        <row r="162">
          <cell r="A162" t="str">
            <v>0059</v>
          </cell>
          <cell r="B162" t="str">
            <v>01</v>
          </cell>
          <cell r="C162" t="str">
            <v>35</v>
          </cell>
          <cell r="D162" t="str">
            <v>1</v>
          </cell>
          <cell r="E162" t="str">
            <v>الاهلى المصرى23540135739جنيةاعتماد11405</v>
          </cell>
          <cell r="H162">
            <v>209778.24</v>
          </cell>
          <cell r="J162">
            <v>1987.06</v>
          </cell>
          <cell r="L162">
            <v>211765.3</v>
          </cell>
          <cell r="N162">
            <v>211765.3</v>
          </cell>
        </row>
        <row r="163">
          <cell r="A163" t="str">
            <v>0060</v>
          </cell>
          <cell r="B163" t="str">
            <v>01</v>
          </cell>
          <cell r="C163" t="str">
            <v>35</v>
          </cell>
          <cell r="D163" t="str">
            <v>1</v>
          </cell>
          <cell r="E163" t="str">
            <v>الاهلى المصرى23560135734جنيةاعتماد11426</v>
          </cell>
          <cell r="H163">
            <v>859620.31</v>
          </cell>
          <cell r="J163">
            <v>8142.51</v>
          </cell>
          <cell r="L163">
            <v>867762.82</v>
          </cell>
          <cell r="N163">
            <v>867762.82</v>
          </cell>
        </row>
        <row r="164">
          <cell r="A164" t="str">
            <v>0061</v>
          </cell>
          <cell r="B164" t="str">
            <v>01</v>
          </cell>
          <cell r="C164" t="str">
            <v>35</v>
          </cell>
          <cell r="D164" t="str">
            <v>1</v>
          </cell>
          <cell r="E164" t="str">
            <v>الاهلى المصرى23111357308جنيةاعتماد11426</v>
          </cell>
          <cell r="J164">
            <v>1362249.18</v>
          </cell>
          <cell r="L164">
            <v>1362249.18</v>
          </cell>
          <cell r="N164">
            <v>1362249.18</v>
          </cell>
        </row>
        <row r="165">
          <cell r="A165" t="str">
            <v>0004</v>
          </cell>
          <cell r="B165" t="str">
            <v>02</v>
          </cell>
          <cell r="C165" t="str">
            <v>35</v>
          </cell>
          <cell r="D165" t="str">
            <v>1</v>
          </cell>
          <cell r="E165" t="str">
            <v>الاهلى المصرى - جنيه 21020135732</v>
          </cell>
          <cell r="F165">
            <v>-10373903.949999999</v>
          </cell>
          <cell r="G165">
            <v>267369324.55000001</v>
          </cell>
          <cell r="H165">
            <v>276953210.73000002</v>
          </cell>
          <cell r="I165">
            <v>13112267.619999999</v>
          </cell>
          <cell r="J165">
            <v>13881168.73</v>
          </cell>
          <cell r="K165">
            <v>280481592.17000002</v>
          </cell>
          <cell r="L165">
            <v>301208283.41000003</v>
          </cell>
          <cell r="N165">
            <v>20726691.239999998</v>
          </cell>
        </row>
        <row r="166">
          <cell r="A166" t="str">
            <v>0005</v>
          </cell>
          <cell r="B166" t="str">
            <v>02</v>
          </cell>
          <cell r="C166" t="str">
            <v>35</v>
          </cell>
          <cell r="D166" t="str">
            <v>1</v>
          </cell>
          <cell r="E166" t="str">
            <v>الاهلى المصرى 734 دولار</v>
          </cell>
          <cell r="F166">
            <v>786219.74</v>
          </cell>
          <cell r="G166">
            <v>211933151.16</v>
          </cell>
          <cell r="H166">
            <v>212718512.97999999</v>
          </cell>
          <cell r="I166">
            <v>111007.08</v>
          </cell>
          <cell r="J166">
            <v>95395.06</v>
          </cell>
          <cell r="K166">
            <v>212830377.97999999</v>
          </cell>
          <cell r="L166">
            <v>212813908.03999999</v>
          </cell>
          <cell r="M166">
            <v>16469.939999999999</v>
          </cell>
        </row>
        <row r="167">
          <cell r="A167" t="str">
            <v>0016</v>
          </cell>
          <cell r="B167" t="str">
            <v>02</v>
          </cell>
          <cell r="C167" t="str">
            <v>35</v>
          </cell>
          <cell r="D167" t="str">
            <v>1</v>
          </cell>
          <cell r="E167" t="str">
            <v>الاهلى المصرى23160135735دولاراعتماد11341</v>
          </cell>
          <cell r="H167">
            <v>8744286.1400000006</v>
          </cell>
          <cell r="I167">
            <v>85845.31</v>
          </cell>
          <cell r="J167">
            <v>195308.28</v>
          </cell>
          <cell r="K167">
            <v>85845.31</v>
          </cell>
          <cell r="L167">
            <v>8939594.4199999999</v>
          </cell>
          <cell r="N167">
            <v>8853749.1099999994</v>
          </cell>
        </row>
        <row r="168">
          <cell r="A168" t="str">
            <v>0017</v>
          </cell>
          <cell r="B168" t="str">
            <v>02</v>
          </cell>
          <cell r="C168" t="str">
            <v>35</v>
          </cell>
          <cell r="D168" t="str">
            <v>1</v>
          </cell>
          <cell r="E168" t="str">
            <v>الاهلى المصرى23210135735دولاراعتما306847</v>
          </cell>
          <cell r="H168">
            <v>228988.08</v>
          </cell>
          <cell r="I168">
            <v>2727.5</v>
          </cell>
          <cell r="J168">
            <v>5251.4</v>
          </cell>
          <cell r="K168">
            <v>2727.5</v>
          </cell>
          <cell r="L168">
            <v>234239.48</v>
          </cell>
          <cell r="N168">
            <v>231511.98</v>
          </cell>
        </row>
        <row r="169">
          <cell r="A169" t="str">
            <v>0018</v>
          </cell>
          <cell r="B169" t="str">
            <v>02</v>
          </cell>
          <cell r="C169" t="str">
            <v>35</v>
          </cell>
          <cell r="D169" t="str">
            <v>1</v>
          </cell>
          <cell r="E169" t="str">
            <v>الاهلى المصرى23007135732دولاراعتما306734</v>
          </cell>
          <cell r="H169">
            <v>328260.78999999998</v>
          </cell>
          <cell r="I169">
            <v>2727.5</v>
          </cell>
          <cell r="J169">
            <v>7047.2</v>
          </cell>
          <cell r="K169">
            <v>2727.5</v>
          </cell>
          <cell r="L169">
            <v>335307.99</v>
          </cell>
          <cell r="N169">
            <v>332580.49</v>
          </cell>
        </row>
        <row r="170">
          <cell r="A170" t="str">
            <v>0019</v>
          </cell>
          <cell r="B170" t="str">
            <v>02</v>
          </cell>
          <cell r="C170" t="str">
            <v>35</v>
          </cell>
          <cell r="D170" t="str">
            <v>1</v>
          </cell>
          <cell r="E170" t="str">
            <v>الاهلى المصرى23110135736دولاراعتما306733</v>
          </cell>
          <cell r="G170">
            <v>278558.65999999997</v>
          </cell>
          <cell r="H170">
            <v>607241.44999999995</v>
          </cell>
          <cell r="I170">
            <v>286143.99</v>
          </cell>
          <cell r="J170">
            <v>290639.98</v>
          </cell>
          <cell r="K170">
            <v>564702.65</v>
          </cell>
          <cell r="L170">
            <v>897881.43</v>
          </cell>
          <cell r="N170">
            <v>333178.78000000003</v>
          </cell>
        </row>
        <row r="171">
          <cell r="A171" t="str">
            <v>0020</v>
          </cell>
          <cell r="B171" t="str">
            <v>02</v>
          </cell>
          <cell r="C171" t="str">
            <v>35</v>
          </cell>
          <cell r="D171" t="str">
            <v>1</v>
          </cell>
          <cell r="E171" t="str">
            <v>الاهلى المصرى23120135734دولاراعتما306735</v>
          </cell>
          <cell r="H171">
            <v>290552.61</v>
          </cell>
          <cell r="I171">
            <v>2727.5</v>
          </cell>
          <cell r="J171">
            <v>6232.03</v>
          </cell>
          <cell r="K171">
            <v>2727.5</v>
          </cell>
          <cell r="L171">
            <v>296784.64000000001</v>
          </cell>
          <cell r="N171">
            <v>294057.14</v>
          </cell>
        </row>
        <row r="172">
          <cell r="A172" t="str">
            <v>0021</v>
          </cell>
          <cell r="B172" t="str">
            <v>02</v>
          </cell>
          <cell r="C172" t="str">
            <v>35</v>
          </cell>
          <cell r="D172" t="str">
            <v>1</v>
          </cell>
          <cell r="E172" t="str">
            <v>الاهلى المصرى23006135733دولاراعتما306732</v>
          </cell>
          <cell r="G172">
            <v>327158.73</v>
          </cell>
          <cell r="H172">
            <v>635937.92000000004</v>
          </cell>
          <cell r="I172">
            <v>2727.5</v>
          </cell>
          <cell r="J172">
            <v>6630.79</v>
          </cell>
          <cell r="K172">
            <v>329886.23</v>
          </cell>
          <cell r="L172">
            <v>642568.71</v>
          </cell>
          <cell r="N172">
            <v>312682.48</v>
          </cell>
        </row>
        <row r="173">
          <cell r="A173" t="str">
            <v>0022</v>
          </cell>
          <cell r="B173" t="str">
            <v>02</v>
          </cell>
          <cell r="C173" t="str">
            <v>35</v>
          </cell>
          <cell r="D173" t="str">
            <v>1</v>
          </cell>
          <cell r="E173" t="str">
            <v>الاهلى المصرى23001357308دولاراعتما11094</v>
          </cell>
          <cell r="J173">
            <v>12652.87</v>
          </cell>
          <cell r="L173">
            <v>12652.87</v>
          </cell>
          <cell r="N173">
            <v>12652.87</v>
          </cell>
        </row>
        <row r="174">
          <cell r="A174" t="str">
            <v>0023</v>
          </cell>
          <cell r="B174" t="str">
            <v>02</v>
          </cell>
          <cell r="C174" t="str">
            <v>35</v>
          </cell>
          <cell r="D174" t="str">
            <v>1</v>
          </cell>
          <cell r="E174" t="str">
            <v>الاهلى المصرى23130135732اعتماد</v>
          </cell>
          <cell r="I174">
            <v>2727.5</v>
          </cell>
          <cell r="J174">
            <v>285979.25</v>
          </cell>
          <cell r="K174">
            <v>2727.5</v>
          </cell>
          <cell r="L174">
            <v>285979.25</v>
          </cell>
          <cell r="N174">
            <v>283251.75</v>
          </cell>
        </row>
        <row r="175">
          <cell r="A175" t="str">
            <v>0001</v>
          </cell>
          <cell r="B175" t="str">
            <v>03</v>
          </cell>
          <cell r="C175" t="str">
            <v>35</v>
          </cell>
          <cell r="D175" t="str">
            <v>1</v>
          </cell>
          <cell r="E175" t="str">
            <v>الاهلى المصرى - يورو - 11000135730</v>
          </cell>
          <cell r="F175">
            <v>284836.03999999998</v>
          </cell>
          <cell r="G175">
            <v>89406226.140000001</v>
          </cell>
          <cell r="H175">
            <v>87588452.640000001</v>
          </cell>
          <cell r="I175">
            <v>202748.6</v>
          </cell>
          <cell r="J175">
            <v>2304837</v>
          </cell>
          <cell r="K175">
            <v>89893810.780000001</v>
          </cell>
          <cell r="L175">
            <v>89893289.640000001</v>
          </cell>
          <cell r="M175">
            <v>521.14</v>
          </cell>
        </row>
        <row r="176">
          <cell r="A176" t="str">
            <v>0004</v>
          </cell>
          <cell r="B176" t="str">
            <v>03</v>
          </cell>
          <cell r="C176" t="str">
            <v>35</v>
          </cell>
          <cell r="D176" t="str">
            <v>1</v>
          </cell>
          <cell r="E176" t="str">
            <v>الاهلى المصرى23090135736يورواعتماد10744</v>
          </cell>
          <cell r="J176">
            <v>3000</v>
          </cell>
          <cell r="L176">
            <v>3000</v>
          </cell>
          <cell r="N176">
            <v>3000</v>
          </cell>
        </row>
        <row r="177">
          <cell r="A177" t="str">
            <v>0056</v>
          </cell>
          <cell r="B177" t="str">
            <v>03</v>
          </cell>
          <cell r="C177" t="str">
            <v>35</v>
          </cell>
          <cell r="D177" t="str">
            <v>1</v>
          </cell>
          <cell r="E177" t="str">
            <v>الاهلى المصرى23186135731يورواعتماد11121</v>
          </cell>
          <cell r="F177">
            <v>-3534944.9</v>
          </cell>
          <cell r="G177">
            <v>3860033.7</v>
          </cell>
          <cell r="H177">
            <v>325067.39</v>
          </cell>
          <cell r="K177">
            <v>3860033.7</v>
          </cell>
          <cell r="L177">
            <v>3860012.29</v>
          </cell>
          <cell r="M177">
            <v>21.41</v>
          </cell>
        </row>
        <row r="178">
          <cell r="A178" t="str">
            <v>0064</v>
          </cell>
          <cell r="B178" t="str">
            <v>03</v>
          </cell>
          <cell r="C178" t="str">
            <v>35</v>
          </cell>
          <cell r="D178" t="str">
            <v>1</v>
          </cell>
          <cell r="E178" t="str">
            <v>الاهلى المصرى23550135739يورواعتماد11121</v>
          </cell>
          <cell r="G178">
            <v>2068334.3</v>
          </cell>
          <cell r="H178">
            <v>2068022.95</v>
          </cell>
          <cell r="K178">
            <v>2068334.3</v>
          </cell>
          <cell r="L178">
            <v>2068022.95</v>
          </cell>
          <cell r="M178">
            <v>311.35000000000002</v>
          </cell>
        </row>
        <row r="179">
          <cell r="A179" t="str">
            <v>0065</v>
          </cell>
          <cell r="B179" t="str">
            <v>03</v>
          </cell>
          <cell r="C179" t="str">
            <v>35</v>
          </cell>
          <cell r="D179" t="str">
            <v>1</v>
          </cell>
          <cell r="E179" t="str">
            <v>الاهلى المصرى23590135731يورواعتماد11178</v>
          </cell>
          <cell r="G179">
            <v>2811625.64</v>
          </cell>
          <cell r="H179">
            <v>2739204.14</v>
          </cell>
          <cell r="K179">
            <v>2811625.64</v>
          </cell>
          <cell r="L179">
            <v>2739204.14</v>
          </cell>
          <cell r="M179">
            <v>72421.5</v>
          </cell>
        </row>
        <row r="180">
          <cell r="A180" t="str">
            <v>0074</v>
          </cell>
          <cell r="B180" t="str">
            <v>03</v>
          </cell>
          <cell r="C180" t="str">
            <v>35</v>
          </cell>
          <cell r="D180" t="str">
            <v>1</v>
          </cell>
          <cell r="E180" t="str">
            <v>الاهلى المصرى23690135730يورواعتماد11187</v>
          </cell>
          <cell r="G180">
            <v>48431.78</v>
          </cell>
          <cell r="H180">
            <v>489042.84</v>
          </cell>
          <cell r="I180">
            <v>690.23</v>
          </cell>
          <cell r="J180">
            <v>2269.42</v>
          </cell>
          <cell r="K180">
            <v>49122.01</v>
          </cell>
          <cell r="L180">
            <v>491312.26</v>
          </cell>
          <cell r="N180">
            <v>442190.25</v>
          </cell>
        </row>
        <row r="181">
          <cell r="A181" t="str">
            <v>0075</v>
          </cell>
          <cell r="B181" t="str">
            <v>03</v>
          </cell>
          <cell r="C181" t="str">
            <v>35</v>
          </cell>
          <cell r="D181" t="str">
            <v>1</v>
          </cell>
          <cell r="E181" t="str">
            <v>الاهلى المصرى23021135730يورواعتماد11101</v>
          </cell>
          <cell r="G181">
            <v>270105.68</v>
          </cell>
          <cell r="H181">
            <v>2788424</v>
          </cell>
          <cell r="I181">
            <v>3924.77</v>
          </cell>
          <cell r="J181">
            <v>13405.05</v>
          </cell>
          <cell r="K181">
            <v>274030.45</v>
          </cell>
          <cell r="L181">
            <v>2801829.05</v>
          </cell>
          <cell r="N181">
            <v>2527798.6</v>
          </cell>
        </row>
        <row r="182">
          <cell r="A182" t="str">
            <v>0076</v>
          </cell>
          <cell r="B182" t="str">
            <v>03</v>
          </cell>
          <cell r="C182" t="str">
            <v>35</v>
          </cell>
          <cell r="D182" t="str">
            <v>1</v>
          </cell>
          <cell r="E182" t="str">
            <v>الاهلى المصرى23610135737يورواعتماد11081</v>
          </cell>
          <cell r="G182">
            <v>143264.82999999999</v>
          </cell>
          <cell r="H182">
            <v>3150485.48</v>
          </cell>
          <cell r="I182">
            <v>82645.16</v>
          </cell>
          <cell r="J182">
            <v>29508.93</v>
          </cell>
          <cell r="K182">
            <v>225909.99</v>
          </cell>
          <cell r="L182">
            <v>3179994.41</v>
          </cell>
          <cell r="N182">
            <v>2954084.42</v>
          </cell>
        </row>
        <row r="183">
          <cell r="A183" t="str">
            <v>0077</v>
          </cell>
          <cell r="B183" t="str">
            <v>03</v>
          </cell>
          <cell r="C183" t="str">
            <v>35</v>
          </cell>
          <cell r="D183" t="str">
            <v>1</v>
          </cell>
          <cell r="E183" t="str">
            <v>الاهلى المصرى23710135736يورواعتماد11090</v>
          </cell>
          <cell r="G183">
            <v>119511.67</v>
          </cell>
          <cell r="H183">
            <v>1227573.4099999999</v>
          </cell>
          <cell r="I183">
            <v>1736.14</v>
          </cell>
          <cell r="J183">
            <v>5917.26</v>
          </cell>
          <cell r="K183">
            <v>121247.81</v>
          </cell>
          <cell r="L183">
            <v>1233490.67</v>
          </cell>
          <cell r="N183">
            <v>1112242.8600000001</v>
          </cell>
        </row>
        <row r="184">
          <cell r="A184" t="str">
            <v>0078</v>
          </cell>
          <cell r="B184" t="str">
            <v>03</v>
          </cell>
          <cell r="C184" t="str">
            <v>35</v>
          </cell>
          <cell r="D184" t="str">
            <v>1</v>
          </cell>
          <cell r="E184" t="str">
            <v>الاهلى المصرى23720135734يورواعتماد11214</v>
          </cell>
          <cell r="G184">
            <v>31296.48</v>
          </cell>
          <cell r="H184">
            <v>324027.38</v>
          </cell>
          <cell r="I184">
            <v>458.68</v>
          </cell>
          <cell r="J184">
            <v>1575.69</v>
          </cell>
          <cell r="K184">
            <v>31755.16</v>
          </cell>
          <cell r="L184">
            <v>325603.07</v>
          </cell>
          <cell r="N184">
            <v>293847.90999999997</v>
          </cell>
        </row>
        <row r="185">
          <cell r="A185" t="str">
            <v>0081</v>
          </cell>
          <cell r="B185" t="str">
            <v>03</v>
          </cell>
          <cell r="C185" t="str">
            <v>35</v>
          </cell>
          <cell r="D185" t="str">
            <v>1</v>
          </cell>
          <cell r="E185" t="str">
            <v>الاهلى المصرى23730135732يورواعتماد11201</v>
          </cell>
          <cell r="G185">
            <v>249968.43</v>
          </cell>
          <cell r="H185">
            <v>2178296.73</v>
          </cell>
          <cell r="I185">
            <v>3021.66</v>
          </cell>
          <cell r="J185">
            <v>10496.99</v>
          </cell>
          <cell r="K185">
            <v>252990.09</v>
          </cell>
          <cell r="L185">
            <v>2188793.7200000002</v>
          </cell>
          <cell r="N185">
            <v>1935803.63</v>
          </cell>
        </row>
        <row r="186">
          <cell r="A186" t="str">
            <v>0083</v>
          </cell>
          <cell r="B186" t="str">
            <v>03</v>
          </cell>
          <cell r="C186" t="str">
            <v>35</v>
          </cell>
          <cell r="D186" t="str">
            <v>1</v>
          </cell>
          <cell r="E186" t="str">
            <v>الاهلى المصرى23770135733يورواعتماد11143</v>
          </cell>
          <cell r="G186">
            <v>55676.93</v>
          </cell>
          <cell r="H186">
            <v>681366.2</v>
          </cell>
          <cell r="J186">
            <v>3411.33</v>
          </cell>
          <cell r="K186">
            <v>55676.93</v>
          </cell>
          <cell r="L186">
            <v>684777.53</v>
          </cell>
          <cell r="N186">
            <v>629100.6</v>
          </cell>
        </row>
        <row r="187">
          <cell r="A187" t="str">
            <v>0084</v>
          </cell>
          <cell r="B187" t="str">
            <v>03</v>
          </cell>
          <cell r="C187" t="str">
            <v>35</v>
          </cell>
          <cell r="D187" t="str">
            <v>1</v>
          </cell>
          <cell r="E187" t="str">
            <v>الاهلى المصرى23222135737يورواعتماد11214</v>
          </cell>
          <cell r="G187">
            <v>3034.51</v>
          </cell>
          <cell r="H187">
            <v>45459.46</v>
          </cell>
          <cell r="I187">
            <v>66.48</v>
          </cell>
          <cell r="J187">
            <v>227.68</v>
          </cell>
          <cell r="K187">
            <v>3100.99</v>
          </cell>
          <cell r="L187">
            <v>45687.14</v>
          </cell>
          <cell r="N187">
            <v>42586.15</v>
          </cell>
        </row>
        <row r="188">
          <cell r="A188" t="str">
            <v>0085</v>
          </cell>
          <cell r="B188" t="str">
            <v>03</v>
          </cell>
          <cell r="C188" t="str">
            <v>35</v>
          </cell>
          <cell r="D188" t="str">
            <v>1</v>
          </cell>
          <cell r="E188" t="str">
            <v>الاهلى المصرى  يوروCAD23750135737</v>
          </cell>
          <cell r="G188">
            <v>18536.490000000002</v>
          </cell>
          <cell r="H188">
            <v>48398.239999999998</v>
          </cell>
          <cell r="I188">
            <v>46.79</v>
          </cell>
          <cell r="J188">
            <v>161.63</v>
          </cell>
          <cell r="K188">
            <v>18583.28</v>
          </cell>
          <cell r="L188">
            <v>48559.87</v>
          </cell>
          <cell r="N188">
            <v>29976.59</v>
          </cell>
        </row>
        <row r="189">
          <cell r="A189" t="str">
            <v>0086</v>
          </cell>
          <cell r="B189" t="str">
            <v>03</v>
          </cell>
          <cell r="C189" t="str">
            <v>35</v>
          </cell>
          <cell r="D189" t="str">
            <v>1</v>
          </cell>
          <cell r="E189" t="str">
            <v>الاهلى المصرى 23780135731 CAD</v>
          </cell>
          <cell r="G189">
            <v>5186.46</v>
          </cell>
          <cell r="H189">
            <v>61515.4</v>
          </cell>
          <cell r="I189">
            <v>88.27</v>
          </cell>
          <cell r="J189">
            <v>306.54000000000002</v>
          </cell>
          <cell r="K189">
            <v>5274.73</v>
          </cell>
          <cell r="L189">
            <v>61821.94</v>
          </cell>
          <cell r="N189">
            <v>56547.21</v>
          </cell>
        </row>
        <row r="190">
          <cell r="A190" t="str">
            <v>0087</v>
          </cell>
          <cell r="B190" t="str">
            <v>03</v>
          </cell>
          <cell r="C190" t="str">
            <v>35</v>
          </cell>
          <cell r="D190" t="str">
            <v>1</v>
          </cell>
          <cell r="E190" t="str">
            <v>الاهلى مص يورو23790135739 -ع 11178</v>
          </cell>
          <cell r="G190">
            <v>9842.68</v>
          </cell>
          <cell r="H190">
            <v>123647.85</v>
          </cell>
          <cell r="I190">
            <v>178.33</v>
          </cell>
          <cell r="J190">
            <v>618.86</v>
          </cell>
          <cell r="K190">
            <v>10021.01</v>
          </cell>
          <cell r="L190">
            <v>124266.71</v>
          </cell>
          <cell r="N190">
            <v>114245.7</v>
          </cell>
        </row>
        <row r="191">
          <cell r="A191" t="str">
            <v>0088</v>
          </cell>
          <cell r="B191" t="str">
            <v>03</v>
          </cell>
          <cell r="C191" t="str">
            <v>35</v>
          </cell>
          <cell r="D191" t="str">
            <v>1</v>
          </cell>
          <cell r="E191" t="str">
            <v>الاهلى مص يورو 23075135735 ع 306511</v>
          </cell>
          <cell r="G191">
            <v>5084.54</v>
          </cell>
          <cell r="H191">
            <v>68027.899999999994</v>
          </cell>
          <cell r="I191">
            <v>98.64</v>
          </cell>
          <cell r="J191">
            <v>343.12</v>
          </cell>
          <cell r="K191">
            <v>5183.18</v>
          </cell>
          <cell r="L191">
            <v>68371.02</v>
          </cell>
          <cell r="N191">
            <v>63187.839999999997</v>
          </cell>
        </row>
        <row r="192">
          <cell r="A192" t="str">
            <v>0089</v>
          </cell>
          <cell r="B192" t="str">
            <v>03</v>
          </cell>
          <cell r="C192" t="str">
            <v>35</v>
          </cell>
          <cell r="D192" t="str">
            <v>1</v>
          </cell>
          <cell r="E192" t="str">
            <v>الاهلى مص ج 23450135737 ع 11296</v>
          </cell>
          <cell r="G192">
            <v>21759.49</v>
          </cell>
          <cell r="H192">
            <v>929985.67</v>
          </cell>
          <cell r="I192">
            <v>9000</v>
          </cell>
          <cell r="J192">
            <v>8543.4599999999991</v>
          </cell>
          <cell r="K192">
            <v>30759.49</v>
          </cell>
          <cell r="L192">
            <v>938529.13</v>
          </cell>
          <cell r="N192">
            <v>907769.64</v>
          </cell>
        </row>
        <row r="193">
          <cell r="A193" t="str">
            <v>0090</v>
          </cell>
          <cell r="B193" t="str">
            <v>03</v>
          </cell>
          <cell r="C193" t="str">
            <v>35</v>
          </cell>
          <cell r="D193" t="str">
            <v>1</v>
          </cell>
          <cell r="E193" t="str">
            <v>الاهلى مص ج 23460135735 ع 11326</v>
          </cell>
          <cell r="G193">
            <v>15034.42</v>
          </cell>
          <cell r="H193">
            <v>654635.66</v>
          </cell>
          <cell r="I193">
            <v>34000</v>
          </cell>
          <cell r="J193">
            <v>15011.92</v>
          </cell>
          <cell r="K193">
            <v>49034.42</v>
          </cell>
          <cell r="L193">
            <v>669647.57999999996</v>
          </cell>
          <cell r="N193">
            <v>620613.16</v>
          </cell>
        </row>
        <row r="194">
          <cell r="A194" t="str">
            <v>0091</v>
          </cell>
          <cell r="B194" t="str">
            <v>03</v>
          </cell>
          <cell r="C194" t="str">
            <v>35</v>
          </cell>
          <cell r="D194" t="str">
            <v>1</v>
          </cell>
          <cell r="E194" t="str">
            <v>الاهلى مص ج23470135733 ع 11323</v>
          </cell>
          <cell r="G194">
            <v>9534.41</v>
          </cell>
          <cell r="H194">
            <v>409383.21</v>
          </cell>
          <cell r="I194">
            <v>5000</v>
          </cell>
          <cell r="J194">
            <v>3753.99</v>
          </cell>
          <cell r="K194">
            <v>14534.41</v>
          </cell>
          <cell r="L194">
            <v>413137.2</v>
          </cell>
          <cell r="N194">
            <v>398602.79</v>
          </cell>
        </row>
        <row r="195">
          <cell r="A195" t="str">
            <v>0092</v>
          </cell>
          <cell r="B195" t="str">
            <v>03</v>
          </cell>
          <cell r="C195" t="str">
            <v>35</v>
          </cell>
          <cell r="D195" t="str">
            <v>1</v>
          </cell>
          <cell r="E195" t="str">
            <v>الاهلى مص $ 23005135734 ع 306497</v>
          </cell>
          <cell r="G195">
            <v>169164.79</v>
          </cell>
          <cell r="H195">
            <v>3585732</v>
          </cell>
          <cell r="I195">
            <v>21820</v>
          </cell>
          <cell r="J195">
            <v>85524.44</v>
          </cell>
          <cell r="K195">
            <v>190984.79</v>
          </cell>
          <cell r="L195">
            <v>3671256.44</v>
          </cell>
          <cell r="N195">
            <v>3480271.65</v>
          </cell>
        </row>
        <row r="196">
          <cell r="A196" t="str">
            <v>0093</v>
          </cell>
          <cell r="B196" t="str">
            <v>03</v>
          </cell>
          <cell r="C196" t="str">
            <v>35</v>
          </cell>
          <cell r="D196" t="str">
            <v>1</v>
          </cell>
          <cell r="E196" t="str">
            <v>الاهلى مص ج 23055135736 ع 11322</v>
          </cell>
          <cell r="G196">
            <v>68651.23</v>
          </cell>
          <cell r="H196">
            <v>2900852.79</v>
          </cell>
          <cell r="I196">
            <v>27000</v>
          </cell>
          <cell r="J196">
            <v>26649.32</v>
          </cell>
          <cell r="K196">
            <v>95651.23</v>
          </cell>
          <cell r="L196">
            <v>2927502.11</v>
          </cell>
          <cell r="N196">
            <v>2831850.88</v>
          </cell>
        </row>
        <row r="197">
          <cell r="A197" t="str">
            <v>0094</v>
          </cell>
          <cell r="B197" t="str">
            <v>03</v>
          </cell>
          <cell r="C197" t="str">
            <v>35</v>
          </cell>
          <cell r="D197" t="str">
            <v>1</v>
          </cell>
          <cell r="E197" t="str">
            <v>الاهلى مص ج 23075135732 ع 11296</v>
          </cell>
          <cell r="G197">
            <v>10487.58</v>
          </cell>
          <cell r="H197">
            <v>493517.12</v>
          </cell>
          <cell r="I197">
            <v>5000</v>
          </cell>
          <cell r="J197">
            <v>4542.24</v>
          </cell>
          <cell r="K197">
            <v>15487.58</v>
          </cell>
          <cell r="L197">
            <v>498059.36</v>
          </cell>
          <cell r="N197">
            <v>482571.78</v>
          </cell>
        </row>
        <row r="198">
          <cell r="A198" t="str">
            <v>0095</v>
          </cell>
          <cell r="B198" t="str">
            <v>03</v>
          </cell>
          <cell r="C198" t="str">
            <v>35</v>
          </cell>
          <cell r="D198" t="str">
            <v>1</v>
          </cell>
          <cell r="E198" t="str">
            <v>الاهلى مص يورو 23221135738 ع 306516</v>
          </cell>
          <cell r="G198">
            <v>3849.98</v>
          </cell>
          <cell r="H198">
            <v>48502.86</v>
          </cell>
          <cell r="I198">
            <v>69.97</v>
          </cell>
          <cell r="J198">
            <v>243.15</v>
          </cell>
          <cell r="K198">
            <v>3919.95</v>
          </cell>
          <cell r="L198">
            <v>48746.01</v>
          </cell>
          <cell r="N198">
            <v>44826.06</v>
          </cell>
        </row>
        <row r="199">
          <cell r="A199" t="str">
            <v>0096</v>
          </cell>
          <cell r="B199" t="str">
            <v>03</v>
          </cell>
          <cell r="C199" t="str">
            <v>35</v>
          </cell>
          <cell r="D199" t="str">
            <v>1</v>
          </cell>
          <cell r="E199" t="str">
            <v>الاهلى المصرى يورو 23013135738</v>
          </cell>
          <cell r="G199">
            <v>1028512.5</v>
          </cell>
          <cell r="H199">
            <v>1028512.5</v>
          </cell>
          <cell r="I199">
            <v>69.97</v>
          </cell>
          <cell r="K199">
            <v>1028582.47</v>
          </cell>
          <cell r="L199">
            <v>1028512.5</v>
          </cell>
          <cell r="M199">
            <v>69.97</v>
          </cell>
        </row>
        <row r="200">
          <cell r="A200" t="str">
            <v>0097</v>
          </cell>
          <cell r="B200" t="str">
            <v>03</v>
          </cell>
          <cell r="C200" t="str">
            <v>35</v>
          </cell>
          <cell r="D200" t="str">
            <v>1</v>
          </cell>
          <cell r="E200" t="str">
            <v>الاهلى مص 23027135734 يورو ع 11200</v>
          </cell>
          <cell r="G200">
            <v>79847.179999999993</v>
          </cell>
          <cell r="H200">
            <v>3418055.56</v>
          </cell>
          <cell r="I200">
            <v>4985.2700000000004</v>
          </cell>
          <cell r="J200">
            <v>36183.32</v>
          </cell>
          <cell r="K200">
            <v>84832.45</v>
          </cell>
          <cell r="L200">
            <v>3454238.88</v>
          </cell>
          <cell r="N200">
            <v>3369406.43</v>
          </cell>
        </row>
        <row r="201">
          <cell r="A201" t="str">
            <v>0098</v>
          </cell>
          <cell r="B201" t="str">
            <v>03</v>
          </cell>
          <cell r="C201" t="str">
            <v>35</v>
          </cell>
          <cell r="D201" t="str">
            <v>1</v>
          </cell>
          <cell r="E201" t="str">
            <v>الاهلى المصرى يورو 23019135734 ع 11204</v>
          </cell>
          <cell r="G201">
            <v>90326.55</v>
          </cell>
          <cell r="H201">
            <v>3792544.76</v>
          </cell>
          <cell r="I201">
            <v>5528.73</v>
          </cell>
          <cell r="J201">
            <v>40032.57</v>
          </cell>
          <cell r="K201">
            <v>95855.28</v>
          </cell>
          <cell r="L201">
            <v>3832577.33</v>
          </cell>
          <cell r="N201">
            <v>3736722.05</v>
          </cell>
        </row>
        <row r="202">
          <cell r="A202" t="str">
            <v>0099</v>
          </cell>
          <cell r="B202" t="str">
            <v>03</v>
          </cell>
          <cell r="C202" t="str">
            <v>35</v>
          </cell>
          <cell r="D202" t="str">
            <v>1</v>
          </cell>
          <cell r="E202" t="str">
            <v>الاهلى المصرى يورو 23955135730 ع 11203</v>
          </cell>
          <cell r="G202">
            <v>64058</v>
          </cell>
          <cell r="H202">
            <v>2656761.59</v>
          </cell>
          <cell r="I202">
            <v>3874.89</v>
          </cell>
          <cell r="J202">
            <v>29993.13</v>
          </cell>
          <cell r="K202">
            <v>67932.89</v>
          </cell>
          <cell r="L202">
            <v>2686754.72</v>
          </cell>
          <cell r="N202">
            <v>2618821.83</v>
          </cell>
        </row>
        <row r="203">
          <cell r="A203" t="str">
            <v>0100</v>
          </cell>
          <cell r="B203" t="str">
            <v>03</v>
          </cell>
          <cell r="C203" t="str">
            <v>35</v>
          </cell>
          <cell r="D203" t="str">
            <v>1</v>
          </cell>
          <cell r="E203" t="str">
            <v>الاهلى المصرى يورو 23026135735 ع 11202</v>
          </cell>
          <cell r="G203">
            <v>90672.18</v>
          </cell>
          <cell r="H203">
            <v>3920478.82</v>
          </cell>
          <cell r="J203">
            <v>40636.660000000003</v>
          </cell>
          <cell r="K203">
            <v>90672.18</v>
          </cell>
          <cell r="L203">
            <v>3961115.48</v>
          </cell>
          <cell r="N203">
            <v>3870443.3</v>
          </cell>
        </row>
        <row r="204">
          <cell r="A204" t="str">
            <v>0101</v>
          </cell>
          <cell r="B204" t="str">
            <v>03</v>
          </cell>
          <cell r="C204" t="str">
            <v>35</v>
          </cell>
          <cell r="D204" t="str">
            <v>1</v>
          </cell>
          <cell r="E204" t="str">
            <v>الاهلى يورو 23017135736 /C.A.D306534</v>
          </cell>
          <cell r="G204">
            <v>1275.1199999999999</v>
          </cell>
          <cell r="H204">
            <v>38721.839999999997</v>
          </cell>
          <cell r="J204">
            <v>552.9</v>
          </cell>
          <cell r="K204">
            <v>1275.1199999999999</v>
          </cell>
          <cell r="L204">
            <v>39274.74</v>
          </cell>
          <cell r="N204">
            <v>37999.620000000003</v>
          </cell>
        </row>
        <row r="205">
          <cell r="A205" t="str">
            <v>0102</v>
          </cell>
          <cell r="B205" t="str">
            <v>03</v>
          </cell>
          <cell r="C205" t="str">
            <v>35</v>
          </cell>
          <cell r="D205" t="str">
            <v>1</v>
          </cell>
          <cell r="E205" t="str">
            <v>الاهلى يورو 23001357304 اعتماد رقم 11244</v>
          </cell>
          <cell r="G205">
            <v>39571.599999999999</v>
          </cell>
          <cell r="H205">
            <v>2273361.5099999998</v>
          </cell>
          <cell r="J205">
            <v>24208.18</v>
          </cell>
          <cell r="K205">
            <v>39571.599999999999</v>
          </cell>
          <cell r="L205">
            <v>2297569.69</v>
          </cell>
          <cell r="N205">
            <v>2257998.09</v>
          </cell>
        </row>
        <row r="206">
          <cell r="A206" t="str">
            <v>0103</v>
          </cell>
          <cell r="B206" t="str">
            <v>03</v>
          </cell>
          <cell r="C206" t="str">
            <v>35</v>
          </cell>
          <cell r="D206" t="str">
            <v>1</v>
          </cell>
          <cell r="E206" t="str">
            <v>الاهلى يورو 23555135734اعتماد رقم 11215</v>
          </cell>
          <cell r="G206">
            <v>7737.96</v>
          </cell>
          <cell r="H206">
            <v>265397.33</v>
          </cell>
          <cell r="J206">
            <v>2729.55</v>
          </cell>
          <cell r="K206">
            <v>7737.96</v>
          </cell>
          <cell r="L206">
            <v>268126.88</v>
          </cell>
          <cell r="N206">
            <v>260388.92</v>
          </cell>
        </row>
        <row r="207">
          <cell r="A207" t="str">
            <v>0104</v>
          </cell>
          <cell r="B207" t="str">
            <v>03</v>
          </cell>
          <cell r="C207" t="str">
            <v>35</v>
          </cell>
          <cell r="D207" t="str">
            <v>1</v>
          </cell>
          <cell r="E207" t="str">
            <v>الاهلى يورو 23018135735 اعتماد 11277</v>
          </cell>
          <cell r="G207">
            <v>23934.76</v>
          </cell>
          <cell r="H207">
            <v>1002335.91</v>
          </cell>
          <cell r="J207">
            <v>5166</v>
          </cell>
          <cell r="K207">
            <v>23934.76</v>
          </cell>
          <cell r="L207">
            <v>1007501.91</v>
          </cell>
          <cell r="N207">
            <v>983567.15</v>
          </cell>
        </row>
        <row r="208">
          <cell r="A208" t="str">
            <v>0105</v>
          </cell>
          <cell r="B208" t="str">
            <v>03</v>
          </cell>
          <cell r="C208" t="str">
            <v>35</v>
          </cell>
          <cell r="D208" t="str">
            <v>1</v>
          </cell>
          <cell r="E208" t="str">
            <v>الاهلى جنيه 23200135730اعتماد 11296</v>
          </cell>
          <cell r="G208">
            <v>571.44000000000005</v>
          </cell>
          <cell r="H208">
            <v>33679.919999999998</v>
          </cell>
          <cell r="I208">
            <v>1000</v>
          </cell>
          <cell r="J208">
            <v>306.72000000000003</v>
          </cell>
          <cell r="K208">
            <v>1571.44</v>
          </cell>
          <cell r="L208">
            <v>33986.639999999999</v>
          </cell>
          <cell r="N208">
            <v>32415.200000000001</v>
          </cell>
        </row>
        <row r="209">
          <cell r="A209" t="str">
            <v>0106</v>
          </cell>
          <cell r="B209" t="str">
            <v>03</v>
          </cell>
          <cell r="C209" t="str">
            <v>35</v>
          </cell>
          <cell r="D209" t="str">
            <v>1</v>
          </cell>
          <cell r="E209" t="str">
            <v>الاهلى جنيه 23056135735اعتماد 11343</v>
          </cell>
          <cell r="G209">
            <v>455.93</v>
          </cell>
          <cell r="H209">
            <v>20135.650000000001</v>
          </cell>
          <cell r="I209">
            <v>500</v>
          </cell>
          <cell r="J209">
            <v>524.54999999999995</v>
          </cell>
          <cell r="K209">
            <v>955.93</v>
          </cell>
          <cell r="L209">
            <v>20660.2</v>
          </cell>
          <cell r="N209">
            <v>19704.27</v>
          </cell>
        </row>
        <row r="210">
          <cell r="A210" t="str">
            <v>0107</v>
          </cell>
          <cell r="B210" t="str">
            <v>03</v>
          </cell>
          <cell r="C210" t="str">
            <v>35</v>
          </cell>
          <cell r="D210" t="str">
            <v>1</v>
          </cell>
          <cell r="E210" t="str">
            <v>الاهلى جنيه 23057135734اعتماد 11370</v>
          </cell>
          <cell r="G210">
            <v>26853.82</v>
          </cell>
          <cell r="H210">
            <v>2224364.4</v>
          </cell>
          <cell r="I210">
            <v>21000</v>
          </cell>
          <cell r="J210">
            <v>20900</v>
          </cell>
          <cell r="K210">
            <v>47853.82</v>
          </cell>
          <cell r="L210">
            <v>2245264.4</v>
          </cell>
          <cell r="N210">
            <v>2197410.58</v>
          </cell>
        </row>
        <row r="211">
          <cell r="A211" t="str">
            <v>0108</v>
          </cell>
          <cell r="B211" t="str">
            <v>03</v>
          </cell>
          <cell r="C211" t="str">
            <v>35</v>
          </cell>
          <cell r="D211" t="str">
            <v>1</v>
          </cell>
          <cell r="E211" t="str">
            <v>الاهلى يورو23740135730اعتماد 11178</v>
          </cell>
          <cell r="G211">
            <v>6065.69</v>
          </cell>
          <cell r="H211">
            <v>77448.39</v>
          </cell>
          <cell r="J211">
            <v>388.14</v>
          </cell>
          <cell r="K211">
            <v>6065.69</v>
          </cell>
          <cell r="L211">
            <v>77836.53</v>
          </cell>
          <cell r="N211">
            <v>71770.84</v>
          </cell>
        </row>
        <row r="212">
          <cell r="A212" t="str">
            <v>0109</v>
          </cell>
          <cell r="B212" t="str">
            <v>03</v>
          </cell>
          <cell r="C212" t="str">
            <v>35</v>
          </cell>
          <cell r="D212" t="str">
            <v>1</v>
          </cell>
          <cell r="E212" t="str">
            <v>الاهلى يورو23111135731اعتماد 306138</v>
          </cell>
          <cell r="G212">
            <v>10110.950000000001</v>
          </cell>
          <cell r="H212">
            <v>137615.72</v>
          </cell>
          <cell r="J212">
            <v>695.15</v>
          </cell>
          <cell r="K212">
            <v>10110.950000000001</v>
          </cell>
          <cell r="L212">
            <v>138310.87</v>
          </cell>
          <cell r="N212">
            <v>128199.92</v>
          </cell>
        </row>
        <row r="213">
          <cell r="A213" t="str">
            <v>0110</v>
          </cell>
          <cell r="B213" t="str">
            <v>03</v>
          </cell>
          <cell r="C213" t="str">
            <v>35</v>
          </cell>
          <cell r="D213" t="str">
            <v>1</v>
          </cell>
          <cell r="E213" t="str">
            <v>الاهلى يورو 23760135735اعتماد 36487</v>
          </cell>
          <cell r="G213">
            <v>990.2</v>
          </cell>
          <cell r="H213">
            <v>15659.09</v>
          </cell>
          <cell r="J213">
            <v>79.33</v>
          </cell>
          <cell r="K213">
            <v>990.2</v>
          </cell>
          <cell r="L213">
            <v>15738.42</v>
          </cell>
          <cell r="N213">
            <v>14748.22</v>
          </cell>
        </row>
        <row r="214">
          <cell r="A214" t="str">
            <v>0111</v>
          </cell>
          <cell r="B214" t="str">
            <v>03</v>
          </cell>
          <cell r="C214" t="str">
            <v>35</v>
          </cell>
          <cell r="D214" t="str">
            <v>1</v>
          </cell>
          <cell r="E214" t="str">
            <v>الاهلى المصرى ج 23058135733 اعتماد 11397</v>
          </cell>
          <cell r="G214">
            <v>23070</v>
          </cell>
          <cell r="H214">
            <v>3073730.24</v>
          </cell>
          <cell r="I214">
            <v>29000</v>
          </cell>
          <cell r="J214">
            <v>28705.47</v>
          </cell>
          <cell r="K214">
            <v>52070</v>
          </cell>
          <cell r="L214">
            <v>3102435.71</v>
          </cell>
          <cell r="N214">
            <v>3050365.71</v>
          </cell>
        </row>
        <row r="215">
          <cell r="A215" t="str">
            <v>0112</v>
          </cell>
          <cell r="B215" t="str">
            <v>03</v>
          </cell>
          <cell r="C215" t="str">
            <v>35</v>
          </cell>
          <cell r="D215" t="str">
            <v>1</v>
          </cell>
          <cell r="E215" t="str">
            <v>الاهلى المصرى يورو 23076135734 ع306675</v>
          </cell>
          <cell r="G215">
            <v>85570.45</v>
          </cell>
          <cell r="H215">
            <v>1275045.21</v>
          </cell>
          <cell r="J215">
            <v>6870.33</v>
          </cell>
          <cell r="K215">
            <v>85570.45</v>
          </cell>
          <cell r="L215">
            <v>1281915.54</v>
          </cell>
          <cell r="N215">
            <v>1196345.0900000001</v>
          </cell>
        </row>
        <row r="216">
          <cell r="A216" t="str">
            <v>0113</v>
          </cell>
          <cell r="B216" t="str">
            <v>03</v>
          </cell>
          <cell r="C216" t="str">
            <v>35</v>
          </cell>
          <cell r="D216" t="str">
            <v>1</v>
          </cell>
          <cell r="E216" t="str">
            <v>الاهلى المصرى يورو 23056135738ع306634</v>
          </cell>
          <cell r="G216">
            <v>27383.86</v>
          </cell>
          <cell r="H216">
            <v>1507041.85</v>
          </cell>
          <cell r="J216">
            <v>15914.74</v>
          </cell>
          <cell r="K216">
            <v>27383.86</v>
          </cell>
          <cell r="L216">
            <v>1522956.59</v>
          </cell>
          <cell r="N216">
            <v>1495572.73</v>
          </cell>
        </row>
        <row r="217">
          <cell r="A217" t="str">
            <v>0114</v>
          </cell>
          <cell r="B217" t="str">
            <v>03</v>
          </cell>
          <cell r="C217" t="str">
            <v>35</v>
          </cell>
          <cell r="D217" t="str">
            <v>1</v>
          </cell>
          <cell r="E217" t="str">
            <v>الاهلى المصرى يورو 23220135739ع11269</v>
          </cell>
          <cell r="G217">
            <v>203671.72</v>
          </cell>
          <cell r="H217">
            <v>3011262.9</v>
          </cell>
          <cell r="I217">
            <v>5164.3100000000004</v>
          </cell>
          <cell r="J217">
            <v>21088.16</v>
          </cell>
          <cell r="K217">
            <v>208836.03</v>
          </cell>
          <cell r="L217">
            <v>3032351.06</v>
          </cell>
          <cell r="N217">
            <v>2823515.03</v>
          </cell>
        </row>
        <row r="218">
          <cell r="A218" t="str">
            <v>0115</v>
          </cell>
          <cell r="B218" t="str">
            <v>03</v>
          </cell>
          <cell r="C218" t="str">
            <v>35</v>
          </cell>
          <cell r="D218" t="str">
            <v>1</v>
          </cell>
          <cell r="E218" t="str">
            <v>الاهلى المصرى 23006135736جم اعتماد 11397</v>
          </cell>
          <cell r="H218">
            <v>734907.21</v>
          </cell>
          <cell r="I218">
            <v>7000</v>
          </cell>
          <cell r="J218">
            <v>14042.78</v>
          </cell>
          <cell r="K218">
            <v>7000</v>
          </cell>
          <cell r="L218">
            <v>748949.99</v>
          </cell>
          <cell r="N218">
            <v>741949.99</v>
          </cell>
        </row>
        <row r="219">
          <cell r="A219" t="str">
            <v>0116</v>
          </cell>
          <cell r="B219" t="str">
            <v>03</v>
          </cell>
          <cell r="C219" t="str">
            <v>35</v>
          </cell>
          <cell r="D219" t="str">
            <v>1</v>
          </cell>
          <cell r="E219" t="str">
            <v>الاهلى المصرى 23007135735 جم عتماد 11407</v>
          </cell>
          <cell r="H219">
            <v>2481525.73</v>
          </cell>
          <cell r="I219">
            <v>23600</v>
          </cell>
          <cell r="J219">
            <v>47592.03</v>
          </cell>
          <cell r="K219">
            <v>23600</v>
          </cell>
          <cell r="L219">
            <v>2529117.7599999998</v>
          </cell>
          <cell r="N219">
            <v>2505517.7599999998</v>
          </cell>
        </row>
        <row r="220">
          <cell r="A220" t="str">
            <v>0117</v>
          </cell>
          <cell r="B220" t="str">
            <v>03</v>
          </cell>
          <cell r="C220" t="str">
            <v>35</v>
          </cell>
          <cell r="D220" t="str">
            <v>1</v>
          </cell>
          <cell r="E220" t="str">
            <v>الاهلى المصرى جم 23023135735اعتماد 11417</v>
          </cell>
          <cell r="H220">
            <v>863276.87</v>
          </cell>
          <cell r="I220">
            <v>9000</v>
          </cell>
          <cell r="J220">
            <v>18229.79</v>
          </cell>
          <cell r="K220">
            <v>9000</v>
          </cell>
          <cell r="L220">
            <v>881506.66</v>
          </cell>
          <cell r="N220">
            <v>872506.66</v>
          </cell>
        </row>
        <row r="221">
          <cell r="A221" t="str">
            <v>0118</v>
          </cell>
          <cell r="B221" t="str">
            <v>03</v>
          </cell>
          <cell r="C221" t="str">
            <v>35</v>
          </cell>
          <cell r="D221" t="str">
            <v>1</v>
          </cell>
          <cell r="E221" t="str">
            <v>الاهلى المصرى يورو 23055135739ع306635</v>
          </cell>
          <cell r="G221">
            <v>285.52999999999997</v>
          </cell>
          <cell r="H221">
            <v>24633.57</v>
          </cell>
          <cell r="J221">
            <v>365.24</v>
          </cell>
          <cell r="K221">
            <v>285.52999999999997</v>
          </cell>
          <cell r="L221">
            <v>24998.81</v>
          </cell>
          <cell r="N221">
            <v>24713.279999999999</v>
          </cell>
        </row>
        <row r="222">
          <cell r="A222" t="str">
            <v>0119</v>
          </cell>
          <cell r="B222" t="str">
            <v>03</v>
          </cell>
          <cell r="C222" t="str">
            <v>35</v>
          </cell>
          <cell r="D222" t="str">
            <v>1</v>
          </cell>
          <cell r="E222" t="str">
            <v>الاهلى يورو 98000135737 اعتمادات</v>
          </cell>
          <cell r="G222">
            <v>11076735</v>
          </cell>
          <cell r="H222">
            <v>11076727.460000001</v>
          </cell>
          <cell r="K222">
            <v>11076735</v>
          </cell>
          <cell r="L222">
            <v>11076727.460000001</v>
          </cell>
          <cell r="M222">
            <v>7.54</v>
          </cell>
        </row>
        <row r="223">
          <cell r="A223" t="str">
            <v>0120</v>
          </cell>
          <cell r="B223" t="str">
            <v>03</v>
          </cell>
          <cell r="C223" t="str">
            <v>35</v>
          </cell>
          <cell r="D223" t="str">
            <v>1</v>
          </cell>
          <cell r="E223" t="str">
            <v>الاهلى يورو23065135737اعتماد11418</v>
          </cell>
          <cell r="G223">
            <v>45086.9</v>
          </cell>
          <cell r="H223">
            <v>861523.4</v>
          </cell>
          <cell r="J223">
            <v>4721.43</v>
          </cell>
          <cell r="K223">
            <v>45086.9</v>
          </cell>
          <cell r="L223">
            <v>866244.83</v>
          </cell>
          <cell r="N223">
            <v>821157.93</v>
          </cell>
        </row>
        <row r="224">
          <cell r="A224" t="str">
            <v>0121</v>
          </cell>
          <cell r="B224" t="str">
            <v>03</v>
          </cell>
          <cell r="C224" t="str">
            <v>35</v>
          </cell>
          <cell r="D224" t="str">
            <v>1</v>
          </cell>
          <cell r="E224" t="str">
            <v>الاهلى يورو23250135732اعتماد11335</v>
          </cell>
          <cell r="G224">
            <v>75198.5</v>
          </cell>
          <cell r="H224">
            <v>1436428.01</v>
          </cell>
          <cell r="J224">
            <v>10596.55</v>
          </cell>
          <cell r="K224">
            <v>75198.5</v>
          </cell>
          <cell r="L224">
            <v>1447024.56</v>
          </cell>
          <cell r="N224">
            <v>1371826.06</v>
          </cell>
        </row>
        <row r="225">
          <cell r="A225" t="str">
            <v>0122</v>
          </cell>
          <cell r="B225" t="str">
            <v>03</v>
          </cell>
          <cell r="C225" t="str">
            <v>35</v>
          </cell>
          <cell r="D225" t="str">
            <v>1</v>
          </cell>
          <cell r="E225" t="str">
            <v>الاهلى يورو23210135731اعتماد11399</v>
          </cell>
          <cell r="G225">
            <v>32344.1</v>
          </cell>
          <cell r="H225">
            <v>652418.93999999994</v>
          </cell>
          <cell r="J225">
            <v>4424.09</v>
          </cell>
          <cell r="K225">
            <v>32344.1</v>
          </cell>
          <cell r="L225">
            <v>656843.03</v>
          </cell>
          <cell r="N225">
            <v>624498.93000000005</v>
          </cell>
        </row>
        <row r="226">
          <cell r="A226" t="str">
            <v>0123</v>
          </cell>
          <cell r="B226" t="str">
            <v>03</v>
          </cell>
          <cell r="C226" t="str">
            <v>35</v>
          </cell>
          <cell r="D226" t="str">
            <v>1</v>
          </cell>
          <cell r="E226" t="str">
            <v>الاهلى جنيه23150135730اعتماد11389</v>
          </cell>
          <cell r="H226">
            <v>404251.78</v>
          </cell>
          <cell r="I226">
            <v>3000</v>
          </cell>
          <cell r="J226">
            <v>3809.04</v>
          </cell>
          <cell r="K226">
            <v>3000</v>
          </cell>
          <cell r="L226">
            <v>408060.82</v>
          </cell>
          <cell r="N226">
            <v>405060.82</v>
          </cell>
        </row>
        <row r="227">
          <cell r="A227" t="str">
            <v>0124</v>
          </cell>
          <cell r="B227" t="str">
            <v>03</v>
          </cell>
          <cell r="C227" t="str">
            <v>35</v>
          </cell>
          <cell r="D227" t="str">
            <v>1</v>
          </cell>
          <cell r="E227" t="str">
            <v>الاهلى يورو23820135733اعتماد306890</v>
          </cell>
          <cell r="H227">
            <v>141356.70000000001</v>
          </cell>
          <cell r="J227">
            <v>698.43</v>
          </cell>
          <cell r="L227">
            <v>142055.13</v>
          </cell>
          <cell r="N227">
            <v>142055.13</v>
          </cell>
        </row>
        <row r="228">
          <cell r="A228" t="str">
            <v>0125</v>
          </cell>
          <cell r="B228" t="str">
            <v>03</v>
          </cell>
          <cell r="C228" t="str">
            <v>35</v>
          </cell>
          <cell r="D228" t="str">
            <v>1</v>
          </cell>
          <cell r="E228" t="str">
            <v>الاهلى يورو23830135731اعتماد306877</v>
          </cell>
          <cell r="H228">
            <v>64912.09</v>
          </cell>
          <cell r="J228">
            <v>324.91000000000003</v>
          </cell>
          <cell r="L228">
            <v>65237</v>
          </cell>
          <cell r="N228">
            <v>65237</v>
          </cell>
        </row>
        <row r="229">
          <cell r="A229" t="str">
            <v>0126</v>
          </cell>
          <cell r="B229" t="str">
            <v>03</v>
          </cell>
          <cell r="C229" t="str">
            <v>35</v>
          </cell>
          <cell r="D229" t="str">
            <v>1</v>
          </cell>
          <cell r="E229" t="str">
            <v>الاهلى يورو23840135739اعتماد306892</v>
          </cell>
          <cell r="H229">
            <v>271049.06</v>
          </cell>
          <cell r="I229">
            <v>135313.32</v>
          </cell>
          <cell r="J229">
            <v>669.59</v>
          </cell>
          <cell r="K229">
            <v>135313.32</v>
          </cell>
          <cell r="L229">
            <v>271718.65000000002</v>
          </cell>
          <cell r="N229">
            <v>136405.32999999999</v>
          </cell>
        </row>
        <row r="230">
          <cell r="A230" t="str">
            <v>0127</v>
          </cell>
          <cell r="B230" t="str">
            <v>03</v>
          </cell>
          <cell r="C230" t="str">
            <v>35</v>
          </cell>
          <cell r="D230" t="str">
            <v>1</v>
          </cell>
          <cell r="E230" t="str">
            <v>الاهلى يورو23850135736اعتماد11335</v>
          </cell>
          <cell r="H230">
            <v>652188.84</v>
          </cell>
          <cell r="J230">
            <v>3779.61</v>
          </cell>
          <cell r="L230">
            <v>655968.44999999995</v>
          </cell>
          <cell r="N230">
            <v>655968.44999999995</v>
          </cell>
        </row>
        <row r="231">
          <cell r="A231" t="str">
            <v>0128</v>
          </cell>
          <cell r="B231" t="str">
            <v>03</v>
          </cell>
          <cell r="C231" t="str">
            <v>35</v>
          </cell>
          <cell r="D231" t="str">
            <v>1</v>
          </cell>
          <cell r="E231" t="str">
            <v>الاهلى يورو23810135735اعتماد306897</v>
          </cell>
          <cell r="H231">
            <v>83197.05</v>
          </cell>
          <cell r="J231">
            <v>411.04</v>
          </cell>
          <cell r="L231">
            <v>83608.09</v>
          </cell>
          <cell r="N231">
            <v>83608.09</v>
          </cell>
        </row>
        <row r="232">
          <cell r="A232" t="str">
            <v>0129</v>
          </cell>
          <cell r="B232" t="str">
            <v>03</v>
          </cell>
          <cell r="C232" t="str">
            <v>35</v>
          </cell>
          <cell r="D232" t="str">
            <v>1</v>
          </cell>
          <cell r="E232" t="str">
            <v>الاهلى يورو23085135733اعتماد11335</v>
          </cell>
          <cell r="J232">
            <v>330915.59000000003</v>
          </cell>
          <cell r="L232">
            <v>330915.59000000003</v>
          </cell>
          <cell r="N232">
            <v>330915.59000000003</v>
          </cell>
        </row>
        <row r="233">
          <cell r="A233" t="str">
            <v>0130</v>
          </cell>
          <cell r="B233" t="str">
            <v>03</v>
          </cell>
          <cell r="C233" t="str">
            <v>35</v>
          </cell>
          <cell r="D233" t="str">
            <v>1</v>
          </cell>
          <cell r="E233" t="str">
            <v>الاهلى يورو23490135732اعتماد11433</v>
          </cell>
          <cell r="J233">
            <v>520295.78</v>
          </cell>
          <cell r="L233">
            <v>520295.78</v>
          </cell>
          <cell r="N233">
            <v>520295.78</v>
          </cell>
        </row>
        <row r="234">
          <cell r="A234" t="str">
            <v>0131</v>
          </cell>
          <cell r="B234" t="str">
            <v>03</v>
          </cell>
          <cell r="C234" t="str">
            <v>35</v>
          </cell>
          <cell r="D234" t="str">
            <v>1</v>
          </cell>
          <cell r="E234" t="str">
            <v>الاهلى يورو23510135738اعتماد306950</v>
          </cell>
          <cell r="J234">
            <v>72080.97</v>
          </cell>
          <cell r="L234">
            <v>72080.97</v>
          </cell>
          <cell r="N234">
            <v>72080.97</v>
          </cell>
        </row>
        <row r="235">
          <cell r="A235" t="str">
            <v>0132</v>
          </cell>
          <cell r="B235" t="str">
            <v>03</v>
          </cell>
          <cell r="C235" t="str">
            <v>35</v>
          </cell>
          <cell r="D235" t="str">
            <v>1</v>
          </cell>
          <cell r="E235" t="str">
            <v>الاهلى يورو23967135736اعتماد11340</v>
          </cell>
          <cell r="J235">
            <v>592268.27</v>
          </cell>
          <cell r="L235">
            <v>592268.27</v>
          </cell>
          <cell r="N235">
            <v>592268.27</v>
          </cell>
        </row>
        <row r="236">
          <cell r="A236" t="str">
            <v>0133</v>
          </cell>
          <cell r="B236" t="str">
            <v>03</v>
          </cell>
          <cell r="C236" t="str">
            <v>35</v>
          </cell>
          <cell r="D236" t="str">
            <v>1</v>
          </cell>
          <cell r="E236" t="str">
            <v>الاهلى يورو23011357302اعتماد1111</v>
          </cell>
          <cell r="J236">
            <v>359531.4</v>
          </cell>
          <cell r="L236">
            <v>359531.4</v>
          </cell>
          <cell r="N236">
            <v>359531.4</v>
          </cell>
        </row>
        <row r="237">
          <cell r="A237" t="str">
            <v>0003</v>
          </cell>
          <cell r="B237" t="str">
            <v>15</v>
          </cell>
          <cell r="C237" t="str">
            <v>35</v>
          </cell>
          <cell r="D237" t="str">
            <v>1</v>
          </cell>
          <cell r="E237" t="str">
            <v>الاهلى المصرى - (ج)استرلينى- 11000135733</v>
          </cell>
          <cell r="G237">
            <v>37094.42</v>
          </cell>
          <cell r="H237">
            <v>37004.47</v>
          </cell>
          <cell r="K237">
            <v>37094.42</v>
          </cell>
          <cell r="L237">
            <v>37004.47</v>
          </cell>
          <cell r="M237">
            <v>89.95</v>
          </cell>
        </row>
        <row r="238">
          <cell r="A238" t="str">
            <v>0001</v>
          </cell>
          <cell r="B238" t="str">
            <v>20</v>
          </cell>
          <cell r="C238" t="str">
            <v>35</v>
          </cell>
          <cell r="D238" t="str">
            <v>1</v>
          </cell>
          <cell r="E238" t="str">
            <v>الأهلي المصري - فرع العريش - جنيه - 0000</v>
          </cell>
          <cell r="F238">
            <v>1502</v>
          </cell>
          <cell r="H238">
            <v>84.5</v>
          </cell>
          <cell r="K238">
            <v>1502</v>
          </cell>
          <cell r="L238">
            <v>84.5</v>
          </cell>
          <cell r="M238">
            <v>1417.5</v>
          </cell>
        </row>
        <row r="239">
          <cell r="A239" t="str">
            <v>0001</v>
          </cell>
          <cell r="B239" t="str">
            <v>35</v>
          </cell>
          <cell r="C239" t="str">
            <v>35</v>
          </cell>
          <cell r="D239" t="str">
            <v>1</v>
          </cell>
          <cell r="E239" t="str">
            <v>الدلتا الدولى - جنيه - 100868/001</v>
          </cell>
          <cell r="G239">
            <v>4620554.1399999997</v>
          </cell>
          <cell r="H239">
            <v>4570354.92</v>
          </cell>
          <cell r="I239">
            <v>921131.85</v>
          </cell>
          <cell r="J239">
            <v>1329.91</v>
          </cell>
          <cell r="K239">
            <v>5541685.9900000002</v>
          </cell>
          <cell r="L239">
            <v>4571684.83</v>
          </cell>
          <cell r="M239">
            <v>970001.16</v>
          </cell>
        </row>
        <row r="240">
          <cell r="A240" t="str">
            <v>0001</v>
          </cell>
          <cell r="B240" t="str">
            <v>36</v>
          </cell>
          <cell r="C240" t="str">
            <v>35</v>
          </cell>
          <cell r="D240" t="str">
            <v>1</v>
          </cell>
          <cell r="E240" t="str">
            <v>الدلتا الدولى - دولار-100868/003</v>
          </cell>
          <cell r="F240">
            <v>493.42</v>
          </cell>
          <cell r="G240">
            <v>13.21</v>
          </cell>
          <cell r="H240">
            <v>25.63</v>
          </cell>
          <cell r="J240">
            <v>54.02</v>
          </cell>
          <cell r="K240">
            <v>506.63</v>
          </cell>
          <cell r="L240">
            <v>79.650000000000006</v>
          </cell>
          <cell r="M240">
            <v>426.98</v>
          </cell>
        </row>
        <row r="241">
          <cell r="A241" t="str">
            <v>0001</v>
          </cell>
          <cell r="B241" t="str">
            <v>37</v>
          </cell>
          <cell r="C241" t="str">
            <v>35</v>
          </cell>
          <cell r="D241" t="str">
            <v>1</v>
          </cell>
          <cell r="E241" t="str">
            <v>الدلتا الدولى - يورو- 100868/005</v>
          </cell>
          <cell r="F241">
            <v>9537.83</v>
          </cell>
          <cell r="G241">
            <v>800.33</v>
          </cell>
          <cell r="H241">
            <v>1063.71</v>
          </cell>
          <cell r="I241">
            <v>14.45</v>
          </cell>
          <cell r="K241">
            <v>10352.61</v>
          </cell>
          <cell r="L241">
            <v>1063.71</v>
          </cell>
          <cell r="M241">
            <v>9288.9</v>
          </cell>
        </row>
        <row r="242">
          <cell r="A242" t="str">
            <v>0001</v>
          </cell>
          <cell r="B242" t="str">
            <v>45</v>
          </cell>
          <cell r="C242" t="str">
            <v>35</v>
          </cell>
          <cell r="D242" t="str">
            <v>1</v>
          </cell>
          <cell r="E242" t="str">
            <v>الاهلى سوسيتيه - جنيه - 150320081010-41</v>
          </cell>
          <cell r="F242">
            <v>250027.32</v>
          </cell>
          <cell r="G242">
            <v>35728735.93</v>
          </cell>
          <cell r="H242">
            <v>35807006.899999999</v>
          </cell>
          <cell r="I242">
            <v>12013502</v>
          </cell>
          <cell r="J242">
            <v>502979.49</v>
          </cell>
          <cell r="K242">
            <v>47992265.25</v>
          </cell>
          <cell r="L242">
            <v>36309986.390000001</v>
          </cell>
          <cell r="M242">
            <v>11682278.859999999</v>
          </cell>
        </row>
        <row r="243">
          <cell r="A243" t="str">
            <v>0002</v>
          </cell>
          <cell r="B243" t="str">
            <v>45</v>
          </cell>
          <cell r="C243" t="str">
            <v>35</v>
          </cell>
          <cell r="D243" t="str">
            <v>1</v>
          </cell>
          <cell r="E243" t="str">
            <v>الاهلى سوسيتيه - جنيه - 150320083018</v>
          </cell>
          <cell r="F243">
            <v>817.45</v>
          </cell>
          <cell r="G243">
            <v>5823936.5800000001</v>
          </cell>
          <cell r="H243">
            <v>5824801.6900000004</v>
          </cell>
          <cell r="J243">
            <v>10.49</v>
          </cell>
          <cell r="K243">
            <v>5824754.0300000003</v>
          </cell>
          <cell r="L243">
            <v>5824812.1799999997</v>
          </cell>
          <cell r="N243">
            <v>58.15</v>
          </cell>
        </row>
        <row r="244">
          <cell r="A244" t="str">
            <v>0001</v>
          </cell>
          <cell r="B244" t="str">
            <v>46</v>
          </cell>
          <cell r="C244" t="str">
            <v>35</v>
          </cell>
          <cell r="D244" t="str">
            <v>1</v>
          </cell>
          <cell r="E244" t="str">
            <v>الاهلى سوسيتيه - دولار- 150320081010-41</v>
          </cell>
          <cell r="F244">
            <v>3249.41</v>
          </cell>
          <cell r="G244">
            <v>95903572.620000005</v>
          </cell>
          <cell r="H244">
            <v>95906180.980000004</v>
          </cell>
          <cell r="I244">
            <v>2501897.9500000002</v>
          </cell>
          <cell r="J244">
            <v>841693.64</v>
          </cell>
          <cell r="K244">
            <v>98408719.980000004</v>
          </cell>
          <cell r="L244">
            <v>96747874.620000005</v>
          </cell>
          <cell r="M244">
            <v>1660845.36</v>
          </cell>
        </row>
        <row r="245">
          <cell r="A245" t="str">
            <v>0001</v>
          </cell>
          <cell r="B245" t="str">
            <v>47</v>
          </cell>
          <cell r="C245" t="str">
            <v>35</v>
          </cell>
          <cell r="D245" t="str">
            <v>1</v>
          </cell>
          <cell r="E245" t="str">
            <v>الاهلى سوسيتيه - يورو 150320081010</v>
          </cell>
          <cell r="F245">
            <v>30765.65</v>
          </cell>
          <cell r="G245">
            <v>5708685.5300000003</v>
          </cell>
          <cell r="H245">
            <v>5706858.21</v>
          </cell>
          <cell r="I245">
            <v>50.76</v>
          </cell>
          <cell r="J245">
            <v>20.12</v>
          </cell>
          <cell r="K245">
            <v>5739501.9400000004</v>
          </cell>
          <cell r="L245">
            <v>5706878.3300000001</v>
          </cell>
          <cell r="M245">
            <v>32623.61</v>
          </cell>
        </row>
        <row r="246">
          <cell r="A246" t="str">
            <v>0001</v>
          </cell>
          <cell r="B246" t="str">
            <v>50</v>
          </cell>
          <cell r="C246" t="str">
            <v>35</v>
          </cell>
          <cell r="D246" t="str">
            <v>1</v>
          </cell>
          <cell r="E246" t="str">
            <v>بنك HSBC  - جنيه - 001- 30424- 005</v>
          </cell>
          <cell r="F246">
            <v>418065.29</v>
          </cell>
          <cell r="G246">
            <v>1197807.55</v>
          </cell>
          <cell r="H246">
            <v>1572528.3</v>
          </cell>
          <cell r="K246">
            <v>1615872.84</v>
          </cell>
          <cell r="L246">
            <v>1572528.3</v>
          </cell>
          <cell r="M246">
            <v>43344.54</v>
          </cell>
        </row>
        <row r="247">
          <cell r="A247" t="str">
            <v>0003</v>
          </cell>
          <cell r="B247" t="str">
            <v>55</v>
          </cell>
          <cell r="C247" t="str">
            <v>35</v>
          </cell>
          <cell r="D247" t="str">
            <v>1</v>
          </cell>
          <cell r="E247" t="str">
            <v>البنك العربي -  جنيه  - 439-411934-5001</v>
          </cell>
          <cell r="F247">
            <v>83341.77</v>
          </cell>
          <cell r="G247">
            <v>315000</v>
          </cell>
          <cell r="H247">
            <v>385798</v>
          </cell>
          <cell r="K247">
            <v>398341.77</v>
          </cell>
          <cell r="L247">
            <v>385798</v>
          </cell>
          <cell r="M247">
            <v>12543.77</v>
          </cell>
        </row>
        <row r="248">
          <cell r="A248" t="str">
            <v>0001</v>
          </cell>
          <cell r="B248" t="str">
            <v>57</v>
          </cell>
          <cell r="C248" t="str">
            <v>35</v>
          </cell>
          <cell r="D248" t="str">
            <v>1</v>
          </cell>
          <cell r="E248" t="str">
            <v>البنك العربي - يورو - 438-411934-5001</v>
          </cell>
          <cell r="F248">
            <v>-44.25</v>
          </cell>
          <cell r="G248">
            <v>5462.05</v>
          </cell>
          <cell r="H248">
            <v>577.41999999999996</v>
          </cell>
          <cell r="K248">
            <v>5462.05</v>
          </cell>
          <cell r="L248">
            <v>621.66999999999996</v>
          </cell>
          <cell r="M248">
            <v>4840.3900000000003</v>
          </cell>
        </row>
        <row r="249">
          <cell r="A249" t="str">
            <v>0001</v>
          </cell>
          <cell r="B249" t="str">
            <v>58</v>
          </cell>
          <cell r="C249" t="str">
            <v>35</v>
          </cell>
          <cell r="D249" t="str">
            <v>1</v>
          </cell>
          <cell r="E249" t="str">
            <v>بنك مصر للمعاملات الدولية 14/37/73138/9</v>
          </cell>
          <cell r="F249">
            <v>9192.1200000000008</v>
          </cell>
          <cell r="H249">
            <v>77</v>
          </cell>
          <cell r="K249">
            <v>9192.1200000000008</v>
          </cell>
          <cell r="L249">
            <v>77</v>
          </cell>
          <cell r="M249">
            <v>9115.1200000000008</v>
          </cell>
        </row>
        <row r="250">
          <cell r="A250" t="str">
            <v>0002</v>
          </cell>
          <cell r="B250" t="str">
            <v>58</v>
          </cell>
          <cell r="C250" t="str">
            <v>35</v>
          </cell>
          <cell r="D250" t="str">
            <v>1</v>
          </cell>
          <cell r="E250" t="str">
            <v>بنك مصر للمعاملات الدولية 192/37/8625/5</v>
          </cell>
          <cell r="F250">
            <v>35798.81</v>
          </cell>
          <cell r="G250">
            <v>840967.47</v>
          </cell>
          <cell r="H250">
            <v>700573.11</v>
          </cell>
          <cell r="I250">
            <v>1452.96</v>
          </cell>
          <cell r="J250">
            <v>50</v>
          </cell>
          <cell r="K250">
            <v>878219.24</v>
          </cell>
          <cell r="L250">
            <v>700623.11</v>
          </cell>
          <cell r="M250">
            <v>177596.13</v>
          </cell>
        </row>
        <row r="251">
          <cell r="A251" t="str">
            <v>0001</v>
          </cell>
          <cell r="B251" t="str">
            <v>59</v>
          </cell>
          <cell r="C251" t="str">
            <v>35</v>
          </cell>
          <cell r="D251" t="str">
            <v>1</v>
          </cell>
          <cell r="E251" t="str">
            <v>البنك التجارى الدولى ح 1850045566 جنية</v>
          </cell>
          <cell r="F251">
            <v>1135835.3400000001</v>
          </cell>
          <cell r="G251">
            <v>88539076.709999993</v>
          </cell>
          <cell r="H251">
            <v>89273224.560000002</v>
          </cell>
          <cell r="I251">
            <v>7966100.3300000001</v>
          </cell>
          <cell r="J251">
            <v>4746354.2300000004</v>
          </cell>
          <cell r="K251">
            <v>97641012.379999995</v>
          </cell>
          <cell r="L251">
            <v>94019578.790000007</v>
          </cell>
          <cell r="M251">
            <v>3621433.59</v>
          </cell>
        </row>
        <row r="252">
          <cell r="A252" t="str">
            <v>0002</v>
          </cell>
          <cell r="B252" t="str">
            <v>59</v>
          </cell>
          <cell r="C252" t="str">
            <v>35</v>
          </cell>
          <cell r="D252" t="str">
            <v>1</v>
          </cell>
          <cell r="E252" t="str">
            <v>البنك التجارى الدولى ح  1850324557 دولار</v>
          </cell>
          <cell r="F252">
            <v>305584.67</v>
          </cell>
          <cell r="G252">
            <v>49189567.369999997</v>
          </cell>
          <cell r="H252">
            <v>49429095.130000003</v>
          </cell>
          <cell r="I252">
            <v>5530535.4900000002</v>
          </cell>
          <cell r="J252">
            <v>5574377.7199999997</v>
          </cell>
          <cell r="K252">
            <v>55025687.530000001</v>
          </cell>
          <cell r="L252">
            <v>55003472.850000001</v>
          </cell>
          <cell r="M252">
            <v>22214.68</v>
          </cell>
        </row>
        <row r="253">
          <cell r="A253" t="str">
            <v>0003</v>
          </cell>
          <cell r="B253" t="str">
            <v>59</v>
          </cell>
          <cell r="C253" t="str">
            <v>35</v>
          </cell>
          <cell r="D253" t="str">
            <v>1</v>
          </cell>
          <cell r="E253" t="str">
            <v>البنك التجارى الدولى ح  1850900349 يورو</v>
          </cell>
          <cell r="F253">
            <v>1721419.18</v>
          </cell>
          <cell r="G253">
            <v>38599284.240000002</v>
          </cell>
          <cell r="H253">
            <v>41832293.909999996</v>
          </cell>
          <cell r="I253">
            <v>1726849.93</v>
          </cell>
          <cell r="J253">
            <v>198744.48</v>
          </cell>
          <cell r="K253">
            <v>42047553.350000001</v>
          </cell>
          <cell r="L253">
            <v>42031038.390000001</v>
          </cell>
          <cell r="M253">
            <v>16514.96</v>
          </cell>
        </row>
        <row r="254">
          <cell r="A254" t="str">
            <v>0001</v>
          </cell>
          <cell r="B254" t="str">
            <v>60</v>
          </cell>
          <cell r="C254" t="str">
            <v>35</v>
          </cell>
          <cell r="D254" t="str">
            <v>1</v>
          </cell>
          <cell r="E254" t="str">
            <v>البنك العربى الافريقى جنيه 5149043931</v>
          </cell>
          <cell r="F254">
            <v>1669.07</v>
          </cell>
          <cell r="G254">
            <v>255465798.40000001</v>
          </cell>
          <cell r="H254">
            <v>254847050.91</v>
          </cell>
          <cell r="I254">
            <v>12360479</v>
          </cell>
          <cell r="J254">
            <v>12694135.199999999</v>
          </cell>
          <cell r="K254">
            <v>267827946.47</v>
          </cell>
          <cell r="L254">
            <v>267541186.11000001</v>
          </cell>
          <cell r="M254">
            <v>286760.36</v>
          </cell>
        </row>
        <row r="255">
          <cell r="A255" t="str">
            <v>0002</v>
          </cell>
          <cell r="B255" t="str">
            <v>60</v>
          </cell>
          <cell r="C255" t="str">
            <v>35</v>
          </cell>
          <cell r="D255" t="str">
            <v>1</v>
          </cell>
          <cell r="E255" t="str">
            <v>البنك العربى الافريقى دولار 5149043931</v>
          </cell>
          <cell r="G255">
            <v>188980852.84999999</v>
          </cell>
          <cell r="H255">
            <v>188741339.05000001</v>
          </cell>
          <cell r="I255">
            <v>29220329.120000001</v>
          </cell>
          <cell r="J255">
            <v>28592821.420000002</v>
          </cell>
          <cell r="K255">
            <v>218201181.97</v>
          </cell>
          <cell r="L255">
            <v>217334160.47</v>
          </cell>
          <cell r="M255">
            <v>867021.5</v>
          </cell>
        </row>
        <row r="256">
          <cell r="A256" t="str">
            <v>0003</v>
          </cell>
          <cell r="B256" t="str">
            <v>60</v>
          </cell>
          <cell r="C256" t="str">
            <v>35</v>
          </cell>
          <cell r="D256" t="str">
            <v>1</v>
          </cell>
          <cell r="E256" t="str">
            <v>البنك العربى الافريقى يورو</v>
          </cell>
          <cell r="G256">
            <v>9089788.7400000002</v>
          </cell>
          <cell r="H256">
            <v>9067586.8000000007</v>
          </cell>
          <cell r="I256">
            <v>147875.68</v>
          </cell>
          <cell r="J256">
            <v>148365.98000000001</v>
          </cell>
          <cell r="K256">
            <v>9237664.4199999999</v>
          </cell>
          <cell r="L256">
            <v>9215952.7799999993</v>
          </cell>
          <cell r="M256">
            <v>21711.64</v>
          </cell>
        </row>
        <row r="257">
          <cell r="A257" t="str">
            <v>0001</v>
          </cell>
          <cell r="B257" t="str">
            <v>61</v>
          </cell>
          <cell r="C257" t="str">
            <v>35</v>
          </cell>
          <cell r="D257" t="str">
            <v>1</v>
          </cell>
          <cell r="E257" t="str">
            <v>البنك السودانى المصرى دينار10029959</v>
          </cell>
          <cell r="F257">
            <v>-286.93</v>
          </cell>
          <cell r="G257">
            <v>88550947.239999995</v>
          </cell>
          <cell r="H257">
            <v>88539578.510000005</v>
          </cell>
          <cell r="I257">
            <v>8342196.5</v>
          </cell>
          <cell r="J257">
            <v>8315087.8099999996</v>
          </cell>
          <cell r="K257">
            <v>96893143.739999995</v>
          </cell>
          <cell r="L257">
            <v>96854953.25</v>
          </cell>
          <cell r="M257">
            <v>38190.49</v>
          </cell>
        </row>
        <row r="258">
          <cell r="A258" t="str">
            <v>0002</v>
          </cell>
          <cell r="B258" t="str">
            <v>61</v>
          </cell>
          <cell r="C258" t="str">
            <v>35</v>
          </cell>
          <cell r="D258" t="str">
            <v>1</v>
          </cell>
          <cell r="E258" t="str">
            <v>البنك السودانى المصرى دولار  10027599</v>
          </cell>
          <cell r="F258">
            <v>2341340.65</v>
          </cell>
          <cell r="G258">
            <v>91653328.219999999</v>
          </cell>
          <cell r="H258">
            <v>93689603.590000004</v>
          </cell>
          <cell r="I258">
            <v>7448731.9500000002</v>
          </cell>
          <cell r="J258">
            <v>7542118.8200000003</v>
          </cell>
          <cell r="K258">
            <v>101443400.81999999</v>
          </cell>
          <cell r="L258">
            <v>101231722.41</v>
          </cell>
          <cell r="M258">
            <v>211678.41</v>
          </cell>
        </row>
        <row r="259">
          <cell r="A259" t="str">
            <v>0001</v>
          </cell>
          <cell r="B259" t="str">
            <v>70</v>
          </cell>
          <cell r="C259" t="str">
            <v>35</v>
          </cell>
          <cell r="D259" t="str">
            <v>1</v>
          </cell>
          <cell r="E259" t="str">
            <v>كريدى اجريكول مصر - ح رقم 1100007237 ج</v>
          </cell>
          <cell r="G259">
            <v>218781.2</v>
          </cell>
          <cell r="H259">
            <v>138808.94</v>
          </cell>
          <cell r="J259">
            <v>39.49</v>
          </cell>
          <cell r="K259">
            <v>218781.2</v>
          </cell>
          <cell r="L259">
            <v>138848.43</v>
          </cell>
          <cell r="M259">
            <v>79932.77</v>
          </cell>
        </row>
        <row r="260">
          <cell r="A260" t="str">
            <v>0001</v>
          </cell>
          <cell r="B260" t="str">
            <v>75</v>
          </cell>
          <cell r="C260" t="str">
            <v>35</v>
          </cell>
          <cell r="D260" t="str">
            <v>1</v>
          </cell>
          <cell r="E260" t="str">
            <v>بنك بيريوس - مصر   15665448 جنيه مصرى</v>
          </cell>
          <cell r="G260">
            <v>26581636.550000001</v>
          </cell>
          <cell r="H260">
            <v>26455823.829999998</v>
          </cell>
          <cell r="I260">
            <v>6400000</v>
          </cell>
          <cell r="J260">
            <v>6520506.5</v>
          </cell>
          <cell r="K260">
            <v>32981636.550000001</v>
          </cell>
          <cell r="L260">
            <v>32976330.329999998</v>
          </cell>
          <cell r="M260">
            <v>5306.22</v>
          </cell>
        </row>
        <row r="261">
          <cell r="A261" t="str">
            <v>0037</v>
          </cell>
          <cell r="B261" t="str">
            <v>01</v>
          </cell>
          <cell r="C261" t="str">
            <v>36</v>
          </cell>
          <cell r="D261" t="str">
            <v>1</v>
          </cell>
          <cell r="E261" t="str">
            <v>ودائع الاهلى المصرى جنيه رقم 50010135733</v>
          </cell>
          <cell r="G261">
            <v>2410000</v>
          </cell>
          <cell r="K261">
            <v>2410000</v>
          </cell>
          <cell r="M261">
            <v>2410000</v>
          </cell>
        </row>
        <row r="262">
          <cell r="A262" t="str">
            <v>0001</v>
          </cell>
          <cell r="B262" t="str">
            <v>03</v>
          </cell>
          <cell r="C262" t="str">
            <v>36</v>
          </cell>
          <cell r="D262" t="str">
            <v>1</v>
          </cell>
          <cell r="E262" t="str">
            <v>وديعه البنك الاهلى جنية رقم 135735</v>
          </cell>
          <cell r="F262">
            <v>8500</v>
          </cell>
          <cell r="K262">
            <v>8500</v>
          </cell>
          <cell r="M262">
            <v>8500</v>
          </cell>
        </row>
        <row r="263">
          <cell r="A263" t="str">
            <v>0001</v>
          </cell>
          <cell r="B263" t="str">
            <v>25</v>
          </cell>
          <cell r="C263" t="str">
            <v>36</v>
          </cell>
          <cell r="D263" t="str">
            <v>1</v>
          </cell>
          <cell r="E263" t="str">
            <v>ودائع لأجل - الدلتا - جنيه -2405051</v>
          </cell>
          <cell r="F263">
            <v>841859.89</v>
          </cell>
          <cell r="H263">
            <v>839876.5</v>
          </cell>
          <cell r="K263">
            <v>841859.89</v>
          </cell>
          <cell r="L263">
            <v>839876.5</v>
          </cell>
          <cell r="M263">
            <v>1983.39</v>
          </cell>
        </row>
        <row r="264">
          <cell r="A264" t="str">
            <v>0009</v>
          </cell>
          <cell r="B264" t="str">
            <v>25</v>
          </cell>
          <cell r="C264" t="str">
            <v>36</v>
          </cell>
          <cell r="D264" t="str">
            <v>1</v>
          </cell>
          <cell r="E264" t="str">
            <v>ودائع لاجل الدلتا جنيه 2109051</v>
          </cell>
          <cell r="F264">
            <v>171536.17</v>
          </cell>
          <cell r="K264">
            <v>171536.17</v>
          </cell>
          <cell r="M264">
            <v>171536.17</v>
          </cell>
        </row>
        <row r="265">
          <cell r="A265" t="str">
            <v>0010</v>
          </cell>
          <cell r="B265" t="str">
            <v>25</v>
          </cell>
          <cell r="C265" t="str">
            <v>36</v>
          </cell>
          <cell r="D265" t="str">
            <v>1</v>
          </cell>
          <cell r="E265" t="str">
            <v>ودائع لاجل الدلتا جنيه 1912051</v>
          </cell>
          <cell r="F265">
            <v>188996.09</v>
          </cell>
          <cell r="H265">
            <v>120123.5</v>
          </cell>
          <cell r="K265">
            <v>188996.09</v>
          </cell>
          <cell r="L265">
            <v>120123.5</v>
          </cell>
          <cell r="M265">
            <v>68872.59</v>
          </cell>
        </row>
        <row r="266">
          <cell r="A266" t="str">
            <v>0001</v>
          </cell>
          <cell r="B266" t="str">
            <v>01</v>
          </cell>
          <cell r="C266" t="str">
            <v>37</v>
          </cell>
          <cell r="D266" t="str">
            <v>1</v>
          </cell>
          <cell r="E266" t="str">
            <v>تحويلات بين البنوك</v>
          </cell>
          <cell r="G266">
            <v>916796395.05999994</v>
          </cell>
          <cell r="H266">
            <v>911871789.91999996</v>
          </cell>
          <cell r="I266">
            <v>63378483.539999999</v>
          </cell>
          <cell r="J266">
            <v>54507538.68</v>
          </cell>
          <cell r="K266">
            <v>980174878.60000002</v>
          </cell>
          <cell r="L266">
            <v>966379328.60000002</v>
          </cell>
          <cell r="M266">
            <v>13795550</v>
          </cell>
        </row>
        <row r="267">
          <cell r="A267" t="str">
            <v>0001</v>
          </cell>
          <cell r="B267" t="str">
            <v>01</v>
          </cell>
          <cell r="C267" t="str">
            <v>38</v>
          </cell>
          <cell r="D267" t="str">
            <v>1</v>
          </cell>
          <cell r="E267" t="str">
            <v>غطاء خطابات ضمان - البنك الأهلي المصري</v>
          </cell>
          <cell r="F267">
            <v>6086370.8200000003</v>
          </cell>
          <cell r="G267">
            <v>2552723.31</v>
          </cell>
          <cell r="H267">
            <v>2014460.77</v>
          </cell>
          <cell r="I267">
            <v>726630.74</v>
          </cell>
          <cell r="J267">
            <v>50732.69</v>
          </cell>
          <cell r="K267">
            <v>9365724.8699999992</v>
          </cell>
          <cell r="L267">
            <v>2065193.46</v>
          </cell>
          <cell r="M267">
            <v>7300531.4100000001</v>
          </cell>
        </row>
        <row r="268">
          <cell r="A268" t="str">
            <v>0002</v>
          </cell>
          <cell r="B268" t="str">
            <v>01</v>
          </cell>
          <cell r="C268" t="str">
            <v>38</v>
          </cell>
          <cell r="D268" t="str">
            <v>1</v>
          </cell>
          <cell r="E268" t="str">
            <v>خطابات ضمان البنك الاهلى - فرع البرج</v>
          </cell>
          <cell r="F268">
            <v>109298.16</v>
          </cell>
          <cell r="G268">
            <v>71707.64</v>
          </cell>
          <cell r="H268">
            <v>135608</v>
          </cell>
          <cell r="K268">
            <v>181005.8</v>
          </cell>
          <cell r="L268">
            <v>135608</v>
          </cell>
          <cell r="M268">
            <v>45397.8</v>
          </cell>
        </row>
        <row r="269">
          <cell r="A269" t="str">
            <v>0001</v>
          </cell>
          <cell r="B269" t="str">
            <v>10</v>
          </cell>
          <cell r="C269" t="str">
            <v>38</v>
          </cell>
          <cell r="D269" t="str">
            <v>1</v>
          </cell>
          <cell r="E269" t="str">
            <v>غطاء خطابات ضمان - بنك الدلتا الدولي</v>
          </cell>
          <cell r="F269">
            <v>246789.75</v>
          </cell>
          <cell r="H269">
            <v>170586.75</v>
          </cell>
          <cell r="K269">
            <v>246789.75</v>
          </cell>
          <cell r="L269">
            <v>170586.75</v>
          </cell>
          <cell r="M269">
            <v>76203</v>
          </cell>
        </row>
        <row r="270">
          <cell r="A270" t="str">
            <v>0001</v>
          </cell>
          <cell r="B270" t="str">
            <v>26</v>
          </cell>
          <cell r="C270" t="str">
            <v>38</v>
          </cell>
          <cell r="D270" t="str">
            <v>1</v>
          </cell>
          <cell r="E270" t="str">
            <v>غطاءات خطابات ضمان -  التجارى الدولى</v>
          </cell>
          <cell r="F270">
            <v>150500</v>
          </cell>
          <cell r="G270">
            <v>61130.27</v>
          </cell>
          <cell r="H270">
            <v>76130.27</v>
          </cell>
          <cell r="J270">
            <v>758.22</v>
          </cell>
          <cell r="K270">
            <v>211630.27</v>
          </cell>
          <cell r="L270">
            <v>76888.490000000005</v>
          </cell>
          <cell r="M270">
            <v>134741.78</v>
          </cell>
        </row>
        <row r="271">
          <cell r="A271" t="str">
            <v>0001</v>
          </cell>
          <cell r="B271" t="str">
            <v>01</v>
          </cell>
          <cell r="C271" t="str">
            <v>90</v>
          </cell>
          <cell r="D271" t="str">
            <v>1</v>
          </cell>
          <cell r="E271" t="str">
            <v>النقدية - المركز الرئيسي - جنيه مصري</v>
          </cell>
          <cell r="F271">
            <v>156138.38</v>
          </cell>
          <cell r="G271">
            <v>10402667.390000001</v>
          </cell>
          <cell r="H271">
            <v>10413178.539999999</v>
          </cell>
          <cell r="I271">
            <v>324383.59000000003</v>
          </cell>
          <cell r="J271">
            <v>383868.5</v>
          </cell>
          <cell r="K271">
            <v>10883189.359999999</v>
          </cell>
          <cell r="L271">
            <v>10797047.039999999</v>
          </cell>
          <cell r="M271">
            <v>86142.32</v>
          </cell>
        </row>
        <row r="272">
          <cell r="A272" t="str">
            <v>0001</v>
          </cell>
          <cell r="B272" t="str">
            <v>60</v>
          </cell>
          <cell r="C272" t="str">
            <v>90</v>
          </cell>
          <cell r="D272" t="str">
            <v>1</v>
          </cell>
          <cell r="E272" t="str">
            <v>عهد عاملين - جنيه مصري</v>
          </cell>
          <cell r="F272">
            <v>1071517.31</v>
          </cell>
          <cell r="G272">
            <v>13464153.17</v>
          </cell>
          <cell r="H272">
            <v>11889928.119999999</v>
          </cell>
          <cell r="I272">
            <v>886743.96</v>
          </cell>
          <cell r="J272">
            <v>1439123.69</v>
          </cell>
          <cell r="K272">
            <v>15422414.439999999</v>
          </cell>
          <cell r="L272">
            <v>13329051.810000001</v>
          </cell>
          <cell r="M272">
            <v>2093362.63</v>
          </cell>
        </row>
        <row r="273">
          <cell r="A273" t="str">
            <v>0002</v>
          </cell>
          <cell r="B273" t="str">
            <v>60</v>
          </cell>
          <cell r="C273" t="str">
            <v>90</v>
          </cell>
          <cell r="D273" t="str">
            <v>1</v>
          </cell>
          <cell r="E273" t="str">
            <v>عهد عاملين - دولار أمريكي</v>
          </cell>
          <cell r="F273">
            <v>121822.14</v>
          </cell>
          <cell r="G273">
            <v>11826126.939999999</v>
          </cell>
          <cell r="H273">
            <v>9453104.0899999999</v>
          </cell>
          <cell r="I273">
            <v>2657074.7999999998</v>
          </cell>
          <cell r="J273">
            <v>2877544.92</v>
          </cell>
          <cell r="K273">
            <v>14605023.880000001</v>
          </cell>
          <cell r="L273">
            <v>12330649.01</v>
          </cell>
          <cell r="M273">
            <v>2274374.87</v>
          </cell>
        </row>
        <row r="274">
          <cell r="A274" t="str">
            <v>0006</v>
          </cell>
          <cell r="B274" t="str">
            <v>60</v>
          </cell>
          <cell r="C274" t="str">
            <v>90</v>
          </cell>
          <cell r="D274" t="str">
            <v>1</v>
          </cell>
          <cell r="E274" t="str">
            <v>عهد عاملين - جنية سودانى</v>
          </cell>
          <cell r="F274">
            <v>1602330.71</v>
          </cell>
          <cell r="G274">
            <v>24221235.890000001</v>
          </cell>
          <cell r="H274">
            <v>19571561.309999999</v>
          </cell>
          <cell r="I274">
            <v>2728950.18</v>
          </cell>
          <cell r="J274">
            <v>4113602.45</v>
          </cell>
          <cell r="K274">
            <v>28552516.780000001</v>
          </cell>
          <cell r="L274">
            <v>23685163.760000002</v>
          </cell>
          <cell r="M274">
            <v>4867353.0199999996</v>
          </cell>
        </row>
        <row r="275">
          <cell r="A275" t="str">
            <v>0001</v>
          </cell>
          <cell r="B275" t="str">
            <v>01</v>
          </cell>
          <cell r="C275" t="str">
            <v>91</v>
          </cell>
          <cell r="D275" t="str">
            <v>1</v>
          </cell>
          <cell r="E275" t="str">
            <v>تحويلات نقدية</v>
          </cell>
          <cell r="F275">
            <v>11592.01</v>
          </cell>
          <cell r="G275">
            <v>58550253.140000001</v>
          </cell>
          <cell r="H275">
            <v>58433395.149999999</v>
          </cell>
          <cell r="I275">
            <v>7258847.4800000004</v>
          </cell>
          <cell r="J275">
            <v>7096448.8799999999</v>
          </cell>
          <cell r="K275">
            <v>65820692.630000003</v>
          </cell>
          <cell r="L275">
            <v>65529844.030000001</v>
          </cell>
          <cell r="M275">
            <v>290848.59999999998</v>
          </cell>
        </row>
        <row r="276">
          <cell r="A276" t="str">
            <v>0001</v>
          </cell>
          <cell r="B276" t="str">
            <v>06</v>
          </cell>
          <cell r="C276" t="str">
            <v>99</v>
          </cell>
          <cell r="D276" t="str">
            <v>1</v>
          </cell>
          <cell r="E276" t="str">
            <v>ضرائب دخل مؤجلة - اصول</v>
          </cell>
          <cell r="F276">
            <v>3900800</v>
          </cell>
          <cell r="K276">
            <v>3900800</v>
          </cell>
          <cell r="M276">
            <v>3900800</v>
          </cell>
        </row>
        <row r="277">
          <cell r="A277" t="str">
            <v>0001</v>
          </cell>
          <cell r="B277" t="str">
            <v>01</v>
          </cell>
          <cell r="C277" t="str">
            <v>01</v>
          </cell>
          <cell r="D277" t="str">
            <v>2</v>
          </cell>
          <cell r="E277" t="str">
            <v>مخصص طواريء</v>
          </cell>
          <cell r="F277">
            <v>-35000000</v>
          </cell>
          <cell r="G277">
            <v>5245179</v>
          </cell>
          <cell r="I277">
            <v>9754821</v>
          </cell>
          <cell r="K277">
            <v>15000000</v>
          </cell>
          <cell r="L277">
            <v>35000000</v>
          </cell>
          <cell r="N277">
            <v>20000000</v>
          </cell>
        </row>
        <row r="278">
          <cell r="A278" t="str">
            <v>0002</v>
          </cell>
          <cell r="B278" t="str">
            <v>01</v>
          </cell>
          <cell r="C278" t="str">
            <v>01</v>
          </cell>
          <cell r="D278" t="str">
            <v>2</v>
          </cell>
          <cell r="E278" t="str">
            <v>مخصص مطالبات</v>
          </cell>
          <cell r="F278">
            <v>-690000</v>
          </cell>
          <cell r="L278">
            <v>690000</v>
          </cell>
          <cell r="N278">
            <v>690000</v>
          </cell>
        </row>
        <row r="279">
          <cell r="A279" t="str">
            <v>0004</v>
          </cell>
          <cell r="B279" t="str">
            <v>01</v>
          </cell>
          <cell r="C279" t="str">
            <v>01</v>
          </cell>
          <cell r="D279" t="str">
            <v>2</v>
          </cell>
          <cell r="E279" t="str">
            <v>مخصص اتمام مشروعات</v>
          </cell>
          <cell r="F279">
            <v>-78468309.530000001</v>
          </cell>
          <cell r="G279">
            <v>69952000.530000001</v>
          </cell>
          <cell r="H279">
            <v>96332923.450000003</v>
          </cell>
          <cell r="K279">
            <v>69952000.530000001</v>
          </cell>
          <cell r="L279">
            <v>174801232.97999999</v>
          </cell>
          <cell r="N279">
            <v>104849232.45</v>
          </cell>
        </row>
        <row r="280">
          <cell r="A280" t="str">
            <v>0007</v>
          </cell>
          <cell r="B280" t="str">
            <v>01</v>
          </cell>
          <cell r="C280" t="str">
            <v>01</v>
          </cell>
          <cell r="D280" t="str">
            <v>2</v>
          </cell>
          <cell r="E280" t="str">
            <v>مخصص اطراف ذات علاقة</v>
          </cell>
          <cell r="F280">
            <v>-20029017.879999999</v>
          </cell>
          <cell r="L280">
            <v>20029017.879999999</v>
          </cell>
          <cell r="N280">
            <v>20029017.879999999</v>
          </cell>
        </row>
        <row r="281">
          <cell r="A281" t="str">
            <v>0003</v>
          </cell>
          <cell r="B281" t="str">
            <v>01</v>
          </cell>
          <cell r="C281" t="str">
            <v>02</v>
          </cell>
          <cell r="D281" t="str">
            <v>2</v>
          </cell>
          <cell r="E281" t="str">
            <v>الاهلى قرض - جنيه 23020135730</v>
          </cell>
          <cell r="F281">
            <v>-22305262.329999998</v>
          </cell>
          <cell r="G281">
            <v>8325719.1900000004</v>
          </cell>
          <cell r="H281">
            <v>427811.89</v>
          </cell>
          <cell r="I281">
            <v>8101590</v>
          </cell>
          <cell r="K281">
            <v>16427309.189999999</v>
          </cell>
          <cell r="L281">
            <v>22733074.219999999</v>
          </cell>
          <cell r="N281">
            <v>6305765.0300000003</v>
          </cell>
        </row>
        <row r="282">
          <cell r="A282" t="str">
            <v>0001</v>
          </cell>
          <cell r="B282" t="str">
            <v>25</v>
          </cell>
          <cell r="C282" t="str">
            <v>02</v>
          </cell>
          <cell r="D282" t="str">
            <v>2</v>
          </cell>
          <cell r="E282" t="str">
            <v>مصر الدولى- قرض- جنيه- 30/22-5527918</v>
          </cell>
          <cell r="F282">
            <v>12194.84</v>
          </cell>
          <cell r="K282">
            <v>12194.84</v>
          </cell>
          <cell r="M282">
            <v>12194.84</v>
          </cell>
        </row>
        <row r="283">
          <cell r="A283" t="str">
            <v>0005</v>
          </cell>
          <cell r="B283" t="str">
            <v>01</v>
          </cell>
          <cell r="C283" t="str">
            <v>05</v>
          </cell>
          <cell r="D283" t="str">
            <v>2</v>
          </cell>
          <cell r="E283" t="str">
            <v>الأهلي المصري -  جنيه - 21010135734</v>
          </cell>
          <cell r="F283">
            <v>-26304282.57</v>
          </cell>
          <cell r="G283">
            <v>11866841.4</v>
          </cell>
          <cell r="H283">
            <v>11866841.4</v>
          </cell>
          <cell r="K283">
            <v>11866841.4</v>
          </cell>
          <cell r="L283">
            <v>38171123.969999999</v>
          </cell>
          <cell r="N283">
            <v>26304282.57</v>
          </cell>
        </row>
        <row r="284">
          <cell r="A284" t="str">
            <v>0003</v>
          </cell>
          <cell r="B284" t="str">
            <v>01</v>
          </cell>
          <cell r="C284" t="str">
            <v>06</v>
          </cell>
          <cell r="D284" t="str">
            <v>2</v>
          </cell>
          <cell r="E284" t="str">
            <v>الأهلي المصري - جنيه- 730 اقساط قروض</v>
          </cell>
          <cell r="F284">
            <v>-9774901.2100000009</v>
          </cell>
          <cell r="G284">
            <v>11034000</v>
          </cell>
          <cell r="H284">
            <v>11073597.359999999</v>
          </cell>
          <cell r="J284">
            <v>8334388.9299999997</v>
          </cell>
          <cell r="K284">
            <v>11034000</v>
          </cell>
          <cell r="L284">
            <v>29182887.5</v>
          </cell>
          <cell r="N284">
            <v>18148887.5</v>
          </cell>
        </row>
        <row r="285">
          <cell r="A285" t="str">
            <v>0005</v>
          </cell>
          <cell r="B285" t="str">
            <v>01</v>
          </cell>
          <cell r="C285" t="str">
            <v>06</v>
          </cell>
          <cell r="D285" t="str">
            <v>2</v>
          </cell>
          <cell r="E285" t="str">
            <v>الأهلي المصري - جنيه- 734 اقساط قروض</v>
          </cell>
          <cell r="F285">
            <v>-6143078.9699999997</v>
          </cell>
          <cell r="G285">
            <v>3525420.7</v>
          </cell>
          <cell r="H285">
            <v>3062230.86</v>
          </cell>
          <cell r="J285">
            <v>307403.43</v>
          </cell>
          <cell r="K285">
            <v>3525420.7</v>
          </cell>
          <cell r="L285">
            <v>9512713.2599999998</v>
          </cell>
          <cell r="N285">
            <v>5987292.5599999996</v>
          </cell>
        </row>
        <row r="286">
          <cell r="A286" t="str">
            <v>0001</v>
          </cell>
          <cell r="B286" t="str">
            <v>59</v>
          </cell>
          <cell r="C286" t="str">
            <v>06</v>
          </cell>
          <cell r="D286" t="str">
            <v>2</v>
          </cell>
          <cell r="E286" t="str">
            <v>بنك CIB - تسهيلات اعتمادات مستندية-جنيه</v>
          </cell>
          <cell r="F286">
            <v>-1289875</v>
          </cell>
          <cell r="G286">
            <v>36561451.259999998</v>
          </cell>
          <cell r="H286">
            <v>37418251.130000003</v>
          </cell>
          <cell r="I286">
            <v>2238906</v>
          </cell>
          <cell r="J286">
            <v>5000000</v>
          </cell>
          <cell r="K286">
            <v>38800357.259999998</v>
          </cell>
          <cell r="L286">
            <v>43708126.130000003</v>
          </cell>
          <cell r="N286">
            <v>4907768.87</v>
          </cell>
        </row>
        <row r="287">
          <cell r="A287" t="str">
            <v>0001</v>
          </cell>
          <cell r="B287" t="str">
            <v>01</v>
          </cell>
          <cell r="C287" t="str">
            <v>09</v>
          </cell>
          <cell r="D287" t="str">
            <v>2</v>
          </cell>
          <cell r="E287" t="str">
            <v>رأس المال المدفوع</v>
          </cell>
          <cell r="F287">
            <v>-111683000</v>
          </cell>
          <cell r="H287">
            <v>88317000</v>
          </cell>
          <cell r="L287">
            <v>200000000</v>
          </cell>
          <cell r="N287">
            <v>200000000</v>
          </cell>
        </row>
        <row r="288">
          <cell r="A288" t="str">
            <v>0001</v>
          </cell>
          <cell r="B288" t="str">
            <v>03</v>
          </cell>
          <cell r="C288" t="str">
            <v>09</v>
          </cell>
          <cell r="D288" t="str">
            <v>2</v>
          </cell>
          <cell r="E288" t="str">
            <v>إحتياطي قانوني</v>
          </cell>
          <cell r="F288">
            <v>-25000000</v>
          </cell>
          <cell r="G288">
            <v>15602710</v>
          </cell>
          <cell r="H288">
            <v>15602710</v>
          </cell>
          <cell r="K288">
            <v>15602710</v>
          </cell>
          <cell r="L288">
            <v>40602710</v>
          </cell>
          <cell r="N288">
            <v>25000000</v>
          </cell>
        </row>
        <row r="289">
          <cell r="A289" t="str">
            <v>0001</v>
          </cell>
          <cell r="B289" t="str">
            <v>04</v>
          </cell>
          <cell r="C289" t="str">
            <v>09</v>
          </cell>
          <cell r="D289" t="str">
            <v>2</v>
          </cell>
          <cell r="E289" t="str">
            <v>أرباح مرحلة</v>
          </cell>
          <cell r="F289">
            <v>14362709.960000001</v>
          </cell>
          <cell r="G289">
            <v>181095207.33000001</v>
          </cell>
          <cell r="H289">
            <v>91196579.120000005</v>
          </cell>
          <cell r="K289">
            <v>195457917.28999999</v>
          </cell>
          <cell r="L289">
            <v>91196579.120000005</v>
          </cell>
          <cell r="M289">
            <v>104261338.17</v>
          </cell>
        </row>
        <row r="290">
          <cell r="A290" t="str">
            <v>0010</v>
          </cell>
          <cell r="B290" t="str">
            <v>01</v>
          </cell>
          <cell r="C290" t="str">
            <v>10</v>
          </cell>
          <cell r="D290" t="str">
            <v>2</v>
          </cell>
          <cell r="E290" t="str">
            <v>الموردين</v>
          </cell>
          <cell r="F290">
            <v>-24676710.399999999</v>
          </cell>
          <cell r="G290">
            <v>744435027.87</v>
          </cell>
          <cell r="H290">
            <v>760814780.53999996</v>
          </cell>
          <cell r="I290">
            <v>182909180.91999999</v>
          </cell>
          <cell r="J290">
            <v>214298341.02000001</v>
          </cell>
          <cell r="K290">
            <v>927344208.78999996</v>
          </cell>
          <cell r="L290">
            <v>999789831.96000004</v>
          </cell>
          <cell r="N290">
            <v>72445623.170000002</v>
          </cell>
        </row>
        <row r="291">
          <cell r="A291" t="str">
            <v>0998</v>
          </cell>
          <cell r="B291" t="str">
            <v>01</v>
          </cell>
          <cell r="C291" t="str">
            <v>10</v>
          </cell>
          <cell r="D291" t="str">
            <v>2</v>
          </cell>
          <cell r="E291" t="str">
            <v>موردون متنوعون</v>
          </cell>
          <cell r="G291">
            <v>5728265.9100000001</v>
          </cell>
          <cell r="H291">
            <v>5728267.2199999997</v>
          </cell>
          <cell r="I291">
            <v>14891866.689999999</v>
          </cell>
          <cell r="J291">
            <v>14887612.08</v>
          </cell>
          <cell r="K291">
            <v>20620132.600000001</v>
          </cell>
          <cell r="L291">
            <v>20615879.300000001</v>
          </cell>
          <cell r="M291">
            <v>4253.3</v>
          </cell>
        </row>
        <row r="292">
          <cell r="A292" t="str">
            <v>0002</v>
          </cell>
          <cell r="B292" t="str">
            <v>15</v>
          </cell>
          <cell r="C292" t="str">
            <v>10</v>
          </cell>
          <cell r="D292" t="str">
            <v>2</v>
          </cell>
          <cell r="E292" t="str">
            <v>اوراق دفع - البنك الاهلى جنيه</v>
          </cell>
          <cell r="F292">
            <v>-17591304.870000001</v>
          </cell>
          <cell r="G292">
            <v>209080233.03</v>
          </cell>
          <cell r="H292">
            <v>197083862.58000001</v>
          </cell>
          <cell r="I292">
            <v>10590032.050000001</v>
          </cell>
          <cell r="J292">
            <v>9165737.0199999996</v>
          </cell>
          <cell r="K292">
            <v>219670265.08000001</v>
          </cell>
          <cell r="L292">
            <v>223840904.47</v>
          </cell>
          <cell r="N292">
            <v>4170639.39</v>
          </cell>
        </row>
        <row r="293">
          <cell r="A293" t="str">
            <v>0004</v>
          </cell>
          <cell r="B293" t="str">
            <v>15</v>
          </cell>
          <cell r="C293" t="str">
            <v>10</v>
          </cell>
          <cell r="D293" t="str">
            <v>2</v>
          </cell>
          <cell r="E293" t="str">
            <v>اوراق دفع - بنك الدلتا</v>
          </cell>
          <cell r="F293">
            <v>-279833.5</v>
          </cell>
          <cell r="G293">
            <v>4255826.99</v>
          </cell>
          <cell r="H293">
            <v>3982255.47</v>
          </cell>
          <cell r="J293">
            <v>950000</v>
          </cell>
          <cell r="K293">
            <v>4255826.99</v>
          </cell>
          <cell r="L293">
            <v>5212088.97</v>
          </cell>
          <cell r="N293">
            <v>956261.98</v>
          </cell>
        </row>
        <row r="294">
          <cell r="A294" t="str">
            <v>0005</v>
          </cell>
          <cell r="B294" t="str">
            <v>15</v>
          </cell>
          <cell r="C294" t="str">
            <v>10</v>
          </cell>
          <cell r="D294" t="str">
            <v>2</v>
          </cell>
          <cell r="E294" t="str">
            <v>اوراق دفع - البنك الاهلى سوستية جنر81010</v>
          </cell>
          <cell r="F294">
            <v>-56927.7</v>
          </cell>
          <cell r="G294">
            <v>8429413.7799999993</v>
          </cell>
          <cell r="H294">
            <v>8476101.1300000008</v>
          </cell>
          <cell r="I294">
            <v>447494.49</v>
          </cell>
          <cell r="J294">
            <v>23854829.239999998</v>
          </cell>
          <cell r="K294">
            <v>8876908.2699999996</v>
          </cell>
          <cell r="L294">
            <v>32387858.07</v>
          </cell>
          <cell r="N294">
            <v>23510949.800000001</v>
          </cell>
        </row>
        <row r="295">
          <cell r="A295" t="str">
            <v>0007</v>
          </cell>
          <cell r="B295" t="str">
            <v>15</v>
          </cell>
          <cell r="C295" t="str">
            <v>10</v>
          </cell>
          <cell r="D295" t="str">
            <v>2</v>
          </cell>
          <cell r="E295" t="str">
            <v>اوراق دفع - البنك العربى جنيه</v>
          </cell>
          <cell r="F295">
            <v>-7035.8</v>
          </cell>
          <cell r="G295">
            <v>5545.8</v>
          </cell>
          <cell r="K295">
            <v>5545.8</v>
          </cell>
          <cell r="L295">
            <v>7035.8</v>
          </cell>
          <cell r="N295">
            <v>1490</v>
          </cell>
        </row>
        <row r="296">
          <cell r="A296" t="str">
            <v>0009</v>
          </cell>
          <cell r="B296" t="str">
            <v>15</v>
          </cell>
          <cell r="C296" t="str">
            <v>10</v>
          </cell>
          <cell r="D296" t="str">
            <v>2</v>
          </cell>
          <cell r="E296" t="str">
            <v>اوراق دفع - البنك التجارى الدولى</v>
          </cell>
          <cell r="F296">
            <v>-707412.35</v>
          </cell>
          <cell r="G296">
            <v>42714343.979999997</v>
          </cell>
          <cell r="H296">
            <v>42829217.479999997</v>
          </cell>
          <cell r="I296">
            <v>2492445.87</v>
          </cell>
          <cell r="J296">
            <v>2853521.11</v>
          </cell>
          <cell r="K296">
            <v>45206789.850000001</v>
          </cell>
          <cell r="L296">
            <v>46390150.939999998</v>
          </cell>
          <cell r="N296">
            <v>1183361.0900000001</v>
          </cell>
        </row>
        <row r="297">
          <cell r="A297" t="str">
            <v>0010</v>
          </cell>
          <cell r="B297" t="str">
            <v>15</v>
          </cell>
          <cell r="C297" t="str">
            <v>10</v>
          </cell>
          <cell r="D297" t="str">
            <v>2</v>
          </cell>
          <cell r="E297" t="str">
            <v>اوراق دفع - البنك العربى الافريقى</v>
          </cell>
          <cell r="F297">
            <v>-599632.38</v>
          </cell>
          <cell r="G297">
            <v>257179379.38999999</v>
          </cell>
          <cell r="H297">
            <v>257672323.94999999</v>
          </cell>
          <cell r="I297">
            <v>12679924.560000001</v>
          </cell>
          <cell r="J297">
            <v>12186716</v>
          </cell>
          <cell r="K297">
            <v>269859303.94999999</v>
          </cell>
          <cell r="L297">
            <v>270458672.32999998</v>
          </cell>
          <cell r="N297">
            <v>599368.38</v>
          </cell>
        </row>
        <row r="298">
          <cell r="A298" t="str">
            <v>0017</v>
          </cell>
          <cell r="B298" t="str">
            <v>15</v>
          </cell>
          <cell r="C298" t="str">
            <v>10</v>
          </cell>
          <cell r="D298" t="str">
            <v>2</v>
          </cell>
          <cell r="E298" t="str">
            <v>اوراق دفع - البنك العربى الافريقى -دولار</v>
          </cell>
          <cell r="G298">
            <v>145003374.46000001</v>
          </cell>
          <cell r="H298">
            <v>145064769.49000001</v>
          </cell>
          <cell r="I298">
            <v>28384796.879999999</v>
          </cell>
          <cell r="J298">
            <v>28494524.850000001</v>
          </cell>
          <cell r="K298">
            <v>173388171.34</v>
          </cell>
          <cell r="L298">
            <v>173559294.34</v>
          </cell>
          <cell r="N298">
            <v>171123</v>
          </cell>
        </row>
        <row r="299">
          <cell r="A299" t="str">
            <v>0018</v>
          </cell>
          <cell r="B299" t="str">
            <v>15</v>
          </cell>
          <cell r="C299" t="str">
            <v>10</v>
          </cell>
          <cell r="D299" t="str">
            <v>2</v>
          </cell>
          <cell r="E299" t="str">
            <v>اوراق دفع - البنك االتجارى الدولى  -دولا</v>
          </cell>
          <cell r="F299">
            <v>-15999.73</v>
          </cell>
          <cell r="G299">
            <v>48867745.18</v>
          </cell>
          <cell r="H299">
            <v>53490785.880000003</v>
          </cell>
          <cell r="I299">
            <v>5533776.2400000002</v>
          </cell>
          <cell r="J299">
            <v>900210.81</v>
          </cell>
          <cell r="K299">
            <v>54401521.420000002</v>
          </cell>
          <cell r="L299">
            <v>54406996.420000002</v>
          </cell>
          <cell r="N299">
            <v>5475</v>
          </cell>
        </row>
        <row r="300">
          <cell r="A300" t="str">
            <v>0021</v>
          </cell>
          <cell r="B300" t="str">
            <v>15</v>
          </cell>
          <cell r="C300" t="str">
            <v>10</v>
          </cell>
          <cell r="D300" t="str">
            <v>2</v>
          </cell>
          <cell r="E300" t="str">
            <v>اوراق دفع - البنك الاهلى دولار</v>
          </cell>
          <cell r="F300">
            <v>-235766.25</v>
          </cell>
          <cell r="G300">
            <v>191747582.84</v>
          </cell>
          <cell r="H300">
            <v>196754796.47</v>
          </cell>
          <cell r="I300">
            <v>3469726.23</v>
          </cell>
          <cell r="J300">
            <v>17466.91</v>
          </cell>
          <cell r="K300">
            <v>195217309.06999999</v>
          </cell>
          <cell r="L300">
            <v>197008029.63</v>
          </cell>
          <cell r="N300">
            <v>1790720.56</v>
          </cell>
        </row>
        <row r="301">
          <cell r="A301" t="str">
            <v>0022</v>
          </cell>
          <cell r="B301" t="str">
            <v>15</v>
          </cell>
          <cell r="C301" t="str">
            <v>10</v>
          </cell>
          <cell r="D301" t="str">
            <v>2</v>
          </cell>
          <cell r="E301" t="str">
            <v>اوراق دفع - البنك الاهلى يورو</v>
          </cell>
          <cell r="F301">
            <v>-245945.89</v>
          </cell>
          <cell r="G301">
            <v>29599731.710000001</v>
          </cell>
          <cell r="H301">
            <v>31814949.84</v>
          </cell>
          <cell r="I301">
            <v>198374.69</v>
          </cell>
          <cell r="J301">
            <v>1084161.92</v>
          </cell>
          <cell r="K301">
            <v>29798106.399999999</v>
          </cell>
          <cell r="L301">
            <v>33145057.649999999</v>
          </cell>
          <cell r="N301">
            <v>3346951.25</v>
          </cell>
        </row>
        <row r="302">
          <cell r="A302" t="str">
            <v>0024</v>
          </cell>
          <cell r="B302" t="str">
            <v>15</v>
          </cell>
          <cell r="C302" t="str">
            <v>10</v>
          </cell>
          <cell r="D302" t="str">
            <v>2</v>
          </cell>
          <cell r="E302" t="str">
            <v>اوراق دفع-بنك سودانى مصرى دينار10029959</v>
          </cell>
          <cell r="F302">
            <v>-32072.48</v>
          </cell>
          <cell r="G302">
            <v>86635613.349999994</v>
          </cell>
          <cell r="H302">
            <v>87594645</v>
          </cell>
          <cell r="I302">
            <v>8449470.6199999992</v>
          </cell>
          <cell r="J302">
            <v>8607561.5700000003</v>
          </cell>
          <cell r="K302">
            <v>95085083.969999999</v>
          </cell>
          <cell r="L302">
            <v>96234279.049999997</v>
          </cell>
          <cell r="N302">
            <v>1149195.08</v>
          </cell>
        </row>
        <row r="303">
          <cell r="A303" t="str">
            <v>0025</v>
          </cell>
          <cell r="B303" t="str">
            <v>15</v>
          </cell>
          <cell r="C303" t="str">
            <v>10</v>
          </cell>
          <cell r="D303" t="str">
            <v>2</v>
          </cell>
          <cell r="E303" t="str">
            <v>اوراق دفع-بنك سودانى مصرى دولار10027599</v>
          </cell>
          <cell r="G303">
            <v>10697618.560000001</v>
          </cell>
          <cell r="H303">
            <v>10684911.76</v>
          </cell>
          <cell r="I303">
            <v>2476567.54</v>
          </cell>
          <cell r="J303">
            <v>2476567.54</v>
          </cell>
          <cell r="K303">
            <v>13174186.1</v>
          </cell>
          <cell r="L303">
            <v>13161479.300000001</v>
          </cell>
          <cell r="M303">
            <v>12706.8</v>
          </cell>
        </row>
        <row r="304">
          <cell r="A304" t="str">
            <v>0026</v>
          </cell>
          <cell r="B304" t="str">
            <v>15</v>
          </cell>
          <cell r="C304" t="str">
            <v>10</v>
          </cell>
          <cell r="D304" t="str">
            <v>2</v>
          </cell>
          <cell r="E304" t="str">
            <v>اوراق دفع-بنك العربى الافريقىيورو</v>
          </cell>
          <cell r="G304">
            <v>9066548.3800000008</v>
          </cell>
          <cell r="H304">
            <v>9066548.3800000008</v>
          </cell>
          <cell r="I304">
            <v>147872.81</v>
          </cell>
          <cell r="J304">
            <v>258170.74</v>
          </cell>
          <cell r="K304">
            <v>9214421.1899999995</v>
          </cell>
          <cell r="L304">
            <v>9324719.1199999992</v>
          </cell>
          <cell r="N304">
            <v>110297.93</v>
          </cell>
        </row>
        <row r="305">
          <cell r="A305" t="str">
            <v>0001</v>
          </cell>
          <cell r="B305" t="str">
            <v>01</v>
          </cell>
          <cell r="C305" t="str">
            <v>15</v>
          </cell>
          <cell r="D305" t="str">
            <v>2</v>
          </cell>
          <cell r="E305" t="str">
            <v>مراقبة الأجور</v>
          </cell>
          <cell r="F305">
            <v>-8235162.9199999999</v>
          </cell>
          <cell r="G305">
            <v>108077332.59999999</v>
          </cell>
          <cell r="H305">
            <v>101199673.72</v>
          </cell>
          <cell r="I305">
            <v>10778782.6</v>
          </cell>
          <cell r="J305">
            <v>9673152.2400000002</v>
          </cell>
          <cell r="K305">
            <v>118856115.2</v>
          </cell>
          <cell r="L305">
            <v>119107988.88</v>
          </cell>
          <cell r="N305">
            <v>251873.68</v>
          </cell>
        </row>
        <row r="306">
          <cell r="A306" t="str">
            <v>0001</v>
          </cell>
          <cell r="B306" t="str">
            <v>07</v>
          </cell>
          <cell r="C306" t="str">
            <v>15</v>
          </cell>
          <cell r="D306" t="str">
            <v>2</v>
          </cell>
          <cell r="E306" t="str">
            <v>مصروفات مستحقة - مرتبات</v>
          </cell>
          <cell r="G306">
            <v>163760.78</v>
          </cell>
          <cell r="H306">
            <v>2647643.7799999998</v>
          </cell>
          <cell r="I306">
            <v>2483883</v>
          </cell>
          <cell r="J306">
            <v>5194941.1399999997</v>
          </cell>
          <cell r="K306">
            <v>2647643.7799999998</v>
          </cell>
          <cell r="L306">
            <v>7842584.9199999999</v>
          </cell>
          <cell r="N306">
            <v>5194941.1399999997</v>
          </cell>
        </row>
        <row r="307">
          <cell r="A307" t="str">
            <v>0002</v>
          </cell>
          <cell r="B307" t="str">
            <v>07</v>
          </cell>
          <cell r="C307" t="str">
            <v>15</v>
          </cell>
          <cell r="D307" t="str">
            <v>2</v>
          </cell>
          <cell r="E307" t="str">
            <v>مصروفات مستحقة -  إيجارات</v>
          </cell>
          <cell r="G307">
            <v>3948494.93</v>
          </cell>
          <cell r="H307">
            <v>5130718.84</v>
          </cell>
          <cell r="I307">
            <v>1182223.9099999999</v>
          </cell>
          <cell r="J307">
            <v>693882.15</v>
          </cell>
          <cell r="K307">
            <v>5130718.84</v>
          </cell>
          <cell r="L307">
            <v>5824600.9900000002</v>
          </cell>
          <cell r="N307">
            <v>693882.15</v>
          </cell>
        </row>
        <row r="308">
          <cell r="A308" t="str">
            <v>0003</v>
          </cell>
          <cell r="B308" t="str">
            <v>07</v>
          </cell>
          <cell r="C308" t="str">
            <v>15</v>
          </cell>
          <cell r="D308" t="str">
            <v>2</v>
          </cell>
          <cell r="E308" t="str">
            <v>مصروفات مستحقة - إيجار سيارات</v>
          </cell>
          <cell r="G308">
            <v>4085149.87</v>
          </cell>
          <cell r="H308">
            <v>4758768.32</v>
          </cell>
          <cell r="I308">
            <v>673618.45</v>
          </cell>
          <cell r="J308">
            <v>406916.15</v>
          </cell>
          <cell r="K308">
            <v>4758768.32</v>
          </cell>
          <cell r="L308">
            <v>5165684.47</v>
          </cell>
          <cell r="N308">
            <v>406916.15</v>
          </cell>
        </row>
        <row r="309">
          <cell r="A309" t="str">
            <v>0004</v>
          </cell>
          <cell r="B309" t="str">
            <v>07</v>
          </cell>
          <cell r="C309" t="str">
            <v>15</v>
          </cell>
          <cell r="D309" t="str">
            <v>2</v>
          </cell>
          <cell r="E309" t="str">
            <v>مصروفات مستحقة - كهرباء</v>
          </cell>
          <cell r="G309">
            <v>200000</v>
          </cell>
          <cell r="H309">
            <v>310000</v>
          </cell>
          <cell r="I309">
            <v>110000</v>
          </cell>
          <cell r="J309">
            <v>110000</v>
          </cell>
          <cell r="K309">
            <v>310000</v>
          </cell>
          <cell r="L309">
            <v>420000</v>
          </cell>
          <cell r="N309">
            <v>110000</v>
          </cell>
        </row>
        <row r="310">
          <cell r="A310" t="str">
            <v>0007</v>
          </cell>
          <cell r="B310" t="str">
            <v>07</v>
          </cell>
          <cell r="C310" t="str">
            <v>15</v>
          </cell>
          <cell r="D310" t="str">
            <v>2</v>
          </cell>
          <cell r="E310" t="str">
            <v>مصروفات مستحقة - عمالة مؤقتة</v>
          </cell>
          <cell r="G310">
            <v>981966</v>
          </cell>
          <cell r="H310">
            <v>1154161.28</v>
          </cell>
          <cell r="I310">
            <v>172195.28</v>
          </cell>
          <cell r="J310">
            <v>350416.07</v>
          </cell>
          <cell r="K310">
            <v>1154161.28</v>
          </cell>
          <cell r="L310">
            <v>1504577.35</v>
          </cell>
          <cell r="N310">
            <v>350416.07</v>
          </cell>
        </row>
        <row r="311">
          <cell r="A311" t="str">
            <v>0008</v>
          </cell>
          <cell r="B311" t="str">
            <v>07</v>
          </cell>
          <cell r="C311" t="str">
            <v>15</v>
          </cell>
          <cell r="D311" t="str">
            <v>2</v>
          </cell>
          <cell r="E311" t="str">
            <v>مصروفات مستحقة - أتعاب مراجعة</v>
          </cell>
          <cell r="G311">
            <v>60000</v>
          </cell>
          <cell r="H311">
            <v>80000</v>
          </cell>
          <cell r="I311">
            <v>20000</v>
          </cell>
          <cell r="J311">
            <v>20000</v>
          </cell>
          <cell r="K311">
            <v>80000</v>
          </cell>
          <cell r="L311">
            <v>100000</v>
          </cell>
          <cell r="N311">
            <v>20000</v>
          </cell>
        </row>
        <row r="312">
          <cell r="A312" t="str">
            <v>0010</v>
          </cell>
          <cell r="B312" t="str">
            <v>07</v>
          </cell>
          <cell r="C312" t="str">
            <v>15</v>
          </cell>
          <cell r="D312" t="str">
            <v>2</v>
          </cell>
          <cell r="E312" t="str">
            <v>مصروفات مستحقة - مستحقات مقاولى باطن</v>
          </cell>
          <cell r="G312">
            <v>1127810530.4300001</v>
          </cell>
          <cell r="H312">
            <v>1462979814.3299999</v>
          </cell>
          <cell r="I312">
            <v>368229469.00999999</v>
          </cell>
          <cell r="J312">
            <v>377242304.97000003</v>
          </cell>
          <cell r="K312">
            <v>1496039999.4400001</v>
          </cell>
          <cell r="L312">
            <v>1840222119.3</v>
          </cell>
          <cell r="N312">
            <v>344182119.86000001</v>
          </cell>
        </row>
        <row r="313">
          <cell r="A313" t="str">
            <v>0012</v>
          </cell>
          <cell r="B313" t="str">
            <v>07</v>
          </cell>
          <cell r="C313" t="str">
            <v>15</v>
          </cell>
          <cell r="D313" t="str">
            <v>2</v>
          </cell>
          <cell r="E313" t="str">
            <v>مصروفات مستحقة - م.اقامة العاملين</v>
          </cell>
          <cell r="G313">
            <v>142810</v>
          </cell>
          <cell r="H313">
            <v>152310</v>
          </cell>
          <cell r="I313">
            <v>9500</v>
          </cell>
          <cell r="J313">
            <v>30000</v>
          </cell>
          <cell r="K313">
            <v>152310</v>
          </cell>
          <cell r="L313">
            <v>182310</v>
          </cell>
          <cell r="N313">
            <v>30000</v>
          </cell>
        </row>
        <row r="314">
          <cell r="A314" t="str">
            <v>0014</v>
          </cell>
          <cell r="B314" t="str">
            <v>07</v>
          </cell>
          <cell r="C314" t="str">
            <v>15</v>
          </cell>
          <cell r="D314" t="str">
            <v>2</v>
          </cell>
          <cell r="E314" t="str">
            <v>مصروفات مستحقة - تامينات مقاولات</v>
          </cell>
          <cell r="G314">
            <v>6452963.6699999999</v>
          </cell>
          <cell r="H314">
            <v>8092775.5700000003</v>
          </cell>
          <cell r="I314">
            <v>1639811.9</v>
          </cell>
          <cell r="J314">
            <v>1677407.97</v>
          </cell>
          <cell r="K314">
            <v>8092775.5700000003</v>
          </cell>
          <cell r="L314">
            <v>9770183.5399999991</v>
          </cell>
          <cell r="N314">
            <v>1677407.97</v>
          </cell>
        </row>
        <row r="315">
          <cell r="A315" t="str">
            <v>0016</v>
          </cell>
          <cell r="B315" t="str">
            <v>07</v>
          </cell>
          <cell r="C315" t="str">
            <v>15</v>
          </cell>
          <cell r="D315" t="str">
            <v>2</v>
          </cell>
          <cell r="E315" t="str">
            <v>مصروفات مستحقة -م.تغذية</v>
          </cell>
          <cell r="G315">
            <v>4823471.91</v>
          </cell>
          <cell r="H315">
            <v>5845751.9100000001</v>
          </cell>
          <cell r="I315">
            <v>1022280</v>
          </cell>
          <cell r="J315">
            <v>1050495.06</v>
          </cell>
          <cell r="K315">
            <v>5845751.9100000001</v>
          </cell>
          <cell r="L315">
            <v>6896246.9699999997</v>
          </cell>
          <cell r="N315">
            <v>1050495.06</v>
          </cell>
        </row>
        <row r="316">
          <cell r="A316" t="str">
            <v>0017</v>
          </cell>
          <cell r="B316" t="str">
            <v>07</v>
          </cell>
          <cell r="C316" t="str">
            <v>15</v>
          </cell>
          <cell r="D316" t="str">
            <v>2</v>
          </cell>
          <cell r="E316" t="str">
            <v>مصروفات مستحقة -وقود</v>
          </cell>
          <cell r="G316">
            <v>294441.58</v>
          </cell>
          <cell r="H316">
            <v>294441.58</v>
          </cell>
          <cell r="J316">
            <v>15266.32</v>
          </cell>
          <cell r="K316">
            <v>294441.58</v>
          </cell>
          <cell r="L316">
            <v>309707.90000000002</v>
          </cell>
          <cell r="N316">
            <v>15266.32</v>
          </cell>
        </row>
        <row r="317">
          <cell r="A317" t="str">
            <v>0019</v>
          </cell>
          <cell r="B317" t="str">
            <v>07</v>
          </cell>
          <cell r="C317" t="str">
            <v>15</v>
          </cell>
          <cell r="D317" t="str">
            <v>2</v>
          </cell>
          <cell r="E317" t="str">
            <v>مصروفات مستحقة -م.علاج</v>
          </cell>
          <cell r="G317">
            <v>285521.12</v>
          </cell>
          <cell r="H317">
            <v>318551.03999999998</v>
          </cell>
          <cell r="I317">
            <v>33029.919999999998</v>
          </cell>
          <cell r="J317">
            <v>21855.96</v>
          </cell>
          <cell r="K317">
            <v>318551.03999999998</v>
          </cell>
          <cell r="L317">
            <v>340407</v>
          </cell>
          <cell r="N317">
            <v>21855.96</v>
          </cell>
        </row>
        <row r="318">
          <cell r="A318" t="str">
            <v>0022</v>
          </cell>
          <cell r="B318" t="str">
            <v>07</v>
          </cell>
          <cell r="C318" t="str">
            <v>15</v>
          </cell>
          <cell r="D318" t="str">
            <v>2</v>
          </cell>
          <cell r="E318" t="str">
            <v>مصروفات مستحقة - شحن وتخليص</v>
          </cell>
          <cell r="G318">
            <v>20932362.600000001</v>
          </cell>
          <cell r="H318">
            <v>31086091.440000001</v>
          </cell>
          <cell r="I318">
            <v>10153728.84</v>
          </cell>
          <cell r="J318">
            <v>10460543.91</v>
          </cell>
          <cell r="K318">
            <v>31086091.440000001</v>
          </cell>
          <cell r="L318">
            <v>41546635.350000001</v>
          </cell>
          <cell r="N318">
            <v>10460543.91</v>
          </cell>
        </row>
        <row r="319">
          <cell r="A319" t="str">
            <v>0999</v>
          </cell>
          <cell r="B319" t="str">
            <v>07</v>
          </cell>
          <cell r="C319" t="str">
            <v>15</v>
          </cell>
          <cell r="D319" t="str">
            <v>2</v>
          </cell>
          <cell r="E319" t="str">
            <v>مصروفات مستحقة - أخرى</v>
          </cell>
          <cell r="F319">
            <v>-40204034.350000001</v>
          </cell>
          <cell r="G319">
            <v>317850506.75999999</v>
          </cell>
          <cell r="H319">
            <v>282830537.62</v>
          </cell>
          <cell r="I319">
            <v>5151249.41</v>
          </cell>
          <cell r="J319">
            <v>6894981.4699999997</v>
          </cell>
          <cell r="K319">
            <v>323001756.17000002</v>
          </cell>
          <cell r="L319">
            <v>329929553.44</v>
          </cell>
          <cell r="N319">
            <v>6927797.2699999996</v>
          </cell>
        </row>
        <row r="320">
          <cell r="A320" t="str">
            <v>0001</v>
          </cell>
          <cell r="B320" t="str">
            <v>15</v>
          </cell>
          <cell r="C320" t="str">
            <v>15</v>
          </cell>
          <cell r="D320" t="str">
            <v>2</v>
          </cell>
          <cell r="E320" t="str">
            <v>عملاء - دفعات مقدمة</v>
          </cell>
          <cell r="F320">
            <v>-78448375.040000007</v>
          </cell>
          <cell r="G320">
            <v>515205097.81999999</v>
          </cell>
          <cell r="H320">
            <v>590896401.86000001</v>
          </cell>
          <cell r="I320">
            <v>15257240.449999999</v>
          </cell>
          <cell r="J320">
            <v>2682135.34</v>
          </cell>
          <cell r="K320">
            <v>530462338.26999998</v>
          </cell>
          <cell r="L320">
            <v>672026912.24000001</v>
          </cell>
          <cell r="N320">
            <v>141564573.97</v>
          </cell>
        </row>
        <row r="321">
          <cell r="A321" t="str">
            <v>0001</v>
          </cell>
          <cell r="B321" t="str">
            <v>20</v>
          </cell>
          <cell r="C321" t="str">
            <v>15</v>
          </cell>
          <cell r="D321" t="str">
            <v>2</v>
          </cell>
          <cell r="E321" t="str">
            <v>تامينات من الغير - مقاولين</v>
          </cell>
          <cell r="F321">
            <v>-4257730</v>
          </cell>
          <cell r="G321">
            <v>32098172.859999999</v>
          </cell>
          <cell r="H321">
            <v>56407836.310000002</v>
          </cell>
          <cell r="I321">
            <v>920774.07</v>
          </cell>
          <cell r="J321">
            <v>5602851.6900000004</v>
          </cell>
          <cell r="K321">
            <v>33018946.93</v>
          </cell>
          <cell r="L321">
            <v>66268418</v>
          </cell>
          <cell r="N321">
            <v>33249471.07</v>
          </cell>
        </row>
        <row r="322">
          <cell r="A322" t="str">
            <v>0003</v>
          </cell>
          <cell r="B322" t="str">
            <v>20</v>
          </cell>
          <cell r="C322" t="str">
            <v>15</v>
          </cell>
          <cell r="D322" t="str">
            <v>2</v>
          </cell>
          <cell r="E322" t="str">
            <v>تامين خرده</v>
          </cell>
          <cell r="F322">
            <v>-4000</v>
          </cell>
          <cell r="G322">
            <v>2000</v>
          </cell>
          <cell r="H322">
            <v>2000</v>
          </cell>
          <cell r="K322">
            <v>2000</v>
          </cell>
          <cell r="L322">
            <v>6000</v>
          </cell>
          <cell r="N322">
            <v>4000</v>
          </cell>
        </row>
        <row r="323">
          <cell r="A323" t="str">
            <v>0004</v>
          </cell>
          <cell r="B323" t="str">
            <v>20</v>
          </cell>
          <cell r="C323" t="str">
            <v>15</v>
          </cell>
          <cell r="D323" t="str">
            <v>2</v>
          </cell>
          <cell r="E323" t="str">
            <v>تامين - تليفون</v>
          </cell>
          <cell r="F323">
            <v>-10009.299999999999</v>
          </cell>
          <cell r="G323">
            <v>3130</v>
          </cell>
          <cell r="H323">
            <v>680</v>
          </cell>
          <cell r="I323">
            <v>132</v>
          </cell>
          <cell r="K323">
            <v>3262</v>
          </cell>
          <cell r="L323">
            <v>10689.3</v>
          </cell>
          <cell r="N323">
            <v>7427.3</v>
          </cell>
        </row>
        <row r="324">
          <cell r="A324" t="str">
            <v>0005</v>
          </cell>
          <cell r="B324" t="str">
            <v>20</v>
          </cell>
          <cell r="C324" t="str">
            <v>15</v>
          </cell>
          <cell r="D324" t="str">
            <v>2</v>
          </cell>
          <cell r="E324" t="str">
            <v>تامينات من الغير - مناقصات</v>
          </cell>
          <cell r="F324">
            <v>-122475</v>
          </cell>
          <cell r="G324">
            <v>295498</v>
          </cell>
          <cell r="H324">
            <v>331743</v>
          </cell>
          <cell r="K324">
            <v>295498</v>
          </cell>
          <cell r="L324">
            <v>454218</v>
          </cell>
          <cell r="N324">
            <v>158720</v>
          </cell>
        </row>
        <row r="325">
          <cell r="A325" t="str">
            <v>0001</v>
          </cell>
          <cell r="B325" t="str">
            <v>25</v>
          </cell>
          <cell r="C325" t="str">
            <v>15</v>
          </cell>
          <cell r="D325" t="str">
            <v>2</v>
          </cell>
          <cell r="E325" t="str">
            <v>مصلحة  الضرائب - ض كسب عمل</v>
          </cell>
          <cell r="F325">
            <v>-1749191.14</v>
          </cell>
          <cell r="G325">
            <v>8109008.7599999998</v>
          </cell>
          <cell r="H325">
            <v>8212949.4900000002</v>
          </cell>
          <cell r="I325">
            <v>1853131.87</v>
          </cell>
          <cell r="J325">
            <v>752617</v>
          </cell>
          <cell r="K325">
            <v>9962140.6300000008</v>
          </cell>
          <cell r="L325">
            <v>10714757.630000001</v>
          </cell>
          <cell r="N325">
            <v>752617</v>
          </cell>
        </row>
        <row r="326">
          <cell r="A326" t="str">
            <v>0002</v>
          </cell>
          <cell r="B326" t="str">
            <v>25</v>
          </cell>
          <cell r="C326" t="str">
            <v>15</v>
          </cell>
          <cell r="D326" t="str">
            <v>2</v>
          </cell>
          <cell r="E326" t="str">
            <v>مصلحة  الضرائب - ضرائب  مخصومة من المنبع</v>
          </cell>
          <cell r="F326">
            <v>-483337.4</v>
          </cell>
          <cell r="G326">
            <v>1421199.56</v>
          </cell>
          <cell r="H326">
            <v>1181645.93</v>
          </cell>
          <cell r="I326">
            <v>272.5</v>
          </cell>
          <cell r="J326">
            <v>110473.82</v>
          </cell>
          <cell r="K326">
            <v>1421472.06</v>
          </cell>
          <cell r="L326">
            <v>1775457.15</v>
          </cell>
          <cell r="N326">
            <v>353985.09</v>
          </cell>
        </row>
        <row r="327">
          <cell r="A327" t="str">
            <v>0004</v>
          </cell>
          <cell r="B327" t="str">
            <v>25</v>
          </cell>
          <cell r="C327" t="str">
            <v>15</v>
          </cell>
          <cell r="D327" t="str">
            <v>2</v>
          </cell>
          <cell r="E327" t="str">
            <v>مصلحة  الضرائب - ضرائب مبيعات</v>
          </cell>
          <cell r="F327">
            <v>-1876764.41</v>
          </cell>
          <cell r="G327">
            <v>14803663.16</v>
          </cell>
          <cell r="H327">
            <v>9169212.75</v>
          </cell>
          <cell r="I327">
            <v>706864.88</v>
          </cell>
          <cell r="J327">
            <v>408406.87</v>
          </cell>
          <cell r="K327">
            <v>15510528.039999999</v>
          </cell>
          <cell r="L327">
            <v>11454384.029999999</v>
          </cell>
          <cell r="M327">
            <v>4056144.01</v>
          </cell>
        </row>
        <row r="328">
          <cell r="A328" t="str">
            <v>0001</v>
          </cell>
          <cell r="B328" t="str">
            <v>30</v>
          </cell>
          <cell r="C328" t="str">
            <v>15</v>
          </cell>
          <cell r="D328" t="str">
            <v>2</v>
          </cell>
          <cell r="E328" t="str">
            <v>هيئة التأمينات الإجتماعية - 15 مايو</v>
          </cell>
          <cell r="F328">
            <v>-1041489.43</v>
          </cell>
          <cell r="G328">
            <v>7983101.3799999999</v>
          </cell>
          <cell r="H328">
            <v>7863441</v>
          </cell>
          <cell r="I328">
            <v>987335</v>
          </cell>
          <cell r="J328">
            <v>985316</v>
          </cell>
          <cell r="K328">
            <v>8970436.3800000008</v>
          </cell>
          <cell r="L328">
            <v>9890246.4299999997</v>
          </cell>
          <cell r="N328">
            <v>919810.05</v>
          </cell>
        </row>
        <row r="329">
          <cell r="A329" t="str">
            <v>0002</v>
          </cell>
          <cell r="B329" t="str">
            <v>30</v>
          </cell>
          <cell r="C329" t="str">
            <v>15</v>
          </cell>
          <cell r="D329" t="str">
            <v>2</v>
          </cell>
          <cell r="E329" t="str">
            <v>هيئة التأمينات الإجتماعية - العاشر</v>
          </cell>
          <cell r="F329">
            <v>23627.87</v>
          </cell>
          <cell r="G329">
            <v>5526</v>
          </cell>
          <cell r="H329">
            <v>31004.9</v>
          </cell>
          <cell r="J329">
            <v>688</v>
          </cell>
          <cell r="K329">
            <v>29153.87</v>
          </cell>
          <cell r="L329">
            <v>31692.9</v>
          </cell>
          <cell r="N329">
            <v>2539.0300000000002</v>
          </cell>
        </row>
        <row r="330">
          <cell r="A330" t="str">
            <v>0007</v>
          </cell>
          <cell r="B330" t="str">
            <v>35</v>
          </cell>
          <cell r="C330" t="str">
            <v>15</v>
          </cell>
          <cell r="D330" t="str">
            <v>2</v>
          </cell>
          <cell r="E330" t="str">
            <v>مكتب تامينات العريش</v>
          </cell>
          <cell r="F330">
            <v>-23853.439999999999</v>
          </cell>
          <cell r="G330">
            <v>4113270.57</v>
          </cell>
          <cell r="H330">
            <v>4088986.43</v>
          </cell>
          <cell r="I330">
            <v>368562</v>
          </cell>
          <cell r="J330">
            <v>368562</v>
          </cell>
          <cell r="K330">
            <v>4481832.57</v>
          </cell>
          <cell r="L330">
            <v>4481401.87</v>
          </cell>
          <cell r="M330">
            <v>430.7</v>
          </cell>
        </row>
        <row r="331">
          <cell r="A331" t="str">
            <v>0015</v>
          </cell>
          <cell r="B331" t="str">
            <v>35</v>
          </cell>
          <cell r="C331" t="str">
            <v>15</v>
          </cell>
          <cell r="D331" t="str">
            <v>2</v>
          </cell>
          <cell r="E331" t="str">
            <v>مكتب تامينات مقاولات العاشر من رمضان</v>
          </cell>
          <cell r="G331">
            <v>5127</v>
          </cell>
          <cell r="K331">
            <v>5127</v>
          </cell>
          <cell r="M331">
            <v>5127</v>
          </cell>
        </row>
        <row r="332">
          <cell r="A332" t="str">
            <v>0016</v>
          </cell>
          <cell r="B332" t="str">
            <v>35</v>
          </cell>
          <cell r="C332" t="str">
            <v>15</v>
          </cell>
          <cell r="D332" t="str">
            <v>2</v>
          </cell>
          <cell r="E332" t="str">
            <v>تامينات مقاولات - طلخا والكريمات</v>
          </cell>
          <cell r="F332">
            <v>-50806.6</v>
          </cell>
          <cell r="G332">
            <v>4529.04</v>
          </cell>
          <cell r="H332">
            <v>36805.25</v>
          </cell>
          <cell r="K332">
            <v>4529.04</v>
          </cell>
          <cell r="L332">
            <v>87611.85</v>
          </cell>
          <cell r="N332">
            <v>83082.81</v>
          </cell>
        </row>
        <row r="333">
          <cell r="A333" t="str">
            <v>0001</v>
          </cell>
          <cell r="B333" t="str">
            <v>50</v>
          </cell>
          <cell r="C333" t="str">
            <v>15</v>
          </cell>
          <cell r="D333" t="str">
            <v>2</v>
          </cell>
          <cell r="E333" t="str">
            <v>ارصدة دائنة تحت التسوية</v>
          </cell>
          <cell r="F333">
            <v>-30187.4</v>
          </cell>
          <cell r="G333">
            <v>44676582.829999998</v>
          </cell>
          <cell r="H333">
            <v>57123248.259999998</v>
          </cell>
          <cell r="I333">
            <v>1033807.1</v>
          </cell>
          <cell r="J333">
            <v>3593550.06</v>
          </cell>
          <cell r="K333">
            <v>45710389.93</v>
          </cell>
          <cell r="L333">
            <v>60746985.719999999</v>
          </cell>
          <cell r="N333">
            <v>15036595.789999999</v>
          </cell>
        </row>
        <row r="334">
          <cell r="A334" t="str">
            <v>0001</v>
          </cell>
          <cell r="B334" t="str">
            <v>60</v>
          </cell>
          <cell r="C334" t="str">
            <v>15</v>
          </cell>
          <cell r="D334" t="str">
            <v>2</v>
          </cell>
          <cell r="E334" t="str">
            <v>دائنو توزيعات</v>
          </cell>
          <cell r="F334">
            <v>-3265939.57</v>
          </cell>
          <cell r="G334">
            <v>1241557</v>
          </cell>
          <cell r="H334">
            <v>1240000</v>
          </cell>
          <cell r="K334">
            <v>1241557</v>
          </cell>
          <cell r="L334">
            <v>4505939.57</v>
          </cell>
          <cell r="N334">
            <v>3264382.57</v>
          </cell>
        </row>
        <row r="335">
          <cell r="A335" t="str">
            <v>0003</v>
          </cell>
          <cell r="B335" t="str">
            <v>60</v>
          </cell>
          <cell r="C335" t="str">
            <v>15</v>
          </cell>
          <cell r="D335" t="str">
            <v>2</v>
          </cell>
          <cell r="E335" t="str">
            <v>صندوق تمويل التدريب العاملين</v>
          </cell>
          <cell r="F335">
            <v>-125434</v>
          </cell>
          <cell r="L335">
            <v>125434</v>
          </cell>
          <cell r="N335">
            <v>125434</v>
          </cell>
        </row>
        <row r="336">
          <cell r="A336" t="str">
            <v>0002</v>
          </cell>
          <cell r="B336" t="str">
            <v>90</v>
          </cell>
          <cell r="C336" t="str">
            <v>15</v>
          </cell>
          <cell r="D336" t="str">
            <v>2</v>
          </cell>
          <cell r="E336" t="str">
            <v>مستحقات العاملين</v>
          </cell>
          <cell r="F336">
            <v>-1652</v>
          </cell>
          <cell r="G336">
            <v>301535.18</v>
          </cell>
          <cell r="H336">
            <v>690744.01</v>
          </cell>
          <cell r="I336">
            <v>18366.2</v>
          </cell>
          <cell r="J336">
            <v>33662.25</v>
          </cell>
          <cell r="K336">
            <v>319901.38</v>
          </cell>
          <cell r="L336">
            <v>726058.26</v>
          </cell>
          <cell r="N336">
            <v>406156.88</v>
          </cell>
        </row>
        <row r="337">
          <cell r="A337" t="str">
            <v>0004</v>
          </cell>
          <cell r="B337" t="str">
            <v>90</v>
          </cell>
          <cell r="C337" t="str">
            <v>15</v>
          </cell>
          <cell r="D337" t="str">
            <v>2</v>
          </cell>
          <cell r="E337" t="str">
            <v>موردين تحت التسوية - مخازن</v>
          </cell>
          <cell r="F337">
            <v>-13334963.699999999</v>
          </cell>
          <cell r="G337">
            <v>12522552.5</v>
          </cell>
          <cell r="H337">
            <v>975601.08</v>
          </cell>
          <cell r="K337">
            <v>12522552.5</v>
          </cell>
          <cell r="L337">
            <v>14310564.779999999</v>
          </cell>
          <cell r="N337">
            <v>1788012.28</v>
          </cell>
        </row>
        <row r="338">
          <cell r="A338" t="str">
            <v>0006</v>
          </cell>
          <cell r="B338" t="str">
            <v>90</v>
          </cell>
          <cell r="C338" t="str">
            <v>15</v>
          </cell>
          <cell r="D338" t="str">
            <v>2</v>
          </cell>
          <cell r="E338" t="str">
            <v>حصيلة جزاءات</v>
          </cell>
          <cell r="F338">
            <v>-284914.32</v>
          </cell>
          <cell r="H338">
            <v>105158</v>
          </cell>
          <cell r="J338">
            <v>19238</v>
          </cell>
          <cell r="L338">
            <v>409310.32</v>
          </cell>
          <cell r="N338">
            <v>409310.32</v>
          </cell>
        </row>
        <row r="339">
          <cell r="A339" t="str">
            <v>0008</v>
          </cell>
          <cell r="B339" t="str">
            <v>90</v>
          </cell>
          <cell r="C339" t="str">
            <v>15</v>
          </cell>
          <cell r="D339" t="str">
            <v>2</v>
          </cell>
          <cell r="E339" t="str">
            <v>امانات عاملين</v>
          </cell>
          <cell r="F339">
            <v>-18320.64</v>
          </cell>
          <cell r="L339">
            <v>18320.64</v>
          </cell>
          <cell r="N339">
            <v>18320.64</v>
          </cell>
        </row>
        <row r="340">
          <cell r="A340" t="str">
            <v>0009</v>
          </cell>
          <cell r="B340" t="str">
            <v>90</v>
          </cell>
          <cell r="C340" t="str">
            <v>15</v>
          </cell>
          <cell r="D340" t="str">
            <v>2</v>
          </cell>
          <cell r="E340" t="str">
            <v>مستحقات العاملين - تحت التسوية</v>
          </cell>
          <cell r="G340">
            <v>40695.949999999997</v>
          </cell>
          <cell r="H340">
            <v>40695.25</v>
          </cell>
          <cell r="I340">
            <v>36605.980000000003</v>
          </cell>
          <cell r="K340">
            <v>77301.929999999993</v>
          </cell>
          <cell r="L340">
            <v>40695.25</v>
          </cell>
          <cell r="M340">
            <v>36606.68</v>
          </cell>
        </row>
        <row r="341">
          <cell r="A341" t="str">
            <v>0001</v>
          </cell>
          <cell r="B341" t="str">
            <v>06</v>
          </cell>
          <cell r="C341" t="str">
            <v>25</v>
          </cell>
          <cell r="D341" t="str">
            <v>2</v>
          </cell>
          <cell r="E341" t="str">
            <v>جاري شركات شقيقة - المتحدة للمسابك</v>
          </cell>
          <cell r="F341">
            <v>-32571.17</v>
          </cell>
          <cell r="G341">
            <v>8047113.7300000004</v>
          </cell>
          <cell r="H341">
            <v>8575878.5899999999</v>
          </cell>
          <cell r="J341">
            <v>3007066.42</v>
          </cell>
          <cell r="K341">
            <v>8047113.7300000004</v>
          </cell>
          <cell r="L341">
            <v>11615516.18</v>
          </cell>
          <cell r="N341">
            <v>3568402.45</v>
          </cell>
        </row>
        <row r="342">
          <cell r="A342" t="str">
            <v>0004</v>
          </cell>
          <cell r="B342" t="str">
            <v>06</v>
          </cell>
          <cell r="C342" t="str">
            <v>25</v>
          </cell>
          <cell r="D342" t="str">
            <v>2</v>
          </cell>
          <cell r="E342" t="str">
            <v>جاري شركات شقيقة - أسنبرو</v>
          </cell>
          <cell r="F342">
            <v>-2380324.13</v>
          </cell>
          <cell r="G342">
            <v>264398.7</v>
          </cell>
          <cell r="H342">
            <v>414194.7</v>
          </cell>
          <cell r="I342">
            <v>5182.5</v>
          </cell>
          <cell r="K342">
            <v>269581.2</v>
          </cell>
          <cell r="L342">
            <v>2794518.83</v>
          </cell>
          <cell r="N342">
            <v>2524937.63</v>
          </cell>
        </row>
        <row r="343">
          <cell r="A343" t="str">
            <v>0009</v>
          </cell>
          <cell r="B343" t="str">
            <v>06</v>
          </cell>
          <cell r="C343" t="str">
            <v>25</v>
          </cell>
          <cell r="D343" t="str">
            <v>2</v>
          </cell>
          <cell r="E343" t="str">
            <v>الشركة الوطنية للتنمية و التجارة</v>
          </cell>
          <cell r="F343">
            <v>8345949.0599999996</v>
          </cell>
          <cell r="G343">
            <v>31994</v>
          </cell>
          <cell r="H343">
            <v>2907627.01</v>
          </cell>
          <cell r="J343">
            <v>12283426.970000001</v>
          </cell>
          <cell r="K343">
            <v>8377943.0599999996</v>
          </cell>
          <cell r="L343">
            <v>15191053.98</v>
          </cell>
          <cell r="N343">
            <v>6813110.9199999999</v>
          </cell>
        </row>
        <row r="344">
          <cell r="A344" t="str">
            <v>0015</v>
          </cell>
          <cell r="B344" t="str">
            <v>06</v>
          </cell>
          <cell r="C344" t="str">
            <v>25</v>
          </cell>
          <cell r="D344" t="str">
            <v>2</v>
          </cell>
          <cell r="E344" t="str">
            <v>الشركة العربية الوطنيه للاسمنت</v>
          </cell>
          <cell r="I344">
            <v>4057476.4</v>
          </cell>
          <cell r="K344">
            <v>4057476.4</v>
          </cell>
          <cell r="M344">
            <v>4057476.4</v>
          </cell>
        </row>
        <row r="345">
          <cell r="A345" t="str">
            <v>0016</v>
          </cell>
          <cell r="B345" t="str">
            <v>06</v>
          </cell>
          <cell r="C345" t="str">
            <v>25</v>
          </cell>
          <cell r="D345" t="str">
            <v>2</v>
          </cell>
          <cell r="E345" t="str">
            <v>شركة اسيك الجزائر للاسمنت</v>
          </cell>
          <cell r="I345">
            <v>9740048</v>
          </cell>
          <cell r="J345">
            <v>8000000</v>
          </cell>
          <cell r="K345">
            <v>9740048</v>
          </cell>
          <cell r="L345">
            <v>8000000</v>
          </cell>
          <cell r="M345">
            <v>1740048</v>
          </cell>
        </row>
        <row r="346">
          <cell r="A346" t="str">
            <v>0001</v>
          </cell>
          <cell r="B346" t="str">
            <v>06</v>
          </cell>
          <cell r="C346" t="str">
            <v>99</v>
          </cell>
          <cell r="D346" t="str">
            <v>2</v>
          </cell>
          <cell r="E346" t="str">
            <v>ضرائب دخل مؤجلة - التزامات</v>
          </cell>
          <cell r="F346">
            <v>-4395306</v>
          </cell>
          <cell r="G346">
            <v>550269</v>
          </cell>
          <cell r="H346">
            <v>4142866</v>
          </cell>
          <cell r="I346">
            <v>695196</v>
          </cell>
          <cell r="J346">
            <v>95468</v>
          </cell>
          <cell r="K346">
            <v>1245465</v>
          </cell>
          <cell r="L346">
            <v>8633640</v>
          </cell>
          <cell r="N346">
            <v>7388175</v>
          </cell>
        </row>
        <row r="347">
          <cell r="A347" t="str">
            <v>0001</v>
          </cell>
          <cell r="B347" t="str">
            <v>01</v>
          </cell>
          <cell r="C347" t="str">
            <v>01</v>
          </cell>
          <cell r="D347" t="str">
            <v>3</v>
          </cell>
          <cell r="E347" t="str">
            <v>مصروفات إهلاك - مباني</v>
          </cell>
          <cell r="G347">
            <v>5069255.5599999996</v>
          </cell>
          <cell r="I347">
            <v>662044.14</v>
          </cell>
          <cell r="K347">
            <v>5731299.7000000002</v>
          </cell>
          <cell r="M347">
            <v>5731299.7000000002</v>
          </cell>
        </row>
        <row r="348">
          <cell r="A348" t="str">
            <v>0001</v>
          </cell>
          <cell r="B348" t="str">
            <v>02</v>
          </cell>
          <cell r="C348" t="str">
            <v>01</v>
          </cell>
          <cell r="D348" t="str">
            <v>3</v>
          </cell>
          <cell r="E348" t="str">
            <v>مصروفات إهلاك - آلات ومعدات</v>
          </cell>
          <cell r="G348">
            <v>3852728.1</v>
          </cell>
          <cell r="I348">
            <v>511673.55</v>
          </cell>
          <cell r="K348">
            <v>4364401.6500000004</v>
          </cell>
          <cell r="M348">
            <v>4364401.6500000004</v>
          </cell>
        </row>
        <row r="349">
          <cell r="A349" t="str">
            <v>0001</v>
          </cell>
          <cell r="B349" t="str">
            <v>03</v>
          </cell>
          <cell r="C349" t="str">
            <v>01</v>
          </cell>
          <cell r="D349" t="str">
            <v>3</v>
          </cell>
          <cell r="E349" t="str">
            <v>مصروفات إهلاك - معدات نقل - أوناش</v>
          </cell>
          <cell r="G349">
            <v>6895898.5300000003</v>
          </cell>
          <cell r="I349">
            <v>944680</v>
          </cell>
          <cell r="K349">
            <v>7840578.5300000003</v>
          </cell>
          <cell r="M349">
            <v>7840578.5300000003</v>
          </cell>
        </row>
        <row r="350">
          <cell r="A350" t="str">
            <v>0001</v>
          </cell>
          <cell r="B350" t="str">
            <v>04</v>
          </cell>
          <cell r="C350" t="str">
            <v>01</v>
          </cell>
          <cell r="D350" t="str">
            <v>3</v>
          </cell>
          <cell r="E350" t="str">
            <v>مصروفات إهلاك - معدات نقل - سيارات نقل</v>
          </cell>
          <cell r="G350">
            <v>684257.82</v>
          </cell>
          <cell r="I350">
            <v>91145.75</v>
          </cell>
          <cell r="K350">
            <v>775403.57</v>
          </cell>
          <cell r="M350">
            <v>775403.57</v>
          </cell>
        </row>
        <row r="351">
          <cell r="A351" t="str">
            <v>0001</v>
          </cell>
          <cell r="B351" t="str">
            <v>05</v>
          </cell>
          <cell r="C351" t="str">
            <v>01</v>
          </cell>
          <cell r="D351" t="str">
            <v>3</v>
          </cell>
          <cell r="E351" t="str">
            <v>مصروفات إهلاك - سيارات</v>
          </cell>
          <cell r="G351">
            <v>140797.32</v>
          </cell>
          <cell r="I351">
            <v>17599.669999999998</v>
          </cell>
          <cell r="K351">
            <v>158396.98000000001</v>
          </cell>
          <cell r="M351">
            <v>158396.98000000001</v>
          </cell>
        </row>
        <row r="352">
          <cell r="A352" t="str">
            <v>0001</v>
          </cell>
          <cell r="B352" t="str">
            <v>06</v>
          </cell>
          <cell r="C352" t="str">
            <v>01</v>
          </cell>
          <cell r="D352" t="str">
            <v>3</v>
          </cell>
          <cell r="E352" t="str">
            <v>مصروفات إهلاك - وسائل نقل نهرى</v>
          </cell>
          <cell r="G352">
            <v>95352.57</v>
          </cell>
          <cell r="I352">
            <v>11919.07</v>
          </cell>
          <cell r="K352">
            <v>107271.64</v>
          </cell>
          <cell r="M352">
            <v>107271.64</v>
          </cell>
        </row>
        <row r="353">
          <cell r="A353" t="str">
            <v>0001</v>
          </cell>
          <cell r="B353" t="str">
            <v>07</v>
          </cell>
          <cell r="C353" t="str">
            <v>01</v>
          </cell>
          <cell r="D353" t="str">
            <v>3</v>
          </cell>
          <cell r="E353" t="str">
            <v>مصروفات إهلاك - عدد وأدوات</v>
          </cell>
          <cell r="G353">
            <v>996901.38</v>
          </cell>
          <cell r="I353">
            <v>164394.25</v>
          </cell>
          <cell r="K353">
            <v>1161295.6299999999</v>
          </cell>
          <cell r="M353">
            <v>1161295.6299999999</v>
          </cell>
        </row>
        <row r="354">
          <cell r="A354" t="str">
            <v>0001</v>
          </cell>
          <cell r="B354" t="str">
            <v>08</v>
          </cell>
          <cell r="C354" t="str">
            <v>01</v>
          </cell>
          <cell r="D354" t="str">
            <v>3</v>
          </cell>
          <cell r="E354" t="str">
            <v>مصروفات إهلاك - أدوات أمان ومكافحة حرائق</v>
          </cell>
          <cell r="G354">
            <v>2484.83</v>
          </cell>
          <cell r="I354">
            <v>310.60000000000002</v>
          </cell>
          <cell r="K354">
            <v>2795.43</v>
          </cell>
          <cell r="M354">
            <v>2795.43</v>
          </cell>
        </row>
        <row r="355">
          <cell r="A355" t="str">
            <v>0001</v>
          </cell>
          <cell r="B355" t="str">
            <v>09</v>
          </cell>
          <cell r="C355" t="str">
            <v>01</v>
          </cell>
          <cell r="D355" t="str">
            <v>3</v>
          </cell>
          <cell r="E355" t="str">
            <v>مصروفات إهلاك - أثاث وأجهزة مكتبية</v>
          </cell>
          <cell r="G355">
            <v>529813.62</v>
          </cell>
          <cell r="H355">
            <v>61</v>
          </cell>
          <cell r="I355">
            <v>71453.53</v>
          </cell>
          <cell r="K355">
            <v>601267.15</v>
          </cell>
          <cell r="L355">
            <v>61</v>
          </cell>
          <cell r="M355">
            <v>601206.15</v>
          </cell>
        </row>
        <row r="356">
          <cell r="A356" t="str">
            <v>0001</v>
          </cell>
          <cell r="B356" t="str">
            <v>10</v>
          </cell>
          <cell r="C356" t="str">
            <v>01</v>
          </cell>
          <cell r="D356" t="str">
            <v>3</v>
          </cell>
          <cell r="E356" t="str">
            <v>مصروفات إهلاك - أجهزة كمبيوتر</v>
          </cell>
          <cell r="G356">
            <v>675657.25</v>
          </cell>
          <cell r="I356">
            <v>91882.55</v>
          </cell>
          <cell r="K356">
            <v>767539.8</v>
          </cell>
          <cell r="M356">
            <v>767539.8</v>
          </cell>
        </row>
        <row r="357">
          <cell r="A357" t="str">
            <v>0001</v>
          </cell>
          <cell r="B357" t="str">
            <v>11</v>
          </cell>
          <cell r="C357" t="str">
            <v>01</v>
          </cell>
          <cell r="D357" t="str">
            <v>3</v>
          </cell>
          <cell r="E357" t="str">
            <v>مصروفات إهلاك - أجهزة كمبيوتر - برامج</v>
          </cell>
          <cell r="G357">
            <v>287058.96000000002</v>
          </cell>
          <cell r="I357">
            <v>36017.949999999997</v>
          </cell>
          <cell r="K357">
            <v>323076.90999999997</v>
          </cell>
          <cell r="M357">
            <v>323076.90999999997</v>
          </cell>
        </row>
        <row r="358">
          <cell r="A358" t="str">
            <v>0001</v>
          </cell>
          <cell r="B358" t="str">
            <v>01</v>
          </cell>
          <cell r="C358" t="str">
            <v>01</v>
          </cell>
          <cell r="D358" t="str">
            <v>4</v>
          </cell>
          <cell r="E358" t="str">
            <v>إيرادات المشروعات</v>
          </cell>
          <cell r="G358">
            <v>86554389.569999993</v>
          </cell>
          <cell r="H358">
            <v>883996327.58000004</v>
          </cell>
          <cell r="J358">
            <v>74432634.030000001</v>
          </cell>
          <cell r="K358">
            <v>86554389.569999993</v>
          </cell>
          <cell r="L358">
            <v>958428961.61000001</v>
          </cell>
          <cell r="N358">
            <v>871874572.03999996</v>
          </cell>
        </row>
        <row r="359">
          <cell r="A359" t="str">
            <v>0010</v>
          </cell>
          <cell r="B359" t="str">
            <v>02</v>
          </cell>
          <cell r="C359" t="str">
            <v>01</v>
          </cell>
          <cell r="D359" t="str">
            <v>4</v>
          </cell>
          <cell r="E359" t="str">
            <v>إيرادات التركيبات -  إيجار أوناش</v>
          </cell>
          <cell r="H359">
            <v>300</v>
          </cell>
          <cell r="L359">
            <v>300</v>
          </cell>
          <cell r="N359">
            <v>300</v>
          </cell>
        </row>
        <row r="360">
          <cell r="A360" t="str">
            <v>0001</v>
          </cell>
          <cell r="B360" t="str">
            <v>03</v>
          </cell>
          <cell r="C360" t="str">
            <v>01</v>
          </cell>
          <cell r="D360" t="str">
            <v>4</v>
          </cell>
          <cell r="E360" t="str">
            <v>إيرادات تصنيع - مصنعات</v>
          </cell>
          <cell r="G360">
            <v>128131.4</v>
          </cell>
          <cell r="H360">
            <v>7994836.7000000002</v>
          </cell>
          <cell r="J360">
            <v>1664666.5</v>
          </cell>
          <cell r="K360">
            <v>128131.4</v>
          </cell>
          <cell r="L360">
            <v>9659503.1999999993</v>
          </cell>
          <cell r="N360">
            <v>9531371.8000000007</v>
          </cell>
        </row>
        <row r="361">
          <cell r="A361" t="str">
            <v>0001</v>
          </cell>
          <cell r="B361" t="str">
            <v>01</v>
          </cell>
          <cell r="C361" t="str">
            <v>03</v>
          </cell>
          <cell r="D361" t="str">
            <v>4</v>
          </cell>
          <cell r="E361" t="str">
            <v>مردودات مبيعات - مشروعات</v>
          </cell>
          <cell r="G361">
            <v>3025438.39</v>
          </cell>
          <cell r="I361">
            <v>64488.6</v>
          </cell>
          <cell r="K361">
            <v>3089926.99</v>
          </cell>
          <cell r="M361">
            <v>3089926.99</v>
          </cell>
        </row>
        <row r="362">
          <cell r="A362" t="str">
            <v>0005</v>
          </cell>
          <cell r="B362" t="str">
            <v>01</v>
          </cell>
          <cell r="C362" t="str">
            <v>01</v>
          </cell>
          <cell r="D362" t="str">
            <v>5</v>
          </cell>
          <cell r="E362" t="str">
            <v>تكلفة المشروعات - مصنعات التبين</v>
          </cell>
          <cell r="G362">
            <v>694059092.67999995</v>
          </cell>
          <cell r="H362">
            <v>722964292.55999994</v>
          </cell>
          <cell r="I362">
            <v>147069661.34999999</v>
          </cell>
          <cell r="J362">
            <v>146874015.59</v>
          </cell>
          <cell r="K362">
            <v>841128754.02999997</v>
          </cell>
          <cell r="L362">
            <v>869838308.14999998</v>
          </cell>
          <cell r="N362">
            <v>28709554.120000001</v>
          </cell>
        </row>
        <row r="363">
          <cell r="A363" t="str">
            <v>0006</v>
          </cell>
          <cell r="B363" t="str">
            <v>01</v>
          </cell>
          <cell r="C363" t="str">
            <v>01</v>
          </cell>
          <cell r="D363" t="str">
            <v>5</v>
          </cell>
          <cell r="E363" t="str">
            <v>تكلفة المشروعات - م . التصنيع الاخرى</v>
          </cell>
          <cell r="G363">
            <v>9032978.4199999999</v>
          </cell>
          <cell r="H363">
            <v>8958271.7599999998</v>
          </cell>
          <cell r="I363">
            <v>967725.45</v>
          </cell>
          <cell r="J363">
            <v>967725.46</v>
          </cell>
          <cell r="K363">
            <v>10000703.869999999</v>
          </cell>
          <cell r="L363">
            <v>9925997.2200000007</v>
          </cell>
          <cell r="M363">
            <v>74706.649999999994</v>
          </cell>
        </row>
        <row r="364">
          <cell r="A364" t="str">
            <v>0007</v>
          </cell>
          <cell r="B364" t="str">
            <v>01</v>
          </cell>
          <cell r="C364" t="str">
            <v>01</v>
          </cell>
          <cell r="D364" t="str">
            <v>5</v>
          </cell>
          <cell r="E364" t="str">
            <v>ت  المشروعات من مصروفات ادارات المشروعات</v>
          </cell>
          <cell r="G364">
            <v>6300426.6299999999</v>
          </cell>
          <cell r="H364">
            <v>6375133.2999999998</v>
          </cell>
          <cell r="I364">
            <v>898993.39</v>
          </cell>
          <cell r="J364">
            <v>898993.39</v>
          </cell>
          <cell r="K364">
            <v>7199420.0199999996</v>
          </cell>
          <cell r="L364">
            <v>7274126.6900000004</v>
          </cell>
          <cell r="N364">
            <v>74706.67</v>
          </cell>
        </row>
        <row r="365">
          <cell r="A365" t="str">
            <v>0008</v>
          </cell>
          <cell r="B365" t="str">
            <v>01</v>
          </cell>
          <cell r="C365" t="str">
            <v>01</v>
          </cell>
          <cell r="D365" t="str">
            <v>5</v>
          </cell>
          <cell r="E365" t="str">
            <v>تكلفة المشروعات - تكلفة ورشة المشروعات</v>
          </cell>
          <cell r="G365">
            <v>3121776.34</v>
          </cell>
          <cell r="H365">
            <v>4065660.58</v>
          </cell>
          <cell r="I365">
            <v>353355.25</v>
          </cell>
          <cell r="J365">
            <v>353355.25</v>
          </cell>
          <cell r="K365">
            <v>3475131.59</v>
          </cell>
          <cell r="L365">
            <v>4419015.83</v>
          </cell>
          <cell r="N365">
            <v>943884.24</v>
          </cell>
        </row>
        <row r="366">
          <cell r="A366" t="str">
            <v>0001</v>
          </cell>
          <cell r="B366" t="str">
            <v>02</v>
          </cell>
          <cell r="C366" t="str">
            <v>01</v>
          </cell>
          <cell r="D366" t="str">
            <v>5</v>
          </cell>
          <cell r="E366" t="str">
            <v>تكلفة المشروعات - ادارة التركيبات</v>
          </cell>
          <cell r="G366">
            <v>8203167.0499999998</v>
          </cell>
          <cell r="H366">
            <v>8203510.79</v>
          </cell>
          <cell r="I366">
            <v>774067.68</v>
          </cell>
          <cell r="J366">
            <v>774067.67</v>
          </cell>
          <cell r="K366">
            <v>8977234.7300000004</v>
          </cell>
          <cell r="L366">
            <v>8977578.4600000009</v>
          </cell>
          <cell r="N366">
            <v>343.73</v>
          </cell>
        </row>
        <row r="367">
          <cell r="A367" t="str">
            <v>0001</v>
          </cell>
          <cell r="B367" t="str">
            <v>50</v>
          </cell>
          <cell r="C367" t="str">
            <v>01</v>
          </cell>
          <cell r="D367" t="str">
            <v>5</v>
          </cell>
          <cell r="E367" t="str">
            <v>خامات - مخزن التبين</v>
          </cell>
          <cell r="G367">
            <v>103897389.36</v>
          </cell>
          <cell r="H367">
            <v>4327429.46</v>
          </cell>
          <cell r="I367">
            <v>13017806.4</v>
          </cell>
          <cell r="J367">
            <v>6478544.0300000003</v>
          </cell>
          <cell r="K367">
            <v>116915195.76000001</v>
          </cell>
          <cell r="L367">
            <v>10805973.49</v>
          </cell>
          <cell r="M367">
            <v>106109222.27</v>
          </cell>
        </row>
        <row r="368">
          <cell r="A368" t="str">
            <v>0002</v>
          </cell>
          <cell r="B368" t="str">
            <v>50</v>
          </cell>
          <cell r="C368" t="str">
            <v>01</v>
          </cell>
          <cell r="D368" t="str">
            <v>5</v>
          </cell>
          <cell r="E368" t="str">
            <v>قطع غيار ومهمات التبين</v>
          </cell>
          <cell r="G368">
            <v>15486144.52</v>
          </cell>
          <cell r="H368">
            <v>5293.08</v>
          </cell>
          <cell r="I368">
            <v>1320406.2</v>
          </cell>
          <cell r="K368">
            <v>16806550.719999999</v>
          </cell>
          <cell r="L368">
            <v>5293.08</v>
          </cell>
          <cell r="M368">
            <v>16801257.640000001</v>
          </cell>
        </row>
        <row r="369">
          <cell r="A369" t="str">
            <v>0003</v>
          </cell>
          <cell r="B369" t="str">
            <v>50</v>
          </cell>
          <cell r="C369" t="str">
            <v>01</v>
          </cell>
          <cell r="D369" t="str">
            <v>5</v>
          </cell>
          <cell r="E369" t="str">
            <v>قطع غيار ومهمات الرئيسى</v>
          </cell>
          <cell r="G369">
            <v>4318937.24</v>
          </cell>
          <cell r="H369">
            <v>1620767.36</v>
          </cell>
          <cell r="I369">
            <v>92446.77</v>
          </cell>
          <cell r="J369">
            <v>530</v>
          </cell>
          <cell r="K369">
            <v>4411384.01</v>
          </cell>
          <cell r="L369">
            <v>1621297.36</v>
          </cell>
          <cell r="M369">
            <v>2790086.65</v>
          </cell>
        </row>
        <row r="370">
          <cell r="A370" t="str">
            <v>0004</v>
          </cell>
          <cell r="B370" t="str">
            <v>50</v>
          </cell>
          <cell r="C370" t="str">
            <v>01</v>
          </cell>
          <cell r="D370" t="str">
            <v>5</v>
          </cell>
          <cell r="E370" t="str">
            <v>قطع غيار  التركيبات</v>
          </cell>
          <cell r="G370">
            <v>36478.14</v>
          </cell>
          <cell r="H370">
            <v>18002.740000000002</v>
          </cell>
          <cell r="K370">
            <v>36478.14</v>
          </cell>
          <cell r="L370">
            <v>18002.740000000002</v>
          </cell>
          <cell r="M370">
            <v>18475.400000000001</v>
          </cell>
        </row>
        <row r="371">
          <cell r="A371" t="str">
            <v>0005</v>
          </cell>
          <cell r="B371" t="str">
            <v>50</v>
          </cell>
          <cell r="C371" t="str">
            <v>01</v>
          </cell>
          <cell r="D371" t="str">
            <v>5</v>
          </cell>
          <cell r="E371" t="str">
            <v>ادوات كتابية الرئيسى</v>
          </cell>
          <cell r="G371">
            <v>742562.39</v>
          </cell>
          <cell r="H371">
            <v>10303.58</v>
          </cell>
          <cell r="I371">
            <v>91325.32</v>
          </cell>
          <cell r="K371">
            <v>833887.71</v>
          </cell>
          <cell r="L371">
            <v>10303.58</v>
          </cell>
          <cell r="M371">
            <v>823584.13</v>
          </cell>
        </row>
        <row r="372">
          <cell r="A372" t="str">
            <v>0014</v>
          </cell>
          <cell r="B372" t="str">
            <v>50</v>
          </cell>
          <cell r="C372" t="str">
            <v>01</v>
          </cell>
          <cell r="D372" t="str">
            <v>5</v>
          </cell>
          <cell r="E372" t="str">
            <v>قطع غيار مخزن القومية</v>
          </cell>
          <cell r="G372">
            <v>8369.23</v>
          </cell>
          <cell r="H372">
            <v>292.5</v>
          </cell>
          <cell r="I372">
            <v>1950.1</v>
          </cell>
          <cell r="K372">
            <v>10319.33</v>
          </cell>
          <cell r="L372">
            <v>292.5</v>
          </cell>
          <cell r="M372">
            <v>10026.83</v>
          </cell>
        </row>
        <row r="373">
          <cell r="A373" t="str">
            <v>0017</v>
          </cell>
          <cell r="B373" t="str">
            <v>50</v>
          </cell>
          <cell r="C373" t="str">
            <v>01</v>
          </cell>
          <cell r="D373" t="str">
            <v>5</v>
          </cell>
          <cell r="E373" t="str">
            <v>مخزن طره</v>
          </cell>
          <cell r="G373">
            <v>31169.07</v>
          </cell>
          <cell r="K373">
            <v>31169.07</v>
          </cell>
          <cell r="M373">
            <v>31169.07</v>
          </cell>
        </row>
        <row r="374">
          <cell r="A374" t="str">
            <v>0025</v>
          </cell>
          <cell r="B374" t="str">
            <v>50</v>
          </cell>
          <cell r="C374" t="str">
            <v>01</v>
          </cell>
          <cell r="D374" t="str">
            <v>5</v>
          </cell>
          <cell r="E374" t="str">
            <v>قطع غيار ومهمات - مخزن حلوان</v>
          </cell>
          <cell r="G374">
            <v>2665.67</v>
          </cell>
          <cell r="K374">
            <v>2665.67</v>
          </cell>
          <cell r="M374">
            <v>2665.67</v>
          </cell>
        </row>
        <row r="375">
          <cell r="A375" t="str">
            <v>0033</v>
          </cell>
          <cell r="B375" t="str">
            <v>50</v>
          </cell>
          <cell r="C375" t="str">
            <v>01</v>
          </cell>
          <cell r="D375" t="str">
            <v>5</v>
          </cell>
          <cell r="E375" t="str">
            <v>مخزن ق غ مطار القاهرة</v>
          </cell>
          <cell r="G375">
            <v>394222.82</v>
          </cell>
          <cell r="I375">
            <v>33.29</v>
          </cell>
          <cell r="K375">
            <v>394256.11</v>
          </cell>
          <cell r="M375">
            <v>394256.11</v>
          </cell>
        </row>
        <row r="376">
          <cell r="A376" t="str">
            <v>0035</v>
          </cell>
          <cell r="B376" t="str">
            <v>50</v>
          </cell>
          <cell r="C376" t="str">
            <v>01</v>
          </cell>
          <cell r="D376" t="str">
            <v>5</v>
          </cell>
          <cell r="E376" t="str">
            <v>ق غ مخزن سماد السويس</v>
          </cell>
          <cell r="G376">
            <v>135422.75</v>
          </cell>
          <cell r="H376">
            <v>8242.18</v>
          </cell>
          <cell r="K376">
            <v>135422.75</v>
          </cell>
          <cell r="L376">
            <v>8242.18</v>
          </cell>
          <cell r="M376">
            <v>127180.57</v>
          </cell>
        </row>
        <row r="377">
          <cell r="A377" t="str">
            <v>0040</v>
          </cell>
          <cell r="B377" t="str">
            <v>50</v>
          </cell>
          <cell r="C377" t="str">
            <v>01</v>
          </cell>
          <cell r="D377" t="str">
            <v>5</v>
          </cell>
          <cell r="E377" t="str">
            <v>ق غ مخزن طلخا</v>
          </cell>
          <cell r="G377">
            <v>355041.3</v>
          </cell>
          <cell r="H377">
            <v>27322.57</v>
          </cell>
          <cell r="K377">
            <v>355041.3</v>
          </cell>
          <cell r="L377">
            <v>27322.57</v>
          </cell>
          <cell r="M377">
            <v>327718.73</v>
          </cell>
        </row>
        <row r="378">
          <cell r="A378" t="str">
            <v>0042</v>
          </cell>
          <cell r="B378" t="str">
            <v>50</v>
          </cell>
          <cell r="C378" t="str">
            <v>01</v>
          </cell>
          <cell r="D378" t="str">
            <v>5</v>
          </cell>
          <cell r="E378" t="str">
            <v>ق غ السيارات والمعدات</v>
          </cell>
          <cell r="G378">
            <v>5568505.5099999998</v>
          </cell>
          <cell r="H378">
            <v>2083303.81</v>
          </cell>
          <cell r="I378">
            <v>709631.39</v>
          </cell>
          <cell r="J378">
            <v>210633.44</v>
          </cell>
          <cell r="K378">
            <v>6278136.9000000004</v>
          </cell>
          <cell r="L378">
            <v>2293937.25</v>
          </cell>
          <cell r="M378">
            <v>3984199.65</v>
          </cell>
        </row>
        <row r="379">
          <cell r="A379" t="str">
            <v>0043</v>
          </cell>
          <cell r="B379" t="str">
            <v>50</v>
          </cell>
          <cell r="C379" t="str">
            <v>01</v>
          </cell>
          <cell r="D379" t="str">
            <v>5</v>
          </cell>
          <cell r="E379" t="str">
            <v>ق.غ اسمنت الرمادى خط - 2</v>
          </cell>
          <cell r="G379">
            <v>51345863.159999996</v>
          </cell>
          <cell r="H379">
            <v>31056433.969999999</v>
          </cell>
          <cell r="I379">
            <v>166746.07999999999</v>
          </cell>
          <cell r="J379">
            <v>194049.84</v>
          </cell>
          <cell r="K379">
            <v>51512609.240000002</v>
          </cell>
          <cell r="L379">
            <v>31250483.809999999</v>
          </cell>
          <cell r="M379">
            <v>20262125.43</v>
          </cell>
        </row>
        <row r="380">
          <cell r="A380" t="str">
            <v>0044</v>
          </cell>
          <cell r="B380" t="str">
            <v>50</v>
          </cell>
          <cell r="C380" t="str">
            <v>01</v>
          </cell>
          <cell r="D380" t="str">
            <v>5</v>
          </cell>
          <cell r="E380" t="str">
            <v>مخزن ق غ كهرباء الكريمات</v>
          </cell>
          <cell r="G380">
            <v>225813</v>
          </cell>
          <cell r="I380">
            <v>3344.36</v>
          </cell>
          <cell r="K380">
            <v>229157.36</v>
          </cell>
          <cell r="M380">
            <v>229157.36</v>
          </cell>
        </row>
        <row r="381">
          <cell r="A381" t="str">
            <v>0046</v>
          </cell>
          <cell r="B381" t="str">
            <v>50</v>
          </cell>
          <cell r="C381" t="str">
            <v>01</v>
          </cell>
          <cell r="D381" t="str">
            <v>5</v>
          </cell>
          <cell r="E381" t="str">
            <v>مخزن خامات الرئيسى</v>
          </cell>
          <cell r="G381">
            <v>657771.96</v>
          </cell>
          <cell r="H381">
            <v>674830.34</v>
          </cell>
          <cell r="I381">
            <v>51353.22</v>
          </cell>
          <cell r="K381">
            <v>709125.17</v>
          </cell>
          <cell r="L381">
            <v>674830.34</v>
          </cell>
          <cell r="M381">
            <v>34294.83</v>
          </cell>
        </row>
        <row r="382">
          <cell r="A382" t="str">
            <v>0047</v>
          </cell>
          <cell r="B382" t="str">
            <v>50</v>
          </cell>
          <cell r="C382" t="str">
            <v>01</v>
          </cell>
          <cell r="D382" t="str">
            <v>5</v>
          </cell>
          <cell r="E382" t="str">
            <v>مخزن ق غ السودان</v>
          </cell>
          <cell r="G382">
            <v>3575686.34</v>
          </cell>
          <cell r="H382">
            <v>451980.36</v>
          </cell>
          <cell r="I382">
            <v>448644.72</v>
          </cell>
          <cell r="K382">
            <v>4024331.06</v>
          </cell>
          <cell r="L382">
            <v>451980.36</v>
          </cell>
          <cell r="M382">
            <v>3572350.7</v>
          </cell>
        </row>
        <row r="383">
          <cell r="A383" t="str">
            <v>0048</v>
          </cell>
          <cell r="B383" t="str">
            <v>50</v>
          </cell>
          <cell r="C383" t="str">
            <v>01</v>
          </cell>
          <cell r="D383" t="str">
            <v>5</v>
          </cell>
          <cell r="E383" t="str">
            <v>مخزن كربونات الكالسيوم</v>
          </cell>
          <cell r="G383">
            <v>49209523.210000001</v>
          </cell>
          <cell r="H383">
            <v>12849599.960000001</v>
          </cell>
          <cell r="I383">
            <v>118181.33</v>
          </cell>
          <cell r="J383">
            <v>24291.439999999999</v>
          </cell>
          <cell r="K383">
            <v>49327704.549999997</v>
          </cell>
          <cell r="L383">
            <v>12873891.4</v>
          </cell>
          <cell r="M383">
            <v>36453813.149999999</v>
          </cell>
        </row>
        <row r="384">
          <cell r="A384" t="str">
            <v>0049</v>
          </cell>
          <cell r="B384" t="str">
            <v>50</v>
          </cell>
          <cell r="C384" t="str">
            <v>01</v>
          </cell>
          <cell r="D384" t="str">
            <v>5</v>
          </cell>
          <cell r="E384" t="str">
            <v>مخزن التكامل - السودان</v>
          </cell>
          <cell r="G384">
            <v>5732026.1500000004</v>
          </cell>
          <cell r="H384">
            <v>3027155.65</v>
          </cell>
          <cell r="I384">
            <v>843371.03</v>
          </cell>
          <cell r="K384">
            <v>6575397.1799999997</v>
          </cell>
          <cell r="L384">
            <v>3027155.65</v>
          </cell>
          <cell r="M384">
            <v>3548241.53</v>
          </cell>
        </row>
        <row r="385">
          <cell r="A385" t="str">
            <v>0050</v>
          </cell>
          <cell r="B385" t="str">
            <v>50</v>
          </cell>
          <cell r="C385" t="str">
            <v>01</v>
          </cell>
          <cell r="D385" t="str">
            <v>5</v>
          </cell>
          <cell r="E385" t="str">
            <v>مخزن ورشة المشروعات الكبرى</v>
          </cell>
          <cell r="G385">
            <v>1340821.58</v>
          </cell>
          <cell r="H385">
            <v>160881.4</v>
          </cell>
          <cell r="I385">
            <v>160292.51999999999</v>
          </cell>
          <cell r="K385">
            <v>1501114.09</v>
          </cell>
          <cell r="L385">
            <v>160881.4</v>
          </cell>
          <cell r="M385">
            <v>1340232.69</v>
          </cell>
        </row>
        <row r="386">
          <cell r="A386" t="str">
            <v>0051</v>
          </cell>
          <cell r="B386" t="str">
            <v>50</v>
          </cell>
          <cell r="C386" t="str">
            <v>01</v>
          </cell>
          <cell r="D386" t="str">
            <v>5</v>
          </cell>
          <cell r="E386" t="str">
            <v>تكلفة مخزن سينكو</v>
          </cell>
          <cell r="G386">
            <v>196982</v>
          </cell>
          <cell r="I386">
            <v>13881.96</v>
          </cell>
          <cell r="K386">
            <v>210863.97</v>
          </cell>
          <cell r="M386">
            <v>210863.97</v>
          </cell>
        </row>
        <row r="387">
          <cell r="A387" t="str">
            <v>0052</v>
          </cell>
          <cell r="B387" t="str">
            <v>50</v>
          </cell>
          <cell r="C387" t="str">
            <v>01</v>
          </cell>
          <cell r="D387" t="str">
            <v>5</v>
          </cell>
          <cell r="E387" t="str">
            <v>تكلفة مخزن مهمات دينابون - دمنهور</v>
          </cell>
          <cell r="G387">
            <v>63122.04</v>
          </cell>
          <cell r="I387">
            <v>14241.53</v>
          </cell>
          <cell r="J387">
            <v>537</v>
          </cell>
          <cell r="K387">
            <v>77363.570000000007</v>
          </cell>
          <cell r="L387">
            <v>537</v>
          </cell>
          <cell r="M387">
            <v>76826.570000000007</v>
          </cell>
        </row>
        <row r="388">
          <cell r="A388" t="str">
            <v>0053</v>
          </cell>
          <cell r="B388" t="str">
            <v>50</v>
          </cell>
          <cell r="C388" t="str">
            <v>01</v>
          </cell>
          <cell r="D388" t="str">
            <v>5</v>
          </cell>
          <cell r="E388" t="str">
            <v>تكلفة مخزن مهمات سيمتار - رأس غارب</v>
          </cell>
          <cell r="G388">
            <v>870128.39</v>
          </cell>
          <cell r="I388">
            <v>124524.82</v>
          </cell>
          <cell r="K388">
            <v>994653.22</v>
          </cell>
          <cell r="M388">
            <v>994653.22</v>
          </cell>
        </row>
        <row r="389">
          <cell r="A389" t="str">
            <v>0001</v>
          </cell>
          <cell r="B389" t="str">
            <v>09</v>
          </cell>
          <cell r="C389" t="str">
            <v>90</v>
          </cell>
          <cell r="D389" t="str">
            <v>5</v>
          </cell>
          <cell r="E389" t="str">
            <v>تسويات جردية</v>
          </cell>
          <cell r="G389">
            <v>1485659.74</v>
          </cell>
          <cell r="H389">
            <v>73876.34</v>
          </cell>
          <cell r="K389">
            <v>1485659.74</v>
          </cell>
          <cell r="L389">
            <v>73876.34</v>
          </cell>
          <cell r="M389">
            <v>1411783.4</v>
          </cell>
        </row>
        <row r="390">
          <cell r="A390" t="str">
            <v>0001</v>
          </cell>
          <cell r="B390" t="str">
            <v>01</v>
          </cell>
          <cell r="C390" t="str">
            <v>01</v>
          </cell>
          <cell r="D390" t="str">
            <v>6</v>
          </cell>
          <cell r="E390" t="str">
            <v>أجر أساسىوبدلات أخرى</v>
          </cell>
          <cell r="G390">
            <v>59263505.039999999</v>
          </cell>
          <cell r="H390">
            <v>3107350.38</v>
          </cell>
          <cell r="I390">
            <v>6561345.5</v>
          </cell>
          <cell r="J390">
            <v>2031994.5</v>
          </cell>
          <cell r="K390">
            <v>65824850.539999999</v>
          </cell>
          <cell r="L390">
            <v>5139344.88</v>
          </cell>
          <cell r="M390">
            <v>60685505.659999996</v>
          </cell>
        </row>
        <row r="391">
          <cell r="A391" t="str">
            <v>0002</v>
          </cell>
          <cell r="B391" t="str">
            <v>01</v>
          </cell>
          <cell r="C391" t="str">
            <v>01</v>
          </cell>
          <cell r="D391" t="str">
            <v>6</v>
          </cell>
          <cell r="E391" t="str">
            <v>أجر إضافي</v>
          </cell>
          <cell r="G391">
            <v>11552842.640000001</v>
          </cell>
          <cell r="H391">
            <v>570997.98</v>
          </cell>
          <cell r="I391">
            <v>620607.51</v>
          </cell>
          <cell r="J391">
            <v>352719.77</v>
          </cell>
          <cell r="K391">
            <v>12173450.15</v>
          </cell>
          <cell r="L391">
            <v>923717.75</v>
          </cell>
          <cell r="M391">
            <v>11249732.4</v>
          </cell>
        </row>
        <row r="392">
          <cell r="A392" t="str">
            <v>0004</v>
          </cell>
          <cell r="B392" t="str">
            <v>01</v>
          </cell>
          <cell r="C392" t="str">
            <v>01</v>
          </cell>
          <cell r="D392" t="str">
            <v>6</v>
          </cell>
          <cell r="E392" t="str">
            <v>حوافز إنتاج</v>
          </cell>
          <cell r="G392">
            <v>2521004.4900000002</v>
          </cell>
          <cell r="H392">
            <v>30078</v>
          </cell>
          <cell r="I392">
            <v>215042</v>
          </cell>
          <cell r="K392">
            <v>2736046.49</v>
          </cell>
          <cell r="L392">
            <v>30078</v>
          </cell>
          <cell r="M392">
            <v>2705968.49</v>
          </cell>
        </row>
        <row r="393">
          <cell r="A393" t="str">
            <v>0006</v>
          </cell>
          <cell r="B393" t="str">
            <v>01</v>
          </cell>
          <cell r="C393" t="str">
            <v>01</v>
          </cell>
          <cell r="D393" t="str">
            <v>6</v>
          </cell>
          <cell r="E393" t="str">
            <v>مكافآت - مكافآت دورية</v>
          </cell>
          <cell r="G393">
            <v>192</v>
          </cell>
          <cell r="K393">
            <v>192</v>
          </cell>
          <cell r="M393">
            <v>192</v>
          </cell>
        </row>
        <row r="394">
          <cell r="A394" t="str">
            <v>0007</v>
          </cell>
          <cell r="B394" t="str">
            <v>01</v>
          </cell>
          <cell r="C394" t="str">
            <v>01</v>
          </cell>
          <cell r="D394" t="str">
            <v>6</v>
          </cell>
          <cell r="E394" t="str">
            <v>مكافآت - مكافآت خاصة</v>
          </cell>
          <cell r="G394">
            <v>2634602.37</v>
          </cell>
          <cell r="H394">
            <v>22401.5</v>
          </cell>
          <cell r="I394">
            <v>26984</v>
          </cell>
          <cell r="J394">
            <v>2600</v>
          </cell>
          <cell r="K394">
            <v>2661586.37</v>
          </cell>
          <cell r="L394">
            <v>25001.5</v>
          </cell>
          <cell r="M394">
            <v>2636584.87</v>
          </cell>
        </row>
        <row r="395">
          <cell r="A395" t="str">
            <v>0008</v>
          </cell>
          <cell r="B395" t="str">
            <v>01</v>
          </cell>
          <cell r="C395" t="str">
            <v>01</v>
          </cell>
          <cell r="D395" t="str">
            <v>6</v>
          </cell>
          <cell r="E395" t="str">
            <v>عمالة مؤقتة</v>
          </cell>
          <cell r="G395">
            <v>18539935.690000001</v>
          </cell>
          <cell r="H395">
            <v>2830354.77</v>
          </cell>
          <cell r="I395">
            <v>1513367.99</v>
          </cell>
          <cell r="J395">
            <v>194084.42</v>
          </cell>
          <cell r="K395">
            <v>20053303.68</v>
          </cell>
          <cell r="L395">
            <v>3024439.19</v>
          </cell>
          <cell r="M395">
            <v>17028864.489999998</v>
          </cell>
        </row>
        <row r="396">
          <cell r="A396" t="str">
            <v>0009</v>
          </cell>
          <cell r="B396" t="str">
            <v>01</v>
          </cell>
          <cell r="C396" t="str">
            <v>01</v>
          </cell>
          <cell r="D396" t="str">
            <v>6</v>
          </cell>
          <cell r="E396" t="str">
            <v>صندوق مزايا تقاعد للعاملين</v>
          </cell>
          <cell r="G396">
            <v>1865989.42</v>
          </cell>
          <cell r="K396">
            <v>1865989.42</v>
          </cell>
          <cell r="M396">
            <v>1865989.42</v>
          </cell>
        </row>
        <row r="397">
          <cell r="A397" t="str">
            <v>0010</v>
          </cell>
          <cell r="B397" t="str">
            <v>01</v>
          </cell>
          <cell r="C397" t="str">
            <v>01</v>
          </cell>
          <cell r="D397" t="str">
            <v>6</v>
          </cell>
          <cell r="E397" t="str">
            <v>بدلات حضور اعضاء مجلس الادارة</v>
          </cell>
          <cell r="G397">
            <v>24000</v>
          </cell>
          <cell r="K397">
            <v>24000</v>
          </cell>
          <cell r="M397">
            <v>24000</v>
          </cell>
        </row>
        <row r="398">
          <cell r="A398" t="str">
            <v>0012</v>
          </cell>
          <cell r="B398" t="str">
            <v>01</v>
          </cell>
          <cell r="C398" t="str">
            <v>01</v>
          </cell>
          <cell r="D398" t="str">
            <v>6</v>
          </cell>
          <cell r="E398" t="str">
            <v>حافز اداء</v>
          </cell>
          <cell r="G398">
            <v>411187.95</v>
          </cell>
          <cell r="H398">
            <v>14276</v>
          </cell>
          <cell r="I398">
            <v>76721.84</v>
          </cell>
          <cell r="J398">
            <v>400</v>
          </cell>
          <cell r="K398">
            <v>487909.79</v>
          </cell>
          <cell r="L398">
            <v>14676</v>
          </cell>
          <cell r="M398">
            <v>473233.79</v>
          </cell>
        </row>
        <row r="399">
          <cell r="A399" t="str">
            <v>0013</v>
          </cell>
          <cell r="B399" t="str">
            <v>01</v>
          </cell>
          <cell r="C399" t="str">
            <v>01</v>
          </cell>
          <cell r="D399" t="str">
            <v>6</v>
          </cell>
          <cell r="E399" t="str">
            <v>بدل تصميم</v>
          </cell>
          <cell r="G399">
            <v>389230.4</v>
          </cell>
          <cell r="I399">
            <v>90307</v>
          </cell>
          <cell r="K399">
            <v>479537.4</v>
          </cell>
          <cell r="M399">
            <v>479537.4</v>
          </cell>
        </row>
        <row r="400">
          <cell r="A400" t="str">
            <v>0014</v>
          </cell>
          <cell r="B400" t="str">
            <v>01</v>
          </cell>
          <cell r="C400" t="str">
            <v>01</v>
          </cell>
          <cell r="D400" t="str">
            <v>6</v>
          </cell>
          <cell r="E400" t="str">
            <v>بدل اعارة وتليفون</v>
          </cell>
          <cell r="G400">
            <v>245280</v>
          </cell>
          <cell r="H400">
            <v>1950</v>
          </cell>
          <cell r="I400">
            <v>46635</v>
          </cell>
          <cell r="J400">
            <v>300</v>
          </cell>
          <cell r="K400">
            <v>291915</v>
          </cell>
          <cell r="L400">
            <v>2250</v>
          </cell>
          <cell r="M400">
            <v>289665</v>
          </cell>
        </row>
        <row r="401">
          <cell r="A401" t="str">
            <v>0015</v>
          </cell>
          <cell r="B401" t="str">
            <v>01</v>
          </cell>
          <cell r="C401" t="str">
            <v>01</v>
          </cell>
          <cell r="D401" t="str">
            <v>6</v>
          </cell>
          <cell r="E401" t="str">
            <v>بدل طبيعه موقع</v>
          </cell>
          <cell r="G401">
            <v>16244436.619999999</v>
          </cell>
          <cell r="H401">
            <v>936335.85</v>
          </cell>
          <cell r="I401">
            <v>9273999.5</v>
          </cell>
          <cell r="J401">
            <v>5276135.3899999997</v>
          </cell>
          <cell r="K401">
            <v>25518436.120000001</v>
          </cell>
          <cell r="L401">
            <v>6212471.2400000002</v>
          </cell>
          <cell r="M401">
            <v>19305964.879999999</v>
          </cell>
        </row>
        <row r="402">
          <cell r="A402" t="str">
            <v>0002</v>
          </cell>
          <cell r="B402" t="str">
            <v>02</v>
          </cell>
          <cell r="C402" t="str">
            <v>01</v>
          </cell>
          <cell r="D402" t="str">
            <v>6</v>
          </cell>
          <cell r="E402" t="str">
            <v>وجبات وبدلات تغذية للعاملين</v>
          </cell>
          <cell r="G402">
            <v>14167068.4</v>
          </cell>
          <cell r="H402">
            <v>6800554.7300000004</v>
          </cell>
          <cell r="I402">
            <v>2242105.46</v>
          </cell>
          <cell r="J402">
            <v>566012</v>
          </cell>
          <cell r="K402">
            <v>16409173.859999999</v>
          </cell>
          <cell r="L402">
            <v>7366566.7300000004</v>
          </cell>
          <cell r="M402">
            <v>9042607.1300000008</v>
          </cell>
        </row>
        <row r="403">
          <cell r="A403" t="str">
            <v>0003</v>
          </cell>
          <cell r="B403" t="str">
            <v>02</v>
          </cell>
          <cell r="C403" t="str">
            <v>01</v>
          </cell>
          <cell r="D403" t="str">
            <v>6</v>
          </cell>
          <cell r="E403" t="str">
            <v>مصاريف علاج للعاملين</v>
          </cell>
          <cell r="G403">
            <v>2522044.54</v>
          </cell>
          <cell r="H403">
            <v>564274.32999999996</v>
          </cell>
          <cell r="I403">
            <v>95566.25</v>
          </cell>
          <cell r="J403">
            <v>492249.92</v>
          </cell>
          <cell r="K403">
            <v>2617610.79</v>
          </cell>
          <cell r="L403">
            <v>1056524.25</v>
          </cell>
          <cell r="M403">
            <v>1561086.54</v>
          </cell>
        </row>
        <row r="404">
          <cell r="A404" t="str">
            <v>0004</v>
          </cell>
          <cell r="B404" t="str">
            <v>02</v>
          </cell>
          <cell r="C404" t="str">
            <v>01</v>
          </cell>
          <cell r="D404" t="str">
            <v>6</v>
          </cell>
          <cell r="E404" t="str">
            <v>إعانات مالية إجتماعية للعاملين</v>
          </cell>
          <cell r="G404">
            <v>250</v>
          </cell>
          <cell r="K404">
            <v>250</v>
          </cell>
          <cell r="M404">
            <v>250</v>
          </cell>
        </row>
        <row r="405">
          <cell r="A405" t="str">
            <v>0005</v>
          </cell>
          <cell r="B405" t="str">
            <v>02</v>
          </cell>
          <cell r="C405" t="str">
            <v>01</v>
          </cell>
          <cell r="D405" t="str">
            <v>6</v>
          </cell>
          <cell r="E405" t="str">
            <v>مصروفات إقامة للعاملين</v>
          </cell>
          <cell r="G405">
            <v>684474.3</v>
          </cell>
          <cell r="H405">
            <v>192150.75</v>
          </cell>
          <cell r="I405">
            <v>81599.22</v>
          </cell>
          <cell r="J405">
            <v>10080</v>
          </cell>
          <cell r="K405">
            <v>766073.52</v>
          </cell>
          <cell r="L405">
            <v>202230.75</v>
          </cell>
          <cell r="M405">
            <v>563842.77</v>
          </cell>
        </row>
        <row r="406">
          <cell r="A406" t="str">
            <v>0006</v>
          </cell>
          <cell r="B406" t="str">
            <v>02</v>
          </cell>
          <cell r="C406" t="str">
            <v>01</v>
          </cell>
          <cell r="D406" t="str">
            <v>6</v>
          </cell>
          <cell r="E406" t="str">
            <v>إنتقالات العاملين</v>
          </cell>
          <cell r="G406">
            <v>624081.16</v>
          </cell>
          <cell r="H406">
            <v>130915.84</v>
          </cell>
          <cell r="I406">
            <v>56181.56</v>
          </cell>
          <cell r="J406">
            <v>782.85</v>
          </cell>
          <cell r="K406">
            <v>680262.72</v>
          </cell>
          <cell r="L406">
            <v>131698.69</v>
          </cell>
          <cell r="M406">
            <v>548564.03</v>
          </cell>
        </row>
        <row r="407">
          <cell r="A407" t="str">
            <v>0007</v>
          </cell>
          <cell r="B407" t="str">
            <v>02</v>
          </cell>
          <cell r="C407" t="str">
            <v>01</v>
          </cell>
          <cell r="D407" t="str">
            <v>6</v>
          </cell>
          <cell r="E407" t="str">
            <v>مزايا للعاملين</v>
          </cell>
          <cell r="G407">
            <v>4850</v>
          </cell>
          <cell r="K407">
            <v>4850</v>
          </cell>
          <cell r="M407">
            <v>4850</v>
          </cell>
        </row>
        <row r="408">
          <cell r="A408" t="str">
            <v>0002</v>
          </cell>
          <cell r="B408" t="str">
            <v>03</v>
          </cell>
          <cell r="C408" t="str">
            <v>01</v>
          </cell>
          <cell r="D408" t="str">
            <v>6</v>
          </cell>
          <cell r="E408" t="str">
            <v>حصةالشركة من التأمينات الإجتماعية - مايو</v>
          </cell>
          <cell r="G408">
            <v>5522330.5</v>
          </cell>
          <cell r="H408">
            <v>333009</v>
          </cell>
          <cell r="I408">
            <v>707823</v>
          </cell>
          <cell r="J408">
            <v>56203</v>
          </cell>
          <cell r="K408">
            <v>6230153.5</v>
          </cell>
          <cell r="L408">
            <v>389212</v>
          </cell>
          <cell r="M408">
            <v>5840941.5</v>
          </cell>
        </row>
        <row r="409">
          <cell r="A409" t="str">
            <v>0003</v>
          </cell>
          <cell r="B409" t="str">
            <v>03</v>
          </cell>
          <cell r="C409" t="str">
            <v>01</v>
          </cell>
          <cell r="D409" t="str">
            <v>6</v>
          </cell>
          <cell r="E409" t="str">
            <v>مصروفات تدريب عاملين</v>
          </cell>
          <cell r="G409">
            <v>252107.86</v>
          </cell>
          <cell r="H409">
            <v>84121.43</v>
          </cell>
          <cell r="I409">
            <v>15000</v>
          </cell>
          <cell r="J409">
            <v>2550</v>
          </cell>
          <cell r="K409">
            <v>267107.86</v>
          </cell>
          <cell r="L409">
            <v>86671.43</v>
          </cell>
          <cell r="M409">
            <v>180436.43</v>
          </cell>
        </row>
        <row r="410">
          <cell r="A410" t="str">
            <v>0004</v>
          </cell>
          <cell r="B410" t="str">
            <v>03</v>
          </cell>
          <cell r="C410" t="str">
            <v>01</v>
          </cell>
          <cell r="D410" t="str">
            <v>6</v>
          </cell>
          <cell r="E410" t="str">
            <v>صندوق اعانة طوارئ عاملين</v>
          </cell>
          <cell r="G410">
            <v>54084.41</v>
          </cell>
          <cell r="I410">
            <v>6647</v>
          </cell>
          <cell r="K410">
            <v>60731.41</v>
          </cell>
          <cell r="M410">
            <v>60731.41</v>
          </cell>
        </row>
        <row r="411">
          <cell r="A411" t="str">
            <v>0005</v>
          </cell>
          <cell r="B411" t="str">
            <v>03</v>
          </cell>
          <cell r="C411" t="str">
            <v>01</v>
          </cell>
          <cell r="D411" t="str">
            <v>6</v>
          </cell>
          <cell r="E411" t="str">
            <v>صندوق الخدمات الاجتماعيةوالصحيةوالثقافية</v>
          </cell>
          <cell r="G411">
            <v>40520</v>
          </cell>
          <cell r="I411">
            <v>9564</v>
          </cell>
          <cell r="K411">
            <v>50084</v>
          </cell>
          <cell r="M411">
            <v>50084</v>
          </cell>
        </row>
        <row r="412">
          <cell r="A412" t="str">
            <v>0006</v>
          </cell>
          <cell r="B412" t="str">
            <v>03</v>
          </cell>
          <cell r="C412" t="str">
            <v>01</v>
          </cell>
          <cell r="D412" t="str">
            <v>6</v>
          </cell>
          <cell r="E412" t="str">
            <v>عاملين - أخرى</v>
          </cell>
          <cell r="I412">
            <v>33395.51</v>
          </cell>
          <cell r="K412">
            <v>33395.51</v>
          </cell>
          <cell r="M412">
            <v>33395.51</v>
          </cell>
        </row>
        <row r="413">
          <cell r="A413" t="str">
            <v>0001</v>
          </cell>
          <cell r="B413" t="str">
            <v>01</v>
          </cell>
          <cell r="C413" t="str">
            <v>02</v>
          </cell>
          <cell r="D413" t="str">
            <v>6</v>
          </cell>
          <cell r="E413" t="str">
            <v>مصروفات سفر- مأموريات محلية</v>
          </cell>
          <cell r="G413">
            <v>591517.6</v>
          </cell>
          <cell r="H413">
            <v>44782.5</v>
          </cell>
          <cell r="I413">
            <v>122223</v>
          </cell>
          <cell r="K413">
            <v>713740.6</v>
          </cell>
          <cell r="L413">
            <v>44782.5</v>
          </cell>
          <cell r="M413">
            <v>668958.1</v>
          </cell>
        </row>
        <row r="414">
          <cell r="A414" t="str">
            <v>0001</v>
          </cell>
          <cell r="B414" t="str">
            <v>02</v>
          </cell>
          <cell r="C414" t="str">
            <v>02</v>
          </cell>
          <cell r="D414" t="str">
            <v>6</v>
          </cell>
          <cell r="E414" t="str">
            <v>سفر عمل - ماموريات عمل بالخارج</v>
          </cell>
          <cell r="G414">
            <v>4469052.21</v>
          </cell>
          <cell r="H414">
            <v>762461.38</v>
          </cell>
          <cell r="I414">
            <v>927931.47</v>
          </cell>
          <cell r="K414">
            <v>5396983.6799999997</v>
          </cell>
          <cell r="L414">
            <v>762461.38</v>
          </cell>
          <cell r="M414">
            <v>4634522.3</v>
          </cell>
        </row>
        <row r="415">
          <cell r="A415" t="str">
            <v>0001</v>
          </cell>
          <cell r="B415" t="str">
            <v>02</v>
          </cell>
          <cell r="C415" t="str">
            <v>03</v>
          </cell>
          <cell r="D415" t="str">
            <v>6</v>
          </cell>
          <cell r="E415" t="str">
            <v>مصروفات ومواد دعاية تسويقية</v>
          </cell>
          <cell r="I415">
            <v>251.99</v>
          </cell>
          <cell r="K415">
            <v>251.99</v>
          </cell>
          <cell r="M415">
            <v>251.99</v>
          </cell>
        </row>
        <row r="416">
          <cell r="A416" t="str">
            <v>0001</v>
          </cell>
          <cell r="B416" t="str">
            <v>03</v>
          </cell>
          <cell r="C416" t="str">
            <v>03</v>
          </cell>
          <cell r="D416" t="str">
            <v>6</v>
          </cell>
          <cell r="E416" t="str">
            <v>مصروفات مزايدات وكراسات شروط</v>
          </cell>
          <cell r="G416">
            <v>27700</v>
          </cell>
          <cell r="K416">
            <v>27700</v>
          </cell>
          <cell r="M416">
            <v>27700</v>
          </cell>
        </row>
        <row r="417">
          <cell r="A417" t="str">
            <v>0001</v>
          </cell>
          <cell r="B417" t="str">
            <v>06</v>
          </cell>
          <cell r="C417" t="str">
            <v>03</v>
          </cell>
          <cell r="D417" t="str">
            <v>6</v>
          </cell>
          <cell r="E417" t="str">
            <v>إعلانات - عامة</v>
          </cell>
          <cell r="G417">
            <v>129733.35</v>
          </cell>
          <cell r="H417">
            <v>13000</v>
          </cell>
          <cell r="K417">
            <v>129733.35</v>
          </cell>
          <cell r="L417">
            <v>13000</v>
          </cell>
          <cell r="M417">
            <v>116733.35</v>
          </cell>
        </row>
        <row r="418">
          <cell r="A418" t="str">
            <v>0001</v>
          </cell>
          <cell r="B418" t="str">
            <v>07</v>
          </cell>
          <cell r="C418" t="str">
            <v>03</v>
          </cell>
          <cell r="D418" t="str">
            <v>6</v>
          </cell>
          <cell r="E418" t="str">
            <v>نقل مصنعات</v>
          </cell>
          <cell r="G418">
            <v>5173467.2300000004</v>
          </cell>
          <cell r="H418">
            <v>234634.85</v>
          </cell>
          <cell r="I418">
            <v>1326015.8500000001</v>
          </cell>
          <cell r="J418">
            <v>7167.71</v>
          </cell>
          <cell r="K418">
            <v>6499483.0800000001</v>
          </cell>
          <cell r="L418">
            <v>241802.56</v>
          </cell>
          <cell r="M418">
            <v>6257680.5199999996</v>
          </cell>
        </row>
        <row r="419">
          <cell r="A419" t="str">
            <v>0001</v>
          </cell>
          <cell r="B419" t="str">
            <v>99</v>
          </cell>
          <cell r="C419" t="str">
            <v>03</v>
          </cell>
          <cell r="D419" t="str">
            <v>6</v>
          </cell>
          <cell r="E419" t="str">
            <v>مصاريف بيع وتسويق أخرى</v>
          </cell>
          <cell r="G419">
            <v>33128.080000000002</v>
          </cell>
          <cell r="K419">
            <v>33128.080000000002</v>
          </cell>
          <cell r="M419">
            <v>33128.080000000002</v>
          </cell>
        </row>
        <row r="420">
          <cell r="A420" t="str">
            <v>0001</v>
          </cell>
          <cell r="B420" t="str">
            <v>01</v>
          </cell>
          <cell r="C420" t="str">
            <v>04</v>
          </cell>
          <cell r="D420" t="str">
            <v>6</v>
          </cell>
          <cell r="E420" t="str">
            <v>وسائل إتصال - تليفونات</v>
          </cell>
          <cell r="G420">
            <v>404779.96</v>
          </cell>
          <cell r="H420">
            <v>25031.63</v>
          </cell>
          <cell r="I420">
            <v>65528.42</v>
          </cell>
          <cell r="K420">
            <v>470308.38</v>
          </cell>
          <cell r="L420">
            <v>25031.63</v>
          </cell>
          <cell r="M420">
            <v>445276.75</v>
          </cell>
        </row>
        <row r="421">
          <cell r="A421" t="str">
            <v>0001</v>
          </cell>
          <cell r="B421" t="str">
            <v>02</v>
          </cell>
          <cell r="C421" t="str">
            <v>04</v>
          </cell>
          <cell r="D421" t="str">
            <v>6</v>
          </cell>
          <cell r="E421" t="str">
            <v>وسائل إتصال - تليفونات محمولة</v>
          </cell>
          <cell r="G421">
            <v>538274.6</v>
          </cell>
          <cell r="H421">
            <v>12085.43</v>
          </cell>
          <cell r="I421">
            <v>74845.37</v>
          </cell>
          <cell r="K421">
            <v>613119.97</v>
          </cell>
          <cell r="L421">
            <v>12085.43</v>
          </cell>
          <cell r="M421">
            <v>601034.54</v>
          </cell>
        </row>
        <row r="422">
          <cell r="A422" t="str">
            <v>0001</v>
          </cell>
          <cell r="B422" t="str">
            <v>03</v>
          </cell>
          <cell r="C422" t="str">
            <v>04</v>
          </cell>
          <cell r="D422" t="str">
            <v>6</v>
          </cell>
          <cell r="E422" t="str">
            <v>وسائل إتصال - فاكس وتلكس</v>
          </cell>
          <cell r="G422">
            <v>409.48</v>
          </cell>
          <cell r="K422">
            <v>409.48</v>
          </cell>
          <cell r="M422">
            <v>409.48</v>
          </cell>
        </row>
        <row r="423">
          <cell r="A423" t="str">
            <v>0001</v>
          </cell>
          <cell r="B423" t="str">
            <v>04</v>
          </cell>
          <cell r="C423" t="str">
            <v>04</v>
          </cell>
          <cell r="D423" t="str">
            <v>6</v>
          </cell>
          <cell r="E423" t="str">
            <v>وسائل إتصال - بريد وتوصيل طرود</v>
          </cell>
          <cell r="G423">
            <v>77436.38</v>
          </cell>
          <cell r="H423">
            <v>257.14</v>
          </cell>
          <cell r="I423">
            <v>15291.57</v>
          </cell>
          <cell r="K423">
            <v>92727.95</v>
          </cell>
          <cell r="L423">
            <v>257.14</v>
          </cell>
          <cell r="M423">
            <v>92470.81</v>
          </cell>
        </row>
        <row r="424">
          <cell r="A424" t="str">
            <v>0001</v>
          </cell>
          <cell r="B424" t="str">
            <v>05</v>
          </cell>
          <cell r="C424" t="str">
            <v>04</v>
          </cell>
          <cell r="D424" t="str">
            <v>6</v>
          </cell>
          <cell r="E424" t="str">
            <v>وسائل إتصال - إنترنت</v>
          </cell>
          <cell r="G424">
            <v>218277.77</v>
          </cell>
          <cell r="H424">
            <v>7700.59</v>
          </cell>
          <cell r="I424">
            <v>482.58</v>
          </cell>
          <cell r="K424">
            <v>218760.35</v>
          </cell>
          <cell r="L424">
            <v>7700.59</v>
          </cell>
          <cell r="M424">
            <v>211059.76</v>
          </cell>
        </row>
        <row r="425">
          <cell r="A425" t="str">
            <v>0001</v>
          </cell>
          <cell r="B425" t="str">
            <v>01</v>
          </cell>
          <cell r="C425" t="str">
            <v>05</v>
          </cell>
          <cell r="D425" t="str">
            <v>6</v>
          </cell>
          <cell r="E425" t="str">
            <v>مصروفات -  كهرباء</v>
          </cell>
          <cell r="G425">
            <v>1141554.53</v>
          </cell>
          <cell r="H425">
            <v>200000</v>
          </cell>
          <cell r="I425">
            <v>239119.5</v>
          </cell>
          <cell r="J425">
            <v>110000</v>
          </cell>
          <cell r="K425">
            <v>1380674.03</v>
          </cell>
          <cell r="L425">
            <v>310000</v>
          </cell>
          <cell r="M425">
            <v>1070674.03</v>
          </cell>
        </row>
        <row r="426">
          <cell r="A426" t="str">
            <v>0001</v>
          </cell>
          <cell r="B426" t="str">
            <v>02</v>
          </cell>
          <cell r="C426" t="str">
            <v>05</v>
          </cell>
          <cell r="D426" t="str">
            <v>6</v>
          </cell>
          <cell r="E426" t="str">
            <v>مصروفات -  ماء</v>
          </cell>
          <cell r="G426">
            <v>625766.71</v>
          </cell>
          <cell r="H426">
            <v>103259.25</v>
          </cell>
          <cell r="I426">
            <v>112165.77</v>
          </cell>
          <cell r="J426">
            <v>3500</v>
          </cell>
          <cell r="K426">
            <v>737932.48</v>
          </cell>
          <cell r="L426">
            <v>106759.25</v>
          </cell>
          <cell r="M426">
            <v>631173.23</v>
          </cell>
        </row>
        <row r="427">
          <cell r="A427" t="str">
            <v>0001</v>
          </cell>
          <cell r="B427" t="str">
            <v>03</v>
          </cell>
          <cell r="C427" t="str">
            <v>05</v>
          </cell>
          <cell r="D427" t="str">
            <v>6</v>
          </cell>
          <cell r="E427" t="str">
            <v>مصروفات - غاز</v>
          </cell>
          <cell r="G427">
            <v>58021.29</v>
          </cell>
          <cell r="H427">
            <v>4545.5</v>
          </cell>
          <cell r="I427">
            <v>10903.42</v>
          </cell>
          <cell r="K427">
            <v>68924.710000000006</v>
          </cell>
          <cell r="L427">
            <v>4545.5</v>
          </cell>
          <cell r="M427">
            <v>64379.21</v>
          </cell>
        </row>
        <row r="428">
          <cell r="A428" t="str">
            <v>0001</v>
          </cell>
          <cell r="B428" t="str">
            <v>04</v>
          </cell>
          <cell r="C428" t="str">
            <v>05</v>
          </cell>
          <cell r="D428" t="str">
            <v>6</v>
          </cell>
          <cell r="E428" t="str">
            <v>مصروفات -  زيوت وشحوم</v>
          </cell>
          <cell r="G428">
            <v>43</v>
          </cell>
          <cell r="K428">
            <v>43</v>
          </cell>
          <cell r="M428">
            <v>43</v>
          </cell>
        </row>
        <row r="429">
          <cell r="A429" t="str">
            <v>0001</v>
          </cell>
          <cell r="B429" t="str">
            <v>05</v>
          </cell>
          <cell r="C429" t="str">
            <v>05</v>
          </cell>
          <cell r="D429" t="str">
            <v>6</v>
          </cell>
          <cell r="E429" t="str">
            <v>مصاريف سولار للموقع</v>
          </cell>
          <cell r="G429">
            <v>496923.23</v>
          </cell>
          <cell r="H429">
            <v>533861.29</v>
          </cell>
          <cell r="I429">
            <v>27568.77</v>
          </cell>
          <cell r="K429">
            <v>524492</v>
          </cell>
          <cell r="L429">
            <v>533861.29</v>
          </cell>
          <cell r="N429">
            <v>9369.2900000000009</v>
          </cell>
        </row>
        <row r="430">
          <cell r="A430" t="str">
            <v>0001</v>
          </cell>
          <cell r="B430" t="str">
            <v>06</v>
          </cell>
          <cell r="C430" t="str">
            <v>05</v>
          </cell>
          <cell r="D430" t="str">
            <v>6</v>
          </cell>
          <cell r="E430" t="str">
            <v>شراء مهمات</v>
          </cell>
          <cell r="G430">
            <v>894297.74</v>
          </cell>
          <cell r="H430">
            <v>357497.24</v>
          </cell>
          <cell r="I430">
            <v>233743.7</v>
          </cell>
          <cell r="J430">
            <v>673760.63</v>
          </cell>
          <cell r="K430">
            <v>1128041.44</v>
          </cell>
          <cell r="L430">
            <v>1031257.87</v>
          </cell>
          <cell r="M430">
            <v>96783.57</v>
          </cell>
        </row>
        <row r="431">
          <cell r="A431" t="str">
            <v>0001</v>
          </cell>
          <cell r="B431" t="str">
            <v>07</v>
          </cell>
          <cell r="C431" t="str">
            <v>05</v>
          </cell>
          <cell r="D431" t="str">
            <v>6</v>
          </cell>
          <cell r="E431" t="str">
            <v>شراء قطع غيار</v>
          </cell>
          <cell r="G431">
            <v>1757.99</v>
          </cell>
          <cell r="K431">
            <v>1757.99</v>
          </cell>
          <cell r="M431">
            <v>1757.99</v>
          </cell>
        </row>
        <row r="432">
          <cell r="A432" t="str">
            <v>0001</v>
          </cell>
          <cell r="B432" t="str">
            <v>09</v>
          </cell>
          <cell r="C432" t="str">
            <v>05</v>
          </cell>
          <cell r="D432" t="str">
            <v>6</v>
          </cell>
          <cell r="E432" t="str">
            <v>تجهيزات مواقع</v>
          </cell>
          <cell r="G432">
            <v>1419750.41</v>
          </cell>
          <cell r="H432">
            <v>671036.76</v>
          </cell>
          <cell r="I432">
            <v>38725.699999999997</v>
          </cell>
          <cell r="J432">
            <v>10724</v>
          </cell>
          <cell r="K432">
            <v>1458476.11</v>
          </cell>
          <cell r="L432">
            <v>681760.76</v>
          </cell>
          <cell r="M432">
            <v>776715.35</v>
          </cell>
        </row>
        <row r="433">
          <cell r="A433" t="str">
            <v>0001</v>
          </cell>
          <cell r="B433" t="str">
            <v>01</v>
          </cell>
          <cell r="C433" t="str">
            <v>06</v>
          </cell>
          <cell r="D433" t="str">
            <v>6</v>
          </cell>
          <cell r="E433" t="str">
            <v>مصروفات  سيارات - وقود</v>
          </cell>
          <cell r="G433">
            <v>771758.2</v>
          </cell>
          <cell r="H433">
            <v>18905.29</v>
          </cell>
          <cell r="I433">
            <v>73979.61</v>
          </cell>
          <cell r="J433">
            <v>1150.25</v>
          </cell>
          <cell r="K433">
            <v>845737.81</v>
          </cell>
          <cell r="L433">
            <v>20055.54</v>
          </cell>
          <cell r="M433">
            <v>825682.27</v>
          </cell>
        </row>
        <row r="434">
          <cell r="A434" t="str">
            <v>0001</v>
          </cell>
          <cell r="B434" t="str">
            <v>02</v>
          </cell>
          <cell r="C434" t="str">
            <v>06</v>
          </cell>
          <cell r="D434" t="str">
            <v>6</v>
          </cell>
          <cell r="E434" t="str">
            <v>مصروفات  سيارات - صيانة</v>
          </cell>
          <cell r="G434">
            <v>212610.26</v>
          </cell>
          <cell r="H434">
            <v>2613.33</v>
          </cell>
          <cell r="I434">
            <v>29843.54</v>
          </cell>
          <cell r="K434">
            <v>242453.8</v>
          </cell>
          <cell r="L434">
            <v>2613.33</v>
          </cell>
          <cell r="M434">
            <v>239840.47</v>
          </cell>
        </row>
        <row r="435">
          <cell r="A435" t="str">
            <v>0001</v>
          </cell>
          <cell r="B435" t="str">
            <v>03</v>
          </cell>
          <cell r="C435" t="str">
            <v>06</v>
          </cell>
          <cell r="D435" t="str">
            <v>6</v>
          </cell>
          <cell r="E435" t="str">
            <v>مصروفات مرور وانتظار السيارات</v>
          </cell>
          <cell r="G435">
            <v>107016.8</v>
          </cell>
          <cell r="H435">
            <v>7258.89</v>
          </cell>
          <cell r="I435">
            <v>5672.41</v>
          </cell>
          <cell r="K435">
            <v>112689.21</v>
          </cell>
          <cell r="L435">
            <v>7258.89</v>
          </cell>
          <cell r="M435">
            <v>105430.32</v>
          </cell>
        </row>
        <row r="436">
          <cell r="A436" t="str">
            <v>0001</v>
          </cell>
          <cell r="B436" t="str">
            <v>04</v>
          </cell>
          <cell r="C436" t="str">
            <v>06</v>
          </cell>
          <cell r="D436" t="str">
            <v>6</v>
          </cell>
          <cell r="E436" t="str">
            <v>مصروفات سيارات- تأمين</v>
          </cell>
          <cell r="G436">
            <v>20406.599999999999</v>
          </cell>
          <cell r="I436">
            <v>842.35</v>
          </cell>
          <cell r="K436">
            <v>21248.95</v>
          </cell>
          <cell r="M436">
            <v>21248.95</v>
          </cell>
        </row>
        <row r="437">
          <cell r="A437" t="str">
            <v>0001</v>
          </cell>
          <cell r="B437" t="str">
            <v>05</v>
          </cell>
          <cell r="C437" t="str">
            <v>06</v>
          </cell>
          <cell r="D437" t="str">
            <v>6</v>
          </cell>
          <cell r="E437" t="str">
            <v>مصروفات سيارات-زيوت وشحوم</v>
          </cell>
          <cell r="G437">
            <v>92951.679999999993</v>
          </cell>
          <cell r="H437">
            <v>187</v>
          </cell>
          <cell r="I437">
            <v>13801.36</v>
          </cell>
          <cell r="J437">
            <v>170</v>
          </cell>
          <cell r="K437">
            <v>106753.04</v>
          </cell>
          <cell r="L437">
            <v>357</v>
          </cell>
          <cell r="M437">
            <v>106396.04</v>
          </cell>
        </row>
        <row r="438">
          <cell r="A438" t="str">
            <v>0001</v>
          </cell>
          <cell r="B438" t="str">
            <v>06</v>
          </cell>
          <cell r="C438" t="str">
            <v>06</v>
          </cell>
          <cell r="D438" t="str">
            <v>6</v>
          </cell>
          <cell r="E438" t="str">
            <v>ايجار سيارات - ملاكى</v>
          </cell>
          <cell r="G438">
            <v>1975774.19</v>
          </cell>
          <cell r="H438">
            <v>75776.61</v>
          </cell>
          <cell r="I438">
            <v>311793.43</v>
          </cell>
          <cell r="K438">
            <v>2287567.62</v>
          </cell>
          <cell r="L438">
            <v>75776.61</v>
          </cell>
          <cell r="M438">
            <v>2211791.0099999998</v>
          </cell>
        </row>
        <row r="439">
          <cell r="A439" t="str">
            <v>0002</v>
          </cell>
          <cell r="B439" t="str">
            <v>06</v>
          </cell>
          <cell r="C439" t="str">
            <v>06</v>
          </cell>
          <cell r="D439" t="str">
            <v>6</v>
          </cell>
          <cell r="E439" t="str">
            <v>ايجار معدات</v>
          </cell>
          <cell r="G439">
            <v>11698982.859999999</v>
          </cell>
          <cell r="H439">
            <v>5716564.7400000002</v>
          </cell>
          <cell r="I439">
            <v>1251250.75</v>
          </cell>
          <cell r="J439">
            <v>1346915.98</v>
          </cell>
          <cell r="K439">
            <v>12950233.609999999</v>
          </cell>
          <cell r="L439">
            <v>7063480.7199999997</v>
          </cell>
          <cell r="M439">
            <v>5886752.8899999997</v>
          </cell>
        </row>
        <row r="440">
          <cell r="A440" t="str">
            <v>0003</v>
          </cell>
          <cell r="B440" t="str">
            <v>06</v>
          </cell>
          <cell r="C440" t="str">
            <v>06</v>
          </cell>
          <cell r="D440" t="str">
            <v>6</v>
          </cell>
          <cell r="E440" t="str">
            <v>ايجار سيارات - نقل عاملين</v>
          </cell>
          <cell r="G440">
            <v>12784543.67</v>
          </cell>
          <cell r="H440">
            <v>6306712.04</v>
          </cell>
          <cell r="I440">
            <v>1165837.8700000001</v>
          </cell>
          <cell r="J440">
            <v>682918.46</v>
          </cell>
          <cell r="K440">
            <v>13950381.539999999</v>
          </cell>
          <cell r="L440">
            <v>6989630.5</v>
          </cell>
          <cell r="M440">
            <v>6960751.04</v>
          </cell>
        </row>
        <row r="441">
          <cell r="A441" t="str">
            <v>0004</v>
          </cell>
          <cell r="B441" t="str">
            <v>06</v>
          </cell>
          <cell r="C441" t="str">
            <v>06</v>
          </cell>
          <cell r="D441" t="str">
            <v>6</v>
          </cell>
          <cell r="E441" t="str">
            <v>ايجارات اخرى</v>
          </cell>
          <cell r="G441">
            <v>174473.75</v>
          </cell>
          <cell r="H441">
            <v>139040</v>
          </cell>
          <cell r="I441">
            <v>27288.36</v>
          </cell>
          <cell r="K441">
            <v>201762.11</v>
          </cell>
          <cell r="L441">
            <v>139040</v>
          </cell>
          <cell r="M441">
            <v>62722.11</v>
          </cell>
        </row>
        <row r="442">
          <cell r="A442" t="str">
            <v>0001</v>
          </cell>
          <cell r="B442" t="str">
            <v>07</v>
          </cell>
          <cell r="C442" t="str">
            <v>06</v>
          </cell>
          <cell r="D442" t="str">
            <v>6</v>
          </cell>
          <cell r="E442" t="str">
            <v>مصروفات سيارات- تجديد رخص</v>
          </cell>
          <cell r="G442">
            <v>69770.95</v>
          </cell>
          <cell r="I442">
            <v>4976.3500000000004</v>
          </cell>
          <cell r="K442">
            <v>74747.3</v>
          </cell>
          <cell r="M442">
            <v>74747.3</v>
          </cell>
        </row>
        <row r="443">
          <cell r="A443" t="str">
            <v>0001</v>
          </cell>
          <cell r="B443" t="str">
            <v>08</v>
          </cell>
          <cell r="C443" t="str">
            <v>06</v>
          </cell>
          <cell r="D443" t="str">
            <v>6</v>
          </cell>
          <cell r="E443" t="str">
            <v>وقود معدات</v>
          </cell>
          <cell r="G443">
            <v>22616.58</v>
          </cell>
          <cell r="I443">
            <v>2145.1999999999998</v>
          </cell>
          <cell r="K443">
            <v>24761.78</v>
          </cell>
          <cell r="M443">
            <v>24761.78</v>
          </cell>
        </row>
        <row r="444">
          <cell r="A444" t="str">
            <v>0001</v>
          </cell>
          <cell r="B444" t="str">
            <v>09</v>
          </cell>
          <cell r="C444" t="str">
            <v>06</v>
          </cell>
          <cell r="D444" t="str">
            <v>6</v>
          </cell>
          <cell r="E444" t="str">
            <v>صيانة معدات</v>
          </cell>
          <cell r="G444">
            <v>402504.85</v>
          </cell>
          <cell r="H444">
            <v>1599.62</v>
          </cell>
          <cell r="I444">
            <v>35334.050000000003</v>
          </cell>
          <cell r="K444">
            <v>437838.9</v>
          </cell>
          <cell r="L444">
            <v>1599.62</v>
          </cell>
          <cell r="M444">
            <v>436239.28</v>
          </cell>
        </row>
        <row r="445">
          <cell r="A445" t="str">
            <v>0001</v>
          </cell>
          <cell r="B445" t="str">
            <v>10</v>
          </cell>
          <cell r="C445" t="str">
            <v>06</v>
          </cell>
          <cell r="D445" t="str">
            <v>6</v>
          </cell>
          <cell r="E445" t="str">
            <v>مرور معدات</v>
          </cell>
          <cell r="G445">
            <v>22771.97</v>
          </cell>
          <cell r="K445">
            <v>22771.97</v>
          </cell>
          <cell r="M445">
            <v>22771.97</v>
          </cell>
        </row>
        <row r="446">
          <cell r="A446" t="str">
            <v>0001</v>
          </cell>
          <cell r="B446" t="str">
            <v>01</v>
          </cell>
          <cell r="C446" t="str">
            <v>07</v>
          </cell>
          <cell r="D446" t="str">
            <v>6</v>
          </cell>
          <cell r="E446" t="str">
            <v>أدوات مكتبية</v>
          </cell>
          <cell r="G446">
            <v>44789.440000000002</v>
          </cell>
          <cell r="I446">
            <v>260.13</v>
          </cell>
          <cell r="K446">
            <v>45049.57</v>
          </cell>
          <cell r="M446">
            <v>45049.57</v>
          </cell>
        </row>
        <row r="447">
          <cell r="A447" t="str">
            <v>0001</v>
          </cell>
          <cell r="B447" t="str">
            <v>03</v>
          </cell>
          <cell r="C447" t="str">
            <v>07</v>
          </cell>
          <cell r="D447" t="str">
            <v>6</v>
          </cell>
          <cell r="E447" t="str">
            <v>مطبوعات</v>
          </cell>
          <cell r="G447">
            <v>82385.63</v>
          </cell>
          <cell r="I447">
            <v>10688.85</v>
          </cell>
          <cell r="K447">
            <v>93074.48</v>
          </cell>
          <cell r="M447">
            <v>93074.48</v>
          </cell>
        </row>
        <row r="448">
          <cell r="A448" t="str">
            <v>0001</v>
          </cell>
          <cell r="B448" t="str">
            <v>04</v>
          </cell>
          <cell r="C448" t="str">
            <v>07</v>
          </cell>
          <cell r="D448" t="str">
            <v>6</v>
          </cell>
          <cell r="E448" t="str">
            <v>بوفيه وضيافة مكتبية</v>
          </cell>
          <cell r="G448">
            <v>399640.03</v>
          </cell>
          <cell r="H448">
            <v>10320.42</v>
          </cell>
          <cell r="I448">
            <v>45317.23</v>
          </cell>
          <cell r="K448">
            <v>444957.26</v>
          </cell>
          <cell r="L448">
            <v>10320.42</v>
          </cell>
          <cell r="M448">
            <v>434636.84</v>
          </cell>
        </row>
        <row r="449">
          <cell r="A449" t="str">
            <v>0001</v>
          </cell>
          <cell r="B449" t="str">
            <v>05</v>
          </cell>
          <cell r="C449" t="str">
            <v>07</v>
          </cell>
          <cell r="D449" t="str">
            <v>6</v>
          </cell>
          <cell r="E449" t="str">
            <v>خدمات نظافة</v>
          </cell>
          <cell r="G449">
            <v>223257.21</v>
          </cell>
          <cell r="H449">
            <v>26235.74</v>
          </cell>
          <cell r="I449">
            <v>53318.73</v>
          </cell>
          <cell r="J449">
            <v>3630</v>
          </cell>
          <cell r="K449">
            <v>276575.94</v>
          </cell>
          <cell r="L449">
            <v>29865.74</v>
          </cell>
          <cell r="M449">
            <v>246710.2</v>
          </cell>
        </row>
        <row r="450">
          <cell r="A450" t="str">
            <v>0001</v>
          </cell>
          <cell r="B450" t="str">
            <v>06</v>
          </cell>
          <cell r="C450" t="str">
            <v>07</v>
          </cell>
          <cell r="D450" t="str">
            <v>6</v>
          </cell>
          <cell r="E450" t="str">
            <v>مصروفات كمبيوتر - قابل للإستهلاك</v>
          </cell>
          <cell r="G450">
            <v>177771</v>
          </cell>
          <cell r="H450">
            <v>3674</v>
          </cell>
          <cell r="K450">
            <v>177771</v>
          </cell>
          <cell r="L450">
            <v>3674</v>
          </cell>
          <cell r="M450">
            <v>174097</v>
          </cell>
        </row>
        <row r="451">
          <cell r="A451" t="str">
            <v>0001</v>
          </cell>
          <cell r="B451" t="str">
            <v>07</v>
          </cell>
          <cell r="C451" t="str">
            <v>07</v>
          </cell>
          <cell r="D451" t="str">
            <v>6</v>
          </cell>
          <cell r="E451" t="str">
            <v>مصروفات كمبيوتر - صيانة أجزاء</v>
          </cell>
          <cell r="G451">
            <v>57615.29</v>
          </cell>
          <cell r="H451">
            <v>320.29000000000002</v>
          </cell>
          <cell r="I451">
            <v>1486.67</v>
          </cell>
          <cell r="K451">
            <v>59101.96</v>
          </cell>
          <cell r="L451">
            <v>320.29000000000002</v>
          </cell>
          <cell r="M451">
            <v>58781.67</v>
          </cell>
        </row>
        <row r="452">
          <cell r="A452" t="str">
            <v>0001</v>
          </cell>
          <cell r="B452" t="str">
            <v>08</v>
          </cell>
          <cell r="C452" t="str">
            <v>07</v>
          </cell>
          <cell r="D452" t="str">
            <v>6</v>
          </cell>
          <cell r="E452" t="str">
            <v>مصروفات كمبيوتر - صيانة برامج</v>
          </cell>
          <cell r="G452">
            <v>137235.9</v>
          </cell>
          <cell r="I452">
            <v>26118.47</v>
          </cell>
          <cell r="K452">
            <v>163354.37</v>
          </cell>
          <cell r="M452">
            <v>163354.37</v>
          </cell>
        </row>
        <row r="453">
          <cell r="A453" t="str">
            <v>0001</v>
          </cell>
          <cell r="B453" t="str">
            <v>10</v>
          </cell>
          <cell r="C453" t="str">
            <v>07</v>
          </cell>
          <cell r="D453" t="str">
            <v>6</v>
          </cell>
          <cell r="E453" t="str">
            <v>مصروفات زراعة نباتات</v>
          </cell>
          <cell r="G453">
            <v>61525.5</v>
          </cell>
          <cell r="K453">
            <v>61525.5</v>
          </cell>
          <cell r="M453">
            <v>61525.5</v>
          </cell>
        </row>
        <row r="454">
          <cell r="A454" t="str">
            <v>0001</v>
          </cell>
          <cell r="B454" t="str">
            <v>01</v>
          </cell>
          <cell r="C454" t="str">
            <v>08</v>
          </cell>
          <cell r="D454" t="str">
            <v>6</v>
          </cell>
          <cell r="E454" t="str">
            <v>مصروفات عقارات - ايجار مباني</v>
          </cell>
          <cell r="G454">
            <v>264139.90000000002</v>
          </cell>
          <cell r="H454">
            <v>34825.699999999997</v>
          </cell>
          <cell r="K454">
            <v>264139.90000000002</v>
          </cell>
          <cell r="L454">
            <v>34825.699999999997</v>
          </cell>
          <cell r="M454">
            <v>229314.2</v>
          </cell>
        </row>
        <row r="455">
          <cell r="A455" t="str">
            <v>0002</v>
          </cell>
          <cell r="B455" t="str">
            <v>01</v>
          </cell>
          <cell r="C455" t="str">
            <v>08</v>
          </cell>
          <cell r="D455" t="str">
            <v>6</v>
          </cell>
          <cell r="E455" t="str">
            <v>مصروفات عقارات - ايجار أراضي</v>
          </cell>
          <cell r="G455">
            <v>85855.2</v>
          </cell>
          <cell r="H455">
            <v>6000</v>
          </cell>
          <cell r="K455">
            <v>85855.2</v>
          </cell>
          <cell r="L455">
            <v>6000</v>
          </cell>
          <cell r="M455">
            <v>79855.199999999997</v>
          </cell>
        </row>
        <row r="456">
          <cell r="A456" t="str">
            <v>0003</v>
          </cell>
          <cell r="B456" t="str">
            <v>01</v>
          </cell>
          <cell r="C456" t="str">
            <v>08</v>
          </cell>
          <cell r="D456" t="str">
            <v>6</v>
          </cell>
          <cell r="E456" t="str">
            <v>مصروفات ايجار شقق</v>
          </cell>
          <cell r="G456">
            <v>299081.19</v>
          </cell>
          <cell r="H456">
            <v>8200</v>
          </cell>
          <cell r="I456">
            <v>10724</v>
          </cell>
          <cell r="K456">
            <v>309805.19</v>
          </cell>
          <cell r="L456">
            <v>8200</v>
          </cell>
          <cell r="M456">
            <v>301605.19</v>
          </cell>
        </row>
        <row r="457">
          <cell r="A457" t="str">
            <v>0001</v>
          </cell>
          <cell r="B457" t="str">
            <v>02</v>
          </cell>
          <cell r="C457" t="str">
            <v>08</v>
          </cell>
          <cell r="D457" t="str">
            <v>6</v>
          </cell>
          <cell r="E457" t="str">
            <v>مصروفات عقارات - الصيانة</v>
          </cell>
          <cell r="G457">
            <v>10380.11</v>
          </cell>
          <cell r="H457">
            <v>885.64</v>
          </cell>
          <cell r="I457">
            <v>1018.5</v>
          </cell>
          <cell r="K457">
            <v>11398.61</v>
          </cell>
          <cell r="L457">
            <v>885.64</v>
          </cell>
          <cell r="M457">
            <v>10512.97</v>
          </cell>
        </row>
        <row r="458">
          <cell r="A458" t="str">
            <v>0001</v>
          </cell>
          <cell r="B458" t="str">
            <v>01</v>
          </cell>
          <cell r="C458" t="str">
            <v>09</v>
          </cell>
          <cell r="D458" t="str">
            <v>6</v>
          </cell>
          <cell r="E458" t="str">
            <v>مصروفات حراسة</v>
          </cell>
          <cell r="G458">
            <v>154024.42000000001</v>
          </cell>
          <cell r="H458">
            <v>4877</v>
          </cell>
          <cell r="I458">
            <v>20456.12</v>
          </cell>
          <cell r="K458">
            <v>174480.54</v>
          </cell>
          <cell r="L458">
            <v>4877</v>
          </cell>
          <cell r="M458">
            <v>169603.54</v>
          </cell>
        </row>
        <row r="459">
          <cell r="A459" t="str">
            <v>0001</v>
          </cell>
          <cell r="B459" t="str">
            <v>02</v>
          </cell>
          <cell r="C459" t="str">
            <v>09</v>
          </cell>
          <cell r="D459" t="str">
            <v>6</v>
          </cell>
          <cell r="E459" t="str">
            <v>ملابس وأزياء عمل أمان</v>
          </cell>
          <cell r="G459">
            <v>292.55</v>
          </cell>
          <cell r="H459">
            <v>92</v>
          </cell>
          <cell r="K459">
            <v>292.55</v>
          </cell>
          <cell r="L459">
            <v>92</v>
          </cell>
          <cell r="M459">
            <v>200.55</v>
          </cell>
        </row>
        <row r="460">
          <cell r="A460" t="str">
            <v>0001</v>
          </cell>
          <cell r="B460" t="str">
            <v>05</v>
          </cell>
          <cell r="C460" t="str">
            <v>10</v>
          </cell>
          <cell r="D460" t="str">
            <v>6</v>
          </cell>
          <cell r="E460" t="str">
            <v>حفلات إجتماعية</v>
          </cell>
          <cell r="G460">
            <v>2910.25</v>
          </cell>
          <cell r="K460">
            <v>2910.25</v>
          </cell>
          <cell r="M460">
            <v>2910.25</v>
          </cell>
        </row>
        <row r="461">
          <cell r="A461" t="str">
            <v>0001</v>
          </cell>
          <cell r="B461" t="str">
            <v>01</v>
          </cell>
          <cell r="C461" t="str">
            <v>11</v>
          </cell>
          <cell r="D461" t="str">
            <v>6</v>
          </cell>
          <cell r="E461" t="str">
            <v>مصروفات تأمين- حريق</v>
          </cell>
          <cell r="G461">
            <v>570428.72</v>
          </cell>
          <cell r="H461">
            <v>282681.21999999997</v>
          </cell>
          <cell r="K461">
            <v>570428.72</v>
          </cell>
          <cell r="L461">
            <v>282681.21999999997</v>
          </cell>
          <cell r="M461">
            <v>287747.5</v>
          </cell>
        </row>
        <row r="462">
          <cell r="A462" t="str">
            <v>0001</v>
          </cell>
          <cell r="B462" t="str">
            <v>02</v>
          </cell>
          <cell r="C462" t="str">
            <v>11</v>
          </cell>
          <cell r="D462" t="str">
            <v>6</v>
          </cell>
          <cell r="E462" t="str">
            <v>مصروفات تأمين -  سرقة</v>
          </cell>
          <cell r="G462">
            <v>32337.599999999999</v>
          </cell>
          <cell r="H462">
            <v>1710</v>
          </cell>
          <cell r="I462">
            <v>1620</v>
          </cell>
          <cell r="K462">
            <v>33957.599999999999</v>
          </cell>
          <cell r="L462">
            <v>1710</v>
          </cell>
          <cell r="M462">
            <v>32247.599999999999</v>
          </cell>
        </row>
        <row r="463">
          <cell r="A463" t="str">
            <v>0001</v>
          </cell>
          <cell r="B463" t="str">
            <v>03</v>
          </cell>
          <cell r="C463" t="str">
            <v>11</v>
          </cell>
          <cell r="D463" t="str">
            <v>6</v>
          </cell>
          <cell r="E463" t="str">
            <v>مصروفات تأمين -  خيانة امانة</v>
          </cell>
          <cell r="G463">
            <v>42205.55</v>
          </cell>
          <cell r="H463">
            <v>2577.7399999999998</v>
          </cell>
          <cell r="I463">
            <v>3375</v>
          </cell>
          <cell r="K463">
            <v>45580.55</v>
          </cell>
          <cell r="L463">
            <v>2577.7399999999998</v>
          </cell>
          <cell r="M463">
            <v>43002.81</v>
          </cell>
        </row>
        <row r="464">
          <cell r="A464" t="str">
            <v>0001</v>
          </cell>
          <cell r="B464" t="str">
            <v>04</v>
          </cell>
          <cell r="C464" t="str">
            <v>11</v>
          </cell>
          <cell r="D464" t="str">
            <v>6</v>
          </cell>
          <cell r="E464" t="str">
            <v>مصروفات تأمين - مشروعات</v>
          </cell>
          <cell r="G464">
            <v>2096222.03</v>
          </cell>
          <cell r="H464">
            <v>324215.71999999997</v>
          </cell>
          <cell r="I464">
            <v>439830.29</v>
          </cell>
          <cell r="K464">
            <v>2536052.3199999998</v>
          </cell>
          <cell r="L464">
            <v>324215.71999999997</v>
          </cell>
          <cell r="M464">
            <v>2211836.6</v>
          </cell>
        </row>
        <row r="465">
          <cell r="A465" t="str">
            <v>0001</v>
          </cell>
          <cell r="B465" t="str">
            <v>05</v>
          </cell>
          <cell r="C465" t="str">
            <v>11</v>
          </cell>
          <cell r="D465" t="str">
            <v>6</v>
          </cell>
          <cell r="E465" t="str">
            <v>مصروفات تامين - شحن بحرى</v>
          </cell>
          <cell r="G465">
            <v>616223.02</v>
          </cell>
          <cell r="H465">
            <v>75312.990000000005</v>
          </cell>
          <cell r="I465">
            <v>3115.11</v>
          </cell>
          <cell r="K465">
            <v>619338.13</v>
          </cell>
          <cell r="L465">
            <v>75312.990000000005</v>
          </cell>
          <cell r="M465">
            <v>544025.14</v>
          </cell>
        </row>
        <row r="466">
          <cell r="A466" t="str">
            <v>0001</v>
          </cell>
          <cell r="B466" t="str">
            <v>06</v>
          </cell>
          <cell r="C466" t="str">
            <v>11</v>
          </cell>
          <cell r="D466" t="str">
            <v>6</v>
          </cell>
          <cell r="E466" t="str">
            <v>مصروفات تامين - شحن جوى</v>
          </cell>
          <cell r="G466">
            <v>6168.07</v>
          </cell>
          <cell r="H466">
            <v>1369.54</v>
          </cell>
          <cell r="I466">
            <v>214.99</v>
          </cell>
          <cell r="K466">
            <v>6383.06</v>
          </cell>
          <cell r="L466">
            <v>1369.54</v>
          </cell>
          <cell r="M466">
            <v>5013.5200000000004</v>
          </cell>
        </row>
        <row r="467">
          <cell r="A467" t="str">
            <v>0002</v>
          </cell>
          <cell r="B467" t="str">
            <v>06</v>
          </cell>
          <cell r="C467" t="str">
            <v>11</v>
          </cell>
          <cell r="D467" t="str">
            <v>6</v>
          </cell>
          <cell r="E467" t="str">
            <v>مصروفات تامين - شحن برى</v>
          </cell>
          <cell r="G467">
            <v>96480.77</v>
          </cell>
          <cell r="H467">
            <v>5376.45</v>
          </cell>
          <cell r="I467">
            <v>24846.76</v>
          </cell>
          <cell r="J467">
            <v>4857.84</v>
          </cell>
          <cell r="K467">
            <v>121327.53</v>
          </cell>
          <cell r="L467">
            <v>10234.290000000001</v>
          </cell>
          <cell r="M467">
            <v>111093.24</v>
          </cell>
        </row>
        <row r="468">
          <cell r="A468" t="str">
            <v>0001</v>
          </cell>
          <cell r="B468" t="str">
            <v>07</v>
          </cell>
          <cell r="C468" t="str">
            <v>11</v>
          </cell>
          <cell r="D468" t="str">
            <v>6</v>
          </cell>
          <cell r="E468" t="str">
            <v>مصروفات تامين - سيارات</v>
          </cell>
          <cell r="G468">
            <v>63954.5</v>
          </cell>
          <cell r="K468">
            <v>63954.5</v>
          </cell>
          <cell r="M468">
            <v>63954.5</v>
          </cell>
        </row>
        <row r="469">
          <cell r="A469" t="str">
            <v>0001</v>
          </cell>
          <cell r="B469" t="str">
            <v>08</v>
          </cell>
          <cell r="C469" t="str">
            <v>11</v>
          </cell>
          <cell r="D469" t="str">
            <v>6</v>
          </cell>
          <cell r="E469" t="str">
            <v>مصروفات تامين شامل</v>
          </cell>
          <cell r="G469">
            <v>727889.05</v>
          </cell>
          <cell r="I469">
            <v>207412.51</v>
          </cell>
          <cell r="K469">
            <v>935301.56</v>
          </cell>
          <cell r="M469">
            <v>935301.56</v>
          </cell>
        </row>
        <row r="470">
          <cell r="A470" t="str">
            <v>0001</v>
          </cell>
          <cell r="B470" t="str">
            <v>99</v>
          </cell>
          <cell r="C470" t="str">
            <v>11</v>
          </cell>
          <cell r="D470" t="str">
            <v>6</v>
          </cell>
          <cell r="E470" t="str">
            <v>مصروفات تأمين أخرى</v>
          </cell>
          <cell r="G470">
            <v>530703.43999999994</v>
          </cell>
          <cell r="H470">
            <v>520</v>
          </cell>
          <cell r="I470">
            <v>144011.85999999999</v>
          </cell>
          <cell r="J470">
            <v>67172.509999999995</v>
          </cell>
          <cell r="K470">
            <v>674715.3</v>
          </cell>
          <cell r="L470">
            <v>67692.509999999995</v>
          </cell>
          <cell r="M470">
            <v>607022.79</v>
          </cell>
        </row>
        <row r="471">
          <cell r="A471" t="str">
            <v>0001</v>
          </cell>
          <cell r="B471" t="str">
            <v>01</v>
          </cell>
          <cell r="C471" t="str">
            <v>12</v>
          </cell>
          <cell r="D471" t="str">
            <v>6</v>
          </cell>
          <cell r="E471" t="str">
            <v>مصروفات قانونية</v>
          </cell>
          <cell r="G471">
            <v>308789.95</v>
          </cell>
          <cell r="H471">
            <v>4000</v>
          </cell>
          <cell r="I471">
            <v>1882.15</v>
          </cell>
          <cell r="K471">
            <v>310672.09999999998</v>
          </cell>
          <cell r="L471">
            <v>4000</v>
          </cell>
          <cell r="M471">
            <v>306672.09999999998</v>
          </cell>
        </row>
        <row r="472">
          <cell r="A472" t="str">
            <v>0001</v>
          </cell>
          <cell r="B472" t="str">
            <v>02</v>
          </cell>
          <cell r="C472" t="str">
            <v>12</v>
          </cell>
          <cell r="D472" t="str">
            <v>6</v>
          </cell>
          <cell r="E472" t="str">
            <v>أتعاب مراجعة</v>
          </cell>
          <cell r="G472">
            <v>208000</v>
          </cell>
          <cell r="H472">
            <v>165000</v>
          </cell>
          <cell r="I472">
            <v>20000</v>
          </cell>
          <cell r="J472">
            <v>20000</v>
          </cell>
          <cell r="K472">
            <v>228000</v>
          </cell>
          <cell r="L472">
            <v>185000</v>
          </cell>
          <cell r="M472">
            <v>43000</v>
          </cell>
        </row>
        <row r="473">
          <cell r="A473" t="str">
            <v>0001</v>
          </cell>
          <cell r="B473" t="str">
            <v>03</v>
          </cell>
          <cell r="C473" t="str">
            <v>12</v>
          </cell>
          <cell r="D473" t="str">
            <v>6</v>
          </cell>
          <cell r="E473" t="str">
            <v>إستشارات مالية و ضريبية</v>
          </cell>
          <cell r="G473">
            <v>1156000</v>
          </cell>
          <cell r="I473">
            <v>727437.5</v>
          </cell>
          <cell r="K473">
            <v>1883437.5</v>
          </cell>
          <cell r="M473">
            <v>1883437.5</v>
          </cell>
        </row>
        <row r="474">
          <cell r="A474" t="str">
            <v>0002</v>
          </cell>
          <cell r="B474" t="str">
            <v>03</v>
          </cell>
          <cell r="C474" t="str">
            <v>12</v>
          </cell>
          <cell r="D474" t="str">
            <v>6</v>
          </cell>
          <cell r="E474" t="str">
            <v>استشارات اخرى</v>
          </cell>
          <cell r="G474">
            <v>2159757.79</v>
          </cell>
          <cell r="H474">
            <v>1932492.5</v>
          </cell>
          <cell r="I474">
            <v>1530</v>
          </cell>
          <cell r="K474">
            <v>2161287.79</v>
          </cell>
          <cell r="L474">
            <v>1932492.5</v>
          </cell>
          <cell r="M474">
            <v>228795.29</v>
          </cell>
        </row>
        <row r="475">
          <cell r="A475" t="str">
            <v>0001</v>
          </cell>
          <cell r="B475" t="str">
            <v>04</v>
          </cell>
          <cell r="C475" t="str">
            <v>12</v>
          </cell>
          <cell r="D475" t="str">
            <v>6</v>
          </cell>
          <cell r="E475" t="str">
            <v>تصنيع</v>
          </cell>
          <cell r="G475">
            <v>150</v>
          </cell>
          <cell r="K475">
            <v>150</v>
          </cell>
          <cell r="M475">
            <v>150</v>
          </cell>
        </row>
        <row r="476">
          <cell r="A476" t="str">
            <v>0001</v>
          </cell>
          <cell r="B476" t="str">
            <v>06</v>
          </cell>
          <cell r="C476" t="str">
            <v>12</v>
          </cell>
          <cell r="D476" t="str">
            <v>6</v>
          </cell>
          <cell r="E476" t="str">
            <v>نقل - مواد خام</v>
          </cell>
          <cell r="G476">
            <v>336681.9</v>
          </cell>
          <cell r="H476">
            <v>46673.279999999999</v>
          </cell>
          <cell r="I476">
            <v>340473.19</v>
          </cell>
          <cell r="J476">
            <v>328478.86</v>
          </cell>
          <cell r="K476">
            <v>677155.09</v>
          </cell>
          <cell r="L476">
            <v>375152.14</v>
          </cell>
          <cell r="M476">
            <v>302002.95</v>
          </cell>
        </row>
        <row r="477">
          <cell r="A477" t="str">
            <v>0002</v>
          </cell>
          <cell r="B477" t="str">
            <v>06</v>
          </cell>
          <cell r="C477" t="str">
            <v>12</v>
          </cell>
          <cell r="D477" t="str">
            <v>6</v>
          </cell>
          <cell r="E477" t="str">
            <v>نقل - بضاعة تامة الصنع</v>
          </cell>
          <cell r="G477">
            <v>76336</v>
          </cell>
          <cell r="I477">
            <v>100</v>
          </cell>
          <cell r="K477">
            <v>76436</v>
          </cell>
          <cell r="M477">
            <v>76436</v>
          </cell>
        </row>
        <row r="478">
          <cell r="A478" t="str">
            <v>0003</v>
          </cell>
          <cell r="B478" t="str">
            <v>06</v>
          </cell>
          <cell r="C478" t="str">
            <v>12</v>
          </cell>
          <cell r="D478" t="str">
            <v>6</v>
          </cell>
          <cell r="E478" t="str">
            <v>نقل معدات</v>
          </cell>
          <cell r="G478">
            <v>2627753.34</v>
          </cell>
          <cell r="H478">
            <v>535348.25</v>
          </cell>
          <cell r="I478">
            <v>582263.85</v>
          </cell>
          <cell r="K478">
            <v>3210017.19</v>
          </cell>
          <cell r="L478">
            <v>535348.25</v>
          </cell>
          <cell r="M478">
            <v>2674668.94</v>
          </cell>
        </row>
        <row r="479">
          <cell r="A479" t="str">
            <v>0001</v>
          </cell>
          <cell r="B479" t="str">
            <v>09</v>
          </cell>
          <cell r="C479" t="str">
            <v>12</v>
          </cell>
          <cell r="D479" t="str">
            <v>6</v>
          </cell>
          <cell r="E479" t="str">
            <v>أخرى متعاقد عليها</v>
          </cell>
          <cell r="G479">
            <v>216122</v>
          </cell>
          <cell r="K479">
            <v>216122</v>
          </cell>
          <cell r="M479">
            <v>216122</v>
          </cell>
        </row>
        <row r="480">
          <cell r="A480" t="str">
            <v>0001</v>
          </cell>
          <cell r="B480" t="str">
            <v>01</v>
          </cell>
          <cell r="C480" t="str">
            <v>13</v>
          </cell>
          <cell r="D480" t="str">
            <v>6</v>
          </cell>
          <cell r="E480" t="str">
            <v>مصروفات صيانة</v>
          </cell>
          <cell r="G480">
            <v>455546.84</v>
          </cell>
          <cell r="H480">
            <v>22790.86</v>
          </cell>
          <cell r="I480">
            <v>23990.63</v>
          </cell>
          <cell r="K480">
            <v>479537.47</v>
          </cell>
          <cell r="L480">
            <v>22790.86</v>
          </cell>
          <cell r="M480">
            <v>456746.61</v>
          </cell>
        </row>
        <row r="481">
          <cell r="A481" t="str">
            <v>0001</v>
          </cell>
          <cell r="B481" t="str">
            <v>02</v>
          </cell>
          <cell r="C481" t="str">
            <v>13</v>
          </cell>
          <cell r="D481" t="str">
            <v>6</v>
          </cell>
          <cell r="E481" t="str">
            <v>غازات صناعية</v>
          </cell>
          <cell r="G481">
            <v>50353.599999999999</v>
          </cell>
          <cell r="H481">
            <v>1262.8</v>
          </cell>
          <cell r="I481">
            <v>5821.2</v>
          </cell>
          <cell r="K481">
            <v>56174.8</v>
          </cell>
          <cell r="L481">
            <v>1262.8</v>
          </cell>
          <cell r="M481">
            <v>54912</v>
          </cell>
        </row>
        <row r="482">
          <cell r="A482" t="str">
            <v>0001</v>
          </cell>
          <cell r="B482" t="str">
            <v>03</v>
          </cell>
          <cell r="C482" t="str">
            <v>13</v>
          </cell>
          <cell r="D482" t="str">
            <v>6</v>
          </cell>
          <cell r="E482" t="str">
            <v>شحن وتخليص</v>
          </cell>
          <cell r="G482">
            <v>54487928.329999998</v>
          </cell>
          <cell r="H482">
            <v>37499902.420000002</v>
          </cell>
          <cell r="I482">
            <v>12829971.539999999</v>
          </cell>
          <cell r="J482">
            <v>12770031.380000001</v>
          </cell>
          <cell r="K482">
            <v>67317899.870000005</v>
          </cell>
          <cell r="L482">
            <v>50269933.799999997</v>
          </cell>
          <cell r="M482">
            <v>17047966.07</v>
          </cell>
        </row>
        <row r="483">
          <cell r="A483" t="str">
            <v>0001</v>
          </cell>
          <cell r="B483" t="str">
            <v>04</v>
          </cell>
          <cell r="C483" t="str">
            <v>13</v>
          </cell>
          <cell r="D483" t="str">
            <v>6</v>
          </cell>
          <cell r="E483" t="str">
            <v>تشغيل بواسطة الغير</v>
          </cell>
          <cell r="G483">
            <v>33747143.119999997</v>
          </cell>
          <cell r="H483">
            <v>90833430.739999995</v>
          </cell>
          <cell r="K483">
            <v>33747143.119999997</v>
          </cell>
          <cell r="L483">
            <v>90833430.739999995</v>
          </cell>
          <cell r="N483">
            <v>57086287.619999997</v>
          </cell>
        </row>
        <row r="484">
          <cell r="A484" t="str">
            <v>0002</v>
          </cell>
          <cell r="B484" t="str">
            <v>04</v>
          </cell>
          <cell r="C484" t="str">
            <v>13</v>
          </cell>
          <cell r="D484" t="str">
            <v>6</v>
          </cell>
          <cell r="E484" t="str">
            <v>تشغيل بواسطة الغير - ترميل ودهان</v>
          </cell>
          <cell r="G484">
            <v>635605.37</v>
          </cell>
          <cell r="H484">
            <v>170273.5</v>
          </cell>
          <cell r="I484">
            <v>220514.43</v>
          </cell>
          <cell r="J484">
            <v>48948.84</v>
          </cell>
          <cell r="K484">
            <v>856119.8</v>
          </cell>
          <cell r="L484">
            <v>219222.34</v>
          </cell>
          <cell r="M484">
            <v>636897.46</v>
          </cell>
        </row>
        <row r="485">
          <cell r="A485" t="str">
            <v>0003</v>
          </cell>
          <cell r="B485" t="str">
            <v>04</v>
          </cell>
          <cell r="C485" t="str">
            <v>13</v>
          </cell>
          <cell r="D485" t="str">
            <v>6</v>
          </cell>
          <cell r="E485" t="str">
            <v>تشغيل بواسطة الغير  - فحص واختبارات</v>
          </cell>
          <cell r="G485">
            <v>64222.8</v>
          </cell>
          <cell r="H485">
            <v>675</v>
          </cell>
          <cell r="I485">
            <v>35767.300000000003</v>
          </cell>
          <cell r="K485">
            <v>99990.1</v>
          </cell>
          <cell r="L485">
            <v>675</v>
          </cell>
          <cell r="M485">
            <v>99315.1</v>
          </cell>
        </row>
        <row r="486">
          <cell r="A486" t="str">
            <v>0004</v>
          </cell>
          <cell r="B486" t="str">
            <v>04</v>
          </cell>
          <cell r="C486" t="str">
            <v>13</v>
          </cell>
          <cell r="D486" t="str">
            <v>6</v>
          </cell>
          <cell r="E486" t="str">
            <v>تشغيل بواسطة الغير - اعمال عزل</v>
          </cell>
          <cell r="G486">
            <v>1733372.67</v>
          </cell>
          <cell r="H486">
            <v>1500</v>
          </cell>
          <cell r="I486">
            <v>46077.71</v>
          </cell>
          <cell r="K486">
            <v>1779450.38</v>
          </cell>
          <cell r="L486">
            <v>1500</v>
          </cell>
          <cell r="M486">
            <v>1777950.38</v>
          </cell>
        </row>
        <row r="487">
          <cell r="A487" t="str">
            <v>0005</v>
          </cell>
          <cell r="B487" t="str">
            <v>04</v>
          </cell>
          <cell r="C487" t="str">
            <v>13</v>
          </cell>
          <cell r="D487" t="str">
            <v>6</v>
          </cell>
          <cell r="E487" t="str">
            <v>تشغيل بواسطة الغير - اعمال تصنيع</v>
          </cell>
          <cell r="G487">
            <v>712687.33</v>
          </cell>
          <cell r="H487">
            <v>42639.89</v>
          </cell>
          <cell r="I487">
            <v>101335.86</v>
          </cell>
          <cell r="K487">
            <v>814023.19</v>
          </cell>
          <cell r="L487">
            <v>42639.89</v>
          </cell>
          <cell r="M487">
            <v>771383.3</v>
          </cell>
        </row>
        <row r="488">
          <cell r="A488" t="str">
            <v>0001</v>
          </cell>
          <cell r="B488" t="str">
            <v>02</v>
          </cell>
          <cell r="C488" t="str">
            <v>14</v>
          </cell>
          <cell r="D488" t="str">
            <v>6</v>
          </cell>
          <cell r="E488" t="str">
            <v>رسوم خطابات ضمان بنكية</v>
          </cell>
          <cell r="I488">
            <v>437919.74</v>
          </cell>
          <cell r="K488">
            <v>437919.74</v>
          </cell>
          <cell r="M488">
            <v>437919.74</v>
          </cell>
        </row>
        <row r="489">
          <cell r="A489" t="str">
            <v>0001</v>
          </cell>
          <cell r="B489" t="str">
            <v>05</v>
          </cell>
          <cell r="C489" t="str">
            <v>14</v>
          </cell>
          <cell r="D489" t="str">
            <v>6</v>
          </cell>
          <cell r="E489" t="str">
            <v>دمغات</v>
          </cell>
          <cell r="G489">
            <v>400.22</v>
          </cell>
          <cell r="I489">
            <v>74.34</v>
          </cell>
          <cell r="K489">
            <v>474.56</v>
          </cell>
          <cell r="M489">
            <v>474.56</v>
          </cell>
        </row>
        <row r="490">
          <cell r="A490" t="str">
            <v>0001</v>
          </cell>
          <cell r="B490" t="str">
            <v>01</v>
          </cell>
          <cell r="C490" t="str">
            <v>15</v>
          </cell>
          <cell r="D490" t="str">
            <v>6</v>
          </cell>
          <cell r="E490" t="str">
            <v>توريدات بالموقع - معدات</v>
          </cell>
          <cell r="G490">
            <v>976562372.46000004</v>
          </cell>
          <cell r="H490">
            <v>759226441.49000001</v>
          </cell>
          <cell r="I490">
            <v>329168700.5</v>
          </cell>
          <cell r="J490">
            <v>289622920.69</v>
          </cell>
          <cell r="K490">
            <v>1305731072.96</v>
          </cell>
          <cell r="L490">
            <v>1048849362.1799999</v>
          </cell>
          <cell r="M490">
            <v>256881710.78</v>
          </cell>
        </row>
        <row r="491">
          <cell r="A491" t="str">
            <v>0003</v>
          </cell>
          <cell r="B491" t="str">
            <v>01</v>
          </cell>
          <cell r="C491" t="str">
            <v>17</v>
          </cell>
          <cell r="D491" t="str">
            <v>6</v>
          </cell>
          <cell r="E491" t="str">
            <v>مصروفات تامينات اجتماعية - السويس</v>
          </cell>
          <cell r="G491">
            <v>229001.07</v>
          </cell>
          <cell r="H491">
            <v>2015.34</v>
          </cell>
          <cell r="I491">
            <v>236473.21</v>
          </cell>
          <cell r="J491">
            <v>191910.63</v>
          </cell>
          <cell r="K491">
            <v>465474.28</v>
          </cell>
          <cell r="L491">
            <v>193925.97</v>
          </cell>
          <cell r="M491">
            <v>271548.31</v>
          </cell>
        </row>
        <row r="492">
          <cell r="A492" t="str">
            <v>0007</v>
          </cell>
          <cell r="B492" t="str">
            <v>01</v>
          </cell>
          <cell r="C492" t="str">
            <v>17</v>
          </cell>
          <cell r="D492" t="str">
            <v>6</v>
          </cell>
          <cell r="E492" t="str">
            <v>مصروفات تامينات اجتماعية - العريش</v>
          </cell>
          <cell r="G492">
            <v>12905387.42</v>
          </cell>
          <cell r="H492">
            <v>14186702.359999999</v>
          </cell>
          <cell r="I492">
            <v>655309.11</v>
          </cell>
          <cell r="J492">
            <v>583561</v>
          </cell>
          <cell r="K492">
            <v>13560696.529999999</v>
          </cell>
          <cell r="L492">
            <v>14770263.359999999</v>
          </cell>
          <cell r="N492">
            <v>1209566.83</v>
          </cell>
        </row>
        <row r="493">
          <cell r="A493" t="str">
            <v>0008</v>
          </cell>
          <cell r="B493" t="str">
            <v>01</v>
          </cell>
          <cell r="C493" t="str">
            <v>17</v>
          </cell>
          <cell r="D493" t="str">
            <v>6</v>
          </cell>
          <cell r="E493" t="str">
            <v>مصروفات تامينات اجتماعية - شمال القاهرة</v>
          </cell>
          <cell r="G493">
            <v>239081.99</v>
          </cell>
          <cell r="K493">
            <v>239081.99</v>
          </cell>
          <cell r="M493">
            <v>239081.99</v>
          </cell>
        </row>
        <row r="494">
          <cell r="A494" t="str">
            <v>0009</v>
          </cell>
          <cell r="B494" t="str">
            <v>01</v>
          </cell>
          <cell r="C494" t="str">
            <v>17</v>
          </cell>
          <cell r="D494" t="str">
            <v>6</v>
          </cell>
          <cell r="E494" t="str">
            <v>مصروفات تامينات اجتماعية - العامرية</v>
          </cell>
          <cell r="H494">
            <v>10731.95</v>
          </cell>
          <cell r="L494">
            <v>10731.95</v>
          </cell>
          <cell r="N494">
            <v>10731.95</v>
          </cell>
        </row>
        <row r="495">
          <cell r="A495" t="str">
            <v>0014</v>
          </cell>
          <cell r="B495" t="str">
            <v>01</v>
          </cell>
          <cell r="C495" t="str">
            <v>17</v>
          </cell>
          <cell r="D495" t="str">
            <v>6</v>
          </cell>
          <cell r="E495" t="str">
            <v>مصروفات تامينات اجتماعية - راس غارب</v>
          </cell>
          <cell r="G495">
            <v>870522.48</v>
          </cell>
          <cell r="H495">
            <v>495.55</v>
          </cell>
          <cell r="I495">
            <v>1167760.07</v>
          </cell>
          <cell r="J495">
            <v>870522.48</v>
          </cell>
          <cell r="K495">
            <v>2038282.55</v>
          </cell>
          <cell r="L495">
            <v>871018.03</v>
          </cell>
          <cell r="M495">
            <v>1167264.52</v>
          </cell>
        </row>
        <row r="496">
          <cell r="A496" t="str">
            <v>0015</v>
          </cell>
          <cell r="B496" t="str">
            <v>01</v>
          </cell>
          <cell r="C496" t="str">
            <v>17</v>
          </cell>
          <cell r="D496" t="str">
            <v>6</v>
          </cell>
          <cell r="E496" t="str">
            <v>مصروفات تامينات اجتماعية - العاشر</v>
          </cell>
          <cell r="G496">
            <v>26827.9</v>
          </cell>
          <cell r="K496">
            <v>26827.9</v>
          </cell>
          <cell r="M496">
            <v>26827.9</v>
          </cell>
        </row>
        <row r="497">
          <cell r="A497" t="str">
            <v>0016</v>
          </cell>
          <cell r="B497" t="str">
            <v>01</v>
          </cell>
          <cell r="C497" t="str">
            <v>17</v>
          </cell>
          <cell r="D497" t="str">
            <v>6</v>
          </cell>
          <cell r="E497" t="str">
            <v>مصروفات تامينات اجتماعية - طلخا و كريمات</v>
          </cell>
          <cell r="G497">
            <v>540401.56999999995</v>
          </cell>
          <cell r="J497">
            <v>345.89</v>
          </cell>
          <cell r="K497">
            <v>540401.56999999995</v>
          </cell>
          <cell r="L497">
            <v>345.89</v>
          </cell>
          <cell r="M497">
            <v>540055.68000000005</v>
          </cell>
        </row>
        <row r="498">
          <cell r="A498" t="str">
            <v>0017</v>
          </cell>
          <cell r="B498" t="str">
            <v>01</v>
          </cell>
          <cell r="C498" t="str">
            <v>17</v>
          </cell>
          <cell r="D498" t="str">
            <v>6</v>
          </cell>
          <cell r="E498" t="str">
            <v>مصروفات تامينات اجتماعية - المنيا</v>
          </cell>
          <cell r="G498">
            <v>3593510.38</v>
          </cell>
          <cell r="H498">
            <v>2895776.01</v>
          </cell>
          <cell r="I498">
            <v>129814.48</v>
          </cell>
          <cell r="J498">
            <v>80579.33</v>
          </cell>
          <cell r="K498">
            <v>3723324.86</v>
          </cell>
          <cell r="L498">
            <v>2976355.34</v>
          </cell>
          <cell r="M498">
            <v>746969.52</v>
          </cell>
        </row>
        <row r="499">
          <cell r="A499" t="str">
            <v>0999</v>
          </cell>
          <cell r="B499" t="str">
            <v>01</v>
          </cell>
          <cell r="C499" t="str">
            <v>17</v>
          </cell>
          <cell r="D499" t="str">
            <v>6</v>
          </cell>
          <cell r="E499" t="str">
            <v>مصروفات تامينات اجتماعية - اخرى</v>
          </cell>
          <cell r="G499">
            <v>11250.06</v>
          </cell>
          <cell r="H499">
            <v>5625.03</v>
          </cell>
          <cell r="K499">
            <v>11250.06</v>
          </cell>
          <cell r="L499">
            <v>5625.03</v>
          </cell>
          <cell r="M499">
            <v>5625.03</v>
          </cell>
        </row>
        <row r="500">
          <cell r="A500" t="str">
            <v>0001</v>
          </cell>
          <cell r="B500" t="str">
            <v>01</v>
          </cell>
          <cell r="C500" t="str">
            <v>18</v>
          </cell>
          <cell r="D500" t="str">
            <v>6</v>
          </cell>
          <cell r="E500" t="str">
            <v>مصروفات - مخصص مخزون راكد</v>
          </cell>
          <cell r="G500">
            <v>6932024</v>
          </cell>
          <cell r="K500">
            <v>6932024</v>
          </cell>
          <cell r="M500">
            <v>6932024</v>
          </cell>
        </row>
        <row r="501">
          <cell r="A501" t="str">
            <v>0002</v>
          </cell>
          <cell r="B501" t="str">
            <v>01</v>
          </cell>
          <cell r="C501" t="str">
            <v>18</v>
          </cell>
          <cell r="D501" t="str">
            <v>6</v>
          </cell>
          <cell r="E501" t="str">
            <v>مصروفات-مخصص ديون مشكوك فى تحصيلها-عملاء</v>
          </cell>
          <cell r="G501">
            <v>55325</v>
          </cell>
          <cell r="K501">
            <v>55325</v>
          </cell>
          <cell r="M501">
            <v>55325</v>
          </cell>
        </row>
        <row r="502">
          <cell r="A502" t="str">
            <v>0001</v>
          </cell>
          <cell r="B502" t="str">
            <v>01</v>
          </cell>
          <cell r="C502" t="str">
            <v>19</v>
          </cell>
          <cell r="D502" t="str">
            <v>6</v>
          </cell>
          <cell r="E502" t="str">
            <v>مصروفات - ضريبة المرتبات</v>
          </cell>
          <cell r="I502">
            <v>940226.13</v>
          </cell>
          <cell r="K502">
            <v>940226.13</v>
          </cell>
          <cell r="M502">
            <v>940226.13</v>
          </cell>
        </row>
        <row r="503">
          <cell r="A503" t="str">
            <v>0004</v>
          </cell>
          <cell r="B503" t="str">
            <v>01</v>
          </cell>
          <cell r="C503" t="str">
            <v>19</v>
          </cell>
          <cell r="D503" t="str">
            <v>6</v>
          </cell>
          <cell r="E503" t="str">
            <v>مصروفات - ضرائب مبيعات</v>
          </cell>
          <cell r="G503">
            <v>7927207.7400000002</v>
          </cell>
          <cell r="H503">
            <v>7803756.8899999997</v>
          </cell>
          <cell r="K503">
            <v>7927207.7400000002</v>
          </cell>
          <cell r="L503">
            <v>7803756.8899999997</v>
          </cell>
          <cell r="M503">
            <v>123450.85</v>
          </cell>
        </row>
        <row r="504">
          <cell r="A504" t="str">
            <v>0006</v>
          </cell>
          <cell r="B504" t="str">
            <v>01</v>
          </cell>
          <cell r="C504" t="str">
            <v>19</v>
          </cell>
          <cell r="D504" t="str">
            <v>6</v>
          </cell>
          <cell r="E504" t="str">
            <v>مصروفات - ضريبة الدخل المؤجلة</v>
          </cell>
          <cell r="G504">
            <v>4142866</v>
          </cell>
          <cell r="H504">
            <v>550269</v>
          </cell>
          <cell r="I504">
            <v>95468</v>
          </cell>
          <cell r="J504">
            <v>695196</v>
          </cell>
          <cell r="K504">
            <v>4238334</v>
          </cell>
          <cell r="L504">
            <v>1245465</v>
          </cell>
          <cell r="M504">
            <v>2992869</v>
          </cell>
        </row>
        <row r="505">
          <cell r="A505" t="str">
            <v>0999</v>
          </cell>
          <cell r="B505" t="str">
            <v>01</v>
          </cell>
          <cell r="C505" t="str">
            <v>19</v>
          </cell>
          <cell r="D505" t="str">
            <v>6</v>
          </cell>
          <cell r="E505" t="str">
            <v>مصروفات - ضرائب أخرى</v>
          </cell>
          <cell r="G505">
            <v>6278.4</v>
          </cell>
          <cell r="K505">
            <v>6278.4</v>
          </cell>
          <cell r="M505">
            <v>6278.4</v>
          </cell>
        </row>
        <row r="506">
          <cell r="A506" t="str">
            <v>0001</v>
          </cell>
          <cell r="B506" t="str">
            <v>01</v>
          </cell>
          <cell r="C506" t="str">
            <v>20</v>
          </cell>
          <cell r="D506" t="str">
            <v>6</v>
          </cell>
          <cell r="E506" t="str">
            <v>مقاولوا باطن - اعمال مدنية - انشاءات</v>
          </cell>
          <cell r="G506">
            <v>366213620.45999998</v>
          </cell>
          <cell r="H506">
            <v>217520465.72</v>
          </cell>
          <cell r="I506">
            <v>39643410.039999999</v>
          </cell>
          <cell r="J506">
            <v>30510873.109999999</v>
          </cell>
          <cell r="K506">
            <v>405857030.5</v>
          </cell>
          <cell r="L506">
            <v>248031338.83000001</v>
          </cell>
          <cell r="M506">
            <v>157825691.66999999</v>
          </cell>
        </row>
        <row r="507">
          <cell r="A507" t="str">
            <v>0002</v>
          </cell>
          <cell r="B507" t="str">
            <v>01</v>
          </cell>
          <cell r="C507" t="str">
            <v>20</v>
          </cell>
          <cell r="D507" t="str">
            <v>6</v>
          </cell>
          <cell r="E507" t="str">
            <v>مقاولوا باطن - اعمال مدنية -مباني ادارية</v>
          </cell>
          <cell r="G507">
            <v>2854370.04</v>
          </cell>
          <cell r="H507">
            <v>586123.06999999995</v>
          </cell>
          <cell r="K507">
            <v>2854370.04</v>
          </cell>
          <cell r="L507">
            <v>586123.06999999995</v>
          </cell>
          <cell r="M507">
            <v>2268246.9700000002</v>
          </cell>
        </row>
        <row r="508">
          <cell r="A508" t="str">
            <v>0003</v>
          </cell>
          <cell r="B508" t="str">
            <v>01</v>
          </cell>
          <cell r="C508" t="str">
            <v>20</v>
          </cell>
          <cell r="D508" t="str">
            <v>6</v>
          </cell>
          <cell r="E508" t="str">
            <v>مقاولوا -اعمال رسومات هندسية</v>
          </cell>
          <cell r="G508">
            <v>251430139.46000001</v>
          </cell>
          <cell r="H508">
            <v>237272059.47999999</v>
          </cell>
          <cell r="I508">
            <v>60301874.149999999</v>
          </cell>
          <cell r="J508">
            <v>56012689.979999997</v>
          </cell>
          <cell r="K508">
            <v>311732013.61000001</v>
          </cell>
          <cell r="L508">
            <v>293284749.45999998</v>
          </cell>
          <cell r="M508">
            <v>18447264.149999999</v>
          </cell>
        </row>
        <row r="509">
          <cell r="A509" t="str">
            <v>0004</v>
          </cell>
          <cell r="B509" t="str">
            <v>01</v>
          </cell>
          <cell r="C509" t="str">
            <v>20</v>
          </cell>
          <cell r="D509" t="str">
            <v>6</v>
          </cell>
          <cell r="E509" t="str">
            <v>مقاولوا باطن - اعمال مدنية - كهربائية</v>
          </cell>
          <cell r="G509">
            <v>179157524.40000001</v>
          </cell>
          <cell r="H509">
            <v>106068146.48999999</v>
          </cell>
          <cell r="I509">
            <v>3192438.99</v>
          </cell>
          <cell r="J509">
            <v>9524370.5700000003</v>
          </cell>
          <cell r="K509">
            <v>182349963.38999999</v>
          </cell>
          <cell r="L509">
            <v>115592517.06</v>
          </cell>
          <cell r="M509">
            <v>66757446.329999998</v>
          </cell>
        </row>
        <row r="510">
          <cell r="A510" t="str">
            <v>0005</v>
          </cell>
          <cell r="B510" t="str">
            <v>01</v>
          </cell>
          <cell r="C510" t="str">
            <v>20</v>
          </cell>
          <cell r="D510" t="str">
            <v>6</v>
          </cell>
          <cell r="E510" t="str">
            <v>مقاولوا باطن - اعمال هدم</v>
          </cell>
          <cell r="G510">
            <v>654500</v>
          </cell>
          <cell r="K510">
            <v>654500</v>
          </cell>
          <cell r="M510">
            <v>654500</v>
          </cell>
        </row>
        <row r="511">
          <cell r="A511" t="str">
            <v>0006</v>
          </cell>
          <cell r="B511" t="str">
            <v>01</v>
          </cell>
          <cell r="C511" t="str">
            <v>20</v>
          </cell>
          <cell r="D511" t="str">
            <v>6</v>
          </cell>
          <cell r="E511" t="str">
            <v>مقاولوا باطن - اعمال جسات</v>
          </cell>
          <cell r="G511">
            <v>2340617.2799999998</v>
          </cell>
          <cell r="K511">
            <v>2340617.2799999998</v>
          </cell>
          <cell r="M511">
            <v>2340617.2799999998</v>
          </cell>
        </row>
        <row r="512">
          <cell r="A512" t="str">
            <v>0007</v>
          </cell>
          <cell r="B512" t="str">
            <v>01</v>
          </cell>
          <cell r="C512" t="str">
            <v>20</v>
          </cell>
          <cell r="D512" t="str">
            <v>6</v>
          </cell>
          <cell r="E512" t="str">
            <v>مقاولوا باطن - توصيل مرافق</v>
          </cell>
          <cell r="G512">
            <v>430633.46</v>
          </cell>
          <cell r="K512">
            <v>430633.46</v>
          </cell>
          <cell r="M512">
            <v>430633.46</v>
          </cell>
        </row>
        <row r="513">
          <cell r="A513" t="str">
            <v>0008</v>
          </cell>
          <cell r="B513" t="str">
            <v>01</v>
          </cell>
          <cell r="C513" t="str">
            <v>20</v>
          </cell>
          <cell r="D513" t="str">
            <v>6</v>
          </cell>
          <cell r="E513" t="str">
            <v>مقاولوا باطن - انشاء طرق</v>
          </cell>
          <cell r="G513">
            <v>1185750</v>
          </cell>
          <cell r="I513">
            <v>707378</v>
          </cell>
          <cell r="K513">
            <v>1893128</v>
          </cell>
          <cell r="M513">
            <v>1893128</v>
          </cell>
        </row>
        <row r="514">
          <cell r="A514" t="str">
            <v>0010</v>
          </cell>
          <cell r="B514" t="str">
            <v>01</v>
          </cell>
          <cell r="C514" t="str">
            <v>20</v>
          </cell>
          <cell r="D514" t="str">
            <v>6</v>
          </cell>
          <cell r="E514" t="str">
            <v>مقاولوا باطن - اعمال اشراف</v>
          </cell>
          <cell r="G514">
            <v>2280990</v>
          </cell>
          <cell r="I514">
            <v>2635565</v>
          </cell>
          <cell r="J514">
            <v>2280990</v>
          </cell>
          <cell r="K514">
            <v>4916555</v>
          </cell>
          <cell r="L514">
            <v>2280990</v>
          </cell>
          <cell r="M514">
            <v>2635565</v>
          </cell>
        </row>
        <row r="515">
          <cell r="A515" t="str">
            <v>0001</v>
          </cell>
          <cell r="B515" t="str">
            <v>01</v>
          </cell>
          <cell r="C515" t="str">
            <v>90</v>
          </cell>
          <cell r="D515" t="str">
            <v>6</v>
          </cell>
          <cell r="E515" t="str">
            <v>مصروفات ايجار تمويلى ونش 400 طن</v>
          </cell>
          <cell r="G515">
            <v>2710936</v>
          </cell>
          <cell r="I515">
            <v>390686</v>
          </cell>
          <cell r="K515">
            <v>3101622</v>
          </cell>
          <cell r="M515">
            <v>3101622</v>
          </cell>
        </row>
        <row r="516">
          <cell r="A516" t="str">
            <v>0002</v>
          </cell>
          <cell r="B516" t="str">
            <v>01</v>
          </cell>
          <cell r="C516" t="str">
            <v>90</v>
          </cell>
          <cell r="D516" t="str">
            <v>6</v>
          </cell>
          <cell r="E516" t="str">
            <v>م تامين ايجار تمويلى ونش 400 طن</v>
          </cell>
          <cell r="G516">
            <v>58586</v>
          </cell>
          <cell r="I516">
            <v>95213.25</v>
          </cell>
          <cell r="K516">
            <v>153799.25</v>
          </cell>
          <cell r="M516">
            <v>153799.25</v>
          </cell>
        </row>
        <row r="517">
          <cell r="A517" t="str">
            <v>0001</v>
          </cell>
          <cell r="B517" t="str">
            <v>02</v>
          </cell>
          <cell r="C517" t="str">
            <v>90</v>
          </cell>
          <cell r="D517" t="str">
            <v>6</v>
          </cell>
          <cell r="E517" t="str">
            <v>مصروفات ايجار تمويلى - 2 أتوبيس MCV400</v>
          </cell>
          <cell r="G517">
            <v>119654.5</v>
          </cell>
          <cell r="I517">
            <v>17093.5</v>
          </cell>
          <cell r="K517">
            <v>136748</v>
          </cell>
          <cell r="M517">
            <v>136748</v>
          </cell>
        </row>
        <row r="518">
          <cell r="A518" t="str">
            <v>0002</v>
          </cell>
          <cell r="B518" t="str">
            <v>02</v>
          </cell>
          <cell r="C518" t="str">
            <v>90</v>
          </cell>
          <cell r="D518" t="str">
            <v>6</v>
          </cell>
          <cell r="E518" t="str">
            <v>م.تأمين ايجارتمويلى - 2 أتوبيس MCV400</v>
          </cell>
          <cell r="G518">
            <v>17093.5</v>
          </cell>
          <cell r="K518">
            <v>17093.5</v>
          </cell>
          <cell r="M518">
            <v>17093.5</v>
          </cell>
        </row>
        <row r="519">
          <cell r="A519" t="str">
            <v>0003</v>
          </cell>
          <cell r="B519" t="str">
            <v>02</v>
          </cell>
          <cell r="C519" t="str">
            <v>90</v>
          </cell>
          <cell r="D519" t="str">
            <v>6</v>
          </cell>
          <cell r="E519" t="str">
            <v>م.صيانة ايجار تمويلى - 2 أتوبيس MCV400</v>
          </cell>
          <cell r="G519">
            <v>4342.29</v>
          </cell>
          <cell r="H519">
            <v>1716.98</v>
          </cell>
          <cell r="I519">
            <v>1951.72</v>
          </cell>
          <cell r="K519">
            <v>6294.01</v>
          </cell>
          <cell r="L519">
            <v>1716.98</v>
          </cell>
          <cell r="M519">
            <v>4577.03</v>
          </cell>
        </row>
        <row r="520">
          <cell r="A520" t="str">
            <v>0001</v>
          </cell>
          <cell r="B520" t="str">
            <v>03</v>
          </cell>
          <cell r="C520" t="str">
            <v>90</v>
          </cell>
          <cell r="D520" t="str">
            <v>6</v>
          </cell>
          <cell r="E520" t="str">
            <v>م. ايجارتمويلى - حفار كوماتسو BC220</v>
          </cell>
          <cell r="G520">
            <v>194939</v>
          </cell>
          <cell r="I520">
            <v>21471</v>
          </cell>
          <cell r="K520">
            <v>216410</v>
          </cell>
          <cell r="M520">
            <v>216410</v>
          </cell>
        </row>
        <row r="521">
          <cell r="A521" t="str">
            <v>0002</v>
          </cell>
          <cell r="B521" t="str">
            <v>03</v>
          </cell>
          <cell r="C521" t="str">
            <v>90</v>
          </cell>
          <cell r="D521" t="str">
            <v>6</v>
          </cell>
          <cell r="E521" t="str">
            <v>م.تأمين ايجارتمويلى - حفار كوماتسوBC220</v>
          </cell>
          <cell r="G521">
            <v>5260</v>
          </cell>
          <cell r="K521">
            <v>5260</v>
          </cell>
          <cell r="M521">
            <v>5260</v>
          </cell>
        </row>
        <row r="522">
          <cell r="A522" t="str">
            <v>0001</v>
          </cell>
          <cell r="B522" t="str">
            <v>04</v>
          </cell>
          <cell r="C522" t="str">
            <v>90</v>
          </cell>
          <cell r="D522" t="str">
            <v>6</v>
          </cell>
          <cell r="E522" t="str">
            <v>م.ايجار تمويلى (حفاركاتينة+2لودر مفصلى)</v>
          </cell>
          <cell r="G522">
            <v>437334</v>
          </cell>
          <cell r="I522">
            <v>71973</v>
          </cell>
          <cell r="K522">
            <v>509307</v>
          </cell>
          <cell r="M522">
            <v>509307</v>
          </cell>
        </row>
        <row r="523">
          <cell r="A523" t="str">
            <v>0002</v>
          </cell>
          <cell r="B523" t="str">
            <v>04</v>
          </cell>
          <cell r="C523" t="str">
            <v>90</v>
          </cell>
          <cell r="D523" t="str">
            <v>6</v>
          </cell>
          <cell r="E523" t="str">
            <v>م.تامين تمويلى (حفاركاتينة+2لودر مفصلى)</v>
          </cell>
          <cell r="G523">
            <v>18745</v>
          </cell>
          <cell r="K523">
            <v>18745</v>
          </cell>
          <cell r="M523">
            <v>18745</v>
          </cell>
        </row>
        <row r="524">
          <cell r="A524" t="str">
            <v>0001</v>
          </cell>
          <cell r="B524" t="str">
            <v>01</v>
          </cell>
          <cell r="C524" t="str">
            <v>98</v>
          </cell>
          <cell r="D524" t="str">
            <v>6</v>
          </cell>
          <cell r="E524" t="str">
            <v>مصروفات سنوات سابقة</v>
          </cell>
          <cell r="G524">
            <v>2389187.59</v>
          </cell>
          <cell r="H524">
            <v>23737.84</v>
          </cell>
          <cell r="K524">
            <v>2389187.59</v>
          </cell>
          <cell r="L524">
            <v>23737.84</v>
          </cell>
          <cell r="M524">
            <v>2365449.75</v>
          </cell>
        </row>
        <row r="525">
          <cell r="A525" t="str">
            <v>0001</v>
          </cell>
          <cell r="B525" t="str">
            <v>01</v>
          </cell>
          <cell r="C525" t="str">
            <v>99</v>
          </cell>
          <cell r="D525" t="str">
            <v>6</v>
          </cell>
          <cell r="E525" t="str">
            <v>مصروفات حكومية  -  داخل مصر</v>
          </cell>
          <cell r="G525">
            <v>100</v>
          </cell>
          <cell r="K525">
            <v>100</v>
          </cell>
          <cell r="M525">
            <v>100</v>
          </cell>
        </row>
        <row r="526">
          <cell r="A526" t="str">
            <v>0001</v>
          </cell>
          <cell r="B526" t="str">
            <v>03</v>
          </cell>
          <cell r="C526" t="str">
            <v>99</v>
          </cell>
          <cell r="D526" t="str">
            <v>6</v>
          </cell>
          <cell r="E526" t="str">
            <v>رسوم ترخيص</v>
          </cell>
          <cell r="G526">
            <v>44.8</v>
          </cell>
          <cell r="I526">
            <v>1395.46</v>
          </cell>
          <cell r="K526">
            <v>1440.26</v>
          </cell>
          <cell r="M526">
            <v>1440.26</v>
          </cell>
        </row>
        <row r="527">
          <cell r="A527" t="str">
            <v>0001</v>
          </cell>
          <cell r="B527" t="str">
            <v>04</v>
          </cell>
          <cell r="C527" t="str">
            <v>99</v>
          </cell>
          <cell r="D527" t="str">
            <v>6</v>
          </cell>
          <cell r="E527" t="str">
            <v>غرامات وتعويضات</v>
          </cell>
          <cell r="G527">
            <v>40749700.659999996</v>
          </cell>
          <cell r="H527">
            <v>22718487.120000001</v>
          </cell>
          <cell r="I527">
            <v>12557.7</v>
          </cell>
          <cell r="J527">
            <v>25115.4</v>
          </cell>
          <cell r="K527">
            <v>40762258.359999999</v>
          </cell>
          <cell r="L527">
            <v>22743602.52</v>
          </cell>
          <cell r="M527">
            <v>18018655.84</v>
          </cell>
        </row>
        <row r="528">
          <cell r="A528" t="str">
            <v>0001</v>
          </cell>
          <cell r="B528" t="str">
            <v>05</v>
          </cell>
          <cell r="C528" t="str">
            <v>99</v>
          </cell>
          <cell r="D528" t="str">
            <v>6</v>
          </cell>
          <cell r="E528" t="str">
            <v>دمغات</v>
          </cell>
          <cell r="G528">
            <v>117864.05</v>
          </cell>
          <cell r="H528">
            <v>116274.14</v>
          </cell>
          <cell r="K528">
            <v>117864.05</v>
          </cell>
          <cell r="L528">
            <v>116274.14</v>
          </cell>
          <cell r="M528">
            <v>1589.91</v>
          </cell>
        </row>
        <row r="529">
          <cell r="A529" t="str">
            <v>0001</v>
          </cell>
          <cell r="B529" t="str">
            <v>06</v>
          </cell>
          <cell r="C529" t="str">
            <v>99</v>
          </cell>
          <cell r="D529" t="str">
            <v>6</v>
          </cell>
          <cell r="E529" t="str">
            <v>إكراميات</v>
          </cell>
          <cell r="G529">
            <v>78455.179999999993</v>
          </cell>
          <cell r="H529">
            <v>35033.199999999997</v>
          </cell>
          <cell r="I529">
            <v>2079.4299999999998</v>
          </cell>
          <cell r="K529">
            <v>80534.61</v>
          </cell>
          <cell r="L529">
            <v>35033.199999999997</v>
          </cell>
          <cell r="M529">
            <v>45501.41</v>
          </cell>
        </row>
        <row r="530">
          <cell r="A530" t="str">
            <v>0001</v>
          </cell>
          <cell r="B530" t="str">
            <v>07</v>
          </cell>
          <cell r="C530" t="str">
            <v>99</v>
          </cell>
          <cell r="D530" t="str">
            <v>6</v>
          </cell>
          <cell r="E530" t="str">
            <v>رسوم جمركية وتخليص</v>
          </cell>
          <cell r="G530">
            <v>10241.299999999999</v>
          </cell>
          <cell r="I530">
            <v>3109.96</v>
          </cell>
          <cell r="K530">
            <v>13351.26</v>
          </cell>
          <cell r="M530">
            <v>13351.26</v>
          </cell>
        </row>
        <row r="531">
          <cell r="A531" t="str">
            <v>0001</v>
          </cell>
          <cell r="B531" t="str">
            <v>08</v>
          </cell>
          <cell r="C531" t="str">
            <v>99</v>
          </cell>
          <cell r="D531" t="str">
            <v>6</v>
          </cell>
          <cell r="E531" t="str">
            <v>مصروفات متنوعة أخرى</v>
          </cell>
          <cell r="G531">
            <v>119035895.51000001</v>
          </cell>
          <cell r="H531">
            <v>92473308.579999998</v>
          </cell>
          <cell r="I531">
            <v>9428531.4299999997</v>
          </cell>
          <cell r="J531">
            <v>11144904.09</v>
          </cell>
          <cell r="K531">
            <v>128464426.94</v>
          </cell>
          <cell r="L531">
            <v>103618212.67</v>
          </cell>
          <cell r="M531">
            <v>24846214.27</v>
          </cell>
        </row>
        <row r="532">
          <cell r="A532" t="str">
            <v>0001</v>
          </cell>
          <cell r="B532" t="str">
            <v>09</v>
          </cell>
          <cell r="C532" t="str">
            <v>99</v>
          </cell>
          <cell r="D532" t="str">
            <v>6</v>
          </cell>
          <cell r="E532" t="str">
            <v>تكلفة اعمال تحت التنفيذ</v>
          </cell>
          <cell r="G532">
            <v>391679950.31999999</v>
          </cell>
          <cell r="H532">
            <v>364163277.06999999</v>
          </cell>
          <cell r="I532">
            <v>64015803.75</v>
          </cell>
          <cell r="J532">
            <v>57530286.369999997</v>
          </cell>
          <cell r="K532">
            <v>455695754.06999999</v>
          </cell>
          <cell r="L532">
            <v>421693563.44</v>
          </cell>
          <cell r="M532">
            <v>34002190.630000003</v>
          </cell>
        </row>
        <row r="533">
          <cell r="A533" t="str">
            <v>0001</v>
          </cell>
          <cell r="B533" t="str">
            <v>01</v>
          </cell>
          <cell r="C533" t="str">
            <v>01</v>
          </cell>
          <cell r="D533" t="str">
            <v>7</v>
          </cell>
          <cell r="E533" t="str">
            <v>مصروفات بنكيه- جنيه مصري</v>
          </cell>
          <cell r="G533">
            <v>6003301.7300000004</v>
          </cell>
          <cell r="H533">
            <v>1171364.92</v>
          </cell>
          <cell r="I533">
            <v>63279.92</v>
          </cell>
          <cell r="J533">
            <v>6331.25</v>
          </cell>
          <cell r="K533">
            <v>6066581.6500000004</v>
          </cell>
          <cell r="L533">
            <v>1177696.17</v>
          </cell>
          <cell r="M533">
            <v>4888885.4800000004</v>
          </cell>
        </row>
        <row r="534">
          <cell r="A534" t="str">
            <v>0002</v>
          </cell>
          <cell r="B534" t="str">
            <v>01</v>
          </cell>
          <cell r="C534" t="str">
            <v>01</v>
          </cell>
          <cell r="D534" t="str">
            <v>7</v>
          </cell>
          <cell r="E534" t="str">
            <v>مصروفات بنكيه- دولار</v>
          </cell>
          <cell r="G534">
            <v>1621887.47</v>
          </cell>
          <cell r="H534">
            <v>339266.7</v>
          </cell>
          <cell r="I534">
            <v>11783.71</v>
          </cell>
          <cell r="K534">
            <v>1633671.18</v>
          </cell>
          <cell r="L534">
            <v>339266.7</v>
          </cell>
          <cell r="M534">
            <v>1294404.48</v>
          </cell>
        </row>
        <row r="535">
          <cell r="A535" t="str">
            <v>0003</v>
          </cell>
          <cell r="B535" t="str">
            <v>01</v>
          </cell>
          <cell r="C535" t="str">
            <v>01</v>
          </cell>
          <cell r="D535" t="str">
            <v>7</v>
          </cell>
          <cell r="E535" t="str">
            <v>مصروفات بنكيه  يورو</v>
          </cell>
          <cell r="G535">
            <v>7139438.7699999996</v>
          </cell>
          <cell r="H535">
            <v>5246333.76</v>
          </cell>
          <cell r="I535">
            <v>16517.72</v>
          </cell>
          <cell r="J535">
            <v>4435.3900000000003</v>
          </cell>
          <cell r="K535">
            <v>7155956.4900000002</v>
          </cell>
          <cell r="L535">
            <v>5250769.1500000004</v>
          </cell>
          <cell r="M535">
            <v>1905187.34</v>
          </cell>
        </row>
        <row r="536">
          <cell r="A536" t="str">
            <v>0005</v>
          </cell>
          <cell r="B536" t="str">
            <v>01</v>
          </cell>
          <cell r="C536" t="str">
            <v>01</v>
          </cell>
          <cell r="D536" t="str">
            <v>7</v>
          </cell>
          <cell r="E536" t="str">
            <v>مصروفات بنكيه جنيه استرلينى</v>
          </cell>
          <cell r="G536">
            <v>1147.72</v>
          </cell>
          <cell r="K536">
            <v>1147.72</v>
          </cell>
          <cell r="M536">
            <v>1147.72</v>
          </cell>
        </row>
        <row r="537">
          <cell r="A537" t="str">
            <v>0007</v>
          </cell>
          <cell r="B537" t="str">
            <v>01</v>
          </cell>
          <cell r="C537" t="str">
            <v>01</v>
          </cell>
          <cell r="D537" t="str">
            <v>7</v>
          </cell>
          <cell r="E537" t="str">
            <v>م بنكية -دينار سودانى</v>
          </cell>
          <cell r="G537">
            <v>40182.86</v>
          </cell>
          <cell r="H537">
            <v>2983.88</v>
          </cell>
          <cell r="I537">
            <v>2492.19</v>
          </cell>
          <cell r="K537">
            <v>42675.05</v>
          </cell>
          <cell r="L537">
            <v>2983.88</v>
          </cell>
          <cell r="M537">
            <v>39691.17</v>
          </cell>
        </row>
        <row r="538">
          <cell r="A538" t="str">
            <v>0001</v>
          </cell>
          <cell r="B538" t="str">
            <v>02</v>
          </cell>
          <cell r="C538" t="str">
            <v>01</v>
          </cell>
          <cell r="D538" t="str">
            <v>7</v>
          </cell>
          <cell r="E538" t="str">
            <v>عموله اعلى رصيد جنيه</v>
          </cell>
          <cell r="G538">
            <v>7308.14</v>
          </cell>
          <cell r="I538">
            <v>1761.29</v>
          </cell>
          <cell r="K538">
            <v>9069.43</v>
          </cell>
          <cell r="M538">
            <v>9069.43</v>
          </cell>
        </row>
        <row r="539">
          <cell r="A539" t="str">
            <v>0002</v>
          </cell>
          <cell r="B539" t="str">
            <v>02</v>
          </cell>
          <cell r="C539" t="str">
            <v>01</v>
          </cell>
          <cell r="D539" t="str">
            <v>7</v>
          </cell>
          <cell r="E539" t="str">
            <v>عموله اعلى رصيد دولار</v>
          </cell>
          <cell r="G539">
            <v>55.06</v>
          </cell>
          <cell r="I539">
            <v>792.18</v>
          </cell>
          <cell r="K539">
            <v>847.24</v>
          </cell>
          <cell r="M539">
            <v>847.24</v>
          </cell>
        </row>
        <row r="540">
          <cell r="A540" t="str">
            <v>0003</v>
          </cell>
          <cell r="B540" t="str">
            <v>02</v>
          </cell>
          <cell r="C540" t="str">
            <v>01</v>
          </cell>
          <cell r="D540" t="str">
            <v>7</v>
          </cell>
          <cell r="E540" t="str">
            <v>عموله اعلى رصيد يورو</v>
          </cell>
          <cell r="G540">
            <v>135.22</v>
          </cell>
          <cell r="I540">
            <v>3535.55</v>
          </cell>
          <cell r="K540">
            <v>3670.77</v>
          </cell>
          <cell r="M540">
            <v>3670.77</v>
          </cell>
        </row>
        <row r="541">
          <cell r="A541" t="str">
            <v>0001</v>
          </cell>
          <cell r="B541" t="str">
            <v>03</v>
          </cell>
          <cell r="C541" t="str">
            <v>01</v>
          </cell>
          <cell r="D541" t="str">
            <v>7</v>
          </cell>
          <cell r="E541" t="str">
            <v>فوائد بنكيه جنيه</v>
          </cell>
          <cell r="G541">
            <v>6873691.9900000002</v>
          </cell>
          <cell r="H541">
            <v>2378275.6</v>
          </cell>
          <cell r="I541">
            <v>1190803.55</v>
          </cell>
          <cell r="K541">
            <v>8064495.54</v>
          </cell>
          <cell r="L541">
            <v>2378275.6</v>
          </cell>
          <cell r="M541">
            <v>5686219.9400000004</v>
          </cell>
        </row>
        <row r="542">
          <cell r="A542" t="str">
            <v>0002</v>
          </cell>
          <cell r="B542" t="str">
            <v>03</v>
          </cell>
          <cell r="C542" t="str">
            <v>01</v>
          </cell>
          <cell r="D542" t="str">
            <v>7</v>
          </cell>
          <cell r="E542" t="str">
            <v>فوائد بنكيه دولار</v>
          </cell>
          <cell r="G542">
            <v>178152.87</v>
          </cell>
          <cell r="H542">
            <v>7058.98</v>
          </cell>
          <cell r="I542">
            <v>84374.13</v>
          </cell>
          <cell r="K542">
            <v>262527</v>
          </cell>
          <cell r="L542">
            <v>7058.98</v>
          </cell>
          <cell r="M542">
            <v>255468.02</v>
          </cell>
        </row>
        <row r="543">
          <cell r="A543" t="str">
            <v>0003</v>
          </cell>
          <cell r="B543" t="str">
            <v>03</v>
          </cell>
          <cell r="C543" t="str">
            <v>01</v>
          </cell>
          <cell r="D543" t="str">
            <v>7</v>
          </cell>
          <cell r="E543" t="str">
            <v>فوائد بنكيه يورو</v>
          </cell>
          <cell r="G543">
            <v>1191081.8899999999</v>
          </cell>
          <cell r="H543">
            <v>48.22</v>
          </cell>
          <cell r="I543">
            <v>373123.16</v>
          </cell>
          <cell r="J543">
            <v>500396.3</v>
          </cell>
          <cell r="K543">
            <v>1564205.05</v>
          </cell>
          <cell r="L543">
            <v>500444.52</v>
          </cell>
          <cell r="M543">
            <v>1063760.53</v>
          </cell>
        </row>
        <row r="544">
          <cell r="A544" t="str">
            <v>0001</v>
          </cell>
          <cell r="B544" t="str">
            <v>30</v>
          </cell>
          <cell r="C544" t="str">
            <v>01</v>
          </cell>
          <cell r="D544" t="str">
            <v>7</v>
          </cell>
          <cell r="E544" t="str">
            <v>فروق تغيير عملات</v>
          </cell>
          <cell r="G544">
            <v>30889541.370000001</v>
          </cell>
          <cell r="H544">
            <v>31379943.190000001</v>
          </cell>
          <cell r="I544">
            <v>10612912.84</v>
          </cell>
          <cell r="J544">
            <v>13795487.119999999</v>
          </cell>
          <cell r="K544">
            <v>41502454.210000001</v>
          </cell>
          <cell r="L544">
            <v>45175430.310000002</v>
          </cell>
          <cell r="N544">
            <v>3672976.1</v>
          </cell>
        </row>
        <row r="545">
          <cell r="A545" t="str">
            <v>0002</v>
          </cell>
          <cell r="B545" t="str">
            <v>40</v>
          </cell>
          <cell r="C545" t="str">
            <v>01</v>
          </cell>
          <cell r="D545" t="str">
            <v>7</v>
          </cell>
          <cell r="E545" t="str">
            <v>خسائر  تكهين أصول ثابتة</v>
          </cell>
          <cell r="G545">
            <v>341442.12</v>
          </cell>
          <cell r="H545">
            <v>268821.06</v>
          </cell>
          <cell r="K545">
            <v>341442.12</v>
          </cell>
          <cell r="L545">
            <v>268821.06</v>
          </cell>
          <cell r="M545">
            <v>72621.06</v>
          </cell>
        </row>
        <row r="546">
          <cell r="A546" t="str">
            <v>0001</v>
          </cell>
          <cell r="B546" t="str">
            <v>99</v>
          </cell>
          <cell r="C546" t="str">
            <v>01</v>
          </cell>
          <cell r="D546" t="str">
            <v>7</v>
          </cell>
          <cell r="E546" t="str">
            <v>مصروفات - أخرى</v>
          </cell>
          <cell r="G546">
            <v>272.75</v>
          </cell>
          <cell r="K546">
            <v>272.75</v>
          </cell>
          <cell r="M546">
            <v>272.75</v>
          </cell>
        </row>
        <row r="547">
          <cell r="A547" t="str">
            <v>0001</v>
          </cell>
          <cell r="B547" t="str">
            <v>05</v>
          </cell>
          <cell r="C547" t="str">
            <v>01</v>
          </cell>
          <cell r="D547" t="str">
            <v>8</v>
          </cell>
          <cell r="E547" t="str">
            <v>فوائد ودائع لأجل</v>
          </cell>
          <cell r="H547">
            <v>30479.96</v>
          </cell>
          <cell r="L547">
            <v>30479.96</v>
          </cell>
          <cell r="N547">
            <v>30479.96</v>
          </cell>
        </row>
        <row r="548">
          <cell r="A548" t="str">
            <v>0002</v>
          </cell>
          <cell r="B548" t="str">
            <v>05</v>
          </cell>
          <cell r="C548" t="str">
            <v>01</v>
          </cell>
          <cell r="D548" t="str">
            <v>8</v>
          </cell>
          <cell r="E548" t="str">
            <v>فوائد حسابات جارية دائنة</v>
          </cell>
          <cell r="G548">
            <v>19841.150000000001</v>
          </cell>
          <cell r="H548">
            <v>196597.03</v>
          </cell>
          <cell r="J548">
            <v>1264.97</v>
          </cell>
          <cell r="K548">
            <v>19841.150000000001</v>
          </cell>
          <cell r="L548">
            <v>197862</v>
          </cell>
          <cell r="N548">
            <v>178020.85</v>
          </cell>
        </row>
        <row r="549">
          <cell r="A549" t="str">
            <v>0001</v>
          </cell>
          <cell r="B549" t="str">
            <v>10</v>
          </cell>
          <cell r="C549" t="str">
            <v>01</v>
          </cell>
          <cell r="D549" t="str">
            <v>8</v>
          </cell>
          <cell r="E549" t="str">
            <v>إيرادات فوائد مؤجلة</v>
          </cell>
          <cell r="H549">
            <v>10156.469999999999</v>
          </cell>
          <cell r="J549">
            <v>1452.96</v>
          </cell>
          <cell r="L549">
            <v>11609.43</v>
          </cell>
          <cell r="N549">
            <v>11609.43</v>
          </cell>
        </row>
        <row r="550">
          <cell r="A550" t="str">
            <v>0001</v>
          </cell>
          <cell r="B550" t="str">
            <v>35</v>
          </cell>
          <cell r="C550" t="str">
            <v>01</v>
          </cell>
          <cell r="D550" t="str">
            <v>8</v>
          </cell>
          <cell r="E550" t="str">
            <v>إيرادات بيع خردة</v>
          </cell>
          <cell r="H550">
            <v>172544</v>
          </cell>
          <cell r="L550">
            <v>172544</v>
          </cell>
          <cell r="N550">
            <v>172544</v>
          </cell>
        </row>
        <row r="551">
          <cell r="A551" t="str">
            <v>0001</v>
          </cell>
          <cell r="B551" t="str">
            <v>99</v>
          </cell>
          <cell r="C551" t="str">
            <v>01</v>
          </cell>
          <cell r="D551" t="str">
            <v>8</v>
          </cell>
          <cell r="E551" t="str">
            <v>إيرادات أخرى</v>
          </cell>
          <cell r="H551">
            <v>80000</v>
          </cell>
          <cell r="J551">
            <v>30805.02</v>
          </cell>
          <cell r="L551">
            <v>110805.02</v>
          </cell>
          <cell r="N551">
            <v>110805.02</v>
          </cell>
        </row>
        <row r="552">
          <cell r="A552" t="str">
            <v>0002</v>
          </cell>
          <cell r="B552" t="str">
            <v>99</v>
          </cell>
          <cell r="C552" t="str">
            <v>99</v>
          </cell>
          <cell r="D552" t="str">
            <v>9</v>
          </cell>
          <cell r="E552" t="str">
            <v>حساب وسيط المشتريات</v>
          </cell>
          <cell r="G552">
            <v>402917966.54000002</v>
          </cell>
          <cell r="H552">
            <v>425314350.38999999</v>
          </cell>
          <cell r="I552">
            <v>141707024.86000001</v>
          </cell>
          <cell r="J552">
            <v>143069833.22999999</v>
          </cell>
          <cell r="K552">
            <v>544624991.39999998</v>
          </cell>
          <cell r="L552">
            <v>568384183.62</v>
          </cell>
          <cell r="N552">
            <v>23759192.219999999</v>
          </cell>
        </row>
        <row r="553">
          <cell r="E553" t="str">
            <v>إجمالى كلى</v>
          </cell>
          <cell r="F553">
            <v>-0.05</v>
          </cell>
          <cell r="G553">
            <v>19792649981.779999</v>
          </cell>
          <cell r="H553">
            <v>19792649981.490002</v>
          </cell>
          <cell r="I553">
            <v>2311190790.5500002</v>
          </cell>
          <cell r="J553">
            <v>2311190789.8499999</v>
          </cell>
          <cell r="K553">
            <v>22103840772.330002</v>
          </cell>
          <cell r="L553">
            <v>22103840771.389999</v>
          </cell>
          <cell r="M553">
            <v>2639257129.5500002</v>
          </cell>
          <cell r="N553">
            <v>2639257128.6100001</v>
          </cell>
        </row>
      </sheetData>
      <sheetData sheetId="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ميزان_المراجعة_شهرى"/>
      <sheetName val="trial 4"/>
    </sheetNames>
    <sheetDataSet>
      <sheetData sheetId="0" refreshError="1">
        <row r="1">
          <cell r="F1" t="str">
            <v>حركة الشهر</v>
          </cell>
          <cell r="G1" t="str">
            <v>حركة الشهر</v>
          </cell>
          <cell r="H1" t="str">
            <v>المجموع</v>
          </cell>
          <cell r="I1" t="str">
            <v>المجموع</v>
          </cell>
          <cell r="J1" t="str">
            <v>ختامى</v>
          </cell>
          <cell r="K1" t="str">
            <v>ختامى</v>
          </cell>
        </row>
        <row r="2">
          <cell r="A2" t="str">
            <v>إسم الحساب</v>
          </cell>
          <cell r="B2" t="str">
            <v>XXXX</v>
          </cell>
          <cell r="C2" t="str">
            <v>XX</v>
          </cell>
          <cell r="D2" t="str">
            <v>XX</v>
          </cell>
          <cell r="E2" t="str">
            <v>X</v>
          </cell>
          <cell r="F2" t="str">
            <v>مدين</v>
          </cell>
          <cell r="G2" t="str">
            <v>دائن</v>
          </cell>
          <cell r="H2" t="str">
            <v>مدين</v>
          </cell>
          <cell r="I2" t="str">
            <v>دائن</v>
          </cell>
          <cell r="J2" t="str">
            <v>مدين</v>
          </cell>
          <cell r="K2" t="str">
            <v>دائن</v>
          </cell>
        </row>
        <row r="3">
          <cell r="A3" t="str">
            <v>اراضى - التبين</v>
          </cell>
          <cell r="B3" t="str">
            <v>0002</v>
          </cell>
          <cell r="C3" t="str">
            <v>01</v>
          </cell>
          <cell r="D3" t="str">
            <v>01</v>
          </cell>
          <cell r="E3" t="str">
            <v>1</v>
          </cell>
          <cell r="H3" t="str">
            <v>3,701,467.00</v>
          </cell>
          <cell r="J3" t="str">
            <v>3,701,467.00</v>
          </cell>
        </row>
        <row r="4">
          <cell r="A4" t="str">
            <v>مباني - التبين</v>
          </cell>
          <cell r="B4" t="str">
            <v>0001</v>
          </cell>
          <cell r="C4" t="str">
            <v>02</v>
          </cell>
          <cell r="D4" t="str">
            <v>01</v>
          </cell>
          <cell r="E4" t="str">
            <v>1</v>
          </cell>
          <cell r="F4" t="str">
            <v>5,853,393.04</v>
          </cell>
          <cell r="H4" t="str">
            <v>89,032,901.31</v>
          </cell>
          <cell r="J4" t="str">
            <v>89,032,901.31</v>
          </cell>
        </row>
        <row r="5">
          <cell r="A5" t="str">
            <v>الآلات والمعدات - التبين</v>
          </cell>
          <cell r="B5" t="str">
            <v>0001</v>
          </cell>
          <cell r="C5" t="str">
            <v>03</v>
          </cell>
          <cell r="D5" t="str">
            <v>01</v>
          </cell>
          <cell r="E5" t="str">
            <v>1</v>
          </cell>
          <cell r="F5" t="str">
            <v>8,431,919.20</v>
          </cell>
          <cell r="H5" t="str">
            <v>64,568,129.42</v>
          </cell>
          <cell r="I5" t="str">
            <v>281,458.03</v>
          </cell>
          <cell r="J5" t="str">
            <v>64,286,671.39</v>
          </cell>
        </row>
        <row r="6">
          <cell r="A6" t="str">
            <v>معدات نقل - أوناش - التبين</v>
          </cell>
          <cell r="B6" t="str">
            <v>0001</v>
          </cell>
          <cell r="C6" t="str">
            <v>04</v>
          </cell>
          <cell r="D6" t="str">
            <v>01</v>
          </cell>
          <cell r="E6" t="str">
            <v>1</v>
          </cell>
          <cell r="F6" t="str">
            <v>27,056,808.10</v>
          </cell>
          <cell r="H6" t="str">
            <v>102,720,818.62</v>
          </cell>
          <cell r="I6" t="str">
            <v>414,154.60</v>
          </cell>
          <cell r="J6" t="str">
            <v>102,306,664.02</v>
          </cell>
        </row>
        <row r="7">
          <cell r="A7" t="str">
            <v>معدات نقل - سيارات نقل - التبين</v>
          </cell>
          <cell r="B7" t="str">
            <v>0001</v>
          </cell>
          <cell r="C7" t="str">
            <v>05</v>
          </cell>
          <cell r="D7" t="str">
            <v>01</v>
          </cell>
          <cell r="E7" t="str">
            <v>1</v>
          </cell>
          <cell r="F7" t="str">
            <v>142,460.00</v>
          </cell>
          <cell r="H7" t="str">
            <v>10,564,007.61</v>
          </cell>
          <cell r="I7" t="str">
            <v>144,712.00</v>
          </cell>
          <cell r="J7" t="str">
            <v>10,419,295.61</v>
          </cell>
        </row>
        <row r="8">
          <cell r="A8" t="str">
            <v>سيارات ركوب - التبين</v>
          </cell>
          <cell r="B8" t="str">
            <v>0001</v>
          </cell>
          <cell r="C8" t="str">
            <v>06</v>
          </cell>
          <cell r="D8" t="str">
            <v>01</v>
          </cell>
          <cell r="E8" t="str">
            <v>1</v>
          </cell>
          <cell r="H8" t="str">
            <v>1,946,625.25</v>
          </cell>
          <cell r="J8" t="str">
            <v>1,946,625.25</v>
          </cell>
        </row>
        <row r="9">
          <cell r="A9" t="str">
            <v>معدات نقل - نهرى - التبين</v>
          </cell>
          <cell r="B9" t="str">
            <v>0001</v>
          </cell>
          <cell r="C9" t="str">
            <v>07</v>
          </cell>
          <cell r="D9" t="str">
            <v>01</v>
          </cell>
          <cell r="E9" t="str">
            <v>1</v>
          </cell>
          <cell r="H9" t="str">
            <v>2,998,000.00</v>
          </cell>
          <cell r="J9" t="str">
            <v>2,998,000.00</v>
          </cell>
        </row>
        <row r="10">
          <cell r="A10" t="str">
            <v>عدد وأدوات - التبين</v>
          </cell>
          <cell r="B10" t="str">
            <v>0001</v>
          </cell>
          <cell r="C10" t="str">
            <v>08</v>
          </cell>
          <cell r="D10" t="str">
            <v>01</v>
          </cell>
          <cell r="E10" t="str">
            <v>1</v>
          </cell>
          <cell r="F10" t="str">
            <v>1,390,895.00</v>
          </cell>
          <cell r="H10" t="str">
            <v>11,226,997.15</v>
          </cell>
          <cell r="J10" t="str">
            <v>11,226,997.15</v>
          </cell>
        </row>
        <row r="11">
          <cell r="A11" t="str">
            <v>معدات إطفاء وأمن وسلامة - التبين</v>
          </cell>
          <cell r="B11" t="str">
            <v>0001</v>
          </cell>
          <cell r="C11" t="str">
            <v>09</v>
          </cell>
          <cell r="D11" t="str">
            <v>01</v>
          </cell>
          <cell r="E11" t="str">
            <v>1</v>
          </cell>
          <cell r="H11" t="str">
            <v>75,469.73</v>
          </cell>
          <cell r="J11" t="str">
            <v>75,469.73</v>
          </cell>
        </row>
        <row r="12">
          <cell r="A12" t="str">
            <v>أثاث وأجهزة مكتبية</v>
          </cell>
          <cell r="B12" t="str">
            <v>0001</v>
          </cell>
          <cell r="C12" t="str">
            <v>10</v>
          </cell>
          <cell r="D12" t="str">
            <v>01</v>
          </cell>
          <cell r="E12" t="str">
            <v>1</v>
          </cell>
          <cell r="F12" t="str">
            <v>67,916.98</v>
          </cell>
          <cell r="H12" t="str">
            <v>7,463,074.32</v>
          </cell>
          <cell r="J12" t="str">
            <v>7,463,074.32</v>
          </cell>
        </row>
        <row r="13">
          <cell r="A13" t="str">
            <v>أجهزة كمبيوتر</v>
          </cell>
          <cell r="B13" t="str">
            <v>0001</v>
          </cell>
          <cell r="C13" t="str">
            <v>11</v>
          </cell>
          <cell r="D13" t="str">
            <v>01</v>
          </cell>
          <cell r="E13" t="str">
            <v>1</v>
          </cell>
          <cell r="F13" t="str">
            <v>725.37</v>
          </cell>
          <cell r="H13" t="str">
            <v>5,534,496.56</v>
          </cell>
          <cell r="J13" t="str">
            <v>5,534,496.56</v>
          </cell>
        </row>
        <row r="14">
          <cell r="A14" t="str">
            <v>برامج تشغيل أجهزة كمبيوتر</v>
          </cell>
          <cell r="B14" t="str">
            <v>0001</v>
          </cell>
          <cell r="C14" t="str">
            <v>12</v>
          </cell>
          <cell r="D14" t="str">
            <v>01</v>
          </cell>
          <cell r="E14" t="str">
            <v>1</v>
          </cell>
          <cell r="H14" t="str">
            <v>1,944,493.81</v>
          </cell>
          <cell r="J14" t="str">
            <v>1,944,493.81</v>
          </cell>
        </row>
        <row r="15">
          <cell r="A15" t="str">
            <v>مجمع إهلاك - مباني - التبين</v>
          </cell>
          <cell r="B15" t="str">
            <v>0001</v>
          </cell>
          <cell r="C15" t="str">
            <v>02</v>
          </cell>
          <cell r="D15" t="str">
            <v>02</v>
          </cell>
          <cell r="E15" t="str">
            <v>1</v>
          </cell>
          <cell r="G15" t="str">
            <v>541,417.95</v>
          </cell>
          <cell r="I15" t="str">
            <v>16,273,667.29</v>
          </cell>
          <cell r="K15" t="str">
            <v>16,273,667.29</v>
          </cell>
        </row>
        <row r="16">
          <cell r="A16" t="str">
            <v>مجمع إهلاك - آلات  ومعدات - التبين</v>
          </cell>
          <cell r="B16" t="str">
            <v>0001</v>
          </cell>
          <cell r="C16" t="str">
            <v>03</v>
          </cell>
          <cell r="D16" t="str">
            <v>02</v>
          </cell>
          <cell r="E16" t="str">
            <v>1</v>
          </cell>
          <cell r="G16" t="str">
            <v>426,087.97</v>
          </cell>
          <cell r="H16" t="str">
            <v>226,901.81</v>
          </cell>
          <cell r="I16" t="str">
            <v>24,575,323.89</v>
          </cell>
          <cell r="K16" t="str">
            <v>24,348,422.08</v>
          </cell>
        </row>
        <row r="17">
          <cell r="A17" t="str">
            <v>مجمع إهلاك - معدات نقل - أوناش - التبين</v>
          </cell>
          <cell r="B17" t="str">
            <v>0001</v>
          </cell>
          <cell r="C17" t="str">
            <v>04</v>
          </cell>
          <cell r="D17" t="str">
            <v>02</v>
          </cell>
          <cell r="E17" t="str">
            <v>1</v>
          </cell>
          <cell r="G17" t="str">
            <v>728,223.50</v>
          </cell>
          <cell r="H17" t="str">
            <v>330,690.76</v>
          </cell>
          <cell r="I17" t="str">
            <v>22,737,638.92</v>
          </cell>
          <cell r="K17" t="str">
            <v>22,406,948.16</v>
          </cell>
        </row>
        <row r="18">
          <cell r="A18" t="str">
            <v>م. إهلاك - معدات نقل - سيارات نقل التبين</v>
          </cell>
          <cell r="B18" t="str">
            <v>0001</v>
          </cell>
          <cell r="C18" t="str">
            <v>05</v>
          </cell>
          <cell r="D18" t="str">
            <v>02</v>
          </cell>
          <cell r="E18" t="str">
            <v>1</v>
          </cell>
          <cell r="G18" t="str">
            <v>88,232.42</v>
          </cell>
          <cell r="H18" t="str">
            <v>144,711.00</v>
          </cell>
          <cell r="I18" t="str">
            <v>3,952,575.13</v>
          </cell>
          <cell r="K18" t="str">
            <v>3,807,864.13</v>
          </cell>
        </row>
        <row r="19">
          <cell r="A19" t="str">
            <v>مجمع إهلاك -  سيارات ركوب التبين</v>
          </cell>
          <cell r="B19" t="str">
            <v>0001</v>
          </cell>
          <cell r="C19" t="str">
            <v>06</v>
          </cell>
          <cell r="D19" t="str">
            <v>02</v>
          </cell>
          <cell r="E19" t="str">
            <v>1</v>
          </cell>
          <cell r="G19" t="str">
            <v>17,599.67</v>
          </cell>
          <cell r="I19" t="str">
            <v>1,257,881.07</v>
          </cell>
          <cell r="K19" t="str">
            <v>1,257,881.07</v>
          </cell>
        </row>
        <row r="20">
          <cell r="A20" t="str">
            <v>مجمع إهلاك - وسائل نقل نهرى</v>
          </cell>
          <cell r="B20" t="str">
            <v>0001</v>
          </cell>
          <cell r="C20" t="str">
            <v>07</v>
          </cell>
          <cell r="D20" t="str">
            <v>02</v>
          </cell>
          <cell r="E20" t="str">
            <v>1</v>
          </cell>
          <cell r="G20" t="str">
            <v>11,919.07</v>
          </cell>
          <cell r="I20" t="str">
            <v>249,291.09</v>
          </cell>
          <cell r="K20" t="str">
            <v>249,291.09</v>
          </cell>
        </row>
        <row r="21">
          <cell r="A21" t="str">
            <v>مجمع إهلاك -  عدد وأدوات - التبين</v>
          </cell>
          <cell r="B21" t="str">
            <v>0001</v>
          </cell>
          <cell r="C21" t="str">
            <v>08</v>
          </cell>
          <cell r="D21" t="str">
            <v>02</v>
          </cell>
          <cell r="E21" t="str">
            <v>1</v>
          </cell>
          <cell r="G21" t="str">
            <v>123,433.89</v>
          </cell>
          <cell r="I21" t="str">
            <v>3,915,554.32</v>
          </cell>
          <cell r="K21" t="str">
            <v>3,915,554.32</v>
          </cell>
        </row>
        <row r="22">
          <cell r="A22" t="str">
            <v>م. إهلاك - م. إطفاء وأمن وسلامة  التبين</v>
          </cell>
          <cell r="B22" t="str">
            <v>0001</v>
          </cell>
          <cell r="C22" t="str">
            <v>09</v>
          </cell>
          <cell r="D22" t="str">
            <v>02</v>
          </cell>
          <cell r="E22" t="str">
            <v>1</v>
          </cell>
          <cell r="G22" t="str">
            <v>310.60</v>
          </cell>
          <cell r="I22" t="str">
            <v>65,195.25</v>
          </cell>
          <cell r="K22" t="str">
            <v>65,195.25</v>
          </cell>
        </row>
        <row r="23">
          <cell r="A23" t="str">
            <v>م. إهلاك -  أثاث وأجهزة مكتبية - التبين</v>
          </cell>
          <cell r="B23" t="str">
            <v>0001</v>
          </cell>
          <cell r="C23" t="str">
            <v>10</v>
          </cell>
          <cell r="D23" t="str">
            <v>02</v>
          </cell>
          <cell r="E23" t="str">
            <v>1</v>
          </cell>
          <cell r="G23" t="str">
            <v>70,286.11</v>
          </cell>
          <cell r="H23" t="str">
            <v>61.00</v>
          </cell>
          <cell r="I23" t="str">
            <v>4,271,347.32</v>
          </cell>
          <cell r="K23" t="str">
            <v>4,271,286.32</v>
          </cell>
        </row>
        <row r="24">
          <cell r="A24" t="str">
            <v>مجمع إهلاك -  أجهزة كمبيوتر التبين</v>
          </cell>
          <cell r="B24" t="str">
            <v>0001</v>
          </cell>
          <cell r="C24" t="str">
            <v>11</v>
          </cell>
          <cell r="D24" t="str">
            <v>02</v>
          </cell>
          <cell r="E24" t="str">
            <v>1</v>
          </cell>
          <cell r="G24" t="str">
            <v>91,846.85</v>
          </cell>
          <cell r="I24" t="str">
            <v>2,697,746.95</v>
          </cell>
          <cell r="K24" t="str">
            <v>2,697,746.95</v>
          </cell>
        </row>
        <row r="25">
          <cell r="A25" t="str">
            <v>م.إهلاك - برامج ت. أجهزة كمبيوتر التبين</v>
          </cell>
          <cell r="B25" t="str">
            <v>0001</v>
          </cell>
          <cell r="C25" t="str">
            <v>12</v>
          </cell>
          <cell r="D25" t="str">
            <v>02</v>
          </cell>
          <cell r="E25" t="str">
            <v>1</v>
          </cell>
          <cell r="G25" t="str">
            <v>36,017.95</v>
          </cell>
          <cell r="I25" t="str">
            <v>931,201.66</v>
          </cell>
          <cell r="K25" t="str">
            <v>931,201.66</v>
          </cell>
        </row>
        <row r="26">
          <cell r="A26" t="str">
            <v>مشروعات تحت التنفيذ - مباني وانشاءالتبين</v>
          </cell>
          <cell r="B26" t="str">
            <v>0001</v>
          </cell>
          <cell r="C26" t="str">
            <v>02</v>
          </cell>
          <cell r="D26" t="str">
            <v>03</v>
          </cell>
          <cell r="E26" t="str">
            <v>1</v>
          </cell>
          <cell r="F26" t="str">
            <v>759,401.22</v>
          </cell>
          <cell r="H26" t="str">
            <v>2,651,707.02</v>
          </cell>
          <cell r="I26" t="str">
            <v>1,210,958.26</v>
          </cell>
          <cell r="J26" t="str">
            <v>1,440,748.76</v>
          </cell>
        </row>
        <row r="27">
          <cell r="A27" t="str">
            <v>مشروعات تحت التنفيذ - اعمال طرق داخلية</v>
          </cell>
          <cell r="B27" t="str">
            <v>0010</v>
          </cell>
          <cell r="C27" t="str">
            <v>02</v>
          </cell>
          <cell r="D27" t="str">
            <v>03</v>
          </cell>
          <cell r="E27" t="str">
            <v>1</v>
          </cell>
          <cell r="H27" t="str">
            <v>342,662.94</v>
          </cell>
          <cell r="J27" t="str">
            <v>342,662.94</v>
          </cell>
        </row>
        <row r="28">
          <cell r="A28" t="str">
            <v>مشروعات تحت التنفيذ - دورة مياه المصنع</v>
          </cell>
          <cell r="B28" t="str">
            <v>0016</v>
          </cell>
          <cell r="C28" t="str">
            <v>02</v>
          </cell>
          <cell r="D28" t="str">
            <v>03</v>
          </cell>
          <cell r="E28" t="str">
            <v>1</v>
          </cell>
          <cell r="H28" t="str">
            <v>81,452.60</v>
          </cell>
          <cell r="J28" t="str">
            <v>81,452.60</v>
          </cell>
        </row>
        <row r="29">
          <cell r="A29" t="str">
            <v>مشروعات تحت التنفيذ - عنابر سيناء رمادى</v>
          </cell>
          <cell r="B29" t="str">
            <v>0019</v>
          </cell>
          <cell r="C29" t="str">
            <v>02</v>
          </cell>
          <cell r="D29" t="str">
            <v>03</v>
          </cell>
          <cell r="E29" t="str">
            <v>1</v>
          </cell>
          <cell r="H29" t="str">
            <v>326,813.60</v>
          </cell>
          <cell r="J29" t="str">
            <v>326,813.60</v>
          </cell>
        </row>
        <row r="30">
          <cell r="A30" t="str">
            <v>ورشة المشروعات الكبرى</v>
          </cell>
          <cell r="B30" t="str">
            <v>0031</v>
          </cell>
          <cell r="C30" t="str">
            <v>02</v>
          </cell>
          <cell r="D30" t="str">
            <v>03</v>
          </cell>
          <cell r="E30" t="str">
            <v>1</v>
          </cell>
          <cell r="F30" t="str">
            <v>213,023.82</v>
          </cell>
          <cell r="H30" t="str">
            <v>2,543,646.97</v>
          </cell>
          <cell r="J30" t="str">
            <v>2,543,646.97</v>
          </cell>
        </row>
        <row r="31">
          <cell r="A31" t="str">
            <v>مبنى ادارة المعدات والصيانة - التركيبات</v>
          </cell>
          <cell r="B31" t="str">
            <v>0033</v>
          </cell>
          <cell r="C31" t="str">
            <v>02</v>
          </cell>
          <cell r="D31" t="str">
            <v>03</v>
          </cell>
          <cell r="E31" t="str">
            <v>1</v>
          </cell>
          <cell r="H31" t="str">
            <v>897,268.28</v>
          </cell>
          <cell r="J31" t="str">
            <v>897,268.28</v>
          </cell>
        </row>
        <row r="32">
          <cell r="A32" t="str">
            <v>غرفة الكهرباء - ارض التركيبات</v>
          </cell>
          <cell r="B32" t="str">
            <v>0034</v>
          </cell>
          <cell r="C32" t="str">
            <v>02</v>
          </cell>
          <cell r="D32" t="str">
            <v>03</v>
          </cell>
          <cell r="E32" t="str">
            <v>1</v>
          </cell>
          <cell r="H32" t="str">
            <v>134,015.41</v>
          </cell>
          <cell r="J32" t="str">
            <v>134,015.41</v>
          </cell>
        </row>
        <row r="33">
          <cell r="A33" t="str">
            <v>انشاء خط حريق بمصنع التبين</v>
          </cell>
          <cell r="B33" t="str">
            <v>0035</v>
          </cell>
          <cell r="C33" t="str">
            <v>02</v>
          </cell>
          <cell r="D33" t="str">
            <v>03</v>
          </cell>
          <cell r="E33" t="str">
            <v>1</v>
          </cell>
          <cell r="F33" t="str">
            <v>274,884.70</v>
          </cell>
          <cell r="H33" t="str">
            <v>380,518.54</v>
          </cell>
          <cell r="J33" t="str">
            <v>380,518.54</v>
          </cell>
        </row>
        <row r="34">
          <cell r="A34" t="str">
            <v>مشروعات تحت التنفيذ - عنبر رقم (6)</v>
          </cell>
          <cell r="B34" t="str">
            <v>0036</v>
          </cell>
          <cell r="C34" t="str">
            <v>02</v>
          </cell>
          <cell r="D34" t="str">
            <v>03</v>
          </cell>
          <cell r="E34" t="str">
            <v>1</v>
          </cell>
          <cell r="F34" t="str">
            <v>1,093,667.50</v>
          </cell>
          <cell r="G34" t="str">
            <v>546,833.75</v>
          </cell>
          <cell r="H34" t="str">
            <v>3,492,171.23</v>
          </cell>
          <cell r="I34" t="str">
            <v>546,833.75</v>
          </cell>
          <cell r="J34" t="str">
            <v>2,945,337.48</v>
          </cell>
        </row>
        <row r="35">
          <cell r="A35" t="str">
            <v>مشروعات تحت التنفيذ - عنبر رقم (7)</v>
          </cell>
          <cell r="B35" t="str">
            <v>0037</v>
          </cell>
          <cell r="C35" t="str">
            <v>02</v>
          </cell>
          <cell r="D35" t="str">
            <v>03</v>
          </cell>
          <cell r="E35" t="str">
            <v>1</v>
          </cell>
          <cell r="F35" t="str">
            <v>655,585.91</v>
          </cell>
          <cell r="G35" t="str">
            <v>52,128.77</v>
          </cell>
          <cell r="H35" t="str">
            <v>5,273,971.03</v>
          </cell>
          <cell r="I35" t="str">
            <v>52,128.77</v>
          </cell>
          <cell r="J35" t="str">
            <v>5,221,842.26</v>
          </cell>
        </row>
        <row r="36">
          <cell r="A36" t="str">
            <v>مشروعات تحت التنفيذ - آلات ومعدات التبين</v>
          </cell>
          <cell r="B36" t="str">
            <v>0001</v>
          </cell>
          <cell r="C36" t="str">
            <v>03</v>
          </cell>
          <cell r="D36" t="str">
            <v>03</v>
          </cell>
          <cell r="E36" t="str">
            <v>1</v>
          </cell>
          <cell r="H36" t="str">
            <v>4,014,325.90</v>
          </cell>
          <cell r="I36" t="str">
            <v>2,378,064.30</v>
          </cell>
          <cell r="J36" t="str">
            <v>1,636,261.60</v>
          </cell>
        </row>
        <row r="37">
          <cell r="A37" t="str">
            <v>مشروعات ت.التنفيذ - خلاطة اسمنت المنيا</v>
          </cell>
          <cell r="B37" t="str">
            <v>0005</v>
          </cell>
          <cell r="C37" t="str">
            <v>03</v>
          </cell>
          <cell r="D37" t="str">
            <v>03</v>
          </cell>
          <cell r="E37" t="str">
            <v>1</v>
          </cell>
          <cell r="F37" t="str">
            <v>6,418.00</v>
          </cell>
          <cell r="H37" t="str">
            <v>127,403.75</v>
          </cell>
          <cell r="J37" t="str">
            <v>127,403.75</v>
          </cell>
        </row>
        <row r="38">
          <cell r="A38" t="str">
            <v>مشروعات ت.التنفيذ - ميزان قامة سيناء</v>
          </cell>
          <cell r="B38" t="str">
            <v>0006</v>
          </cell>
          <cell r="C38" t="str">
            <v>03</v>
          </cell>
          <cell r="D38" t="str">
            <v>03</v>
          </cell>
          <cell r="E38" t="str">
            <v>1</v>
          </cell>
          <cell r="H38" t="str">
            <v>3,504.00</v>
          </cell>
          <cell r="J38" t="str">
            <v>3,504.00</v>
          </cell>
        </row>
        <row r="39">
          <cell r="A39" t="str">
            <v>م.ت.التنفيذ - ونش علوي 25 طن - WS-5</v>
          </cell>
          <cell r="B39" t="str">
            <v>0005</v>
          </cell>
          <cell r="C39" t="str">
            <v>04</v>
          </cell>
          <cell r="D39" t="str">
            <v>03</v>
          </cell>
          <cell r="E39" t="str">
            <v>1</v>
          </cell>
          <cell r="H39" t="str">
            <v>114,946.12</v>
          </cell>
          <cell r="J39" t="str">
            <v>114,946.12</v>
          </cell>
        </row>
        <row r="40">
          <cell r="A40" t="str">
            <v>م.تحت التنفيذ -  أجهزة كمبيوتر التبين</v>
          </cell>
          <cell r="B40" t="str">
            <v>0001</v>
          </cell>
          <cell r="C40" t="str">
            <v>11</v>
          </cell>
          <cell r="D40" t="str">
            <v>03</v>
          </cell>
          <cell r="E40" t="str">
            <v>1</v>
          </cell>
          <cell r="F40" t="str">
            <v>94,875.60</v>
          </cell>
          <cell r="H40" t="str">
            <v>131,013.17</v>
          </cell>
          <cell r="J40" t="str">
            <v>131,013.17</v>
          </cell>
        </row>
        <row r="41">
          <cell r="A41" t="str">
            <v>م.ت. التنفيذ - برامج تشغيل  أجهزة التبين</v>
          </cell>
          <cell r="B41" t="str">
            <v>0001</v>
          </cell>
          <cell r="C41" t="str">
            <v>12</v>
          </cell>
          <cell r="D41" t="str">
            <v>03</v>
          </cell>
          <cell r="E41" t="str">
            <v>1</v>
          </cell>
          <cell r="H41" t="str">
            <v>110,140.74</v>
          </cell>
          <cell r="J41" t="str">
            <v>110,140.74</v>
          </cell>
        </row>
        <row r="42">
          <cell r="A42" t="str">
            <v>مشروعات تحت التنفيذ - برامج تشغيل  SAP</v>
          </cell>
          <cell r="B42" t="str">
            <v>0002</v>
          </cell>
          <cell r="C42" t="str">
            <v>12</v>
          </cell>
          <cell r="D42" t="str">
            <v>03</v>
          </cell>
          <cell r="E42" t="str">
            <v>1</v>
          </cell>
          <cell r="H42" t="str">
            <v>1,620,426.01</v>
          </cell>
          <cell r="J42" t="str">
            <v>1,620,426.01</v>
          </cell>
        </row>
        <row r="43">
          <cell r="A43" t="str">
            <v>مشروعات تحت التنفيذ - L.Cs - اصول ثابتة</v>
          </cell>
          <cell r="B43" t="str">
            <v>0001</v>
          </cell>
          <cell r="C43" t="str">
            <v>95</v>
          </cell>
          <cell r="D43" t="str">
            <v>03</v>
          </cell>
          <cell r="E43" t="str">
            <v>1</v>
          </cell>
          <cell r="F43" t="str">
            <v>2,930,610.61</v>
          </cell>
          <cell r="H43" t="str">
            <v>2,930,610.61</v>
          </cell>
          <cell r="J43" t="str">
            <v>2,930,610.61</v>
          </cell>
        </row>
        <row r="44">
          <cell r="A44" t="str">
            <v>استثمارات فى شركات شقيقة المتحدة للمسابك</v>
          </cell>
          <cell r="B44" t="str">
            <v>0003</v>
          </cell>
          <cell r="C44" t="str">
            <v>01</v>
          </cell>
          <cell r="D44" t="str">
            <v>05</v>
          </cell>
          <cell r="E44" t="str">
            <v>1</v>
          </cell>
          <cell r="H44" t="str">
            <v>1,000.00</v>
          </cell>
          <cell r="J44" t="str">
            <v>1,000.00</v>
          </cell>
        </row>
        <row r="45">
          <cell r="A45" t="str">
            <v>استثمارات فى شركات - ارسكو السعودية</v>
          </cell>
          <cell r="B45" t="str">
            <v>0005</v>
          </cell>
          <cell r="C45" t="str">
            <v>01</v>
          </cell>
          <cell r="D45" t="str">
            <v>05</v>
          </cell>
          <cell r="E45" t="str">
            <v>1</v>
          </cell>
          <cell r="H45" t="str">
            <v>1,500,000.00</v>
          </cell>
          <cell r="I45" t="str">
            <v>450,000.00</v>
          </cell>
          <cell r="J45" t="str">
            <v>1,050,000.00</v>
          </cell>
        </row>
        <row r="46">
          <cell r="A46" t="str">
            <v>استثمارات فى شركات - A.S.A International</v>
          </cell>
          <cell r="B46" t="str">
            <v>0006</v>
          </cell>
          <cell r="C46" t="str">
            <v>01</v>
          </cell>
          <cell r="D46" t="str">
            <v>05</v>
          </cell>
          <cell r="E46" t="str">
            <v>1</v>
          </cell>
          <cell r="H46" t="str">
            <v>5,475.00</v>
          </cell>
          <cell r="J46" t="str">
            <v>5,475.00</v>
          </cell>
        </row>
        <row r="47">
          <cell r="A47" t="str">
            <v>مواد خام - المخزن الرئيسي</v>
          </cell>
          <cell r="B47" t="str">
            <v>0010</v>
          </cell>
          <cell r="C47" t="str">
            <v>01</v>
          </cell>
          <cell r="D47" t="str">
            <v>15</v>
          </cell>
          <cell r="E47" t="str">
            <v>1</v>
          </cell>
          <cell r="F47" t="str">
            <v>1,129,894.85</v>
          </cell>
          <cell r="G47" t="str">
            <v>3,645,531.19</v>
          </cell>
          <cell r="H47" t="str">
            <v>22,070,635.55</v>
          </cell>
          <cell r="I47" t="str">
            <v>14,375,441.46</v>
          </cell>
          <cell r="J47" t="str">
            <v>7,695,194.10</v>
          </cell>
        </row>
        <row r="48">
          <cell r="A48" t="str">
            <v>مواد خام - مخزن المصنع</v>
          </cell>
          <cell r="B48" t="str">
            <v>0020</v>
          </cell>
          <cell r="C48" t="str">
            <v>01</v>
          </cell>
          <cell r="D48" t="str">
            <v>15</v>
          </cell>
          <cell r="E48" t="str">
            <v>1</v>
          </cell>
          <cell r="F48" t="str">
            <v>20,124,937.89</v>
          </cell>
          <cell r="G48" t="str">
            <v>15,611,493.41</v>
          </cell>
          <cell r="H48" t="str">
            <v>109,534,005.67</v>
          </cell>
          <cell r="I48" t="str">
            <v>72,581,823.81</v>
          </cell>
          <cell r="J48" t="str">
            <v>36,952,181.86</v>
          </cell>
        </row>
        <row r="49">
          <cell r="A49" t="str">
            <v>قطع غيار- المخزن الرئيسي</v>
          </cell>
          <cell r="B49" t="str">
            <v>0010</v>
          </cell>
          <cell r="C49" t="str">
            <v>05</v>
          </cell>
          <cell r="D49" t="str">
            <v>15</v>
          </cell>
          <cell r="E49" t="str">
            <v>1</v>
          </cell>
          <cell r="F49" t="str">
            <v>3,827,580.24</v>
          </cell>
          <cell r="G49" t="str">
            <v>975,993.81</v>
          </cell>
          <cell r="H49" t="str">
            <v>25,470,017.54</v>
          </cell>
          <cell r="I49" t="str">
            <v>14,944,393.45</v>
          </cell>
          <cell r="J49" t="str">
            <v>10,525,624.09</v>
          </cell>
        </row>
        <row r="50">
          <cell r="A50" t="str">
            <v>قطع غيار- مخزن المصنع</v>
          </cell>
          <cell r="B50" t="str">
            <v>0020</v>
          </cell>
          <cell r="C50" t="str">
            <v>05</v>
          </cell>
          <cell r="D50" t="str">
            <v>15</v>
          </cell>
          <cell r="E50" t="str">
            <v>1</v>
          </cell>
          <cell r="F50" t="str">
            <v>1,854,089.79</v>
          </cell>
          <cell r="G50" t="str">
            <v>2,040,029.95</v>
          </cell>
          <cell r="H50" t="str">
            <v>15,000,033.69</v>
          </cell>
          <cell r="I50" t="str">
            <v>12,791,144.83</v>
          </cell>
          <cell r="J50" t="str">
            <v>2,208,888.86</v>
          </cell>
        </row>
        <row r="51">
          <cell r="A51" t="str">
            <v>قطع غيار- مخزن التركيبات</v>
          </cell>
          <cell r="B51" t="str">
            <v>0030</v>
          </cell>
          <cell r="C51" t="str">
            <v>05</v>
          </cell>
          <cell r="D51" t="str">
            <v>15</v>
          </cell>
          <cell r="E51" t="str">
            <v>1</v>
          </cell>
          <cell r="F51" t="str">
            <v>347,535.59</v>
          </cell>
          <cell r="G51" t="str">
            <v>56,593.15</v>
          </cell>
          <cell r="H51" t="str">
            <v>1,514,523.19</v>
          </cell>
          <cell r="I51" t="str">
            <v>503,320.48</v>
          </cell>
          <cell r="J51" t="str">
            <v>1,011,202.71</v>
          </cell>
        </row>
        <row r="52">
          <cell r="A52" t="str">
            <v>قطع غيار - الاردن</v>
          </cell>
          <cell r="B52" t="str">
            <v>0110</v>
          </cell>
          <cell r="C52" t="str">
            <v>05</v>
          </cell>
          <cell r="D52" t="str">
            <v>15</v>
          </cell>
          <cell r="E52" t="str">
            <v>1</v>
          </cell>
          <cell r="H52" t="str">
            <v>260,119.95</v>
          </cell>
          <cell r="J52" t="str">
            <v>260,119.95</v>
          </cell>
        </row>
        <row r="53">
          <cell r="A53" t="str">
            <v>مخزن طره</v>
          </cell>
          <cell r="B53" t="str">
            <v>0150</v>
          </cell>
          <cell r="C53" t="str">
            <v>05</v>
          </cell>
          <cell r="D53" t="str">
            <v>15</v>
          </cell>
          <cell r="E53" t="str">
            <v>1</v>
          </cell>
          <cell r="F53" t="str">
            <v>11,541.58</v>
          </cell>
          <cell r="G53" t="str">
            <v>341,024.17</v>
          </cell>
          <cell r="H53" t="str">
            <v>342,283.20</v>
          </cell>
          <cell r="I53" t="str">
            <v>341,024.17</v>
          </cell>
          <cell r="J53" t="str">
            <v>1,259.03</v>
          </cell>
        </row>
        <row r="54">
          <cell r="A54" t="str">
            <v>مخزن بنى سويف</v>
          </cell>
          <cell r="B54" t="str">
            <v>0172</v>
          </cell>
          <cell r="C54" t="str">
            <v>05</v>
          </cell>
          <cell r="D54" t="str">
            <v>15</v>
          </cell>
          <cell r="E54" t="str">
            <v>1</v>
          </cell>
          <cell r="H54" t="str">
            <v>15,250.40</v>
          </cell>
          <cell r="J54" t="str">
            <v>15,250.40</v>
          </cell>
        </row>
        <row r="55">
          <cell r="A55" t="str">
            <v>مخزن اسمنت سيناء ابيض</v>
          </cell>
          <cell r="B55" t="str">
            <v>0175</v>
          </cell>
          <cell r="C55" t="str">
            <v>05</v>
          </cell>
          <cell r="D55" t="str">
            <v>15</v>
          </cell>
          <cell r="E55" t="str">
            <v>1</v>
          </cell>
          <cell r="F55" t="str">
            <v>29.20</v>
          </cell>
          <cell r="G55" t="str">
            <v>592.76</v>
          </cell>
          <cell r="H55" t="str">
            <v>70,026.99</v>
          </cell>
          <cell r="I55" t="str">
            <v>5,512.48</v>
          </cell>
          <cell r="J55" t="str">
            <v>64,514.50</v>
          </cell>
        </row>
        <row r="56">
          <cell r="A56" t="str">
            <v>مخزن ق غ مطار القاهرة</v>
          </cell>
          <cell r="B56" t="str">
            <v>0183</v>
          </cell>
          <cell r="C56" t="str">
            <v>05</v>
          </cell>
          <cell r="D56" t="str">
            <v>15</v>
          </cell>
          <cell r="E56" t="str">
            <v>1</v>
          </cell>
          <cell r="G56" t="str">
            <v>305,439.83</v>
          </cell>
          <cell r="H56" t="str">
            <v>1,026,931.92</v>
          </cell>
          <cell r="I56" t="str">
            <v>814,915.83</v>
          </cell>
          <cell r="J56" t="str">
            <v>212,016.09</v>
          </cell>
        </row>
        <row r="57">
          <cell r="A57" t="str">
            <v>مخزن طلخا</v>
          </cell>
          <cell r="B57" t="str">
            <v>0189</v>
          </cell>
          <cell r="C57" t="str">
            <v>05</v>
          </cell>
          <cell r="D57" t="str">
            <v>15</v>
          </cell>
          <cell r="E57" t="str">
            <v>1</v>
          </cell>
          <cell r="F57" t="str">
            <v>20,234.50</v>
          </cell>
          <cell r="G57" t="str">
            <v>308,525.83</v>
          </cell>
          <cell r="H57" t="str">
            <v>3,178,047.64</v>
          </cell>
          <cell r="I57" t="str">
            <v>2,754,981.87</v>
          </cell>
          <cell r="J57" t="str">
            <v>423,065.77</v>
          </cell>
        </row>
        <row r="58">
          <cell r="A58" t="str">
            <v>مخزن ق.غ السيارات و المعدات</v>
          </cell>
          <cell r="B58" t="str">
            <v>0191</v>
          </cell>
          <cell r="C58" t="str">
            <v>05</v>
          </cell>
          <cell r="D58" t="str">
            <v>15</v>
          </cell>
          <cell r="E58" t="str">
            <v>1</v>
          </cell>
          <cell r="F58" t="str">
            <v>949,140.17</v>
          </cell>
          <cell r="G58" t="str">
            <v>466,130.40</v>
          </cell>
          <cell r="H58" t="str">
            <v>4,111,495.02</v>
          </cell>
          <cell r="I58" t="str">
            <v>2,553,426.02</v>
          </cell>
          <cell r="J58" t="str">
            <v>1,558,069.00</v>
          </cell>
        </row>
        <row r="59">
          <cell r="A59" t="str">
            <v>مخزن ق.غ اسمنت سيناء الرمادى خط - 2</v>
          </cell>
          <cell r="B59" t="str">
            <v>0192</v>
          </cell>
          <cell r="C59" t="str">
            <v>05</v>
          </cell>
          <cell r="D59" t="str">
            <v>15</v>
          </cell>
          <cell r="E59" t="str">
            <v>1</v>
          </cell>
          <cell r="F59" t="str">
            <v>511,948.98</v>
          </cell>
          <cell r="G59" t="str">
            <v>2,842,398.92</v>
          </cell>
          <cell r="H59" t="str">
            <v>37,465,701.92</v>
          </cell>
          <cell r="I59" t="str">
            <v>31,779,985.61</v>
          </cell>
          <cell r="J59" t="str">
            <v>5,685,716.31</v>
          </cell>
        </row>
        <row r="60">
          <cell r="A60" t="str">
            <v>مخزن ق غ كهرباء الكريمات</v>
          </cell>
          <cell r="B60" t="str">
            <v>0193</v>
          </cell>
          <cell r="C60" t="str">
            <v>05</v>
          </cell>
          <cell r="D60" t="str">
            <v>15</v>
          </cell>
          <cell r="E60" t="str">
            <v>1</v>
          </cell>
          <cell r="F60" t="str">
            <v>8,422.84</v>
          </cell>
          <cell r="G60" t="str">
            <v>43,681.93</v>
          </cell>
          <cell r="H60" t="str">
            <v>3,003,473.63</v>
          </cell>
          <cell r="I60" t="str">
            <v>667,217.52</v>
          </cell>
          <cell r="J60" t="str">
            <v>2,336,256.11</v>
          </cell>
        </row>
        <row r="61">
          <cell r="A61" t="str">
            <v>مخزن ق غ ماس جوردون السودان</v>
          </cell>
          <cell r="B61" t="str">
            <v>0195</v>
          </cell>
          <cell r="C61" t="str">
            <v>05</v>
          </cell>
          <cell r="D61" t="str">
            <v>15</v>
          </cell>
          <cell r="E61" t="str">
            <v>1</v>
          </cell>
          <cell r="F61" t="str">
            <v>618,592.45</v>
          </cell>
          <cell r="G61" t="str">
            <v>784,894.12</v>
          </cell>
          <cell r="H61" t="str">
            <v>5,511,206.25</v>
          </cell>
          <cell r="I61" t="str">
            <v>2,642,472.40</v>
          </cell>
          <cell r="J61" t="str">
            <v>2,868,733.84</v>
          </cell>
        </row>
        <row r="62">
          <cell r="A62" t="str">
            <v>مخزن كربونات الكالسيوم</v>
          </cell>
          <cell r="B62" t="str">
            <v>0196</v>
          </cell>
          <cell r="C62" t="str">
            <v>05</v>
          </cell>
          <cell r="D62" t="str">
            <v>15</v>
          </cell>
          <cell r="E62" t="str">
            <v>1</v>
          </cell>
          <cell r="F62" t="str">
            <v>1,446,924.38</v>
          </cell>
          <cell r="G62" t="str">
            <v>3,160,176.01</v>
          </cell>
          <cell r="H62" t="str">
            <v>37,876,096.64</v>
          </cell>
          <cell r="I62" t="str">
            <v>35,244,307.51</v>
          </cell>
          <cell r="J62" t="str">
            <v>2,631,789.13</v>
          </cell>
        </row>
        <row r="63">
          <cell r="A63" t="str">
            <v>مخزن التكامل - السودان</v>
          </cell>
          <cell r="B63" t="str">
            <v>0197</v>
          </cell>
          <cell r="C63" t="str">
            <v>05</v>
          </cell>
          <cell r="D63" t="str">
            <v>15</v>
          </cell>
          <cell r="E63" t="str">
            <v>1</v>
          </cell>
          <cell r="F63" t="str">
            <v>1,344,891.28</v>
          </cell>
          <cell r="G63" t="str">
            <v>328,271.10</v>
          </cell>
          <cell r="H63" t="str">
            <v>11,189,092.32</v>
          </cell>
          <cell r="I63" t="str">
            <v>2,976,938.47</v>
          </cell>
          <cell r="J63" t="str">
            <v>8,212,153.85</v>
          </cell>
        </row>
        <row r="64">
          <cell r="A64" t="str">
            <v>مخزن ورشة المشروعات الكبرى</v>
          </cell>
          <cell r="B64" t="str">
            <v>0198</v>
          </cell>
          <cell r="C64" t="str">
            <v>05</v>
          </cell>
          <cell r="D64" t="str">
            <v>15</v>
          </cell>
          <cell r="E64" t="str">
            <v>1</v>
          </cell>
          <cell r="F64" t="str">
            <v>69,800.64</v>
          </cell>
          <cell r="G64" t="str">
            <v>155,002.18</v>
          </cell>
          <cell r="H64" t="str">
            <v>1,553,747.22</v>
          </cell>
          <cell r="I64" t="str">
            <v>1,371,813.36</v>
          </cell>
          <cell r="J64" t="str">
            <v>181,933.86</v>
          </cell>
        </row>
        <row r="65">
          <cell r="A65" t="str">
            <v>مخزن مشروع سينكو</v>
          </cell>
          <cell r="B65" t="str">
            <v>0199</v>
          </cell>
          <cell r="C65" t="str">
            <v>05</v>
          </cell>
          <cell r="D65" t="str">
            <v>15</v>
          </cell>
          <cell r="E65" t="str">
            <v>1</v>
          </cell>
          <cell r="F65" t="str">
            <v>27,802.42</v>
          </cell>
          <cell r="G65" t="str">
            <v>39,651.39</v>
          </cell>
          <cell r="H65" t="str">
            <v>870,296.68</v>
          </cell>
          <cell r="I65" t="str">
            <v>178,287.56</v>
          </cell>
          <cell r="J65" t="str">
            <v>692,009.12</v>
          </cell>
        </row>
        <row r="66">
          <cell r="A66" t="str">
            <v>مخزن مهمات دينابون - دمنهور</v>
          </cell>
          <cell r="B66" t="str">
            <v>0200</v>
          </cell>
          <cell r="C66" t="str">
            <v>05</v>
          </cell>
          <cell r="D66" t="str">
            <v>15</v>
          </cell>
          <cell r="E66" t="str">
            <v>1</v>
          </cell>
          <cell r="F66" t="str">
            <v>7,995.07</v>
          </cell>
          <cell r="G66" t="str">
            <v>26,728.17</v>
          </cell>
          <cell r="H66" t="str">
            <v>445,807.06</v>
          </cell>
          <cell r="I66" t="str">
            <v>63,122.04</v>
          </cell>
          <cell r="J66" t="str">
            <v>382,685.02</v>
          </cell>
        </row>
        <row r="67">
          <cell r="A67" t="str">
            <v>مخزن مهمات سيمتار - رأس غارب</v>
          </cell>
          <cell r="B67" t="str">
            <v>0201</v>
          </cell>
          <cell r="C67" t="str">
            <v>05</v>
          </cell>
          <cell r="D67" t="str">
            <v>15</v>
          </cell>
          <cell r="E67" t="str">
            <v>1</v>
          </cell>
          <cell r="F67" t="str">
            <v>378,668.71</v>
          </cell>
          <cell r="G67" t="str">
            <v>244,957.93</v>
          </cell>
          <cell r="H67" t="str">
            <v>3,586,211.01</v>
          </cell>
          <cell r="I67" t="str">
            <v>685,931.51</v>
          </cell>
          <cell r="J67" t="str">
            <v>2,900,279.50</v>
          </cell>
        </row>
        <row r="68">
          <cell r="A68" t="str">
            <v>أعمال تحت التنفيذ- مخزن المصنع</v>
          </cell>
          <cell r="B68" t="str">
            <v>0020</v>
          </cell>
          <cell r="C68" t="str">
            <v>15</v>
          </cell>
          <cell r="D68" t="str">
            <v>15</v>
          </cell>
          <cell r="E68" t="str">
            <v>1</v>
          </cell>
          <cell r="F68" t="str">
            <v>41,513,729.01</v>
          </cell>
          <cell r="G68" t="str">
            <v>32,342,644.23</v>
          </cell>
          <cell r="H68" t="str">
            <v>221,857,004.94</v>
          </cell>
          <cell r="I68" t="str">
            <v>184,350,718.46</v>
          </cell>
          <cell r="J68" t="str">
            <v>37,506,286.48</v>
          </cell>
        </row>
        <row r="69">
          <cell r="A69" t="str">
            <v>إنتاج تام -  مخزن المصنع</v>
          </cell>
          <cell r="B69" t="str">
            <v>0020</v>
          </cell>
          <cell r="C69" t="str">
            <v>20</v>
          </cell>
          <cell r="D69" t="str">
            <v>15</v>
          </cell>
          <cell r="E69" t="str">
            <v>1</v>
          </cell>
          <cell r="F69" t="str">
            <v>2,488,334.37</v>
          </cell>
          <cell r="G69" t="str">
            <v>7,262,570.14</v>
          </cell>
          <cell r="H69" t="str">
            <v>58,155,645.45</v>
          </cell>
          <cell r="I69" t="str">
            <v>55,667,311.08</v>
          </cell>
          <cell r="J69" t="str">
            <v>2,488,334.37</v>
          </cell>
        </row>
        <row r="70">
          <cell r="A70" t="str">
            <v>أدوات كتابية ومكتبية</v>
          </cell>
          <cell r="B70" t="str">
            <v>0001</v>
          </cell>
          <cell r="C70" t="str">
            <v>25</v>
          </cell>
          <cell r="D70" t="str">
            <v>15</v>
          </cell>
          <cell r="E70" t="str">
            <v>1</v>
          </cell>
          <cell r="F70" t="str">
            <v>70,742.47</v>
          </cell>
          <cell r="G70" t="str">
            <v>97,613.14</v>
          </cell>
          <cell r="H70" t="str">
            <v>851,749.91</v>
          </cell>
          <cell r="I70" t="str">
            <v>630,853.89</v>
          </cell>
          <cell r="J70" t="str">
            <v>220,896.02</v>
          </cell>
        </row>
        <row r="71">
          <cell r="A71" t="str">
            <v>اعتماد مستندى مخزون - 306223 NBE</v>
          </cell>
          <cell r="B71" t="str">
            <v>0003</v>
          </cell>
          <cell r="C71" t="str">
            <v>92</v>
          </cell>
          <cell r="D71" t="str">
            <v>15</v>
          </cell>
          <cell r="E71" t="str">
            <v>1</v>
          </cell>
          <cell r="H71" t="str">
            <v>130,135.34</v>
          </cell>
          <cell r="I71" t="str">
            <v>127,935.29</v>
          </cell>
          <cell r="J71" t="str">
            <v>2,200.05</v>
          </cell>
        </row>
        <row r="72">
          <cell r="A72" t="str">
            <v>اعتماد مستندى مخزون -  306222 NBE</v>
          </cell>
          <cell r="B72" t="str">
            <v>0004</v>
          </cell>
          <cell r="C72" t="str">
            <v>92</v>
          </cell>
          <cell r="D72" t="str">
            <v>15</v>
          </cell>
          <cell r="E72" t="str">
            <v>1</v>
          </cell>
          <cell r="H72" t="str">
            <v>295,795.41</v>
          </cell>
          <cell r="I72" t="str">
            <v>272,874.44</v>
          </cell>
          <cell r="J72" t="str">
            <v>22,920.97</v>
          </cell>
        </row>
        <row r="73">
          <cell r="A73" t="str">
            <v>اعتماد مستندى مخزون - 306298 NBE</v>
          </cell>
          <cell r="B73" t="str">
            <v>0006</v>
          </cell>
          <cell r="C73" t="str">
            <v>92</v>
          </cell>
          <cell r="D73" t="str">
            <v>15</v>
          </cell>
          <cell r="E73" t="str">
            <v>1</v>
          </cell>
          <cell r="H73" t="str">
            <v>185,138.91</v>
          </cell>
          <cell r="J73" t="str">
            <v>185,138.91</v>
          </cell>
        </row>
        <row r="74">
          <cell r="A74" t="str">
            <v>اعتماد مستندى مخزون - 11216 NBE</v>
          </cell>
          <cell r="B74" t="str">
            <v>0007</v>
          </cell>
          <cell r="C74" t="str">
            <v>92</v>
          </cell>
          <cell r="D74" t="str">
            <v>15</v>
          </cell>
          <cell r="E74" t="str">
            <v>1</v>
          </cell>
          <cell r="H74" t="str">
            <v>926,017.16</v>
          </cell>
          <cell r="J74" t="str">
            <v>926,017.16</v>
          </cell>
        </row>
        <row r="75">
          <cell r="A75" t="str">
            <v>اعتماد مستندى مخزون -  18188 CIB</v>
          </cell>
          <cell r="B75" t="str">
            <v>0010</v>
          </cell>
          <cell r="C75" t="str">
            <v>92</v>
          </cell>
          <cell r="D75" t="str">
            <v>15</v>
          </cell>
          <cell r="E75" t="str">
            <v>1</v>
          </cell>
          <cell r="H75" t="str">
            <v>1,819,003.31</v>
          </cell>
          <cell r="I75" t="str">
            <v>1,816,405.31</v>
          </cell>
          <cell r="J75" t="str">
            <v>2,598.00</v>
          </cell>
        </row>
        <row r="76">
          <cell r="A76" t="str">
            <v>اعتماد مستندى مخزون - 11296 NBE</v>
          </cell>
          <cell r="B76" t="str">
            <v>0013</v>
          </cell>
          <cell r="C76" t="str">
            <v>92</v>
          </cell>
          <cell r="D76" t="str">
            <v>15</v>
          </cell>
          <cell r="E76" t="str">
            <v>1</v>
          </cell>
          <cell r="F76" t="str">
            <v>32,778.25</v>
          </cell>
          <cell r="H76" t="str">
            <v>4,976,839.39</v>
          </cell>
          <cell r="I76" t="str">
            <v>4,944,061.14</v>
          </cell>
          <cell r="J76" t="str">
            <v>32,778.25</v>
          </cell>
        </row>
        <row r="77">
          <cell r="A77" t="str">
            <v>اعتماد مستندى مخزون - 11090 NBE</v>
          </cell>
          <cell r="B77" t="str">
            <v>0014</v>
          </cell>
          <cell r="C77" t="str">
            <v>92</v>
          </cell>
          <cell r="D77" t="str">
            <v>15</v>
          </cell>
          <cell r="E77" t="str">
            <v>1</v>
          </cell>
          <cell r="H77" t="str">
            <v>1,193,398.57</v>
          </cell>
          <cell r="J77" t="str">
            <v>1,193,398.57</v>
          </cell>
        </row>
        <row r="78">
          <cell r="A78" t="str">
            <v>اعتماد مستندى مخزون - 11214 NBE</v>
          </cell>
          <cell r="B78" t="str">
            <v>0015</v>
          </cell>
          <cell r="C78" t="str">
            <v>92</v>
          </cell>
          <cell r="D78" t="str">
            <v>15</v>
          </cell>
          <cell r="E78" t="str">
            <v>1</v>
          </cell>
          <cell r="F78" t="str">
            <v>139.88</v>
          </cell>
          <cell r="H78" t="str">
            <v>358,373.23</v>
          </cell>
          <cell r="I78" t="str">
            <v>314,607.96</v>
          </cell>
          <cell r="J78" t="str">
            <v>43,765.27</v>
          </cell>
        </row>
        <row r="79">
          <cell r="A79" t="str">
            <v>اعتماد مستندى مخزون - 11326 NBE</v>
          </cell>
          <cell r="B79" t="str">
            <v>0018</v>
          </cell>
          <cell r="C79" t="str">
            <v>92</v>
          </cell>
          <cell r="D79" t="str">
            <v>15</v>
          </cell>
          <cell r="E79" t="str">
            <v>1</v>
          </cell>
          <cell r="H79" t="str">
            <v>26,340.00</v>
          </cell>
          <cell r="J79" t="str">
            <v>26,340.00</v>
          </cell>
        </row>
        <row r="80">
          <cell r="A80" t="str">
            <v>اعتماد مستندى مخزون - 11094 NBE</v>
          </cell>
          <cell r="B80" t="str">
            <v>0021</v>
          </cell>
          <cell r="C80" t="str">
            <v>92</v>
          </cell>
          <cell r="D80" t="str">
            <v>15</v>
          </cell>
          <cell r="E80" t="str">
            <v>1</v>
          </cell>
          <cell r="H80" t="str">
            <v>115,279.78</v>
          </cell>
          <cell r="J80" t="str">
            <v>115,279.78</v>
          </cell>
        </row>
        <row r="81">
          <cell r="A81" t="str">
            <v>اعتماد مستندى مخزون - 11343 NBE الحديثة</v>
          </cell>
          <cell r="B81" t="str">
            <v>0025</v>
          </cell>
          <cell r="C81" t="str">
            <v>92</v>
          </cell>
          <cell r="D81" t="str">
            <v>15</v>
          </cell>
          <cell r="E81" t="str">
            <v>1</v>
          </cell>
          <cell r="F81" t="str">
            <v>19,874.25</v>
          </cell>
          <cell r="H81" t="str">
            <v>820,848.60</v>
          </cell>
          <cell r="I81" t="str">
            <v>800,974.35</v>
          </cell>
          <cell r="J81" t="str">
            <v>19,874.25</v>
          </cell>
        </row>
        <row r="82">
          <cell r="A82" t="str">
            <v>اعتماد مستندى مخزون - 11241 Glory NBE</v>
          </cell>
          <cell r="B82" t="str">
            <v>0026</v>
          </cell>
          <cell r="C82" t="str">
            <v>92</v>
          </cell>
          <cell r="D82" t="str">
            <v>15</v>
          </cell>
          <cell r="E82" t="str">
            <v>1</v>
          </cell>
          <cell r="H82" t="str">
            <v>5,404,150.26</v>
          </cell>
          <cell r="J82" t="str">
            <v>5,404,150.26</v>
          </cell>
        </row>
        <row r="83">
          <cell r="A83" t="str">
            <v>اعتماد مستندى مخزون - 11331 NBE خلفاء خل</v>
          </cell>
          <cell r="B83" t="str">
            <v>0029</v>
          </cell>
          <cell r="C83" t="str">
            <v>92</v>
          </cell>
          <cell r="D83" t="str">
            <v>15</v>
          </cell>
          <cell r="E83" t="str">
            <v>1</v>
          </cell>
          <cell r="F83" t="str">
            <v>396,489.77</v>
          </cell>
          <cell r="G83" t="str">
            <v>915,614.45</v>
          </cell>
          <cell r="H83" t="str">
            <v>1,312,104.22</v>
          </cell>
          <cell r="I83" t="str">
            <v>915,614.45</v>
          </cell>
          <cell r="J83" t="str">
            <v>396,489.77</v>
          </cell>
        </row>
        <row r="84">
          <cell r="A84" t="str">
            <v>اعتماد مستندى مخزون - 20081030648877</v>
          </cell>
          <cell r="B84" t="str">
            <v>0032</v>
          </cell>
          <cell r="C84" t="str">
            <v>92</v>
          </cell>
          <cell r="D84" t="str">
            <v>15</v>
          </cell>
          <cell r="E84" t="str">
            <v>1</v>
          </cell>
          <cell r="H84" t="str">
            <v>59,209.41</v>
          </cell>
          <cell r="J84" t="str">
            <v>59,209.41</v>
          </cell>
        </row>
        <row r="85">
          <cell r="A85" t="str">
            <v>اعتماد مستندى مخزون - 200710011178</v>
          </cell>
          <cell r="B85" t="str">
            <v>0033</v>
          </cell>
          <cell r="C85" t="str">
            <v>92</v>
          </cell>
          <cell r="D85" t="str">
            <v>15</v>
          </cell>
          <cell r="E85" t="str">
            <v>1</v>
          </cell>
          <cell r="H85" t="str">
            <v>119,307.45</v>
          </cell>
          <cell r="J85" t="str">
            <v>119,307.45</v>
          </cell>
        </row>
        <row r="86">
          <cell r="A86" t="str">
            <v>اعتماد مستندى مخزون - 20081030651177</v>
          </cell>
          <cell r="B86" t="str">
            <v>0034</v>
          </cell>
          <cell r="C86" t="str">
            <v>92</v>
          </cell>
          <cell r="D86" t="str">
            <v>15</v>
          </cell>
          <cell r="E86" t="str">
            <v>1</v>
          </cell>
          <cell r="H86" t="str">
            <v>65,219.46</v>
          </cell>
          <cell r="J86" t="str">
            <v>65,219.46</v>
          </cell>
        </row>
        <row r="87">
          <cell r="A87" t="str">
            <v>اعتماد مستندى مخزون - 200810306516</v>
          </cell>
          <cell r="B87" t="str">
            <v>0041</v>
          </cell>
          <cell r="C87" t="str">
            <v>92</v>
          </cell>
          <cell r="D87" t="str">
            <v>15</v>
          </cell>
          <cell r="E87" t="str">
            <v>1</v>
          </cell>
          <cell r="H87" t="str">
            <v>46,488.77</v>
          </cell>
          <cell r="J87" t="str">
            <v>46,488.77</v>
          </cell>
        </row>
        <row r="88">
          <cell r="A88" t="str">
            <v>اعتماد شراء خامات glory best 11341 NBE</v>
          </cell>
          <cell r="B88" t="str">
            <v>0043</v>
          </cell>
          <cell r="C88" t="str">
            <v>92</v>
          </cell>
          <cell r="D88" t="str">
            <v>15</v>
          </cell>
          <cell r="E88" t="str">
            <v>1</v>
          </cell>
          <cell r="H88" t="str">
            <v>37,186.91</v>
          </cell>
          <cell r="J88" t="str">
            <v>37,186.91</v>
          </cell>
        </row>
        <row r="89">
          <cell r="A89" t="str">
            <v>اعتماد شراء خامات 11389 NBE</v>
          </cell>
          <cell r="B89" t="str">
            <v>0044</v>
          </cell>
          <cell r="C89" t="str">
            <v>92</v>
          </cell>
          <cell r="D89" t="str">
            <v>15</v>
          </cell>
          <cell r="E89" t="str">
            <v>1</v>
          </cell>
          <cell r="F89" t="str">
            <v>393,737.91</v>
          </cell>
          <cell r="H89" t="str">
            <v>394,207.91</v>
          </cell>
          <cell r="J89" t="str">
            <v>394,207.91</v>
          </cell>
        </row>
        <row r="90">
          <cell r="A90" t="str">
            <v>اعتماد شراء خامات 11380 NBE</v>
          </cell>
          <cell r="B90" t="str">
            <v>0045</v>
          </cell>
          <cell r="C90" t="str">
            <v>92</v>
          </cell>
          <cell r="D90" t="str">
            <v>15</v>
          </cell>
          <cell r="E90" t="str">
            <v>1</v>
          </cell>
          <cell r="F90" t="str">
            <v>2,850,874.00</v>
          </cell>
          <cell r="H90" t="str">
            <v>2,852,654.00</v>
          </cell>
          <cell r="J90" t="str">
            <v>2,852,654.00</v>
          </cell>
        </row>
        <row r="91">
          <cell r="A91" t="str">
            <v>اعتماد شراء خامات 11370 NBE</v>
          </cell>
          <cell r="B91" t="str">
            <v>0046</v>
          </cell>
          <cell r="C91" t="str">
            <v>92</v>
          </cell>
          <cell r="D91" t="str">
            <v>15</v>
          </cell>
          <cell r="E91" t="str">
            <v>1</v>
          </cell>
          <cell r="F91" t="str">
            <v>2,589,212.40</v>
          </cell>
          <cell r="H91" t="str">
            <v>2,589,212.40</v>
          </cell>
          <cell r="J91" t="str">
            <v>2,589,212.40</v>
          </cell>
        </row>
        <row r="92">
          <cell r="A92" t="str">
            <v>اعتماد شراء خامات 11387 NBE</v>
          </cell>
          <cell r="B92" t="str">
            <v>0047</v>
          </cell>
          <cell r="C92" t="str">
            <v>92</v>
          </cell>
          <cell r="D92" t="str">
            <v>15</v>
          </cell>
          <cell r="E92" t="str">
            <v>1</v>
          </cell>
          <cell r="F92" t="str">
            <v>678,555.95</v>
          </cell>
          <cell r="H92" t="str">
            <v>678,555.95</v>
          </cell>
          <cell r="J92" t="str">
            <v>678,555.95</v>
          </cell>
        </row>
        <row r="93">
          <cell r="A93" t="str">
            <v>اعتماد شراء خامات 11397 NBE</v>
          </cell>
          <cell r="B93" t="str">
            <v>0048</v>
          </cell>
          <cell r="C93" t="str">
            <v>92</v>
          </cell>
          <cell r="D93" t="str">
            <v>15</v>
          </cell>
          <cell r="E93" t="str">
            <v>1</v>
          </cell>
          <cell r="F93" t="str">
            <v>3,017,381.29</v>
          </cell>
          <cell r="H93" t="str">
            <v>3,017,381.29</v>
          </cell>
          <cell r="J93" t="str">
            <v>3,017,381.29</v>
          </cell>
        </row>
        <row r="94">
          <cell r="A94" t="str">
            <v>اعتماد مستندى مخزون 11396 NBE</v>
          </cell>
          <cell r="B94" t="str">
            <v>0051</v>
          </cell>
          <cell r="C94" t="str">
            <v>92</v>
          </cell>
          <cell r="D94" t="str">
            <v>15</v>
          </cell>
          <cell r="E94" t="str">
            <v>1</v>
          </cell>
          <cell r="F94" t="str">
            <v>1,267.13</v>
          </cell>
          <cell r="H94" t="str">
            <v>1,267.13</v>
          </cell>
          <cell r="J94" t="str">
            <v>1,267.13</v>
          </cell>
        </row>
        <row r="95">
          <cell r="A95" t="str">
            <v>اعتماد مستندى مخزون 306582 NBE</v>
          </cell>
          <cell r="B95" t="str">
            <v>0054</v>
          </cell>
          <cell r="C95" t="str">
            <v>92</v>
          </cell>
          <cell r="D95" t="str">
            <v>15</v>
          </cell>
          <cell r="E95" t="str">
            <v>1</v>
          </cell>
          <cell r="H95" t="str">
            <v>22,462.71</v>
          </cell>
          <cell r="J95" t="str">
            <v>22,462.71</v>
          </cell>
        </row>
        <row r="96">
          <cell r="A96" t="str">
            <v>اعتماد مستندى ق. غ مواتير19526 CIB</v>
          </cell>
          <cell r="B96" t="str">
            <v>0057</v>
          </cell>
          <cell r="C96" t="str">
            <v>92</v>
          </cell>
          <cell r="D96" t="str">
            <v>15</v>
          </cell>
          <cell r="E96" t="str">
            <v>1</v>
          </cell>
          <cell r="F96" t="str">
            <v>6,060.65</v>
          </cell>
          <cell r="H96" t="str">
            <v>6,060.65</v>
          </cell>
          <cell r="J96" t="str">
            <v>6,060.65</v>
          </cell>
        </row>
        <row r="97">
          <cell r="A97" t="str">
            <v>اعتماد مستندى مخزون 19525 CIB</v>
          </cell>
          <cell r="B97" t="str">
            <v>0059</v>
          </cell>
          <cell r="C97" t="str">
            <v>92</v>
          </cell>
          <cell r="D97" t="str">
            <v>15</v>
          </cell>
          <cell r="E97" t="str">
            <v>1</v>
          </cell>
          <cell r="F97" t="str">
            <v>7,141.46</v>
          </cell>
          <cell r="H97" t="str">
            <v>7,141.46</v>
          </cell>
          <cell r="J97" t="str">
            <v>7,141.46</v>
          </cell>
        </row>
        <row r="98">
          <cell r="A98" t="str">
            <v>اعتماد مستندى مخزون 17983 CIB</v>
          </cell>
          <cell r="B98" t="str">
            <v>0060</v>
          </cell>
          <cell r="C98" t="str">
            <v>92</v>
          </cell>
          <cell r="D98" t="str">
            <v>15</v>
          </cell>
          <cell r="E98" t="str">
            <v>1</v>
          </cell>
          <cell r="F98" t="str">
            <v>1,336,688.77</v>
          </cell>
          <cell r="H98" t="str">
            <v>1,336,688.77</v>
          </cell>
          <cell r="J98" t="str">
            <v>1,336,688.77</v>
          </cell>
        </row>
        <row r="99">
          <cell r="A99" t="str">
            <v>اعتماد مستندى شراء اصول -  11178 NBE</v>
          </cell>
          <cell r="B99" t="str">
            <v>0004</v>
          </cell>
          <cell r="C99" t="str">
            <v>93</v>
          </cell>
          <cell r="D99" t="str">
            <v>15</v>
          </cell>
          <cell r="E99" t="str">
            <v>1</v>
          </cell>
          <cell r="F99" t="str">
            <v>74,975.93</v>
          </cell>
          <cell r="H99" t="str">
            <v>3,945,081.59</v>
          </cell>
          <cell r="I99" t="str">
            <v>3,870,105.66</v>
          </cell>
          <cell r="J99" t="str">
            <v>74,975.93</v>
          </cell>
        </row>
        <row r="100">
          <cell r="A100" t="str">
            <v>اعتماد مستندى شراء اصول -  18489 CIB</v>
          </cell>
          <cell r="B100" t="str">
            <v>0006</v>
          </cell>
          <cell r="C100" t="str">
            <v>93</v>
          </cell>
          <cell r="D100" t="str">
            <v>15</v>
          </cell>
          <cell r="E100" t="str">
            <v>1</v>
          </cell>
          <cell r="F100" t="str">
            <v>14,210.33</v>
          </cell>
          <cell r="H100" t="str">
            <v>60,213.64</v>
          </cell>
          <cell r="J100" t="str">
            <v>60,213.64</v>
          </cell>
        </row>
        <row r="101">
          <cell r="A101" t="str">
            <v>اعتماد مستندى اصول - 11101 NBE</v>
          </cell>
          <cell r="B101" t="str">
            <v>0008</v>
          </cell>
          <cell r="C101" t="str">
            <v>93</v>
          </cell>
          <cell r="D101" t="str">
            <v>15</v>
          </cell>
          <cell r="E101" t="str">
            <v>1</v>
          </cell>
          <cell r="F101" t="str">
            <v>420,519.95</v>
          </cell>
          <cell r="G101" t="str">
            <v>3,053,010.61</v>
          </cell>
          <cell r="H101" t="str">
            <v>3,308,044.85</v>
          </cell>
          <cell r="I101" t="str">
            <v>3,053,010.61</v>
          </cell>
          <cell r="J101" t="str">
            <v>255,034.24</v>
          </cell>
        </row>
        <row r="102">
          <cell r="A102" t="str">
            <v>اعتماد شراء مواتير  -  18780 CIB</v>
          </cell>
          <cell r="B102" t="str">
            <v>0018</v>
          </cell>
          <cell r="C102" t="str">
            <v>93</v>
          </cell>
          <cell r="D102" t="str">
            <v>15</v>
          </cell>
          <cell r="E102" t="str">
            <v>1</v>
          </cell>
          <cell r="H102" t="str">
            <v>104.03</v>
          </cell>
          <cell r="J102" t="str">
            <v>104.03</v>
          </cell>
        </row>
        <row r="103">
          <cell r="A103" t="str">
            <v>اعتماد شراء مضخة خرسانية  -  18617 CIB</v>
          </cell>
          <cell r="B103" t="str">
            <v>0019</v>
          </cell>
          <cell r="C103" t="str">
            <v>93</v>
          </cell>
          <cell r="D103" t="str">
            <v>15</v>
          </cell>
          <cell r="E103" t="str">
            <v>1</v>
          </cell>
          <cell r="F103" t="str">
            <v>3,692,392.00</v>
          </cell>
          <cell r="H103" t="str">
            <v>3,696,629.47</v>
          </cell>
          <cell r="J103" t="str">
            <v>3,696,629.47</v>
          </cell>
        </row>
        <row r="104">
          <cell r="A104" t="str">
            <v>اعتمادات مستندية - مخزون - خامات</v>
          </cell>
          <cell r="B104" t="str">
            <v>0001</v>
          </cell>
          <cell r="C104" t="str">
            <v>95</v>
          </cell>
          <cell r="D104" t="str">
            <v>15</v>
          </cell>
          <cell r="E104" t="str">
            <v>1</v>
          </cell>
          <cell r="F104" t="str">
            <v>9,845,540.68</v>
          </cell>
          <cell r="G104" t="str">
            <v>2,856,460.43</v>
          </cell>
          <cell r="H104" t="str">
            <v>9,845,540.68</v>
          </cell>
          <cell r="I104" t="str">
            <v>2,856,460.43</v>
          </cell>
          <cell r="J104" t="str">
            <v>6,989,080.25</v>
          </cell>
        </row>
        <row r="105">
          <cell r="A105" t="str">
            <v>مخصص المخزون الراكد- المواد الخام</v>
          </cell>
          <cell r="B105" t="str">
            <v>0001</v>
          </cell>
          <cell r="C105" t="str">
            <v>01</v>
          </cell>
          <cell r="D105" t="str">
            <v>16</v>
          </cell>
          <cell r="E105" t="str">
            <v>1</v>
          </cell>
          <cell r="I105" t="str">
            <v>7,337,024.00</v>
          </cell>
          <cell r="K105" t="str">
            <v>7,337,024.00</v>
          </cell>
        </row>
        <row r="106">
          <cell r="A106" t="str">
            <v>العملاء</v>
          </cell>
          <cell r="B106" t="str">
            <v>0001</v>
          </cell>
          <cell r="C106" t="str">
            <v>01</v>
          </cell>
          <cell r="D106" t="str">
            <v>20</v>
          </cell>
          <cell r="E106" t="str">
            <v>1</v>
          </cell>
          <cell r="F106" t="str">
            <v>26,390,428.39</v>
          </cell>
          <cell r="G106" t="str">
            <v>138,951,327.94</v>
          </cell>
          <cell r="H106" t="str">
            <v>481,289,177.02</v>
          </cell>
          <cell r="I106" t="str">
            <v>427,730,627.40</v>
          </cell>
          <cell r="J106" t="str">
            <v>53,558,549.62</v>
          </cell>
        </row>
        <row r="107">
          <cell r="A107" t="str">
            <v>أوراق قبض</v>
          </cell>
          <cell r="B107" t="str">
            <v>0001</v>
          </cell>
          <cell r="C107" t="str">
            <v>02</v>
          </cell>
          <cell r="D107" t="str">
            <v>20</v>
          </cell>
          <cell r="E107" t="str">
            <v>1</v>
          </cell>
          <cell r="F107" t="str">
            <v>4,242,396.90</v>
          </cell>
          <cell r="G107" t="str">
            <v>4,242,396.90</v>
          </cell>
          <cell r="H107" t="str">
            <v>164,565,030.67</v>
          </cell>
          <cell r="I107" t="str">
            <v>164,509,705.37</v>
          </cell>
          <cell r="J107" t="str">
            <v>55,325.30</v>
          </cell>
        </row>
        <row r="108">
          <cell r="A108" t="str">
            <v>شيكات تحت التحصيل</v>
          </cell>
          <cell r="B108" t="str">
            <v>0001</v>
          </cell>
          <cell r="C108" t="str">
            <v>03</v>
          </cell>
          <cell r="D108" t="str">
            <v>20</v>
          </cell>
          <cell r="E108" t="str">
            <v>1</v>
          </cell>
          <cell r="F108" t="str">
            <v>4,242,396.90</v>
          </cell>
          <cell r="G108" t="str">
            <v>4,242,396.90</v>
          </cell>
          <cell r="H108" t="str">
            <v>172,489,718.54</v>
          </cell>
          <cell r="I108" t="str">
            <v>172,434,740.46</v>
          </cell>
          <cell r="J108" t="str">
            <v>54,978.08</v>
          </cell>
        </row>
        <row r="109">
          <cell r="A109" t="str">
            <v>مخصص ديون مشكوك في تحصيلها - عملاء</v>
          </cell>
          <cell r="B109" t="str">
            <v>0001</v>
          </cell>
          <cell r="C109" t="str">
            <v>01</v>
          </cell>
          <cell r="D109" t="str">
            <v>22</v>
          </cell>
          <cell r="E109" t="str">
            <v>1</v>
          </cell>
          <cell r="I109" t="str">
            <v>7,042,150.08</v>
          </cell>
          <cell r="K109" t="str">
            <v>7,042,150.08</v>
          </cell>
        </row>
        <row r="110">
          <cell r="A110" t="str">
            <v>مخصص د م فى تحصيلهاارصدة مدينة ض اعمال</v>
          </cell>
          <cell r="B110" t="str">
            <v>0002</v>
          </cell>
          <cell r="C110" t="str">
            <v>01</v>
          </cell>
          <cell r="D110" t="str">
            <v>22</v>
          </cell>
          <cell r="E110" t="str">
            <v>1</v>
          </cell>
          <cell r="I110" t="str">
            <v>5,339,377.64</v>
          </cell>
          <cell r="K110" t="str">
            <v>5,339,377.64</v>
          </cell>
        </row>
        <row r="111">
          <cell r="A111" t="str">
            <v>مخصص د م فى تحصيلها - د م موردين</v>
          </cell>
          <cell r="B111" t="str">
            <v>0004</v>
          </cell>
          <cell r="C111" t="str">
            <v>01</v>
          </cell>
          <cell r="D111" t="str">
            <v>22</v>
          </cell>
          <cell r="E111" t="str">
            <v>1</v>
          </cell>
          <cell r="I111" t="str">
            <v>1,115,929.02</v>
          </cell>
          <cell r="K111" t="str">
            <v>1,115,929.02</v>
          </cell>
        </row>
        <row r="112">
          <cell r="A112" t="str">
            <v>إيرادات مستحقة</v>
          </cell>
          <cell r="B112" t="str">
            <v>0001</v>
          </cell>
          <cell r="C112" t="str">
            <v>01</v>
          </cell>
          <cell r="D112" t="str">
            <v>25</v>
          </cell>
          <cell r="E112" t="str">
            <v>1</v>
          </cell>
          <cell r="F112" t="str">
            <v>71,223,694.38</v>
          </cell>
          <cell r="G112" t="str">
            <v>57,020,651.95</v>
          </cell>
          <cell r="H112" t="str">
            <v>141,694,469.36</v>
          </cell>
          <cell r="I112" t="str">
            <v>70,470,774.98</v>
          </cell>
          <cell r="J112" t="str">
            <v>71,223,694.38</v>
          </cell>
        </row>
        <row r="113">
          <cell r="A113" t="str">
            <v>تأمينات لدى الغير - عملاء</v>
          </cell>
          <cell r="B113" t="str">
            <v>0001</v>
          </cell>
          <cell r="C113" t="str">
            <v>02</v>
          </cell>
          <cell r="D113" t="str">
            <v>25</v>
          </cell>
          <cell r="E113" t="str">
            <v>1</v>
          </cell>
          <cell r="F113" t="str">
            <v>322,125.13</v>
          </cell>
          <cell r="G113" t="str">
            <v>16,330,468.55</v>
          </cell>
          <cell r="H113" t="str">
            <v>111,722,117.97</v>
          </cell>
          <cell r="I113" t="str">
            <v>39,887,003.07</v>
          </cell>
          <cell r="J113" t="str">
            <v>71,835,114.90</v>
          </cell>
        </row>
        <row r="114">
          <cell r="A114" t="str">
            <v>تأمينات لدى الغير - موردين</v>
          </cell>
          <cell r="B114" t="str">
            <v>0002</v>
          </cell>
          <cell r="C114" t="str">
            <v>02</v>
          </cell>
          <cell r="D114" t="str">
            <v>25</v>
          </cell>
          <cell r="E114" t="str">
            <v>1</v>
          </cell>
          <cell r="H114" t="str">
            <v>32,043.09</v>
          </cell>
          <cell r="J114" t="str">
            <v>32,043.09</v>
          </cell>
        </row>
        <row r="115">
          <cell r="A115" t="str">
            <v>تامينات لدى الغير - استئجار عقار</v>
          </cell>
          <cell r="B115" t="str">
            <v>0003</v>
          </cell>
          <cell r="C115" t="str">
            <v>02</v>
          </cell>
          <cell r="D115" t="str">
            <v>25</v>
          </cell>
          <cell r="E115" t="str">
            <v>1</v>
          </cell>
          <cell r="G115" t="str">
            <v>1,860.00</v>
          </cell>
          <cell r="H115" t="str">
            <v>24,000.00</v>
          </cell>
          <cell r="I115" t="str">
            <v>10,460.00</v>
          </cell>
          <cell r="J115" t="str">
            <v>13,540.00</v>
          </cell>
        </row>
        <row r="116">
          <cell r="A116" t="str">
            <v>تامينات لدى الغير - تامين تليفون دولى</v>
          </cell>
          <cell r="B116" t="str">
            <v>0004</v>
          </cell>
          <cell r="C116" t="str">
            <v>02</v>
          </cell>
          <cell r="D116" t="str">
            <v>25</v>
          </cell>
          <cell r="E116" t="str">
            <v>1</v>
          </cell>
          <cell r="F116" t="str">
            <v>9,600.00</v>
          </cell>
          <cell r="H116" t="str">
            <v>27,200.00</v>
          </cell>
          <cell r="J116" t="str">
            <v>27,200.00</v>
          </cell>
        </row>
        <row r="117">
          <cell r="A117" t="str">
            <v>دفعات مقدمة - موردين</v>
          </cell>
          <cell r="B117" t="str">
            <v>0001</v>
          </cell>
          <cell r="C117" t="str">
            <v>03</v>
          </cell>
          <cell r="D117" t="str">
            <v>25</v>
          </cell>
          <cell r="E117" t="str">
            <v>1</v>
          </cell>
          <cell r="F117" t="str">
            <v>32,515,215.37</v>
          </cell>
          <cell r="G117" t="str">
            <v>25,308,302.89</v>
          </cell>
          <cell r="H117" t="str">
            <v>239,031,634.30</v>
          </cell>
          <cell r="I117" t="str">
            <v>120,956,715.17</v>
          </cell>
          <cell r="J117" t="str">
            <v>118,074,919.13</v>
          </cell>
        </row>
        <row r="118">
          <cell r="A118" t="str">
            <v>دفعات مقدمة موردين / مقاولين شراء</v>
          </cell>
          <cell r="B118" t="str">
            <v>0099</v>
          </cell>
          <cell r="C118" t="str">
            <v>03</v>
          </cell>
          <cell r="D118" t="str">
            <v>25</v>
          </cell>
          <cell r="E118" t="str">
            <v>1</v>
          </cell>
          <cell r="F118" t="str">
            <v>8,431,837.50</v>
          </cell>
          <cell r="G118" t="str">
            <v>2,737,500.00</v>
          </cell>
          <cell r="H118" t="str">
            <v>8,842,462.50</v>
          </cell>
          <cell r="I118" t="str">
            <v>2,737,500.00</v>
          </cell>
          <cell r="J118" t="str">
            <v>6,104,962.50</v>
          </cell>
        </row>
        <row r="119">
          <cell r="A119" t="str">
            <v>برنامج مزايا التقاعد للعاملين</v>
          </cell>
          <cell r="B119" t="str">
            <v>0003</v>
          </cell>
          <cell r="C119" t="str">
            <v>04</v>
          </cell>
          <cell r="D119" t="str">
            <v>25</v>
          </cell>
          <cell r="E119" t="str">
            <v>1</v>
          </cell>
          <cell r="F119" t="str">
            <v>483,079.89</v>
          </cell>
          <cell r="G119" t="str">
            <v>40,922.96</v>
          </cell>
          <cell r="H119" t="str">
            <v>1,427,051.25</v>
          </cell>
          <cell r="I119" t="str">
            <v>40,922.96</v>
          </cell>
          <cell r="J119" t="str">
            <v>1,386,128.29</v>
          </cell>
        </row>
        <row r="120">
          <cell r="A120" t="str">
            <v>ضرائب  مدفوعة مقدما</v>
          </cell>
          <cell r="B120" t="str">
            <v>0001</v>
          </cell>
          <cell r="C120" t="str">
            <v>06</v>
          </cell>
          <cell r="D120" t="str">
            <v>25</v>
          </cell>
          <cell r="E120" t="str">
            <v>1</v>
          </cell>
          <cell r="F120" t="str">
            <v>79,781.20</v>
          </cell>
          <cell r="G120" t="str">
            <v>32,060.98</v>
          </cell>
          <cell r="H120" t="str">
            <v>9,329,238.74</v>
          </cell>
          <cell r="I120" t="str">
            <v>169,673.50</v>
          </cell>
          <cell r="J120" t="str">
            <v>9,159,565.24</v>
          </cell>
        </row>
        <row r="121">
          <cell r="A121" t="str">
            <v>مصروفات مدفوعه مقدما</v>
          </cell>
          <cell r="B121" t="str">
            <v>0002</v>
          </cell>
          <cell r="C121" t="str">
            <v>06</v>
          </cell>
          <cell r="D121" t="str">
            <v>25</v>
          </cell>
          <cell r="E121" t="str">
            <v>1</v>
          </cell>
          <cell r="G121" t="str">
            <v>387,838.09</v>
          </cell>
          <cell r="H121" t="str">
            <v>4,722,875.72</v>
          </cell>
          <cell r="I121" t="str">
            <v>2,913,948.55</v>
          </cell>
          <cell r="J121" t="str">
            <v>1,808,927.17</v>
          </cell>
        </row>
        <row r="122">
          <cell r="A122" t="str">
            <v>مبالغ امانات جمارك الاسكندرية</v>
          </cell>
          <cell r="B122" t="str">
            <v>0001</v>
          </cell>
          <cell r="C122" t="str">
            <v>07</v>
          </cell>
          <cell r="D122" t="str">
            <v>25</v>
          </cell>
          <cell r="E122" t="str">
            <v>1</v>
          </cell>
          <cell r="F122" t="str">
            <v>181,458.00</v>
          </cell>
          <cell r="H122" t="str">
            <v>181,458.00</v>
          </cell>
          <cell r="J122" t="str">
            <v>181,458.00</v>
          </cell>
        </row>
        <row r="123">
          <cell r="A123" t="str">
            <v>مبالغ مسددة - جمارك القاهرة</v>
          </cell>
          <cell r="B123" t="str">
            <v>0002</v>
          </cell>
          <cell r="C123" t="str">
            <v>07</v>
          </cell>
          <cell r="D123" t="str">
            <v>25</v>
          </cell>
          <cell r="E123" t="str">
            <v>1</v>
          </cell>
          <cell r="F123" t="str">
            <v>321,460.29</v>
          </cell>
          <cell r="H123" t="str">
            <v>777,886.46</v>
          </cell>
          <cell r="I123" t="str">
            <v>412,431.00</v>
          </cell>
          <cell r="J123" t="str">
            <v>365,455.46</v>
          </cell>
        </row>
        <row r="124">
          <cell r="A124" t="str">
            <v>مبالغ مسددة - جمارك الاسكندرية</v>
          </cell>
          <cell r="B124" t="str">
            <v>0003</v>
          </cell>
          <cell r="C124" t="str">
            <v>07</v>
          </cell>
          <cell r="D124" t="str">
            <v>25</v>
          </cell>
          <cell r="E124" t="str">
            <v>1</v>
          </cell>
          <cell r="F124" t="str">
            <v>649,150.00</v>
          </cell>
          <cell r="G124" t="str">
            <v>3,706,107.50</v>
          </cell>
          <cell r="H124" t="str">
            <v>6,396,709.22</v>
          </cell>
          <cell r="I124" t="str">
            <v>5,380,815.33</v>
          </cell>
          <cell r="J124" t="str">
            <v>1,015,893.89</v>
          </cell>
        </row>
        <row r="125">
          <cell r="A125" t="str">
            <v>مبالغ مسددة - جمارك دمياط</v>
          </cell>
          <cell r="B125" t="str">
            <v>0007</v>
          </cell>
          <cell r="C125" t="str">
            <v>07</v>
          </cell>
          <cell r="D125" t="str">
            <v>25</v>
          </cell>
          <cell r="E125" t="str">
            <v>1</v>
          </cell>
          <cell r="H125" t="str">
            <v>376,904.00</v>
          </cell>
          <cell r="J125" t="str">
            <v>376,904.00</v>
          </cell>
        </row>
        <row r="126">
          <cell r="A126" t="str">
            <v>جمارك تحت التسوية - السودان</v>
          </cell>
          <cell r="B126" t="str">
            <v>0013</v>
          </cell>
          <cell r="C126" t="str">
            <v>07</v>
          </cell>
          <cell r="D126" t="str">
            <v>25</v>
          </cell>
          <cell r="E126" t="str">
            <v>1</v>
          </cell>
          <cell r="F126" t="str">
            <v>6,478,007.62</v>
          </cell>
          <cell r="G126" t="str">
            <v>12,496,898.48</v>
          </cell>
          <cell r="H126" t="str">
            <v>30,473,269.49</v>
          </cell>
          <cell r="I126" t="str">
            <v>24,352,712.39</v>
          </cell>
          <cell r="J126" t="str">
            <v>6,120,557.10</v>
          </cell>
        </row>
        <row r="127">
          <cell r="A127" t="str">
            <v>جمارك تحت التسوية - سيناء</v>
          </cell>
          <cell r="B127" t="str">
            <v>0014</v>
          </cell>
          <cell r="C127" t="str">
            <v>07</v>
          </cell>
          <cell r="D127" t="str">
            <v>25</v>
          </cell>
          <cell r="E127" t="str">
            <v>1</v>
          </cell>
          <cell r="H127" t="str">
            <v>5,173,054.60</v>
          </cell>
          <cell r="I127" t="str">
            <v>4,903,633.57</v>
          </cell>
          <cell r="J127" t="str">
            <v>269,421.03</v>
          </cell>
        </row>
        <row r="128">
          <cell r="A128" t="str">
            <v>ارصدة مدينة تحت التسوية</v>
          </cell>
          <cell r="B128" t="str">
            <v>0001</v>
          </cell>
          <cell r="C128" t="str">
            <v>09</v>
          </cell>
          <cell r="D128" t="str">
            <v>25</v>
          </cell>
          <cell r="E128" t="str">
            <v>1</v>
          </cell>
          <cell r="F128" t="str">
            <v>19,039,192.38</v>
          </cell>
          <cell r="G128" t="str">
            <v>5,713,962.34</v>
          </cell>
          <cell r="H128" t="str">
            <v>825,710,701.99</v>
          </cell>
          <cell r="I128" t="str">
            <v>790,854,471.17</v>
          </cell>
          <cell r="J128" t="str">
            <v>34,856,230.82</v>
          </cell>
        </row>
        <row r="129">
          <cell r="A129" t="str">
            <v>ارصدة مدينة تحت التسوية - عهد نقدية</v>
          </cell>
          <cell r="B129" t="str">
            <v>0005</v>
          </cell>
          <cell r="C129" t="str">
            <v>09</v>
          </cell>
          <cell r="D129" t="str">
            <v>25</v>
          </cell>
          <cell r="E129" t="str">
            <v>1</v>
          </cell>
          <cell r="F129" t="str">
            <v>6,917,619.64</v>
          </cell>
          <cell r="G129" t="str">
            <v>7,177,302.75</v>
          </cell>
          <cell r="H129" t="str">
            <v>26,902,100.04</v>
          </cell>
          <cell r="I129" t="str">
            <v>34,079,402.79</v>
          </cell>
          <cell r="K129" t="str">
            <v>7,177,302.75</v>
          </cell>
        </row>
        <row r="130">
          <cell r="A130" t="str">
            <v>سلف موظفين</v>
          </cell>
          <cell r="B130" t="str">
            <v>0001</v>
          </cell>
          <cell r="C130" t="str">
            <v>11</v>
          </cell>
          <cell r="D130" t="str">
            <v>25</v>
          </cell>
          <cell r="E130" t="str">
            <v>1</v>
          </cell>
          <cell r="F130" t="str">
            <v>40,972.00</v>
          </cell>
          <cell r="G130" t="str">
            <v>27,181.00</v>
          </cell>
          <cell r="H130" t="str">
            <v>256,970.67</v>
          </cell>
          <cell r="I130" t="str">
            <v>161,748.00</v>
          </cell>
          <cell r="J130" t="str">
            <v>95,222.67</v>
          </cell>
        </row>
        <row r="131">
          <cell r="A131" t="str">
            <v>ارصدة مدينة اخرى - ت اعمال تحت التنفيذ</v>
          </cell>
          <cell r="B131" t="str">
            <v>0001</v>
          </cell>
          <cell r="C131" t="str">
            <v>13</v>
          </cell>
          <cell r="D131" t="str">
            <v>25</v>
          </cell>
          <cell r="E131" t="str">
            <v>1</v>
          </cell>
          <cell r="F131" t="str">
            <v>81,955,198.17</v>
          </cell>
          <cell r="G131" t="str">
            <v>16,062,529.50</v>
          </cell>
          <cell r="H131" t="str">
            <v>329,421,905.73</v>
          </cell>
          <cell r="I131" t="str">
            <v>247,466,707.56</v>
          </cell>
          <cell r="J131" t="str">
            <v>81,955,198.17</v>
          </cell>
        </row>
        <row r="132">
          <cell r="A132" t="str">
            <v>جاري شركات شقيقة - أرصدة مدينة - أسيك</v>
          </cell>
          <cell r="B132" t="str">
            <v>0001</v>
          </cell>
          <cell r="C132" t="str">
            <v>01</v>
          </cell>
          <cell r="D132" t="str">
            <v>30</v>
          </cell>
          <cell r="E132" t="str">
            <v>1</v>
          </cell>
          <cell r="F132" t="str">
            <v>431,535.88</v>
          </cell>
          <cell r="G132" t="str">
            <v>103,938.00</v>
          </cell>
          <cell r="H132" t="str">
            <v>4,018,859.95</v>
          </cell>
          <cell r="I132" t="str">
            <v>2,641,642.72</v>
          </cell>
          <cell r="J132" t="str">
            <v>1,377,217.23</v>
          </cell>
        </row>
        <row r="133">
          <cell r="A133" t="str">
            <v>جاري شركات شقيقة - أرصدة مدينة - أسكوم</v>
          </cell>
          <cell r="B133" t="str">
            <v>0003</v>
          </cell>
          <cell r="C133" t="str">
            <v>01</v>
          </cell>
          <cell r="D133" t="str">
            <v>30</v>
          </cell>
          <cell r="E133" t="str">
            <v>1</v>
          </cell>
          <cell r="H133" t="str">
            <v>11,351.50</v>
          </cell>
          <cell r="J133" t="str">
            <v>11,351.50</v>
          </cell>
        </row>
        <row r="134">
          <cell r="A134" t="str">
            <v>جاري شركات شقيقة ارصدةمدينة أسيك للتصنيع</v>
          </cell>
          <cell r="B134" t="str">
            <v>0005</v>
          </cell>
          <cell r="C134" t="str">
            <v>01</v>
          </cell>
          <cell r="D134" t="str">
            <v>30</v>
          </cell>
          <cell r="E134" t="str">
            <v>1</v>
          </cell>
          <cell r="G134" t="str">
            <v>32,850,000.00</v>
          </cell>
          <cell r="H134" t="str">
            <v>38,123.00</v>
          </cell>
          <cell r="I134" t="str">
            <v>120,450,000.00</v>
          </cell>
          <cell r="K134" t="str">
            <v>120,411,877.00</v>
          </cell>
        </row>
        <row r="135">
          <cell r="A135" t="str">
            <v>جاري شركات شقيقة - أرصدة مدينة - ريبلكو</v>
          </cell>
          <cell r="B135" t="str">
            <v>0008</v>
          </cell>
          <cell r="C135" t="str">
            <v>01</v>
          </cell>
          <cell r="D135" t="str">
            <v>30</v>
          </cell>
          <cell r="E135" t="str">
            <v>1</v>
          </cell>
          <cell r="H135" t="str">
            <v>524,982.86</v>
          </cell>
          <cell r="J135" t="str">
            <v>524,982.86</v>
          </cell>
        </row>
        <row r="136">
          <cell r="A136" t="str">
            <v>جارى شركات شقيقة - ا.م - المصرية للاكياس</v>
          </cell>
          <cell r="B136" t="str">
            <v>0009</v>
          </cell>
          <cell r="C136" t="str">
            <v>01</v>
          </cell>
          <cell r="D136" t="str">
            <v>30</v>
          </cell>
          <cell r="E136" t="str">
            <v>1</v>
          </cell>
          <cell r="H136" t="str">
            <v>19,504,031.62</v>
          </cell>
          <cell r="J136" t="str">
            <v>19,504,031.62</v>
          </cell>
        </row>
        <row r="137">
          <cell r="A137" t="str">
            <v>جارى شركات شقيقة - اسيك اتوميشن</v>
          </cell>
          <cell r="B137" t="str">
            <v>0011</v>
          </cell>
          <cell r="C137" t="str">
            <v>01</v>
          </cell>
          <cell r="D137" t="str">
            <v>30</v>
          </cell>
          <cell r="E137" t="str">
            <v>1</v>
          </cell>
          <cell r="F137" t="str">
            <v>26,513,536.07</v>
          </cell>
          <cell r="G137" t="str">
            <v>35,018,394.54</v>
          </cell>
          <cell r="H137" t="str">
            <v>117,634,116.10</v>
          </cell>
          <cell r="I137" t="str">
            <v>134,222,788.34</v>
          </cell>
          <cell r="K137" t="str">
            <v>16,588,672.24</v>
          </cell>
        </row>
        <row r="138">
          <cell r="A138" t="str">
            <v>الاهلى المصرى23188135736جنيةاعتماد11192</v>
          </cell>
          <cell r="B138" t="str">
            <v>0028</v>
          </cell>
          <cell r="C138" t="str">
            <v>01</v>
          </cell>
          <cell r="D138" t="str">
            <v>35</v>
          </cell>
          <cell r="E138" t="str">
            <v>1</v>
          </cell>
          <cell r="G138" t="str">
            <v>3,612.41</v>
          </cell>
          <cell r="H138" t="str">
            <v>79,330.00</v>
          </cell>
          <cell r="I138" t="str">
            <v>2,037,553.05</v>
          </cell>
          <cell r="K138" t="str">
            <v>1,958,223.05</v>
          </cell>
        </row>
        <row r="139">
          <cell r="A139" t="str">
            <v>الاهلى المصرى23187135737جنيةاعتماد11162</v>
          </cell>
          <cell r="B139" t="str">
            <v>0029</v>
          </cell>
          <cell r="C139" t="str">
            <v>01</v>
          </cell>
          <cell r="D139" t="str">
            <v>35</v>
          </cell>
          <cell r="E139" t="str">
            <v>1</v>
          </cell>
          <cell r="F139" t="str">
            <v>8,000.00</v>
          </cell>
          <cell r="G139" t="str">
            <v>9,568.67</v>
          </cell>
          <cell r="H139" t="str">
            <v>43,580.00</v>
          </cell>
          <cell r="I139" t="str">
            <v>922,765.22</v>
          </cell>
          <cell r="K139" t="str">
            <v>879,185.22</v>
          </cell>
        </row>
        <row r="140">
          <cell r="A140" t="str">
            <v>الاهلى المصرى23100135731جنيةاعتماد11276</v>
          </cell>
          <cell r="B140" t="str">
            <v>0030</v>
          </cell>
          <cell r="C140" t="str">
            <v>01</v>
          </cell>
          <cell r="D140" t="str">
            <v>35</v>
          </cell>
          <cell r="E140" t="str">
            <v>1</v>
          </cell>
          <cell r="G140" t="str">
            <v>2,539.99</v>
          </cell>
          <cell r="H140" t="str">
            <v>19,900.00</v>
          </cell>
          <cell r="I140" t="str">
            <v>1,410,988.70</v>
          </cell>
          <cell r="K140" t="str">
            <v>1,391,088.70</v>
          </cell>
        </row>
        <row r="141">
          <cell r="A141" t="str">
            <v>الاهلى المصرى23420135734جنيةاعتماد11276</v>
          </cell>
          <cell r="B141" t="str">
            <v>0031</v>
          </cell>
          <cell r="C141" t="str">
            <v>01</v>
          </cell>
          <cell r="D141" t="str">
            <v>35</v>
          </cell>
          <cell r="E141" t="str">
            <v>1</v>
          </cell>
          <cell r="G141" t="str">
            <v>3,653.35</v>
          </cell>
          <cell r="H141" t="str">
            <v>29,250.00</v>
          </cell>
          <cell r="I141" t="str">
            <v>2,030,009.24</v>
          </cell>
          <cell r="K141" t="str">
            <v>2,000,759.24</v>
          </cell>
        </row>
        <row r="142">
          <cell r="A142" t="str">
            <v>الاهلى المصرى23430135732جنيةاعتماد11296</v>
          </cell>
          <cell r="B142" t="str">
            <v>0032</v>
          </cell>
          <cell r="C142" t="str">
            <v>01</v>
          </cell>
          <cell r="D142" t="str">
            <v>35</v>
          </cell>
          <cell r="E142" t="str">
            <v>1</v>
          </cell>
          <cell r="G142" t="str">
            <v>5,539.32</v>
          </cell>
          <cell r="H142" t="str">
            <v>27,000.00</v>
          </cell>
          <cell r="I142" t="str">
            <v>2,989,210.64</v>
          </cell>
          <cell r="K142" t="str">
            <v>2,962,210.64</v>
          </cell>
        </row>
        <row r="143">
          <cell r="A143" t="str">
            <v>الاهلى المصرى23440135730جنيةاعتماد11296</v>
          </cell>
          <cell r="B143" t="str">
            <v>0033</v>
          </cell>
          <cell r="C143" t="str">
            <v>01</v>
          </cell>
          <cell r="D143" t="str">
            <v>35</v>
          </cell>
          <cell r="E143" t="str">
            <v>1</v>
          </cell>
          <cell r="G143" t="str">
            <v>2,737.12</v>
          </cell>
          <cell r="H143" t="str">
            <v>14,350.00</v>
          </cell>
          <cell r="I143" t="str">
            <v>1,533,808.81</v>
          </cell>
          <cell r="K143" t="str">
            <v>1,519,458.81</v>
          </cell>
        </row>
        <row r="144">
          <cell r="A144" t="str">
            <v>الاهلى المصرى23480135731جنيةاعتماد11343</v>
          </cell>
          <cell r="B144" t="str">
            <v>0035</v>
          </cell>
          <cell r="C144" t="str">
            <v>01</v>
          </cell>
          <cell r="D144" t="str">
            <v>35</v>
          </cell>
          <cell r="E144" t="str">
            <v>1</v>
          </cell>
          <cell r="G144" t="str">
            <v>8,907.79</v>
          </cell>
          <cell r="I144" t="str">
            <v>818,706.35</v>
          </cell>
          <cell r="K144" t="str">
            <v>818,706.35</v>
          </cell>
        </row>
        <row r="145">
          <cell r="A145" t="str">
            <v>الاهلى المصرى23110135739جنيةاعتماد11322</v>
          </cell>
          <cell r="B145" t="str">
            <v>0037</v>
          </cell>
          <cell r="C145" t="str">
            <v>01</v>
          </cell>
          <cell r="D145" t="str">
            <v>35</v>
          </cell>
          <cell r="E145" t="str">
            <v>1</v>
          </cell>
          <cell r="F145" t="str">
            <v>4,400.00</v>
          </cell>
          <cell r="G145" t="str">
            <v>6,070.85</v>
          </cell>
          <cell r="H145" t="str">
            <v>4,400.00</v>
          </cell>
          <cell r="I145" t="str">
            <v>562,222.34</v>
          </cell>
          <cell r="K145" t="str">
            <v>557,822.34</v>
          </cell>
        </row>
        <row r="146">
          <cell r="A146" t="str">
            <v>الاهلى المصرى23109135732جنيةاعتماد11357</v>
          </cell>
          <cell r="B146" t="str">
            <v>0038</v>
          </cell>
          <cell r="C146" t="str">
            <v>01</v>
          </cell>
          <cell r="D146" t="str">
            <v>35</v>
          </cell>
          <cell r="E146" t="str">
            <v>1</v>
          </cell>
          <cell r="F146" t="str">
            <v>7,699.57</v>
          </cell>
          <cell r="G146" t="str">
            <v>10,679.92</v>
          </cell>
          <cell r="H146" t="str">
            <v>7,699.57</v>
          </cell>
          <cell r="I146" t="str">
            <v>989,067.70</v>
          </cell>
          <cell r="K146" t="str">
            <v>981,368.13</v>
          </cell>
        </row>
        <row r="147">
          <cell r="A147" t="str">
            <v>الاهلى المصرى23019135731جنيةاعتماد11358</v>
          </cell>
          <cell r="B147" t="str">
            <v>0039</v>
          </cell>
          <cell r="C147" t="str">
            <v>01</v>
          </cell>
          <cell r="D147" t="str">
            <v>35</v>
          </cell>
          <cell r="E147" t="str">
            <v>1</v>
          </cell>
          <cell r="G147" t="str">
            <v>14,978.26</v>
          </cell>
          <cell r="I147" t="str">
            <v>3,296,852.69</v>
          </cell>
          <cell r="K147" t="str">
            <v>3,296,852.69</v>
          </cell>
        </row>
        <row r="148">
          <cell r="A148" t="str">
            <v>الاهلى المصرى23115135734جنيةاعتماد11331</v>
          </cell>
          <cell r="B148" t="str">
            <v>0040</v>
          </cell>
          <cell r="C148" t="str">
            <v>01</v>
          </cell>
          <cell r="D148" t="str">
            <v>35</v>
          </cell>
          <cell r="E148" t="str">
            <v>1</v>
          </cell>
          <cell r="G148" t="str">
            <v>4,776.92</v>
          </cell>
          <cell r="I148" t="str">
            <v>925,986.79</v>
          </cell>
          <cell r="K148" t="str">
            <v>925,986.79</v>
          </cell>
        </row>
        <row r="149">
          <cell r="A149" t="str">
            <v>الاهلى المصرى23080135732$اعتماد11094</v>
          </cell>
          <cell r="B149" t="str">
            <v>0042</v>
          </cell>
          <cell r="C149" t="str">
            <v>01</v>
          </cell>
          <cell r="D149" t="str">
            <v>35</v>
          </cell>
          <cell r="E149" t="str">
            <v>1</v>
          </cell>
          <cell r="F149" t="str">
            <v>711.50</v>
          </cell>
          <cell r="G149" t="str">
            <v>113.17</v>
          </cell>
          <cell r="H149" t="str">
            <v>711.50</v>
          </cell>
          <cell r="I149" t="str">
            <v>25,543.84</v>
          </cell>
          <cell r="K149" t="str">
            <v>24,832.34</v>
          </cell>
        </row>
        <row r="150">
          <cell r="A150" t="str">
            <v>الاهلى المصرى23190135739دولاراعتماد6584</v>
          </cell>
          <cell r="B150" t="str">
            <v>0043</v>
          </cell>
          <cell r="C150" t="str">
            <v>01</v>
          </cell>
          <cell r="D150" t="str">
            <v>35</v>
          </cell>
          <cell r="E150" t="str">
            <v>1</v>
          </cell>
          <cell r="F150" t="str">
            <v>40,784.07</v>
          </cell>
          <cell r="G150" t="str">
            <v>3,547.96</v>
          </cell>
          <cell r="H150" t="str">
            <v>40,784.07</v>
          </cell>
          <cell r="I150" t="str">
            <v>1,464,215.00</v>
          </cell>
          <cell r="K150" t="str">
            <v>1,423,430.93</v>
          </cell>
        </row>
        <row r="151">
          <cell r="A151" t="str">
            <v>الاهلى المصرى23956135739يورواعتماد11241</v>
          </cell>
          <cell r="B151" t="str">
            <v>0044</v>
          </cell>
          <cell r="C151" t="str">
            <v>01</v>
          </cell>
          <cell r="D151" t="str">
            <v>35</v>
          </cell>
          <cell r="E151" t="str">
            <v>1</v>
          </cell>
          <cell r="F151" t="str">
            <v>16,456.20</v>
          </cell>
          <cell r="G151" t="str">
            <v>137,494.30</v>
          </cell>
          <cell r="H151" t="str">
            <v>16,456.20</v>
          </cell>
          <cell r="I151" t="str">
            <v>5,541,644.56</v>
          </cell>
          <cell r="K151" t="str">
            <v>5,525,188.36</v>
          </cell>
        </row>
        <row r="152">
          <cell r="A152" t="str">
            <v>الاهلى المصرى23966135737يورواعتماد6582</v>
          </cell>
          <cell r="B152" t="str">
            <v>0045</v>
          </cell>
          <cell r="C152" t="str">
            <v>01</v>
          </cell>
          <cell r="D152" t="str">
            <v>35</v>
          </cell>
          <cell r="E152" t="str">
            <v>1</v>
          </cell>
          <cell r="G152" t="str">
            <v>506.56</v>
          </cell>
          <cell r="I152" t="str">
            <v>23,035.51</v>
          </cell>
          <cell r="K152" t="str">
            <v>23,035.51</v>
          </cell>
        </row>
        <row r="153">
          <cell r="A153" t="str">
            <v>الاهلى المصرى23001357301جنيةاعتماد11387</v>
          </cell>
          <cell r="B153" t="str">
            <v>0046</v>
          </cell>
          <cell r="C153" t="str">
            <v>01</v>
          </cell>
          <cell r="D153" t="str">
            <v>35</v>
          </cell>
          <cell r="E153" t="str">
            <v>1</v>
          </cell>
          <cell r="G153" t="str">
            <v>685,033.63</v>
          </cell>
          <cell r="I153" t="str">
            <v>685,033.63</v>
          </cell>
          <cell r="K153" t="str">
            <v>685,033.63</v>
          </cell>
        </row>
        <row r="154">
          <cell r="A154" t="str">
            <v>الاهلى المصرى23004135738جنيةاعتماد11331</v>
          </cell>
          <cell r="B154" t="str">
            <v>0047</v>
          </cell>
          <cell r="C154" t="str">
            <v>01</v>
          </cell>
          <cell r="D154" t="str">
            <v>35</v>
          </cell>
          <cell r="E154" t="str">
            <v>1</v>
          </cell>
          <cell r="G154" t="str">
            <v>402,183.81</v>
          </cell>
          <cell r="I154" t="str">
            <v>402,183.81</v>
          </cell>
          <cell r="K154" t="str">
            <v>402,183.81</v>
          </cell>
        </row>
        <row r="155">
          <cell r="A155" t="str">
            <v>الاهلى المصرى23005135737جنيةاعتماد11309</v>
          </cell>
          <cell r="B155" t="str">
            <v>0048</v>
          </cell>
          <cell r="C155" t="str">
            <v>01</v>
          </cell>
          <cell r="D155" t="str">
            <v>35</v>
          </cell>
          <cell r="E155" t="str">
            <v>1</v>
          </cell>
          <cell r="G155" t="str">
            <v>1,070,764.04</v>
          </cell>
          <cell r="I155" t="str">
            <v>1,070,764.04</v>
          </cell>
          <cell r="K155" t="str">
            <v>1,070,764.04</v>
          </cell>
        </row>
        <row r="156">
          <cell r="A156" t="str">
            <v>الاهلى المصرى23011357309جنيةاعتماد11380</v>
          </cell>
          <cell r="B156" t="str">
            <v>0049</v>
          </cell>
          <cell r="C156" t="str">
            <v>01</v>
          </cell>
          <cell r="D156" t="str">
            <v>35</v>
          </cell>
          <cell r="E156" t="str">
            <v>1</v>
          </cell>
          <cell r="G156" t="str">
            <v>2,877,928.35</v>
          </cell>
          <cell r="I156" t="str">
            <v>2,877,928.35</v>
          </cell>
          <cell r="K156" t="str">
            <v>2,877,928.35</v>
          </cell>
        </row>
        <row r="157">
          <cell r="A157" t="str">
            <v>الاهلى المصرى23300135739جنيةاعتماد11370</v>
          </cell>
          <cell r="B157" t="str">
            <v>0050</v>
          </cell>
          <cell r="C157" t="str">
            <v>01</v>
          </cell>
          <cell r="D157" t="str">
            <v>35</v>
          </cell>
          <cell r="E157" t="str">
            <v>1</v>
          </cell>
          <cell r="G157" t="str">
            <v>393,268.28</v>
          </cell>
          <cell r="I157" t="str">
            <v>393,268.28</v>
          </cell>
          <cell r="K157" t="str">
            <v>393,268.28</v>
          </cell>
        </row>
        <row r="158">
          <cell r="A158" t="str">
            <v>الاهلى المصرى23120135737جنيةاعتماد11358</v>
          </cell>
          <cell r="B158" t="str">
            <v>0051</v>
          </cell>
          <cell r="C158" t="str">
            <v>01</v>
          </cell>
          <cell r="D158" t="str">
            <v>35</v>
          </cell>
          <cell r="E158" t="str">
            <v>1</v>
          </cell>
          <cell r="G158" t="str">
            <v>396,384.70</v>
          </cell>
          <cell r="I158" t="str">
            <v>396,384.70</v>
          </cell>
          <cell r="K158" t="str">
            <v>396,384.70</v>
          </cell>
        </row>
        <row r="159">
          <cell r="A159" t="str">
            <v>الاهلى المصرى23490135739جنيةاعتماد11334</v>
          </cell>
          <cell r="B159" t="str">
            <v>0052</v>
          </cell>
          <cell r="C159" t="str">
            <v>01</v>
          </cell>
          <cell r="D159" t="str">
            <v>35</v>
          </cell>
          <cell r="E159" t="str">
            <v>1</v>
          </cell>
          <cell r="G159" t="str">
            <v>38,666.81</v>
          </cell>
          <cell r="I159" t="str">
            <v>38,666.81</v>
          </cell>
          <cell r="K159" t="str">
            <v>38,666.81</v>
          </cell>
        </row>
        <row r="160">
          <cell r="A160" t="str">
            <v>الاهلى المصرى - جنيه 21020135732</v>
          </cell>
          <cell r="B160" t="str">
            <v>0004</v>
          </cell>
          <cell r="C160" t="str">
            <v>02</v>
          </cell>
          <cell r="D160" t="str">
            <v>35</v>
          </cell>
          <cell r="E160" t="str">
            <v>1</v>
          </cell>
          <cell r="F160" t="str">
            <v>27,097,336.09</v>
          </cell>
          <cell r="G160" t="str">
            <v>27,059,280.37</v>
          </cell>
          <cell r="H160" t="str">
            <v>217,986,148.82</v>
          </cell>
          <cell r="I160" t="str">
            <v>238,040,522.89</v>
          </cell>
          <cell r="K160" t="str">
            <v>20,054,374.07</v>
          </cell>
        </row>
        <row r="161">
          <cell r="A161" t="str">
            <v>الاهلى المصرى 734 دولار</v>
          </cell>
          <cell r="B161" t="str">
            <v>0005</v>
          </cell>
          <cell r="C161" t="str">
            <v>02</v>
          </cell>
          <cell r="D161" t="str">
            <v>35</v>
          </cell>
          <cell r="E161" t="str">
            <v>1</v>
          </cell>
          <cell r="F161" t="str">
            <v>16,786,711.89</v>
          </cell>
          <cell r="G161" t="str">
            <v>20,004,785.23</v>
          </cell>
          <cell r="H161" t="str">
            <v>218,595,903.96</v>
          </cell>
          <cell r="I161" t="str">
            <v>218,594,934.58</v>
          </cell>
          <cell r="J161" t="str">
            <v>969.38</v>
          </cell>
        </row>
        <row r="162">
          <cell r="A162" t="str">
            <v>الاهلى المصرى - يورو - 11000135730</v>
          </cell>
          <cell r="B162" t="str">
            <v>0001</v>
          </cell>
          <cell r="C162" t="str">
            <v>03</v>
          </cell>
          <cell r="D162" t="str">
            <v>35</v>
          </cell>
          <cell r="E162" t="str">
            <v>1</v>
          </cell>
          <cell r="F162" t="str">
            <v>15,218,497.82</v>
          </cell>
          <cell r="G162" t="str">
            <v>15,626,906.43</v>
          </cell>
          <cell r="H162" t="str">
            <v>66,993,766.50</v>
          </cell>
          <cell r="I162" t="str">
            <v>66,988,351.61</v>
          </cell>
          <cell r="J162" t="str">
            <v>5,414.89</v>
          </cell>
        </row>
        <row r="163">
          <cell r="A163" t="str">
            <v>الاهلى المصرى23440135733يورواعتماد11017</v>
          </cell>
          <cell r="B163" t="str">
            <v>0047</v>
          </cell>
          <cell r="C163" t="str">
            <v>03</v>
          </cell>
          <cell r="D163" t="str">
            <v>35</v>
          </cell>
          <cell r="E163" t="str">
            <v>1</v>
          </cell>
          <cell r="F163" t="str">
            <v>53,977.84</v>
          </cell>
          <cell r="G163" t="str">
            <v>39,903.79</v>
          </cell>
          <cell r="H163" t="str">
            <v>99,615.32</v>
          </cell>
          <cell r="I163" t="str">
            <v>1,934,205.53</v>
          </cell>
          <cell r="K163" t="str">
            <v>1,834,590.21</v>
          </cell>
        </row>
        <row r="164">
          <cell r="A164" t="str">
            <v>الاهلى المصرى23450135730يورواعتماد11121</v>
          </cell>
          <cell r="B164" t="str">
            <v>0048</v>
          </cell>
          <cell r="C164" t="str">
            <v>03</v>
          </cell>
          <cell r="D164" t="str">
            <v>35</v>
          </cell>
          <cell r="E164" t="str">
            <v>1</v>
          </cell>
          <cell r="F164" t="str">
            <v>58,685.58</v>
          </cell>
          <cell r="G164" t="str">
            <v>25,751.73</v>
          </cell>
          <cell r="H164" t="str">
            <v>165,158.05</v>
          </cell>
          <cell r="I164" t="str">
            <v>4,459,273.82</v>
          </cell>
          <cell r="K164" t="str">
            <v>4,294,115.77</v>
          </cell>
        </row>
        <row r="165">
          <cell r="A165" t="str">
            <v>الاهلى المصرى23046135731يورواعتماد11104</v>
          </cell>
          <cell r="B165" t="str">
            <v>0049</v>
          </cell>
          <cell r="C165" t="str">
            <v>03</v>
          </cell>
          <cell r="D165" t="str">
            <v>35</v>
          </cell>
          <cell r="E165" t="str">
            <v>1</v>
          </cell>
          <cell r="F165" t="str">
            <v>2,441.83</v>
          </cell>
          <cell r="G165" t="str">
            <v>1,094.58</v>
          </cell>
          <cell r="H165" t="str">
            <v>8,759.87</v>
          </cell>
          <cell r="I165" t="str">
            <v>187,858.38</v>
          </cell>
          <cell r="K165" t="str">
            <v>179,098.51</v>
          </cell>
        </row>
        <row r="166">
          <cell r="A166" t="str">
            <v>الاهلى المصرى23022135739يورواعتماد11156</v>
          </cell>
          <cell r="B166" t="str">
            <v>0050</v>
          </cell>
          <cell r="C166" t="str">
            <v>03</v>
          </cell>
          <cell r="D166" t="str">
            <v>35</v>
          </cell>
          <cell r="E166" t="str">
            <v>1</v>
          </cell>
          <cell r="F166" t="str">
            <v>6,712.53</v>
          </cell>
          <cell r="G166" t="str">
            <v>3,031.07</v>
          </cell>
          <cell r="H166" t="str">
            <v>24,791.91</v>
          </cell>
          <cell r="I166" t="str">
            <v>515,926.23</v>
          </cell>
          <cell r="K166" t="str">
            <v>491,134.32</v>
          </cell>
        </row>
        <row r="167">
          <cell r="A167" t="str">
            <v>الاهلى المصرى23181135736يورواعتماد306158</v>
          </cell>
          <cell r="B167" t="str">
            <v>0051</v>
          </cell>
          <cell r="C167" t="str">
            <v>03</v>
          </cell>
          <cell r="D167" t="str">
            <v>35</v>
          </cell>
          <cell r="E167" t="str">
            <v>1</v>
          </cell>
          <cell r="F167" t="str">
            <v>7,025.88</v>
          </cell>
          <cell r="G167" t="str">
            <v>2,253.27</v>
          </cell>
          <cell r="H167" t="str">
            <v>19,619.83</v>
          </cell>
          <cell r="I167" t="str">
            <v>379,523.77</v>
          </cell>
          <cell r="K167" t="str">
            <v>359,903.94</v>
          </cell>
        </row>
        <row r="168">
          <cell r="A168" t="str">
            <v>الاهلى المصرى23184135733يورواعتماد306136</v>
          </cell>
          <cell r="B168" t="str">
            <v>0052</v>
          </cell>
          <cell r="C168" t="str">
            <v>03</v>
          </cell>
          <cell r="D168" t="str">
            <v>35</v>
          </cell>
          <cell r="E168" t="str">
            <v>1</v>
          </cell>
          <cell r="F168" t="str">
            <v>4,018.40</v>
          </cell>
          <cell r="G168" t="str">
            <v>1,269.02</v>
          </cell>
          <cell r="H168" t="str">
            <v>10,737.33</v>
          </cell>
          <cell r="I168" t="str">
            <v>212,498.34</v>
          </cell>
          <cell r="K168" t="str">
            <v>201,761.01</v>
          </cell>
        </row>
        <row r="169">
          <cell r="A169" t="str">
            <v>الاهلى المصرى23183135734يورواعتماد306134</v>
          </cell>
          <cell r="B169" t="str">
            <v>0053</v>
          </cell>
          <cell r="C169" t="str">
            <v>03</v>
          </cell>
          <cell r="D169" t="str">
            <v>35</v>
          </cell>
          <cell r="E169" t="str">
            <v>1</v>
          </cell>
          <cell r="F169" t="str">
            <v>22,771.78</v>
          </cell>
          <cell r="G169" t="str">
            <v>7,374.68</v>
          </cell>
          <cell r="H169" t="str">
            <v>62,018.71</v>
          </cell>
          <cell r="I169" t="str">
            <v>1,234,506.14</v>
          </cell>
          <cell r="K169" t="str">
            <v>1,172,487.43</v>
          </cell>
        </row>
        <row r="170">
          <cell r="A170" t="str">
            <v>الاهلى المصرى23180135737يورواعتماد306138</v>
          </cell>
          <cell r="B170" t="str">
            <v>0054</v>
          </cell>
          <cell r="C170" t="str">
            <v>03</v>
          </cell>
          <cell r="D170" t="str">
            <v>35</v>
          </cell>
          <cell r="E170" t="str">
            <v>1</v>
          </cell>
          <cell r="F170" t="str">
            <v>2,798.01</v>
          </cell>
          <cell r="G170" t="str">
            <v>898.43</v>
          </cell>
          <cell r="H170" t="str">
            <v>7,048.25</v>
          </cell>
          <cell r="I170" t="str">
            <v>149,897.75</v>
          </cell>
          <cell r="K170" t="str">
            <v>142,849.50</v>
          </cell>
        </row>
        <row r="171">
          <cell r="A171" t="str">
            <v>الاهلى المصرى23185135732يورواعتماد11142</v>
          </cell>
          <cell r="B171" t="str">
            <v>0055</v>
          </cell>
          <cell r="C171" t="str">
            <v>03</v>
          </cell>
          <cell r="D171" t="str">
            <v>35</v>
          </cell>
          <cell r="E171" t="str">
            <v>1</v>
          </cell>
          <cell r="F171" t="str">
            <v>6,991.04</v>
          </cell>
          <cell r="G171" t="str">
            <v>2,247.92</v>
          </cell>
          <cell r="H171" t="str">
            <v>22,270.81</v>
          </cell>
          <cell r="I171" t="str">
            <v>379,656.78</v>
          </cell>
          <cell r="K171" t="str">
            <v>357,385.97</v>
          </cell>
        </row>
        <row r="172">
          <cell r="A172" t="str">
            <v>الاهلى المصرى23186135731يورواعتماد11121</v>
          </cell>
          <cell r="B172" t="str">
            <v>0056</v>
          </cell>
          <cell r="C172" t="str">
            <v>03</v>
          </cell>
          <cell r="D172" t="str">
            <v>35</v>
          </cell>
          <cell r="E172" t="str">
            <v>1</v>
          </cell>
          <cell r="F172" t="str">
            <v>70,767.10</v>
          </cell>
          <cell r="G172" t="str">
            <v>23,239.86</v>
          </cell>
          <cell r="H172" t="str">
            <v>195,169.88</v>
          </cell>
          <cell r="I172" t="str">
            <v>3,890,270.12</v>
          </cell>
          <cell r="K172" t="str">
            <v>3,695,100.24</v>
          </cell>
        </row>
        <row r="173">
          <cell r="A173" t="str">
            <v>الاهلى المصرى23182135735يورواعتماد306139</v>
          </cell>
          <cell r="B173" t="str">
            <v>0057</v>
          </cell>
          <cell r="C173" t="str">
            <v>03</v>
          </cell>
          <cell r="D173" t="str">
            <v>35</v>
          </cell>
          <cell r="E173" t="str">
            <v>1</v>
          </cell>
          <cell r="F173" t="str">
            <v>2,206.88</v>
          </cell>
          <cell r="G173" t="str">
            <v>14,170.10</v>
          </cell>
          <cell r="H173" t="str">
            <v>21,346.22</v>
          </cell>
          <cell r="I173" t="str">
            <v>181,198.97</v>
          </cell>
          <cell r="K173" t="str">
            <v>159,852.75</v>
          </cell>
        </row>
        <row r="174">
          <cell r="A174" t="str">
            <v>الاهلى المصرى23045135732يورواعتماد306140</v>
          </cell>
          <cell r="B174" t="str">
            <v>0058</v>
          </cell>
          <cell r="C174" t="str">
            <v>03</v>
          </cell>
          <cell r="D174" t="str">
            <v>35</v>
          </cell>
          <cell r="E174" t="str">
            <v>1</v>
          </cell>
          <cell r="F174" t="str">
            <v>12,350.68</v>
          </cell>
          <cell r="G174" t="str">
            <v>8,514.19</v>
          </cell>
          <cell r="H174" t="str">
            <v>27,448.10</v>
          </cell>
          <cell r="I174" t="str">
            <v>528,561.18</v>
          </cell>
          <cell r="K174" t="str">
            <v>501,113.08</v>
          </cell>
        </row>
        <row r="175">
          <cell r="A175" t="str">
            <v>الاهلى المصرى23188135739يورواعتماد306135</v>
          </cell>
          <cell r="B175" t="str">
            <v>0059</v>
          </cell>
          <cell r="C175" t="str">
            <v>03</v>
          </cell>
          <cell r="D175" t="str">
            <v>35</v>
          </cell>
          <cell r="E175" t="str">
            <v>1</v>
          </cell>
          <cell r="F175" t="str">
            <v>4,879.68</v>
          </cell>
          <cell r="G175" t="str">
            <v>1,469.13</v>
          </cell>
          <cell r="H175" t="str">
            <v>10,594.92</v>
          </cell>
          <cell r="I175" t="str">
            <v>244,082.04</v>
          </cell>
          <cell r="K175" t="str">
            <v>233,487.12</v>
          </cell>
        </row>
        <row r="176">
          <cell r="A176" t="str">
            <v>الاهلى المصرى23560135737يورواعتماد306251</v>
          </cell>
          <cell r="B176" t="str">
            <v>0060</v>
          </cell>
          <cell r="C176" t="str">
            <v>03</v>
          </cell>
          <cell r="D176" t="str">
            <v>35</v>
          </cell>
          <cell r="E176" t="str">
            <v>1</v>
          </cell>
          <cell r="F176" t="str">
            <v>4,370.09</v>
          </cell>
          <cell r="G176" t="str">
            <v>1,370.64</v>
          </cell>
          <cell r="H176" t="str">
            <v>8,147.52</v>
          </cell>
          <cell r="I176" t="str">
            <v>235,965.95</v>
          </cell>
          <cell r="K176" t="str">
            <v>227,818.43</v>
          </cell>
        </row>
        <row r="177">
          <cell r="A177" t="str">
            <v>الاهلى المصرى23190135735يورواعتماد306222</v>
          </cell>
          <cell r="B177" t="str">
            <v>0061</v>
          </cell>
          <cell r="C177" t="str">
            <v>03</v>
          </cell>
          <cell r="D177" t="str">
            <v>35</v>
          </cell>
          <cell r="E177" t="str">
            <v>1</v>
          </cell>
          <cell r="F177" t="str">
            <v>5,254.20</v>
          </cell>
          <cell r="G177" t="str">
            <v>1,608.43</v>
          </cell>
          <cell r="H177" t="str">
            <v>10,370.57</v>
          </cell>
          <cell r="I177" t="str">
            <v>271,698.59</v>
          </cell>
          <cell r="K177" t="str">
            <v>261,328.02</v>
          </cell>
        </row>
        <row r="178">
          <cell r="A178" t="str">
            <v>الاهلى المصرى23047135730يورواعتماد11114</v>
          </cell>
          <cell r="B178" t="str">
            <v>0062</v>
          </cell>
          <cell r="C178" t="str">
            <v>03</v>
          </cell>
          <cell r="D178" t="str">
            <v>35</v>
          </cell>
          <cell r="E178" t="str">
            <v>1</v>
          </cell>
          <cell r="F178" t="str">
            <v>22,719.41</v>
          </cell>
          <cell r="G178" t="str">
            <v>7,292.65</v>
          </cell>
          <cell r="H178" t="str">
            <v>46,576.41</v>
          </cell>
          <cell r="I178" t="str">
            <v>1,245,134.06</v>
          </cell>
          <cell r="K178" t="str">
            <v>1,198,557.65</v>
          </cell>
        </row>
        <row r="179">
          <cell r="A179" t="str">
            <v>الاهلى المصرى23189135738يورواعتماد306223</v>
          </cell>
          <cell r="B179" t="str">
            <v>0063</v>
          </cell>
          <cell r="C179" t="str">
            <v>03</v>
          </cell>
          <cell r="D179" t="str">
            <v>35</v>
          </cell>
          <cell r="E179" t="str">
            <v>1</v>
          </cell>
          <cell r="F179" t="str">
            <v>2,598.38</v>
          </cell>
          <cell r="G179" t="str">
            <v>790.80</v>
          </cell>
          <cell r="H179" t="str">
            <v>5,211.36</v>
          </cell>
          <cell r="I179" t="str">
            <v>133,702.91</v>
          </cell>
          <cell r="K179" t="str">
            <v>128,491.55</v>
          </cell>
        </row>
        <row r="180">
          <cell r="A180" t="str">
            <v>الاهلى المصرى23550135739يورواعتماد11121</v>
          </cell>
          <cell r="B180" t="str">
            <v>0064</v>
          </cell>
          <cell r="C180" t="str">
            <v>03</v>
          </cell>
          <cell r="D180" t="str">
            <v>35</v>
          </cell>
          <cell r="E180" t="str">
            <v>1</v>
          </cell>
          <cell r="F180" t="str">
            <v>37,626.79</v>
          </cell>
          <cell r="G180" t="str">
            <v>11,895.45</v>
          </cell>
          <cell r="H180" t="str">
            <v>73,174.20</v>
          </cell>
          <cell r="I180" t="str">
            <v>2,052,900.32</v>
          </cell>
          <cell r="K180" t="str">
            <v>1,979,726.12</v>
          </cell>
        </row>
        <row r="181">
          <cell r="A181" t="str">
            <v>الاهلى المصرى23590135731يورواعتماد11178</v>
          </cell>
          <cell r="B181" t="str">
            <v>0065</v>
          </cell>
          <cell r="C181" t="str">
            <v>03</v>
          </cell>
          <cell r="D181" t="str">
            <v>35</v>
          </cell>
          <cell r="E181" t="str">
            <v>1</v>
          </cell>
          <cell r="F181" t="str">
            <v>26,159.21</v>
          </cell>
          <cell r="G181" t="str">
            <v>8,090.36</v>
          </cell>
          <cell r="H181" t="str">
            <v>48,495.10</v>
          </cell>
          <cell r="I181" t="str">
            <v>1,435,896.20</v>
          </cell>
          <cell r="K181" t="str">
            <v>1,387,401.10</v>
          </cell>
        </row>
        <row r="182">
          <cell r="A182" t="str">
            <v>الاهلى المصرى23580135733يورواعتماد11216</v>
          </cell>
          <cell r="B182" t="str">
            <v>0066</v>
          </cell>
          <cell r="C182" t="str">
            <v>03</v>
          </cell>
          <cell r="D182" t="str">
            <v>35</v>
          </cell>
          <cell r="E182" t="str">
            <v>1</v>
          </cell>
          <cell r="F182" t="str">
            <v>17,303.99</v>
          </cell>
          <cell r="G182" t="str">
            <v>5,338.88</v>
          </cell>
          <cell r="H182" t="str">
            <v>25,943.50</v>
          </cell>
          <cell r="I182" t="str">
            <v>950,800.63</v>
          </cell>
          <cell r="K182" t="str">
            <v>924,857.13</v>
          </cell>
        </row>
        <row r="183">
          <cell r="A183" t="str">
            <v>الاهلى المصرى23630135733يورواعتماد306298</v>
          </cell>
          <cell r="B183" t="str">
            <v>0067</v>
          </cell>
          <cell r="C183" t="str">
            <v>03</v>
          </cell>
          <cell r="D183" t="str">
            <v>35</v>
          </cell>
          <cell r="E183" t="str">
            <v>1</v>
          </cell>
          <cell r="F183" t="str">
            <v>3,786.10</v>
          </cell>
          <cell r="G183" t="str">
            <v>1,061.34</v>
          </cell>
          <cell r="H183" t="str">
            <v>6,251.00</v>
          </cell>
          <cell r="I183" t="str">
            <v>190,027.33</v>
          </cell>
          <cell r="K183" t="str">
            <v>183,776.33</v>
          </cell>
        </row>
        <row r="184">
          <cell r="A184" t="str">
            <v>الاهلى المصرى23570135735يورواعتماد11111</v>
          </cell>
          <cell r="B184" t="str">
            <v>0068</v>
          </cell>
          <cell r="C184" t="str">
            <v>03</v>
          </cell>
          <cell r="D184" t="str">
            <v>35</v>
          </cell>
          <cell r="E184" t="str">
            <v>1</v>
          </cell>
          <cell r="F184" t="str">
            <v>51,496.89</v>
          </cell>
          <cell r="G184" t="str">
            <v>16,323.07</v>
          </cell>
          <cell r="H184" t="str">
            <v>92,488.96</v>
          </cell>
          <cell r="I184" t="str">
            <v>2,809,049.94</v>
          </cell>
          <cell r="K184" t="str">
            <v>2,716,560.98</v>
          </cell>
        </row>
        <row r="185">
          <cell r="A185" t="str">
            <v>الاهلى المصرى23640135731يورواعتماد306299</v>
          </cell>
          <cell r="B185" t="str">
            <v>0069</v>
          </cell>
          <cell r="C185" t="str">
            <v>03</v>
          </cell>
          <cell r="D185" t="str">
            <v>35</v>
          </cell>
          <cell r="E185" t="str">
            <v>1</v>
          </cell>
          <cell r="F185" t="str">
            <v>3,022.28</v>
          </cell>
          <cell r="G185" t="str">
            <v>923.44</v>
          </cell>
          <cell r="H185" t="str">
            <v>4,421.06</v>
          </cell>
          <cell r="I185" t="str">
            <v>164,118.40</v>
          </cell>
          <cell r="K185" t="str">
            <v>159,697.34</v>
          </cell>
        </row>
        <row r="186">
          <cell r="A186" t="str">
            <v>الاهلى المصرى23650135738يورواعتماد306297</v>
          </cell>
          <cell r="B186" t="str">
            <v>0070</v>
          </cell>
          <cell r="C186" t="str">
            <v>03</v>
          </cell>
          <cell r="D186" t="str">
            <v>35</v>
          </cell>
          <cell r="E186" t="str">
            <v>1</v>
          </cell>
          <cell r="F186" t="str">
            <v>3,856.02</v>
          </cell>
          <cell r="G186" t="str">
            <v>1,091.54</v>
          </cell>
          <cell r="H186" t="str">
            <v>5,912.17</v>
          </cell>
          <cell r="I186" t="str">
            <v>195,567.69</v>
          </cell>
          <cell r="K186" t="str">
            <v>189,655.52</v>
          </cell>
        </row>
        <row r="187">
          <cell r="A187" t="str">
            <v>الاهلى المصرى23660135734يورواعتماد11110</v>
          </cell>
          <cell r="B187" t="str">
            <v>0071</v>
          </cell>
          <cell r="C187" t="str">
            <v>03</v>
          </cell>
          <cell r="D187" t="str">
            <v>35</v>
          </cell>
          <cell r="E187" t="str">
            <v>1</v>
          </cell>
          <cell r="F187" t="str">
            <v>6,418.33</v>
          </cell>
          <cell r="G187" t="str">
            <v>1,967.75</v>
          </cell>
          <cell r="H187" t="str">
            <v>11,264.97</v>
          </cell>
          <cell r="I187" t="str">
            <v>356,842.55</v>
          </cell>
          <cell r="K187" t="str">
            <v>345,577.58</v>
          </cell>
        </row>
        <row r="188">
          <cell r="A188" t="str">
            <v>الاهلى المصرى23680135732يورواعتماد11178</v>
          </cell>
          <cell r="B188" t="str">
            <v>0072</v>
          </cell>
          <cell r="C188" t="str">
            <v>03</v>
          </cell>
          <cell r="D188" t="str">
            <v>35</v>
          </cell>
          <cell r="E188" t="str">
            <v>1</v>
          </cell>
          <cell r="F188" t="str">
            <v>18,127.52</v>
          </cell>
          <cell r="G188" t="str">
            <v>5,442.56</v>
          </cell>
          <cell r="H188" t="str">
            <v>30,945.28</v>
          </cell>
          <cell r="I188" t="str">
            <v>984,973.35</v>
          </cell>
          <cell r="K188" t="str">
            <v>954,028.07</v>
          </cell>
        </row>
        <row r="189">
          <cell r="A189" t="str">
            <v>الاهلى المصرى23670135734يورواعتماد11177</v>
          </cell>
          <cell r="B189" t="str">
            <v>0073</v>
          </cell>
          <cell r="C189" t="str">
            <v>03</v>
          </cell>
          <cell r="D189" t="str">
            <v>35</v>
          </cell>
          <cell r="E189" t="str">
            <v>1</v>
          </cell>
          <cell r="F189" t="str">
            <v>2,855.27</v>
          </cell>
          <cell r="G189" t="str">
            <v>850.21</v>
          </cell>
          <cell r="H189" t="str">
            <v>4,827.37</v>
          </cell>
          <cell r="I189" t="str">
            <v>151,846.49</v>
          </cell>
          <cell r="K189" t="str">
            <v>147,019.12</v>
          </cell>
        </row>
        <row r="190">
          <cell r="A190" t="str">
            <v>الاهلى المصرى23690135730يورواعتماد11187</v>
          </cell>
          <cell r="B190" t="str">
            <v>0074</v>
          </cell>
          <cell r="C190" t="str">
            <v>03</v>
          </cell>
          <cell r="D190" t="str">
            <v>35</v>
          </cell>
          <cell r="E190" t="str">
            <v>1</v>
          </cell>
          <cell r="F190" t="str">
            <v>8,976.54</v>
          </cell>
          <cell r="G190" t="str">
            <v>2,721.94</v>
          </cell>
          <cell r="H190" t="str">
            <v>13,748.84</v>
          </cell>
          <cell r="I190" t="str">
            <v>484,446.88</v>
          </cell>
          <cell r="K190" t="str">
            <v>470,698.04</v>
          </cell>
        </row>
        <row r="191">
          <cell r="A191" t="str">
            <v>الاهلى المصرى23021135730يورواعتماد11101</v>
          </cell>
          <cell r="B191" t="str">
            <v>0075</v>
          </cell>
          <cell r="C191" t="str">
            <v>03</v>
          </cell>
          <cell r="D191" t="str">
            <v>35</v>
          </cell>
          <cell r="E191" t="str">
            <v>1</v>
          </cell>
          <cell r="F191" t="str">
            <v>64,787.52</v>
          </cell>
          <cell r="G191" t="str">
            <v>16,087.33</v>
          </cell>
          <cell r="H191" t="str">
            <v>70,547.19</v>
          </cell>
          <cell r="I191" t="str">
            <v>2,761,912.49</v>
          </cell>
          <cell r="K191" t="str">
            <v>2,691,365.30</v>
          </cell>
        </row>
        <row r="192">
          <cell r="A192" t="str">
            <v>الاهلى المصرى23610135737يورواعتماد11081</v>
          </cell>
          <cell r="B192" t="str">
            <v>0076</v>
          </cell>
          <cell r="C192" t="str">
            <v>03</v>
          </cell>
          <cell r="D192" t="str">
            <v>35</v>
          </cell>
          <cell r="E192" t="str">
            <v>1</v>
          </cell>
          <cell r="F192" t="str">
            <v>71,479.08</v>
          </cell>
          <cell r="G192" t="str">
            <v>48,049.72</v>
          </cell>
          <cell r="H192" t="str">
            <v>87,935.28</v>
          </cell>
          <cell r="I192" t="str">
            <v>3,148,806.41</v>
          </cell>
          <cell r="K192" t="str">
            <v>3,060,871.13</v>
          </cell>
        </row>
        <row r="193">
          <cell r="A193" t="str">
            <v>الاهلى المصرى23710135736يورواعتماد11090</v>
          </cell>
          <cell r="B193" t="str">
            <v>0077</v>
          </cell>
          <cell r="C193" t="str">
            <v>03</v>
          </cell>
          <cell r="D193" t="str">
            <v>35</v>
          </cell>
          <cell r="E193" t="str">
            <v>1</v>
          </cell>
          <cell r="F193" t="str">
            <v>22,538.34</v>
          </cell>
          <cell r="G193" t="str">
            <v>7,100.27</v>
          </cell>
          <cell r="H193" t="str">
            <v>31,836.10</v>
          </cell>
          <cell r="I193" t="str">
            <v>1,215,794.36</v>
          </cell>
          <cell r="K193" t="str">
            <v>1,183,958.26</v>
          </cell>
        </row>
        <row r="194">
          <cell r="A194" t="str">
            <v>الاهلى المصرى23720135734يورواعتماد11214</v>
          </cell>
          <cell r="B194" t="str">
            <v>0078</v>
          </cell>
          <cell r="C194" t="str">
            <v>03</v>
          </cell>
          <cell r="D194" t="str">
            <v>35</v>
          </cell>
          <cell r="E194" t="str">
            <v>1</v>
          </cell>
          <cell r="F194" t="str">
            <v>5,967.77</v>
          </cell>
          <cell r="G194" t="str">
            <v>1,891.39</v>
          </cell>
          <cell r="H194" t="str">
            <v>8,024.80</v>
          </cell>
          <cell r="I194" t="str">
            <v>320,841.08</v>
          </cell>
          <cell r="K194" t="str">
            <v>312,816.28</v>
          </cell>
        </row>
        <row r="195">
          <cell r="A195" t="str">
            <v>الاهلى المصرى23540135732يورواعتماد11121</v>
          </cell>
          <cell r="B195" t="str">
            <v>0079</v>
          </cell>
          <cell r="C195" t="str">
            <v>03</v>
          </cell>
          <cell r="D195" t="str">
            <v>35</v>
          </cell>
          <cell r="E195" t="str">
            <v>1</v>
          </cell>
          <cell r="F195" t="str">
            <v>67,836.32</v>
          </cell>
          <cell r="G195" t="str">
            <v>46,259.86</v>
          </cell>
          <cell r="H195" t="str">
            <v>82,646.90</v>
          </cell>
          <cell r="I195" t="str">
            <v>2,879,386.47</v>
          </cell>
          <cell r="K195" t="str">
            <v>2,796,739.57</v>
          </cell>
        </row>
        <row r="196">
          <cell r="A196" t="str">
            <v>الاهلى المصرى23620135735يورواعتماد11101</v>
          </cell>
          <cell r="B196" t="str">
            <v>0080</v>
          </cell>
          <cell r="C196" t="str">
            <v>03</v>
          </cell>
          <cell r="D196" t="str">
            <v>35</v>
          </cell>
          <cell r="E196" t="str">
            <v>1</v>
          </cell>
          <cell r="F196" t="str">
            <v>4,825.86</v>
          </cell>
          <cell r="G196" t="str">
            <v>3,102.57</v>
          </cell>
          <cell r="H196" t="str">
            <v>6,471.48</v>
          </cell>
          <cell r="I196" t="str">
            <v>267,134.48</v>
          </cell>
          <cell r="K196" t="str">
            <v>260,663.00</v>
          </cell>
        </row>
        <row r="197">
          <cell r="A197" t="str">
            <v>الاهلى المصرى23730135732يورواعتماد11201</v>
          </cell>
          <cell r="B197" t="str">
            <v>0081</v>
          </cell>
          <cell r="C197" t="str">
            <v>03</v>
          </cell>
          <cell r="D197" t="str">
            <v>35</v>
          </cell>
          <cell r="E197" t="str">
            <v>1</v>
          </cell>
          <cell r="F197" t="str">
            <v>89,086.42</v>
          </cell>
          <cell r="G197" t="str">
            <v>62,574.95</v>
          </cell>
          <cell r="H197" t="str">
            <v>96,903.12</v>
          </cell>
          <cell r="I197" t="str">
            <v>2,157,526.52</v>
          </cell>
          <cell r="K197" t="str">
            <v>2,060,623.40</v>
          </cell>
        </row>
        <row r="198">
          <cell r="A198" t="str">
            <v>الاهلى المصرى23770135733يورواعتماد11143</v>
          </cell>
          <cell r="B198" t="str">
            <v>0083</v>
          </cell>
          <cell r="C198" t="str">
            <v>03</v>
          </cell>
          <cell r="D198" t="str">
            <v>35</v>
          </cell>
          <cell r="E198" t="str">
            <v>1</v>
          </cell>
          <cell r="F198" t="str">
            <v>6,171.08</v>
          </cell>
          <cell r="G198" t="str">
            <v>20,817.65</v>
          </cell>
          <cell r="H198" t="str">
            <v>6,171.08</v>
          </cell>
          <cell r="I198" t="str">
            <v>674,556.57</v>
          </cell>
          <cell r="K198" t="str">
            <v>668,385.49</v>
          </cell>
        </row>
        <row r="199">
          <cell r="A199" t="str">
            <v>الاهلى المصرى23222135737يورواعتماد11214</v>
          </cell>
          <cell r="B199" t="str">
            <v>0084</v>
          </cell>
          <cell r="C199" t="str">
            <v>03</v>
          </cell>
          <cell r="D199" t="str">
            <v>35</v>
          </cell>
          <cell r="E199" t="str">
            <v>1</v>
          </cell>
          <cell r="G199" t="str">
            <v>981.79</v>
          </cell>
          <cell r="I199" t="str">
            <v>44,901.90</v>
          </cell>
          <cell r="K199" t="str">
            <v>44,901.90</v>
          </cell>
        </row>
        <row r="200">
          <cell r="A200" t="str">
            <v>الاهلى المصرى  يوروCAD23750135737</v>
          </cell>
          <cell r="B200" t="str">
            <v>0085</v>
          </cell>
          <cell r="C200" t="str">
            <v>03</v>
          </cell>
          <cell r="D200" t="str">
            <v>35</v>
          </cell>
          <cell r="E200" t="str">
            <v>1</v>
          </cell>
          <cell r="F200" t="str">
            <v>16,353.60</v>
          </cell>
          <cell r="G200" t="str">
            <v>691.02</v>
          </cell>
          <cell r="H200" t="str">
            <v>16,353.60</v>
          </cell>
          <cell r="I200" t="str">
            <v>47,980.13</v>
          </cell>
          <cell r="K200" t="str">
            <v>31,626.53</v>
          </cell>
        </row>
        <row r="201">
          <cell r="A201" t="str">
            <v>الاهلى المصرى 23780135731 CAD</v>
          </cell>
          <cell r="B201" t="str">
            <v>0086</v>
          </cell>
          <cell r="C201" t="str">
            <v>03</v>
          </cell>
          <cell r="D201" t="str">
            <v>35</v>
          </cell>
          <cell r="E201" t="str">
            <v>1</v>
          </cell>
          <cell r="F201" t="str">
            <v>137.00</v>
          </cell>
          <cell r="G201" t="str">
            <v>949.41</v>
          </cell>
          <cell r="H201" t="str">
            <v>548.41</v>
          </cell>
          <cell r="I201" t="str">
            <v>60,813.53</v>
          </cell>
          <cell r="K201" t="str">
            <v>60,265.12</v>
          </cell>
        </row>
        <row r="202">
          <cell r="A202" t="str">
            <v>الاهلى مص يورو23790135739 -ع 11178</v>
          </cell>
          <cell r="B202" t="str">
            <v>0087</v>
          </cell>
          <cell r="C202" t="str">
            <v>03</v>
          </cell>
          <cell r="D202" t="str">
            <v>35</v>
          </cell>
          <cell r="E202" t="str">
            <v>1</v>
          </cell>
          <cell r="F202" t="str">
            <v>78.33</v>
          </cell>
          <cell r="G202" t="str">
            <v>1,919.55</v>
          </cell>
          <cell r="H202" t="str">
            <v>489.74</v>
          </cell>
          <cell r="I202" t="str">
            <v>122,335.49</v>
          </cell>
          <cell r="K202" t="str">
            <v>121,845.75</v>
          </cell>
        </row>
        <row r="203">
          <cell r="A203" t="str">
            <v>الاهلى مص يورو 23075135735 ع 306511</v>
          </cell>
          <cell r="B203" t="str">
            <v>0088</v>
          </cell>
          <cell r="C203" t="str">
            <v>03</v>
          </cell>
          <cell r="D203" t="str">
            <v>35</v>
          </cell>
          <cell r="E203" t="str">
            <v>1</v>
          </cell>
          <cell r="G203" t="str">
            <v>1,470.63</v>
          </cell>
          <cell r="I203" t="str">
            <v>67,255.53</v>
          </cell>
          <cell r="K203" t="str">
            <v>67,255.53</v>
          </cell>
        </row>
        <row r="204">
          <cell r="A204" t="str">
            <v>الاهلى مص ج 23450135737 ع 11296</v>
          </cell>
          <cell r="B204" t="str">
            <v>0089</v>
          </cell>
          <cell r="C204" t="str">
            <v>03</v>
          </cell>
          <cell r="D204" t="str">
            <v>35</v>
          </cell>
          <cell r="E204" t="str">
            <v>1</v>
          </cell>
          <cell r="F204" t="str">
            <v>1,500.51</v>
          </cell>
          <cell r="H204" t="str">
            <v>5,000.51</v>
          </cell>
          <cell r="I204" t="str">
            <v>914,584.58</v>
          </cell>
          <cell r="K204" t="str">
            <v>909,584.07</v>
          </cell>
        </row>
        <row r="205">
          <cell r="A205" t="str">
            <v>الاهلى مص ج 23460135735 ع 11326</v>
          </cell>
          <cell r="B205" t="str">
            <v>0090</v>
          </cell>
          <cell r="C205" t="str">
            <v>03</v>
          </cell>
          <cell r="D205" t="str">
            <v>35</v>
          </cell>
          <cell r="E205" t="str">
            <v>1</v>
          </cell>
          <cell r="F205" t="str">
            <v>728.40</v>
          </cell>
          <cell r="H205" t="str">
            <v>3,228.40</v>
          </cell>
          <cell r="I205" t="str">
            <v>643,794.30</v>
          </cell>
          <cell r="K205" t="str">
            <v>640,565.90</v>
          </cell>
        </row>
        <row r="206">
          <cell r="A206" t="str">
            <v>الاهلى مص ج23470135733 ع 11323</v>
          </cell>
          <cell r="B206" t="str">
            <v>0091</v>
          </cell>
          <cell r="C206" t="str">
            <v>03</v>
          </cell>
          <cell r="D206" t="str">
            <v>35</v>
          </cell>
          <cell r="E206" t="str">
            <v>1</v>
          </cell>
          <cell r="F206" t="str">
            <v>642.66</v>
          </cell>
          <cell r="H206" t="str">
            <v>2,242.66</v>
          </cell>
          <cell r="I206" t="str">
            <v>402,600.81</v>
          </cell>
          <cell r="K206" t="str">
            <v>400,358.15</v>
          </cell>
        </row>
        <row r="207">
          <cell r="A207" t="str">
            <v>الاهلى مص $ 23005135734 ع 306497</v>
          </cell>
          <cell r="B207" t="str">
            <v>0092</v>
          </cell>
          <cell r="C207" t="str">
            <v>03</v>
          </cell>
          <cell r="D207" t="str">
            <v>35</v>
          </cell>
          <cell r="E207" t="str">
            <v>1</v>
          </cell>
          <cell r="F207" t="str">
            <v>100,812.12</v>
          </cell>
          <cell r="G207" t="str">
            <v>1,302.23</v>
          </cell>
          <cell r="H207" t="str">
            <v>106,560.87</v>
          </cell>
          <cell r="I207" t="str">
            <v>3,500,862.95</v>
          </cell>
          <cell r="K207" t="str">
            <v>3,394,302.08</v>
          </cell>
        </row>
        <row r="208">
          <cell r="A208" t="str">
            <v>الاهلى مص ج 23055135736 ع 11322</v>
          </cell>
          <cell r="B208" t="str">
            <v>0093</v>
          </cell>
          <cell r="C208" t="str">
            <v>03</v>
          </cell>
          <cell r="D208" t="str">
            <v>35</v>
          </cell>
          <cell r="E208" t="str">
            <v>1</v>
          </cell>
          <cell r="F208" t="str">
            <v>6,830.02</v>
          </cell>
          <cell r="H208" t="str">
            <v>16,330.02</v>
          </cell>
          <cell r="I208" t="str">
            <v>2,852,797.37</v>
          </cell>
          <cell r="K208" t="str">
            <v>2,836,467.35</v>
          </cell>
        </row>
        <row r="209">
          <cell r="A209" t="str">
            <v>الاهلى مص ج 23075135732 ع 11296</v>
          </cell>
          <cell r="B209" t="str">
            <v>0094</v>
          </cell>
          <cell r="C209" t="str">
            <v>03</v>
          </cell>
          <cell r="D209" t="str">
            <v>35</v>
          </cell>
          <cell r="E209" t="str">
            <v>1</v>
          </cell>
          <cell r="G209" t="str">
            <v>164.67</v>
          </cell>
          <cell r="H209" t="str">
            <v>1,600.00</v>
          </cell>
          <cell r="I209" t="str">
            <v>485,326.88</v>
          </cell>
          <cell r="K209" t="str">
            <v>483,726.88</v>
          </cell>
        </row>
        <row r="210">
          <cell r="A210" t="str">
            <v>الاهلى مص يورو 23221135738 ع 306516</v>
          </cell>
          <cell r="B210" t="str">
            <v>0095</v>
          </cell>
          <cell r="C210" t="str">
            <v>03</v>
          </cell>
          <cell r="D210" t="str">
            <v>35</v>
          </cell>
          <cell r="E210" t="str">
            <v>1</v>
          </cell>
          <cell r="G210" t="str">
            <v>1,047.93</v>
          </cell>
          <cell r="I210" t="str">
            <v>47,925.39</v>
          </cell>
          <cell r="K210" t="str">
            <v>47,925.39</v>
          </cell>
        </row>
        <row r="211">
          <cell r="A211" t="str">
            <v>الاهلى مص 23027135734 يورو ع 11200</v>
          </cell>
          <cell r="B211" t="str">
            <v>0097</v>
          </cell>
          <cell r="C211" t="str">
            <v>03</v>
          </cell>
          <cell r="D211" t="str">
            <v>35</v>
          </cell>
          <cell r="E211" t="str">
            <v>1</v>
          </cell>
          <cell r="F211" t="str">
            <v>16,456.20</v>
          </cell>
          <cell r="G211" t="str">
            <v>3,416,223.26</v>
          </cell>
          <cell r="H211" t="str">
            <v>16,456.20</v>
          </cell>
          <cell r="I211" t="str">
            <v>3,416,223.26</v>
          </cell>
          <cell r="K211" t="str">
            <v>3,399,767.06</v>
          </cell>
        </row>
        <row r="212">
          <cell r="A212" t="str">
            <v>الاهلى المصرى يورو 23019135734 ع 11204</v>
          </cell>
          <cell r="B212" t="str">
            <v>0098</v>
          </cell>
          <cell r="C212" t="str">
            <v>03</v>
          </cell>
          <cell r="D212" t="str">
            <v>35</v>
          </cell>
          <cell r="E212" t="str">
            <v>1</v>
          </cell>
          <cell r="F212" t="str">
            <v>20,158.85</v>
          </cell>
          <cell r="G212" t="str">
            <v>3,790,510.90</v>
          </cell>
          <cell r="H212" t="str">
            <v>20,158.85</v>
          </cell>
          <cell r="I212" t="str">
            <v>3,790,510.90</v>
          </cell>
          <cell r="K212" t="str">
            <v>3,770,352.05</v>
          </cell>
        </row>
        <row r="213">
          <cell r="A213" t="str">
            <v>الاهلى المصرى يورو 23955135730 ع 11203</v>
          </cell>
          <cell r="B213" t="str">
            <v>0099</v>
          </cell>
          <cell r="C213" t="str">
            <v>03</v>
          </cell>
          <cell r="D213" t="str">
            <v>35</v>
          </cell>
          <cell r="E213" t="str">
            <v>1</v>
          </cell>
          <cell r="F213" t="str">
            <v>12,753.56</v>
          </cell>
          <cell r="G213" t="str">
            <v>2,655,326.46</v>
          </cell>
          <cell r="H213" t="str">
            <v>12,753.56</v>
          </cell>
          <cell r="I213" t="str">
            <v>2,655,326.46</v>
          </cell>
          <cell r="K213" t="str">
            <v>2,642,572.90</v>
          </cell>
        </row>
        <row r="214">
          <cell r="A214" t="str">
            <v>الاهلى المصرى يورو 23026135735 ع 11202</v>
          </cell>
          <cell r="B214" t="str">
            <v>0100</v>
          </cell>
          <cell r="C214" t="str">
            <v>03</v>
          </cell>
          <cell r="D214" t="str">
            <v>35</v>
          </cell>
          <cell r="E214" t="str">
            <v>1</v>
          </cell>
          <cell r="F214" t="str">
            <v>18,924.63</v>
          </cell>
          <cell r="G214" t="str">
            <v>3,918,384.35</v>
          </cell>
          <cell r="H214" t="str">
            <v>18,924.63</v>
          </cell>
          <cell r="I214" t="str">
            <v>3,918,384.35</v>
          </cell>
          <cell r="K214" t="str">
            <v>3,899,459.72</v>
          </cell>
        </row>
        <row r="215">
          <cell r="A215" t="str">
            <v>الاهلى يورو 23017135736 /C.A.D306534</v>
          </cell>
          <cell r="B215" t="str">
            <v>0101</v>
          </cell>
          <cell r="C215" t="str">
            <v>03</v>
          </cell>
          <cell r="D215" t="str">
            <v>35</v>
          </cell>
          <cell r="E215" t="str">
            <v>1</v>
          </cell>
          <cell r="G215" t="str">
            <v>38,653.29</v>
          </cell>
          <cell r="I215" t="str">
            <v>38,653.29</v>
          </cell>
          <cell r="K215" t="str">
            <v>38,653.29</v>
          </cell>
        </row>
        <row r="216">
          <cell r="A216" t="str">
            <v>الاهلى يورو 23001357304 اعتماد رقم 11244</v>
          </cell>
          <cell r="B216" t="str">
            <v>0102</v>
          </cell>
          <cell r="C216" t="str">
            <v>03</v>
          </cell>
          <cell r="D216" t="str">
            <v>35</v>
          </cell>
          <cell r="E216" t="str">
            <v>1</v>
          </cell>
          <cell r="G216" t="str">
            <v>2,272,191.55</v>
          </cell>
          <cell r="I216" t="str">
            <v>2,272,191.55</v>
          </cell>
          <cell r="K216" t="str">
            <v>2,272,191.55</v>
          </cell>
        </row>
        <row r="217">
          <cell r="A217" t="str">
            <v>الاهلى يورو 23555135734اعتماد رقم 11215</v>
          </cell>
          <cell r="B217" t="str">
            <v>0103</v>
          </cell>
          <cell r="C217" t="str">
            <v>03</v>
          </cell>
          <cell r="D217" t="str">
            <v>35</v>
          </cell>
          <cell r="E217" t="str">
            <v>1</v>
          </cell>
          <cell r="F217" t="str">
            <v>3,044.40</v>
          </cell>
          <cell r="G217" t="str">
            <v>265,232.39</v>
          </cell>
          <cell r="H217" t="str">
            <v>3,044.40</v>
          </cell>
          <cell r="I217" t="str">
            <v>265,232.39</v>
          </cell>
          <cell r="K217" t="str">
            <v>262,187.99</v>
          </cell>
        </row>
        <row r="218">
          <cell r="A218" t="str">
            <v>الاهلى يورو 23018135735 اعتماد 11277</v>
          </cell>
          <cell r="B218" t="str">
            <v>0104</v>
          </cell>
          <cell r="C218" t="str">
            <v>03</v>
          </cell>
          <cell r="D218" t="str">
            <v>35</v>
          </cell>
          <cell r="E218" t="str">
            <v>1</v>
          </cell>
          <cell r="F218" t="str">
            <v>4,936.86</v>
          </cell>
          <cell r="G218" t="str">
            <v>1,001,761.59</v>
          </cell>
          <cell r="H218" t="str">
            <v>4,936.86</v>
          </cell>
          <cell r="I218" t="str">
            <v>1,001,761.59</v>
          </cell>
          <cell r="K218" t="str">
            <v>996,824.73</v>
          </cell>
        </row>
        <row r="219">
          <cell r="A219" t="str">
            <v>الاهلى جنيه 23200135730اعتماد 11296</v>
          </cell>
          <cell r="B219" t="str">
            <v>0105</v>
          </cell>
          <cell r="C219" t="str">
            <v>03</v>
          </cell>
          <cell r="D219" t="str">
            <v>35</v>
          </cell>
          <cell r="E219" t="str">
            <v>1</v>
          </cell>
          <cell r="G219" t="str">
            <v>33,118.78</v>
          </cell>
          <cell r="I219" t="str">
            <v>33,118.78</v>
          </cell>
          <cell r="K219" t="str">
            <v>33,118.78</v>
          </cell>
        </row>
        <row r="220">
          <cell r="A220" t="str">
            <v>الاهلى جنيه 23056135735اعتماد 11343</v>
          </cell>
          <cell r="B220" t="str">
            <v>0106</v>
          </cell>
          <cell r="C220" t="str">
            <v>03</v>
          </cell>
          <cell r="D220" t="str">
            <v>35</v>
          </cell>
          <cell r="E220" t="str">
            <v>1</v>
          </cell>
          <cell r="G220" t="str">
            <v>20,135.65</v>
          </cell>
          <cell r="I220" t="str">
            <v>20,135.65</v>
          </cell>
          <cell r="K220" t="str">
            <v>20,135.65</v>
          </cell>
        </row>
        <row r="221">
          <cell r="A221" t="str">
            <v>الاهلى جنيه 23057135734اعتماد 11370</v>
          </cell>
          <cell r="B221" t="str">
            <v>0107</v>
          </cell>
          <cell r="C221" t="str">
            <v>03</v>
          </cell>
          <cell r="D221" t="str">
            <v>35</v>
          </cell>
          <cell r="E221" t="str">
            <v>1</v>
          </cell>
          <cell r="G221" t="str">
            <v>2,224,364.40</v>
          </cell>
          <cell r="I221" t="str">
            <v>2,224,364.40</v>
          </cell>
          <cell r="K221" t="str">
            <v>2,224,364.40</v>
          </cell>
        </row>
        <row r="222">
          <cell r="A222" t="str">
            <v>الاهلى يورو23740135730اعتماد 11178</v>
          </cell>
          <cell r="B222" t="str">
            <v>0108</v>
          </cell>
          <cell r="C222" t="str">
            <v>03</v>
          </cell>
          <cell r="D222" t="str">
            <v>35</v>
          </cell>
          <cell r="E222" t="str">
            <v>1</v>
          </cell>
          <cell r="F222" t="str">
            <v>411.41</v>
          </cell>
          <cell r="G222" t="str">
            <v>76,587.42</v>
          </cell>
          <cell r="H222" t="str">
            <v>411.41</v>
          </cell>
          <cell r="I222" t="str">
            <v>76,587.42</v>
          </cell>
          <cell r="K222" t="str">
            <v>76,176.01</v>
          </cell>
        </row>
        <row r="223">
          <cell r="A223" t="str">
            <v>الاهلى يورو23111135731اعتماد 306138</v>
          </cell>
          <cell r="B223" t="str">
            <v>0109</v>
          </cell>
          <cell r="C223" t="str">
            <v>03</v>
          </cell>
          <cell r="D223" t="str">
            <v>35</v>
          </cell>
          <cell r="E223" t="str">
            <v>1</v>
          </cell>
          <cell r="G223" t="str">
            <v>136,152.14</v>
          </cell>
          <cell r="I223" t="str">
            <v>136,152.14</v>
          </cell>
          <cell r="K223" t="str">
            <v>136,152.14</v>
          </cell>
        </row>
        <row r="224">
          <cell r="A224" t="str">
            <v>الاهلى يورو 23760135735اعتماد 36487</v>
          </cell>
          <cell r="B224" t="str">
            <v>0110</v>
          </cell>
          <cell r="C224" t="str">
            <v>03</v>
          </cell>
          <cell r="D224" t="str">
            <v>35</v>
          </cell>
          <cell r="E224" t="str">
            <v>1</v>
          </cell>
          <cell r="G224" t="str">
            <v>15,402.69</v>
          </cell>
          <cell r="I224" t="str">
            <v>15,402.69</v>
          </cell>
          <cell r="K224" t="str">
            <v>15,402.69</v>
          </cell>
        </row>
        <row r="225">
          <cell r="A225" t="str">
            <v>الاهلى المصرى ج 23058135733 اعتماد 11397</v>
          </cell>
          <cell r="B225" t="str">
            <v>0111</v>
          </cell>
          <cell r="C225" t="str">
            <v>03</v>
          </cell>
          <cell r="D225" t="str">
            <v>35</v>
          </cell>
          <cell r="E225" t="str">
            <v>1</v>
          </cell>
          <cell r="G225" t="str">
            <v>3,020,566.89</v>
          </cell>
          <cell r="I225" t="str">
            <v>3,020,566.89</v>
          </cell>
          <cell r="K225" t="str">
            <v>3,020,566.89</v>
          </cell>
        </row>
        <row r="226">
          <cell r="A226" t="str">
            <v>الاهلى المصرى يورو 23076135734 ع306675</v>
          </cell>
          <cell r="B226" t="str">
            <v>0112</v>
          </cell>
          <cell r="C226" t="str">
            <v>03</v>
          </cell>
          <cell r="D226" t="str">
            <v>35</v>
          </cell>
          <cell r="E226" t="str">
            <v>1</v>
          </cell>
          <cell r="G226" t="str">
            <v>1,258,402.17</v>
          </cell>
          <cell r="I226" t="str">
            <v>1,258,402.17</v>
          </cell>
          <cell r="K226" t="str">
            <v>1,258,402.17</v>
          </cell>
        </row>
        <row r="227">
          <cell r="A227" t="str">
            <v>الاهلى المصرى يورو 23056135738ع306634</v>
          </cell>
          <cell r="B227" t="str">
            <v>0113</v>
          </cell>
          <cell r="C227" t="str">
            <v>03</v>
          </cell>
          <cell r="D227" t="str">
            <v>35</v>
          </cell>
          <cell r="E227" t="str">
            <v>1</v>
          </cell>
          <cell r="G227" t="str">
            <v>1,506,254.86</v>
          </cell>
          <cell r="I227" t="str">
            <v>1,506,254.86</v>
          </cell>
          <cell r="K227" t="str">
            <v>1,506,254.86</v>
          </cell>
        </row>
        <row r="228">
          <cell r="A228" t="str">
            <v>الاهلى المصرى يورو 23220135739ع11269</v>
          </cell>
          <cell r="B228" t="str">
            <v>0114</v>
          </cell>
          <cell r="C228" t="str">
            <v>03</v>
          </cell>
          <cell r="D228" t="str">
            <v>35</v>
          </cell>
          <cell r="E228" t="str">
            <v>1</v>
          </cell>
          <cell r="G228" t="str">
            <v>2,979,513.65</v>
          </cell>
          <cell r="I228" t="str">
            <v>2,979,513.65</v>
          </cell>
          <cell r="K228" t="str">
            <v>2,979,513.65</v>
          </cell>
        </row>
        <row r="229">
          <cell r="A229" t="str">
            <v>الاهلى المصرى 23006135736جم اعتماد 11397</v>
          </cell>
          <cell r="B229" t="str">
            <v>0115</v>
          </cell>
          <cell r="C229" t="str">
            <v>03</v>
          </cell>
          <cell r="D229" t="str">
            <v>35</v>
          </cell>
          <cell r="E229" t="str">
            <v>1</v>
          </cell>
          <cell r="G229" t="str">
            <v>734,505.95</v>
          </cell>
          <cell r="I229" t="str">
            <v>734,505.95</v>
          </cell>
          <cell r="K229" t="str">
            <v>734,505.95</v>
          </cell>
        </row>
        <row r="230">
          <cell r="A230" t="str">
            <v>الاهلى المصرى 23007135735 جم عتماد 11407</v>
          </cell>
          <cell r="B230" t="str">
            <v>0116</v>
          </cell>
          <cell r="C230" t="str">
            <v>03</v>
          </cell>
          <cell r="D230" t="str">
            <v>35</v>
          </cell>
          <cell r="E230" t="str">
            <v>1</v>
          </cell>
          <cell r="G230" t="str">
            <v>2,480,251.60</v>
          </cell>
          <cell r="I230" t="str">
            <v>2,480,251.60</v>
          </cell>
          <cell r="K230" t="str">
            <v>2,480,251.60</v>
          </cell>
        </row>
        <row r="231">
          <cell r="A231" t="str">
            <v>الاهلى المصرى جم 23023135735اعتماد 11417</v>
          </cell>
          <cell r="B231" t="str">
            <v>0117</v>
          </cell>
          <cell r="C231" t="str">
            <v>03</v>
          </cell>
          <cell r="D231" t="str">
            <v>35</v>
          </cell>
          <cell r="E231" t="str">
            <v>1</v>
          </cell>
          <cell r="G231" t="str">
            <v>862,811.46</v>
          </cell>
          <cell r="I231" t="str">
            <v>862,811.46</v>
          </cell>
          <cell r="K231" t="str">
            <v>862,811.46</v>
          </cell>
        </row>
        <row r="232">
          <cell r="A232" t="str">
            <v>الاهلى المصرى يورو 23055135739ع306635</v>
          </cell>
          <cell r="B232" t="str">
            <v>0118</v>
          </cell>
          <cell r="C232" t="str">
            <v>03</v>
          </cell>
          <cell r="D232" t="str">
            <v>35</v>
          </cell>
          <cell r="E232" t="str">
            <v>1</v>
          </cell>
          <cell r="G232" t="str">
            <v>24,587.42</v>
          </cell>
          <cell r="I232" t="str">
            <v>24,587.42</v>
          </cell>
          <cell r="K232" t="str">
            <v>24,587.42</v>
          </cell>
        </row>
        <row r="233">
          <cell r="A233" t="str">
            <v>الاهلى المصرى - (ج)استرلينى- 11000135733</v>
          </cell>
          <cell r="B233" t="str">
            <v>0003</v>
          </cell>
          <cell r="C233" t="str">
            <v>15</v>
          </cell>
          <cell r="D233" t="str">
            <v>35</v>
          </cell>
          <cell r="E233" t="str">
            <v>1</v>
          </cell>
          <cell r="G233" t="str">
            <v>3.06</v>
          </cell>
          <cell r="H233" t="str">
            <v>27,512.72</v>
          </cell>
          <cell r="I233" t="str">
            <v>27,372.82</v>
          </cell>
          <cell r="J233" t="str">
            <v>139.90</v>
          </cell>
        </row>
        <row r="234">
          <cell r="A234" t="str">
            <v>الأهلي المصري - فرع العريش - جنيه - 0000</v>
          </cell>
          <cell r="B234" t="str">
            <v>0001</v>
          </cell>
          <cell r="C234" t="str">
            <v>20</v>
          </cell>
          <cell r="D234" t="str">
            <v>35</v>
          </cell>
          <cell r="E234" t="str">
            <v>1</v>
          </cell>
          <cell r="G234" t="str">
            <v>84.50</v>
          </cell>
          <cell r="H234" t="str">
            <v>1,502.00</v>
          </cell>
          <cell r="I234" t="str">
            <v>84.50</v>
          </cell>
          <cell r="J234" t="str">
            <v>1,417.50</v>
          </cell>
        </row>
        <row r="235">
          <cell r="A235" t="str">
            <v>الدلتا الدولى - جنيه - 100868/001</v>
          </cell>
          <cell r="B235" t="str">
            <v>0001</v>
          </cell>
          <cell r="C235" t="str">
            <v>35</v>
          </cell>
          <cell r="D235" t="str">
            <v>35</v>
          </cell>
          <cell r="E235" t="str">
            <v>1</v>
          </cell>
          <cell r="F235" t="str">
            <v>6,127.68</v>
          </cell>
          <cell r="G235" t="str">
            <v>1,916.26</v>
          </cell>
          <cell r="H235" t="str">
            <v>2,726,116.25</v>
          </cell>
          <cell r="I235" t="str">
            <v>2,646,612.18</v>
          </cell>
          <cell r="J235" t="str">
            <v>79,504.07</v>
          </cell>
        </row>
        <row r="236">
          <cell r="A236" t="str">
            <v>الدلتا الدولى - دولار-100868/003</v>
          </cell>
          <cell r="B236" t="str">
            <v>0001</v>
          </cell>
          <cell r="C236" t="str">
            <v>36</v>
          </cell>
          <cell r="D236" t="str">
            <v>35</v>
          </cell>
          <cell r="E236" t="str">
            <v>1</v>
          </cell>
          <cell r="G236" t="str">
            <v>10.10</v>
          </cell>
          <cell r="H236" t="str">
            <v>44,117.54</v>
          </cell>
          <cell r="I236" t="str">
            <v>43,640.05</v>
          </cell>
          <cell r="J236" t="str">
            <v>477.49</v>
          </cell>
        </row>
        <row r="237">
          <cell r="A237" t="str">
            <v>الدلتا الدولى - يورو- 100868/005</v>
          </cell>
          <cell r="B237" t="str">
            <v>0001</v>
          </cell>
          <cell r="C237" t="str">
            <v>37</v>
          </cell>
          <cell r="D237" t="str">
            <v>35</v>
          </cell>
          <cell r="E237" t="str">
            <v>1</v>
          </cell>
          <cell r="G237" t="str">
            <v>138.65</v>
          </cell>
          <cell r="H237" t="str">
            <v>10,338.16</v>
          </cell>
          <cell r="I237" t="str">
            <v>433.31</v>
          </cell>
          <cell r="J237" t="str">
            <v>9,904.85</v>
          </cell>
        </row>
        <row r="238">
          <cell r="A238" t="str">
            <v>الاهلى سوسيتيه - جنيه - 150320081010-41</v>
          </cell>
          <cell r="B238" t="str">
            <v>0001</v>
          </cell>
          <cell r="C238" t="str">
            <v>45</v>
          </cell>
          <cell r="D238" t="str">
            <v>35</v>
          </cell>
          <cell r="E238" t="str">
            <v>1</v>
          </cell>
          <cell r="F238" t="str">
            <v>1,011,308.75</v>
          </cell>
          <cell r="G238" t="str">
            <v>878,544.50</v>
          </cell>
          <cell r="H238" t="str">
            <v>34,819,050.45</v>
          </cell>
          <cell r="I238" t="str">
            <v>34,591,503.55</v>
          </cell>
          <cell r="J238" t="str">
            <v>227,546.90</v>
          </cell>
        </row>
        <row r="239">
          <cell r="A239" t="str">
            <v>الاهلى سوسيتيه - دولار- 150320081010-41</v>
          </cell>
          <cell r="B239" t="str">
            <v>0001</v>
          </cell>
          <cell r="C239" t="str">
            <v>46</v>
          </cell>
          <cell r="D239" t="str">
            <v>35</v>
          </cell>
          <cell r="E239" t="str">
            <v>1</v>
          </cell>
          <cell r="G239" t="str">
            <v>4,996,271.06</v>
          </cell>
          <cell r="H239" t="str">
            <v>82,505,536.65</v>
          </cell>
          <cell r="I239" t="str">
            <v>82,489,821.54</v>
          </cell>
          <cell r="J239" t="str">
            <v>15,715.11</v>
          </cell>
        </row>
        <row r="240">
          <cell r="A240" t="str">
            <v>الاهلى سوسيتيه - يورو 150320081010</v>
          </cell>
          <cell r="B240" t="str">
            <v>0001</v>
          </cell>
          <cell r="C240" t="str">
            <v>47</v>
          </cell>
          <cell r="D240" t="str">
            <v>35</v>
          </cell>
          <cell r="E240" t="str">
            <v>1</v>
          </cell>
          <cell r="F240" t="str">
            <v>4,698,739.13</v>
          </cell>
          <cell r="G240" t="str">
            <v>4,663,880.27</v>
          </cell>
          <cell r="H240" t="str">
            <v>7,155,577.99</v>
          </cell>
          <cell r="I240" t="str">
            <v>7,120,719.13</v>
          </cell>
          <cell r="J240" t="str">
            <v>34,858.86</v>
          </cell>
        </row>
        <row r="241">
          <cell r="A241" t="str">
            <v>بنك HSBC  - جنيه - 001- 30424- 005</v>
          </cell>
          <cell r="B241" t="str">
            <v>0001</v>
          </cell>
          <cell r="C241" t="str">
            <v>50</v>
          </cell>
          <cell r="D241" t="str">
            <v>35</v>
          </cell>
          <cell r="E241" t="str">
            <v>1</v>
          </cell>
          <cell r="F241" t="str">
            <v>555,771.00</v>
          </cell>
          <cell r="G241" t="str">
            <v>550,115.00</v>
          </cell>
          <cell r="H241" t="str">
            <v>1,582,791.84</v>
          </cell>
          <cell r="I241" t="str">
            <v>1,572,463.30</v>
          </cell>
          <cell r="J241" t="str">
            <v>10,328.54</v>
          </cell>
        </row>
        <row r="242">
          <cell r="A242" t="str">
            <v>بنك HSBC  - يورو - 110- 30424- 005</v>
          </cell>
          <cell r="B242" t="str">
            <v>0001</v>
          </cell>
          <cell r="C242" t="str">
            <v>51</v>
          </cell>
          <cell r="D242" t="str">
            <v>35</v>
          </cell>
          <cell r="E242" t="str">
            <v>1</v>
          </cell>
          <cell r="F242" t="str">
            <v>80.46</v>
          </cell>
          <cell r="G242" t="str">
            <v>4.36</v>
          </cell>
          <cell r="H242" t="str">
            <v>4,699.35</v>
          </cell>
          <cell r="I242" t="str">
            <v>4,652.03</v>
          </cell>
          <cell r="J242" t="str">
            <v>47.32</v>
          </cell>
        </row>
        <row r="243">
          <cell r="A243" t="str">
            <v>البنك العربي -  جنيه  - 439-411934-5001</v>
          </cell>
          <cell r="B243" t="str">
            <v>0003</v>
          </cell>
          <cell r="C243" t="str">
            <v>55</v>
          </cell>
          <cell r="D243" t="str">
            <v>35</v>
          </cell>
          <cell r="E243" t="str">
            <v>1</v>
          </cell>
          <cell r="F243" t="str">
            <v>60,000.00</v>
          </cell>
          <cell r="G243" t="str">
            <v>57,486.00</v>
          </cell>
          <cell r="H243" t="str">
            <v>243,341.77</v>
          </cell>
          <cell r="I243" t="str">
            <v>238,109.00</v>
          </cell>
          <cell r="J243" t="str">
            <v>5,232.77</v>
          </cell>
        </row>
        <row r="244">
          <cell r="A244" t="str">
            <v>البنك العربي - يورو - 438-411934-5001</v>
          </cell>
          <cell r="B244" t="str">
            <v>0001</v>
          </cell>
          <cell r="C244" t="str">
            <v>57</v>
          </cell>
          <cell r="D244" t="str">
            <v>35</v>
          </cell>
          <cell r="E244" t="str">
            <v>1</v>
          </cell>
          <cell r="G244" t="str">
            <v>72.33</v>
          </cell>
          <cell r="H244" t="str">
            <v>13,834.07</v>
          </cell>
          <cell r="I244" t="str">
            <v>8,664.89</v>
          </cell>
          <cell r="J244" t="str">
            <v>5,169.19</v>
          </cell>
        </row>
        <row r="245">
          <cell r="A245" t="str">
            <v>بنك مصر للمعاملات الدولية 14/37/73138/9</v>
          </cell>
          <cell r="B245" t="str">
            <v>0001</v>
          </cell>
          <cell r="C245" t="str">
            <v>58</v>
          </cell>
          <cell r="D245" t="str">
            <v>35</v>
          </cell>
          <cell r="E245" t="str">
            <v>1</v>
          </cell>
          <cell r="G245" t="str">
            <v>35.00</v>
          </cell>
          <cell r="H245" t="str">
            <v>9,192.12</v>
          </cell>
          <cell r="I245" t="str">
            <v>77.00</v>
          </cell>
          <cell r="J245" t="str">
            <v>9,115.12</v>
          </cell>
        </row>
        <row r="246">
          <cell r="A246" t="str">
            <v>بنك مصر للمعاملات الدولية 192/37/8625/5</v>
          </cell>
          <cell r="B246" t="str">
            <v>0002</v>
          </cell>
          <cell r="C246" t="str">
            <v>58</v>
          </cell>
          <cell r="D246" t="str">
            <v>35</v>
          </cell>
          <cell r="E246" t="str">
            <v>1</v>
          </cell>
          <cell r="F246" t="str">
            <v>595.76</v>
          </cell>
          <cell r="G246" t="str">
            <v>50.00</v>
          </cell>
          <cell r="H246" t="str">
            <v>37,265.51</v>
          </cell>
          <cell r="I246" t="str">
            <v>432.81</v>
          </cell>
          <cell r="J246" t="str">
            <v>36,832.70</v>
          </cell>
        </row>
        <row r="247">
          <cell r="A247" t="str">
            <v>البنك التجارى الدولى ح 1850045566 جنية</v>
          </cell>
          <cell r="B247" t="str">
            <v>0001</v>
          </cell>
          <cell r="C247" t="str">
            <v>59</v>
          </cell>
          <cell r="D247" t="str">
            <v>35</v>
          </cell>
          <cell r="E247" t="str">
            <v>1</v>
          </cell>
          <cell r="F247" t="str">
            <v>6,730,417.91</v>
          </cell>
          <cell r="G247" t="str">
            <v>9,634,739.38</v>
          </cell>
          <cell r="H247" t="str">
            <v>82,928,947.65</v>
          </cell>
          <cell r="I247" t="str">
            <v>81,263,616.55</v>
          </cell>
          <cell r="J247" t="str">
            <v>1,665,331.10</v>
          </cell>
        </row>
        <row r="248">
          <cell r="A248" t="str">
            <v>البنك التجارى الدولى ح  1850324557 دولار</v>
          </cell>
          <cell r="B248" t="str">
            <v>0002</v>
          </cell>
          <cell r="C248" t="str">
            <v>59</v>
          </cell>
          <cell r="D248" t="str">
            <v>35</v>
          </cell>
          <cell r="E248" t="str">
            <v>1</v>
          </cell>
          <cell r="F248" t="str">
            <v>4,774,501.61</v>
          </cell>
          <cell r="G248" t="str">
            <v>4,770,976.56</v>
          </cell>
          <cell r="H248" t="str">
            <v>45,286,532.10</v>
          </cell>
          <cell r="I248" t="str">
            <v>45,277,188.67</v>
          </cell>
          <cell r="J248" t="str">
            <v>9,343.43</v>
          </cell>
        </row>
        <row r="249">
          <cell r="A249" t="str">
            <v>البنك التجارى الدولى ح  1850900349 يورو</v>
          </cell>
          <cell r="B249" t="str">
            <v>0003</v>
          </cell>
          <cell r="C249" t="str">
            <v>59</v>
          </cell>
          <cell r="D249" t="str">
            <v>35</v>
          </cell>
          <cell r="E249" t="str">
            <v>1</v>
          </cell>
          <cell r="F249" t="str">
            <v>4,225,269.29</v>
          </cell>
          <cell r="G249" t="str">
            <v>5,134,041.80</v>
          </cell>
          <cell r="H249" t="str">
            <v>34,760,217.83</v>
          </cell>
          <cell r="I249" t="str">
            <v>34,760,060.42</v>
          </cell>
          <cell r="J249" t="str">
            <v>157.41</v>
          </cell>
        </row>
        <row r="250">
          <cell r="A250" t="str">
            <v>البنك العربى الافريقى جنيه 5149043931</v>
          </cell>
          <cell r="B250" t="str">
            <v>0001</v>
          </cell>
          <cell r="C250" t="str">
            <v>60</v>
          </cell>
          <cell r="D250" t="str">
            <v>35</v>
          </cell>
          <cell r="E250" t="str">
            <v>1</v>
          </cell>
          <cell r="F250" t="str">
            <v>98,743,383.00</v>
          </cell>
          <cell r="G250" t="str">
            <v>98,727,389.78</v>
          </cell>
          <cell r="H250" t="str">
            <v>104,408,252.07</v>
          </cell>
          <cell r="I250" t="str">
            <v>104,340,444.78</v>
          </cell>
          <cell r="J250" t="str">
            <v>67,807.29</v>
          </cell>
        </row>
        <row r="251">
          <cell r="A251" t="str">
            <v>البنك العربى الافريقى دولار 5149043931</v>
          </cell>
          <cell r="B251" t="str">
            <v>0002</v>
          </cell>
          <cell r="C251" t="str">
            <v>60</v>
          </cell>
          <cell r="D251" t="str">
            <v>35</v>
          </cell>
          <cell r="E251" t="str">
            <v>1</v>
          </cell>
          <cell r="F251" t="str">
            <v>33,494,629.65</v>
          </cell>
          <cell r="G251" t="str">
            <v>31,257,553.14</v>
          </cell>
          <cell r="H251" t="str">
            <v>93,914,179.18</v>
          </cell>
          <cell r="I251" t="str">
            <v>91,675,523.76</v>
          </cell>
          <cell r="J251" t="str">
            <v>2,238,655.42</v>
          </cell>
        </row>
        <row r="252">
          <cell r="A252" t="str">
            <v>البنك السودانى المصرى دينار10029959</v>
          </cell>
          <cell r="B252" t="str">
            <v>0001</v>
          </cell>
          <cell r="C252" t="str">
            <v>61</v>
          </cell>
          <cell r="D252" t="str">
            <v>35</v>
          </cell>
          <cell r="E252" t="str">
            <v>1</v>
          </cell>
          <cell r="F252" t="str">
            <v>10,484,834.73</v>
          </cell>
          <cell r="G252" t="str">
            <v>10,478,757.15</v>
          </cell>
          <cell r="H252" t="str">
            <v>55,582,506.73</v>
          </cell>
          <cell r="I252" t="str">
            <v>55,571,827.27</v>
          </cell>
          <cell r="J252" t="str">
            <v>10,679.46</v>
          </cell>
        </row>
        <row r="253">
          <cell r="A253" t="str">
            <v>البنك السودانى المصرى دولار  10027599</v>
          </cell>
          <cell r="B253" t="str">
            <v>0002</v>
          </cell>
          <cell r="C253" t="str">
            <v>61</v>
          </cell>
          <cell r="D253" t="str">
            <v>35</v>
          </cell>
          <cell r="E253" t="str">
            <v>1</v>
          </cell>
          <cell r="F253" t="str">
            <v>12,403,634.87</v>
          </cell>
          <cell r="G253" t="str">
            <v>13,051,067.93</v>
          </cell>
          <cell r="H253" t="str">
            <v>57,617,831.61</v>
          </cell>
          <cell r="I253" t="str">
            <v>57,353,297.35</v>
          </cell>
          <cell r="J253" t="str">
            <v>264,534.26</v>
          </cell>
        </row>
        <row r="254">
          <cell r="A254" t="str">
            <v>كريدى اجريكول مصر - ح رقم 1100007237 ج</v>
          </cell>
          <cell r="B254" t="str">
            <v>0001</v>
          </cell>
          <cell r="C254" t="str">
            <v>70</v>
          </cell>
          <cell r="D254" t="str">
            <v>35</v>
          </cell>
          <cell r="E254" t="str">
            <v>1</v>
          </cell>
          <cell r="F254" t="str">
            <v>80,181.20</v>
          </cell>
          <cell r="G254" t="str">
            <v>25.00</v>
          </cell>
          <cell r="H254" t="str">
            <v>218,781.20</v>
          </cell>
          <cell r="I254" t="str">
            <v>138,543.00</v>
          </cell>
          <cell r="J254" t="str">
            <v>80,238.20</v>
          </cell>
        </row>
        <row r="255">
          <cell r="A255" t="str">
            <v>بنك بيريوس - مصر   15665448 جنيه مصرى</v>
          </cell>
          <cell r="B255" t="str">
            <v>0001</v>
          </cell>
          <cell r="C255" t="str">
            <v>75</v>
          </cell>
          <cell r="D255" t="str">
            <v>35</v>
          </cell>
          <cell r="E255" t="str">
            <v>1</v>
          </cell>
          <cell r="F255" t="str">
            <v>13,253,827.00</v>
          </cell>
          <cell r="G255" t="str">
            <v>13,224,286.33</v>
          </cell>
          <cell r="H255" t="str">
            <v>13,253,827.00</v>
          </cell>
          <cell r="I255" t="str">
            <v>13,224,286.33</v>
          </cell>
          <cell r="J255" t="str">
            <v>29,540.67</v>
          </cell>
        </row>
        <row r="256">
          <cell r="A256" t="str">
            <v>ودائع لأجل - البنك الأهلي المصري - رقم 1</v>
          </cell>
          <cell r="B256" t="str">
            <v>0001</v>
          </cell>
          <cell r="C256" t="str">
            <v>01</v>
          </cell>
          <cell r="D256" t="str">
            <v>36</v>
          </cell>
          <cell r="E256" t="str">
            <v>1</v>
          </cell>
          <cell r="G256" t="str">
            <v>5,000,000.00</v>
          </cell>
          <cell r="H256" t="str">
            <v>20,000,000.00</v>
          </cell>
          <cell r="I256" t="str">
            <v>11,168,300.00</v>
          </cell>
          <cell r="J256" t="str">
            <v>8,831,700.00</v>
          </cell>
        </row>
        <row r="257">
          <cell r="A257" t="str">
            <v>وديعه البنك الاهلى جنية رقم 135735</v>
          </cell>
          <cell r="B257" t="str">
            <v>0001</v>
          </cell>
          <cell r="C257" t="str">
            <v>03</v>
          </cell>
          <cell r="D257" t="str">
            <v>36</v>
          </cell>
          <cell r="E257" t="str">
            <v>1</v>
          </cell>
          <cell r="H257" t="str">
            <v>8,500.00</v>
          </cell>
          <cell r="J257" t="str">
            <v>8,500.00</v>
          </cell>
        </row>
        <row r="258">
          <cell r="A258" t="str">
            <v>ودائع لأجل - الدلتا - جنيه -2405051</v>
          </cell>
          <cell r="B258" t="str">
            <v>0001</v>
          </cell>
          <cell r="C258" t="str">
            <v>25</v>
          </cell>
          <cell r="D258" t="str">
            <v>36</v>
          </cell>
          <cell r="E258" t="str">
            <v>1</v>
          </cell>
          <cell r="H258" t="str">
            <v>841,859.89</v>
          </cell>
          <cell r="J258" t="str">
            <v>841,859.89</v>
          </cell>
        </row>
        <row r="259">
          <cell r="A259" t="str">
            <v>ودائع لاجل الدلتا جنيه 2109051</v>
          </cell>
          <cell r="B259" t="str">
            <v>0009</v>
          </cell>
          <cell r="C259" t="str">
            <v>25</v>
          </cell>
          <cell r="D259" t="str">
            <v>36</v>
          </cell>
          <cell r="E259" t="str">
            <v>1</v>
          </cell>
          <cell r="H259" t="str">
            <v>171,536.17</v>
          </cell>
          <cell r="J259" t="str">
            <v>171,536.17</v>
          </cell>
        </row>
        <row r="260">
          <cell r="A260" t="str">
            <v>ودائع لاجل الدلتا جنيه 1912051</v>
          </cell>
          <cell r="B260" t="str">
            <v>0010</v>
          </cell>
          <cell r="C260" t="str">
            <v>25</v>
          </cell>
          <cell r="D260" t="str">
            <v>36</v>
          </cell>
          <cell r="E260" t="str">
            <v>1</v>
          </cell>
          <cell r="H260" t="str">
            <v>188,996.09</v>
          </cell>
          <cell r="J260" t="str">
            <v>188,996.09</v>
          </cell>
        </row>
        <row r="261">
          <cell r="A261" t="str">
            <v>البنك العربى الافريقى - وديعه 13</v>
          </cell>
          <cell r="B261" t="str">
            <v>0013</v>
          </cell>
          <cell r="C261" t="str">
            <v>59</v>
          </cell>
          <cell r="D261" t="str">
            <v>36</v>
          </cell>
          <cell r="E261" t="str">
            <v>1</v>
          </cell>
          <cell r="F261" t="str">
            <v>9,500,000.00</v>
          </cell>
          <cell r="H261" t="str">
            <v>9,500,000.00</v>
          </cell>
          <cell r="J261" t="str">
            <v>9,500,000.00</v>
          </cell>
        </row>
        <row r="262">
          <cell r="A262" t="str">
            <v>البنك العربى الافريقى - وديعه 14</v>
          </cell>
          <cell r="B262" t="str">
            <v>0014</v>
          </cell>
          <cell r="C262" t="str">
            <v>59</v>
          </cell>
          <cell r="D262" t="str">
            <v>36</v>
          </cell>
          <cell r="E262" t="str">
            <v>1</v>
          </cell>
          <cell r="F262" t="str">
            <v>20,000,000.00</v>
          </cell>
          <cell r="H262" t="str">
            <v>20,000,000.00</v>
          </cell>
          <cell r="J262" t="str">
            <v>20,000,000.00</v>
          </cell>
        </row>
        <row r="263">
          <cell r="A263" t="str">
            <v>البنك العربى الافريقى - وديعه 15</v>
          </cell>
          <cell r="B263" t="str">
            <v>0015</v>
          </cell>
          <cell r="C263" t="str">
            <v>59</v>
          </cell>
          <cell r="D263" t="str">
            <v>36</v>
          </cell>
          <cell r="E263" t="str">
            <v>1</v>
          </cell>
          <cell r="F263" t="str">
            <v>50,000,000.00</v>
          </cell>
          <cell r="H263" t="str">
            <v>50,000,000.00</v>
          </cell>
          <cell r="J263" t="str">
            <v>50,000,000.00</v>
          </cell>
        </row>
        <row r="264">
          <cell r="A264" t="str">
            <v>غطاء خطابات ضمان - البنك الأهلي المصري</v>
          </cell>
          <cell r="B264" t="str">
            <v>0001</v>
          </cell>
          <cell r="C264" t="str">
            <v>01</v>
          </cell>
          <cell r="D264" t="str">
            <v>38</v>
          </cell>
          <cell r="E264" t="str">
            <v>1</v>
          </cell>
          <cell r="G264" t="str">
            <v>274,962.77</v>
          </cell>
          <cell r="H264" t="str">
            <v>10,638,287.89</v>
          </cell>
          <cell r="I264" t="str">
            <v>5,553,784.73</v>
          </cell>
          <cell r="J264" t="str">
            <v>5,084,503.16</v>
          </cell>
        </row>
        <row r="265">
          <cell r="A265" t="str">
            <v>خطابات ضمان البنك الاهلى - فرع البرج</v>
          </cell>
          <cell r="B265" t="str">
            <v>0002</v>
          </cell>
          <cell r="C265" t="str">
            <v>01</v>
          </cell>
          <cell r="D265" t="str">
            <v>38</v>
          </cell>
          <cell r="E265" t="str">
            <v>1</v>
          </cell>
          <cell r="H265" t="str">
            <v>1,176,775.01</v>
          </cell>
          <cell r="I265" t="str">
            <v>1,066,756.21</v>
          </cell>
          <cell r="J265" t="str">
            <v>110,018.80</v>
          </cell>
        </row>
        <row r="266">
          <cell r="A266" t="str">
            <v>غطاء خطابات ضمان - بنك الدلتا الدولي</v>
          </cell>
          <cell r="B266" t="str">
            <v>0001</v>
          </cell>
          <cell r="C266" t="str">
            <v>10</v>
          </cell>
          <cell r="D266" t="str">
            <v>38</v>
          </cell>
          <cell r="E266" t="str">
            <v>1</v>
          </cell>
          <cell r="H266" t="str">
            <v>1,017,569.12</v>
          </cell>
          <cell r="I266" t="str">
            <v>806,479.37</v>
          </cell>
          <cell r="J266" t="str">
            <v>211,089.75</v>
          </cell>
        </row>
        <row r="267">
          <cell r="A267" t="str">
            <v>غطاءات خطابات ضمان -  التجارى الدولى</v>
          </cell>
          <cell r="B267" t="str">
            <v>0001</v>
          </cell>
          <cell r="C267" t="str">
            <v>26</v>
          </cell>
          <cell r="D267" t="str">
            <v>38</v>
          </cell>
          <cell r="E267" t="str">
            <v>1</v>
          </cell>
          <cell r="H267" t="str">
            <v>211,630.27</v>
          </cell>
          <cell r="I267" t="str">
            <v>76,130.27</v>
          </cell>
          <cell r="J267" t="str">
            <v>135,500.00</v>
          </cell>
        </row>
        <row r="268">
          <cell r="A268" t="str">
            <v>النقدية - المركز الرئيسي - جنيه مصري</v>
          </cell>
          <cell r="B268" t="str">
            <v>0001</v>
          </cell>
          <cell r="C268" t="str">
            <v>01</v>
          </cell>
          <cell r="D268" t="str">
            <v>90</v>
          </cell>
          <cell r="E268" t="str">
            <v>1</v>
          </cell>
          <cell r="F268" t="str">
            <v>638,649.82</v>
          </cell>
          <cell r="G268" t="str">
            <v>694,345.62</v>
          </cell>
          <cell r="H268" t="str">
            <v>19,538,603.40</v>
          </cell>
          <cell r="I268" t="str">
            <v>19,394,220.84</v>
          </cell>
          <cell r="J268" t="str">
            <v>144,382.56</v>
          </cell>
        </row>
        <row r="269">
          <cell r="A269" t="str">
            <v>عهد عاملين - جنيه مصري</v>
          </cell>
          <cell r="B269" t="str">
            <v>0001</v>
          </cell>
          <cell r="C269" t="str">
            <v>60</v>
          </cell>
          <cell r="D269" t="str">
            <v>90</v>
          </cell>
          <cell r="E269" t="str">
            <v>1</v>
          </cell>
          <cell r="F269" t="str">
            <v>2,215,968.41</v>
          </cell>
          <cell r="G269" t="str">
            <v>2,753,248.34</v>
          </cell>
          <cell r="H269" t="str">
            <v>11,432,374.14</v>
          </cell>
          <cell r="I269" t="str">
            <v>9,463,597.05</v>
          </cell>
          <cell r="J269" t="str">
            <v>1,968,777.09</v>
          </cell>
        </row>
        <row r="270">
          <cell r="A270" t="str">
            <v>عهد عاملين - دولار أمريكي</v>
          </cell>
          <cell r="B270" t="str">
            <v>0002</v>
          </cell>
          <cell r="C270" t="str">
            <v>60</v>
          </cell>
          <cell r="D270" t="str">
            <v>90</v>
          </cell>
          <cell r="E270" t="str">
            <v>1</v>
          </cell>
          <cell r="F270" t="str">
            <v>1,719,327.90</v>
          </cell>
          <cell r="G270" t="str">
            <v>2,194,293.91</v>
          </cell>
          <cell r="H270" t="str">
            <v>8,639,532.40</v>
          </cell>
          <cell r="I270" t="str">
            <v>6,556,317.81</v>
          </cell>
          <cell r="J270" t="str">
            <v>2,083,214.59</v>
          </cell>
        </row>
        <row r="271">
          <cell r="A271" t="str">
            <v>عهد عاملين - يورو</v>
          </cell>
          <cell r="B271" t="str">
            <v>0003</v>
          </cell>
          <cell r="C271" t="str">
            <v>60</v>
          </cell>
          <cell r="D271" t="str">
            <v>90</v>
          </cell>
          <cell r="E271" t="str">
            <v>1</v>
          </cell>
          <cell r="F271" t="str">
            <v>471,811.36</v>
          </cell>
          <cell r="G271" t="str">
            <v>653,236.04</v>
          </cell>
          <cell r="H271" t="str">
            <v>958,222.93</v>
          </cell>
          <cell r="I271" t="str">
            <v>887,390.34</v>
          </cell>
          <cell r="J271" t="str">
            <v>70,832.59</v>
          </cell>
        </row>
        <row r="272">
          <cell r="A272" t="str">
            <v>عهد عاملين - جنية سودانى</v>
          </cell>
          <cell r="B272" t="str">
            <v>0006</v>
          </cell>
          <cell r="C272" t="str">
            <v>60</v>
          </cell>
          <cell r="D272" t="str">
            <v>90</v>
          </cell>
          <cell r="E272" t="str">
            <v>1</v>
          </cell>
          <cell r="F272" t="str">
            <v>3,117,141.28</v>
          </cell>
          <cell r="G272" t="str">
            <v>2,062,133.91</v>
          </cell>
          <cell r="H272" t="str">
            <v>17,318,550.14</v>
          </cell>
          <cell r="I272" t="str">
            <v>13,065,923.40</v>
          </cell>
          <cell r="J272" t="str">
            <v>4,252,626.74</v>
          </cell>
        </row>
        <row r="273">
          <cell r="A273" t="str">
            <v>تحويلات نقدية</v>
          </cell>
          <cell r="B273" t="str">
            <v>0001</v>
          </cell>
          <cell r="C273" t="str">
            <v>01</v>
          </cell>
          <cell r="D273" t="str">
            <v>91</v>
          </cell>
          <cell r="E273" t="str">
            <v>1</v>
          </cell>
          <cell r="F273" t="str">
            <v>12,191,005.83</v>
          </cell>
          <cell r="G273" t="str">
            <v>6,553,769.84</v>
          </cell>
          <cell r="H273" t="str">
            <v>68,383,142.11</v>
          </cell>
          <cell r="I273" t="str">
            <v>68,333,142.11</v>
          </cell>
          <cell r="J273" t="str">
            <v>50,000.00</v>
          </cell>
        </row>
        <row r="274">
          <cell r="A274" t="str">
            <v>ضرائب دخل مؤجلة - اصول</v>
          </cell>
          <cell r="B274" t="str">
            <v>0001</v>
          </cell>
          <cell r="C274" t="str">
            <v>06</v>
          </cell>
          <cell r="D274" t="str">
            <v>99</v>
          </cell>
          <cell r="E274" t="str">
            <v>1</v>
          </cell>
          <cell r="H274" t="str">
            <v>3,900,800.00</v>
          </cell>
          <cell r="J274" t="str">
            <v>3,900,800.00</v>
          </cell>
        </row>
        <row r="275">
          <cell r="A275" t="str">
            <v>مخصص طواريء</v>
          </cell>
          <cell r="B275" t="str">
            <v>0001</v>
          </cell>
          <cell r="C275" t="str">
            <v>01</v>
          </cell>
          <cell r="D275" t="str">
            <v>01</v>
          </cell>
          <cell r="E275" t="str">
            <v>2</v>
          </cell>
          <cell r="H275" t="str">
            <v>5,245,179.00</v>
          </cell>
          <cell r="I275" t="str">
            <v>35,000,000.00</v>
          </cell>
          <cell r="K275" t="str">
            <v>29,754,821.00</v>
          </cell>
        </row>
        <row r="276">
          <cell r="A276" t="str">
            <v>مخصص مطالبات</v>
          </cell>
          <cell r="B276" t="str">
            <v>0002</v>
          </cell>
          <cell r="C276" t="str">
            <v>01</v>
          </cell>
          <cell r="D276" t="str">
            <v>01</v>
          </cell>
          <cell r="E276" t="str">
            <v>2</v>
          </cell>
          <cell r="H276" t="str">
            <v>7,330,411.29</v>
          </cell>
          <cell r="I276" t="str">
            <v>8,020,411.29</v>
          </cell>
          <cell r="K276" t="str">
            <v>690,000.00</v>
          </cell>
        </row>
        <row r="277">
          <cell r="A277" t="str">
            <v>مخصص اتمام مشروعات</v>
          </cell>
          <cell r="B277" t="str">
            <v>0004</v>
          </cell>
          <cell r="C277" t="str">
            <v>01</v>
          </cell>
          <cell r="D277" t="str">
            <v>01</v>
          </cell>
          <cell r="E277" t="str">
            <v>2</v>
          </cell>
          <cell r="F277" t="str">
            <v>1,268,000.00</v>
          </cell>
          <cell r="G277" t="str">
            <v>2,660,923.45</v>
          </cell>
          <cell r="H277" t="str">
            <v>69,952,000.53</v>
          </cell>
          <cell r="I277" t="str">
            <v>159,801,232.98</v>
          </cell>
          <cell r="K277" t="str">
            <v>89,849,232.45</v>
          </cell>
        </row>
        <row r="278">
          <cell r="A278" t="str">
            <v>مخصص اطراف ذات علاقة</v>
          </cell>
          <cell r="B278" t="str">
            <v>0007</v>
          </cell>
          <cell r="C278" t="str">
            <v>01</v>
          </cell>
          <cell r="D278" t="str">
            <v>01</v>
          </cell>
          <cell r="E278" t="str">
            <v>2</v>
          </cell>
          <cell r="I278" t="str">
            <v>20,029,017.88</v>
          </cell>
          <cell r="K278" t="str">
            <v>20,029,017.88</v>
          </cell>
        </row>
        <row r="279">
          <cell r="A279" t="str">
            <v>الاهلى قرض - جنيه 23020135730</v>
          </cell>
          <cell r="B279" t="str">
            <v>0003</v>
          </cell>
          <cell r="C279" t="str">
            <v>01</v>
          </cell>
          <cell r="D279" t="str">
            <v>02</v>
          </cell>
          <cell r="E279" t="str">
            <v>2</v>
          </cell>
          <cell r="F279" t="str">
            <v>224,129.19</v>
          </cell>
          <cell r="H279" t="str">
            <v>8,325,719.19</v>
          </cell>
          <cell r="I279" t="str">
            <v>22,529,391.52</v>
          </cell>
          <cell r="K279" t="str">
            <v>14,203,672.33</v>
          </cell>
        </row>
        <row r="280">
          <cell r="A280" t="str">
            <v>مصر الدولى- قرض- جنيه- 30/22-5527918</v>
          </cell>
          <cell r="B280" t="str">
            <v>0001</v>
          </cell>
          <cell r="C280" t="str">
            <v>25</v>
          </cell>
          <cell r="D280" t="str">
            <v>02</v>
          </cell>
          <cell r="E280" t="str">
            <v>2</v>
          </cell>
          <cell r="H280" t="str">
            <v>12,194.84</v>
          </cell>
          <cell r="J280" t="str">
            <v>12,194.84</v>
          </cell>
        </row>
        <row r="281">
          <cell r="A281" t="str">
            <v>الأهلي المصري -  جنيه - 21010135734</v>
          </cell>
          <cell r="B281" t="str">
            <v>0005</v>
          </cell>
          <cell r="C281" t="str">
            <v>01</v>
          </cell>
          <cell r="D281" t="str">
            <v>05</v>
          </cell>
          <cell r="E281" t="str">
            <v>2</v>
          </cell>
          <cell r="G281" t="str">
            <v>11,258,420.70</v>
          </cell>
          <cell r="H281" t="str">
            <v>10,650,000.00</v>
          </cell>
          <cell r="I281" t="str">
            <v>38,171,123.97</v>
          </cell>
          <cell r="K281" t="str">
            <v>27,521,123.97</v>
          </cell>
        </row>
        <row r="282">
          <cell r="A282" t="str">
            <v>الأهلي المصري - جنيه- 730 اقساط قروض</v>
          </cell>
          <cell r="B282" t="str">
            <v>0003</v>
          </cell>
          <cell r="C282" t="str">
            <v>01</v>
          </cell>
          <cell r="D282" t="str">
            <v>06</v>
          </cell>
          <cell r="E282" t="str">
            <v>2</v>
          </cell>
          <cell r="F282" t="str">
            <v>8,750,000.00</v>
          </cell>
          <cell r="G282" t="str">
            <v>806,000.08</v>
          </cell>
          <cell r="H282" t="str">
            <v>9,300,000.00</v>
          </cell>
          <cell r="I282" t="str">
            <v>19,600,915.79</v>
          </cell>
          <cell r="K282" t="str">
            <v>10,300,915.79</v>
          </cell>
        </row>
        <row r="283">
          <cell r="A283" t="str">
            <v>الأهلي المصري - جنيه- 734 اقساط قروض</v>
          </cell>
          <cell r="B283" t="str">
            <v>0005</v>
          </cell>
          <cell r="C283" t="str">
            <v>01</v>
          </cell>
          <cell r="D283" t="str">
            <v>06</v>
          </cell>
          <cell r="E283" t="str">
            <v>2</v>
          </cell>
          <cell r="F283" t="str">
            <v>1,558,420.70</v>
          </cell>
          <cell r="G283" t="str">
            <v>352,823.72</v>
          </cell>
          <cell r="H283" t="str">
            <v>2,508,420.70</v>
          </cell>
          <cell r="I283" t="str">
            <v>7,415,004.68</v>
          </cell>
          <cell r="K283" t="str">
            <v>4,906,583.98</v>
          </cell>
        </row>
        <row r="284">
          <cell r="A284" t="str">
            <v>بنك CIB - تسهيلات اعتمادات مستندية-جنيه</v>
          </cell>
          <cell r="B284" t="str">
            <v>0001</v>
          </cell>
          <cell r="C284" t="str">
            <v>59</v>
          </cell>
          <cell r="D284" t="str">
            <v>06</v>
          </cell>
          <cell r="E284" t="str">
            <v>2</v>
          </cell>
          <cell r="F284" t="str">
            <v>7,973,377.24</v>
          </cell>
          <cell r="G284" t="str">
            <v>17,686,210.47</v>
          </cell>
          <cell r="H284" t="str">
            <v>31,591,405.92</v>
          </cell>
          <cell r="I284" t="str">
            <v>38,708,126.13</v>
          </cell>
          <cell r="K284" t="str">
            <v>7,116,720.21</v>
          </cell>
        </row>
        <row r="285">
          <cell r="A285" t="str">
            <v>رأس المال المدفوع</v>
          </cell>
          <cell r="B285" t="str">
            <v>0001</v>
          </cell>
          <cell r="C285" t="str">
            <v>01</v>
          </cell>
          <cell r="D285" t="str">
            <v>09</v>
          </cell>
          <cell r="E285" t="str">
            <v>2</v>
          </cell>
          <cell r="G285" t="str">
            <v>88,317,000.00</v>
          </cell>
          <cell r="I285" t="str">
            <v>200,000,000.00</v>
          </cell>
          <cell r="K285" t="str">
            <v>200,000,000.00</v>
          </cell>
        </row>
        <row r="286">
          <cell r="A286" t="str">
            <v>إحتياطي قانوني</v>
          </cell>
          <cell r="B286" t="str">
            <v>0001</v>
          </cell>
          <cell r="C286" t="str">
            <v>03</v>
          </cell>
          <cell r="D286" t="str">
            <v>09</v>
          </cell>
          <cell r="E286" t="str">
            <v>2</v>
          </cell>
          <cell r="H286" t="str">
            <v>15,602,710.00</v>
          </cell>
          <cell r="I286" t="str">
            <v>40,602,710.00</v>
          </cell>
          <cell r="K286" t="str">
            <v>25,000,000.00</v>
          </cell>
        </row>
        <row r="287">
          <cell r="A287" t="str">
            <v>أرباح مرحلة</v>
          </cell>
          <cell r="B287" t="str">
            <v>0001</v>
          </cell>
          <cell r="C287" t="str">
            <v>04</v>
          </cell>
          <cell r="D287" t="str">
            <v>09</v>
          </cell>
          <cell r="E287" t="str">
            <v>2</v>
          </cell>
          <cell r="H287" t="str">
            <v>195,457,917.29</v>
          </cell>
          <cell r="I287" t="str">
            <v>91,196,579.12</v>
          </cell>
          <cell r="J287" t="str">
            <v>104,261,338.17</v>
          </cell>
        </row>
        <row r="288">
          <cell r="A288" t="str">
            <v>الموردين</v>
          </cell>
          <cell r="B288" t="str">
            <v>0010</v>
          </cell>
          <cell r="C288" t="str">
            <v>01</v>
          </cell>
          <cell r="D288" t="str">
            <v>10</v>
          </cell>
          <cell r="E288" t="str">
            <v>2</v>
          </cell>
          <cell r="F288" t="str">
            <v>105,083,344.87</v>
          </cell>
          <cell r="G288" t="str">
            <v>164,874,658.41</v>
          </cell>
          <cell r="H288" t="str">
            <v>468,859,226.82</v>
          </cell>
          <cell r="I288" t="str">
            <v>564,341,578.09</v>
          </cell>
          <cell r="K288" t="str">
            <v>95,482,351.27</v>
          </cell>
        </row>
        <row r="289">
          <cell r="A289" t="str">
            <v>اوراق دفع - البنك الاهلى جنيه</v>
          </cell>
          <cell r="B289" t="str">
            <v>0002</v>
          </cell>
          <cell r="C289" t="str">
            <v>15</v>
          </cell>
          <cell r="D289" t="str">
            <v>10</v>
          </cell>
          <cell r="E289" t="str">
            <v>2</v>
          </cell>
          <cell r="F289" t="str">
            <v>26,105,760.01</v>
          </cell>
          <cell r="G289" t="str">
            <v>34,382,932.67</v>
          </cell>
          <cell r="H289" t="str">
            <v>168,455,779.87</v>
          </cell>
          <cell r="I289" t="str">
            <v>180,548,485.24</v>
          </cell>
          <cell r="K289" t="str">
            <v>12,092,705.37</v>
          </cell>
        </row>
        <row r="290">
          <cell r="A290" t="str">
            <v>اوراق دفع - بنك الدلتا</v>
          </cell>
          <cell r="B290" t="str">
            <v>0004</v>
          </cell>
          <cell r="C290" t="str">
            <v>15</v>
          </cell>
          <cell r="D290" t="str">
            <v>10</v>
          </cell>
          <cell r="E290" t="str">
            <v>2</v>
          </cell>
          <cell r="H290" t="str">
            <v>2,205,826.99</v>
          </cell>
          <cell r="I290" t="str">
            <v>2,212,088.97</v>
          </cell>
          <cell r="K290" t="str">
            <v>6,261.98</v>
          </cell>
        </row>
        <row r="291">
          <cell r="A291" t="str">
            <v>اوراق دفع - البنك الاهلى سوستية جنر81010</v>
          </cell>
          <cell r="B291" t="str">
            <v>0005</v>
          </cell>
          <cell r="C291" t="str">
            <v>15</v>
          </cell>
          <cell r="D291" t="str">
            <v>10</v>
          </cell>
          <cell r="E291" t="str">
            <v>2</v>
          </cell>
          <cell r="F291" t="str">
            <v>807,949.50</v>
          </cell>
          <cell r="G291" t="str">
            <v>811,259.50</v>
          </cell>
          <cell r="H291" t="str">
            <v>7,262,820.43</v>
          </cell>
          <cell r="I291" t="str">
            <v>7,376,625.48</v>
          </cell>
          <cell r="K291" t="str">
            <v>113,805.05</v>
          </cell>
        </row>
        <row r="292">
          <cell r="A292" t="str">
            <v>اوراق دفع - بنك HSBC</v>
          </cell>
          <cell r="B292" t="str">
            <v>0006</v>
          </cell>
          <cell r="C292" t="str">
            <v>15</v>
          </cell>
          <cell r="D292" t="str">
            <v>10</v>
          </cell>
          <cell r="E292" t="str">
            <v>2</v>
          </cell>
          <cell r="F292" t="str">
            <v>550,000.00</v>
          </cell>
          <cell r="G292" t="str">
            <v>550,000.00</v>
          </cell>
          <cell r="H292" t="str">
            <v>1,570,973.00</v>
          </cell>
          <cell r="I292" t="str">
            <v>1,595,659.28</v>
          </cell>
          <cell r="K292" t="str">
            <v>24,686.28</v>
          </cell>
        </row>
        <row r="293">
          <cell r="A293" t="str">
            <v>اوراق دفع - البنك العربى جنيه</v>
          </cell>
          <cell r="B293" t="str">
            <v>0007</v>
          </cell>
          <cell r="C293" t="str">
            <v>15</v>
          </cell>
          <cell r="D293" t="str">
            <v>10</v>
          </cell>
          <cell r="E293" t="str">
            <v>2</v>
          </cell>
          <cell r="H293" t="str">
            <v>5,545.80</v>
          </cell>
          <cell r="I293" t="str">
            <v>7,035.80</v>
          </cell>
          <cell r="K293" t="str">
            <v>1,490.00</v>
          </cell>
        </row>
        <row r="294">
          <cell r="A294" t="str">
            <v>اوراق دفع - البنك التجارى الدولى</v>
          </cell>
          <cell r="B294" t="str">
            <v>0009</v>
          </cell>
          <cell r="C294" t="str">
            <v>15</v>
          </cell>
          <cell r="D294" t="str">
            <v>10</v>
          </cell>
          <cell r="E294" t="str">
            <v>2</v>
          </cell>
          <cell r="F294" t="str">
            <v>1,466,689.14</v>
          </cell>
          <cell r="G294" t="str">
            <v>701,700.66</v>
          </cell>
          <cell r="H294" t="str">
            <v>31,512,236.35</v>
          </cell>
          <cell r="I294" t="str">
            <v>32,301,332.17</v>
          </cell>
          <cell r="K294" t="str">
            <v>789,095.82</v>
          </cell>
        </row>
        <row r="295">
          <cell r="A295" t="str">
            <v>اوراق دفع - البنك العربى الافريقى</v>
          </cell>
          <cell r="B295" t="str">
            <v>0010</v>
          </cell>
          <cell r="C295" t="str">
            <v>15</v>
          </cell>
          <cell r="D295" t="str">
            <v>10</v>
          </cell>
          <cell r="E295" t="str">
            <v>2</v>
          </cell>
          <cell r="F295" t="str">
            <v>98,752,362.00</v>
          </cell>
          <cell r="G295" t="str">
            <v>98,726,383.00</v>
          </cell>
          <cell r="H295" t="str">
            <v>98,752,362.00</v>
          </cell>
          <cell r="I295" t="str">
            <v>99,326,015.38</v>
          </cell>
          <cell r="K295" t="str">
            <v>573,653.38</v>
          </cell>
        </row>
        <row r="296">
          <cell r="A296" t="str">
            <v>اوراق دفع بنك الاهلى سوسيتيه دولار</v>
          </cell>
          <cell r="B296" t="str">
            <v>0012</v>
          </cell>
          <cell r="C296" t="str">
            <v>15</v>
          </cell>
          <cell r="D296" t="str">
            <v>10</v>
          </cell>
          <cell r="E296" t="str">
            <v>2</v>
          </cell>
          <cell r="F296" t="str">
            <v>4,995,937.50</v>
          </cell>
          <cell r="G296" t="str">
            <v>9,695,252.59</v>
          </cell>
          <cell r="H296" t="str">
            <v>81,982,751.52</v>
          </cell>
          <cell r="I296" t="str">
            <v>86,682,066.61</v>
          </cell>
          <cell r="K296" t="str">
            <v>4,699,315.09</v>
          </cell>
        </row>
        <row r="297">
          <cell r="A297" t="str">
            <v>اوراق دفع - البنك العربى الافريقى -دولار</v>
          </cell>
          <cell r="B297" t="str">
            <v>0017</v>
          </cell>
          <cell r="C297" t="str">
            <v>15</v>
          </cell>
          <cell r="D297" t="str">
            <v>10</v>
          </cell>
          <cell r="E297" t="str">
            <v>2</v>
          </cell>
          <cell r="F297" t="str">
            <v>30,554,992.84</v>
          </cell>
          <cell r="G297" t="str">
            <v>33,247,284.40</v>
          </cell>
          <cell r="H297" t="str">
            <v>41,562,134.76</v>
          </cell>
          <cell r="I297" t="str">
            <v>44,254,426.32</v>
          </cell>
          <cell r="K297" t="str">
            <v>2,692,291.56</v>
          </cell>
        </row>
        <row r="298">
          <cell r="A298" t="str">
            <v>اوراق دفع التجارى الدولى دولار</v>
          </cell>
          <cell r="B298" t="str">
            <v>0018</v>
          </cell>
          <cell r="C298" t="str">
            <v>15</v>
          </cell>
          <cell r="D298" t="str">
            <v>10</v>
          </cell>
          <cell r="E298" t="str">
            <v>2</v>
          </cell>
          <cell r="F298" t="str">
            <v>4,733,462.73</v>
          </cell>
          <cell r="G298" t="str">
            <v>4,733,462.73</v>
          </cell>
          <cell r="H298" t="str">
            <v>39,813,648.25</v>
          </cell>
          <cell r="I298" t="str">
            <v>39,838,365.14</v>
          </cell>
          <cell r="K298" t="str">
            <v>24,716.89</v>
          </cell>
        </row>
        <row r="299">
          <cell r="A299" t="str">
            <v>اوراق دفع - البنك الاهلى دولار</v>
          </cell>
          <cell r="B299" t="str">
            <v>0021</v>
          </cell>
          <cell r="C299" t="str">
            <v>15</v>
          </cell>
          <cell r="D299" t="str">
            <v>10</v>
          </cell>
          <cell r="E299" t="str">
            <v>2</v>
          </cell>
          <cell r="F299" t="str">
            <v>18,638,391.58</v>
          </cell>
          <cell r="G299" t="str">
            <v>18,731,529.16</v>
          </cell>
          <cell r="H299" t="str">
            <v>190,625,232.09</v>
          </cell>
          <cell r="I299" t="str">
            <v>194,241,716.31</v>
          </cell>
          <cell r="K299" t="str">
            <v>3,616,484.22</v>
          </cell>
        </row>
        <row r="300">
          <cell r="A300" t="str">
            <v>اوراق دفع - البنك الاهلى يورو</v>
          </cell>
          <cell r="B300" t="str">
            <v>0022</v>
          </cell>
          <cell r="C300" t="str">
            <v>15</v>
          </cell>
          <cell r="D300" t="str">
            <v>10</v>
          </cell>
          <cell r="E300" t="str">
            <v>2</v>
          </cell>
          <cell r="F300" t="str">
            <v>4,140,651.94</v>
          </cell>
          <cell r="G300" t="str">
            <v>7,634,112.39</v>
          </cell>
          <cell r="H300" t="str">
            <v>25,034,286.10</v>
          </cell>
          <cell r="I300" t="str">
            <v>28,535,719.96</v>
          </cell>
          <cell r="K300" t="str">
            <v>3,501,433.86</v>
          </cell>
        </row>
        <row r="301">
          <cell r="A301" t="str">
            <v>اوراق دفع-بنك سودانى مصرى دينار10029959</v>
          </cell>
          <cell r="B301" t="str">
            <v>0024</v>
          </cell>
          <cell r="C301" t="str">
            <v>15</v>
          </cell>
          <cell r="D301" t="str">
            <v>10</v>
          </cell>
          <cell r="E301" t="str">
            <v>2</v>
          </cell>
          <cell r="F301" t="str">
            <v>10,679,565.73</v>
          </cell>
          <cell r="G301" t="str">
            <v>10,424,942.64</v>
          </cell>
          <cell r="H301" t="str">
            <v>54,659,167.42</v>
          </cell>
          <cell r="I301" t="str">
            <v>55,729,494.33</v>
          </cell>
          <cell r="K301" t="str">
            <v>1,070,326.91</v>
          </cell>
        </row>
        <row r="302">
          <cell r="A302" t="str">
            <v>مراقبة الأجور</v>
          </cell>
          <cell r="B302" t="str">
            <v>0001</v>
          </cell>
          <cell r="C302" t="str">
            <v>01</v>
          </cell>
          <cell r="D302" t="str">
            <v>15</v>
          </cell>
          <cell r="E302" t="str">
            <v>2</v>
          </cell>
          <cell r="F302" t="str">
            <v>20,673,027.27</v>
          </cell>
          <cell r="G302" t="str">
            <v>11,949,552.76</v>
          </cell>
          <cell r="H302" t="str">
            <v>78,386,190.18</v>
          </cell>
          <cell r="I302" t="str">
            <v>86,564,011.47</v>
          </cell>
          <cell r="K302" t="str">
            <v>8,177,821.29</v>
          </cell>
        </row>
        <row r="303">
          <cell r="A303" t="str">
            <v>مراقبة اجور - بدل موقع</v>
          </cell>
          <cell r="B303" t="str">
            <v>0005</v>
          </cell>
          <cell r="C303" t="str">
            <v>01</v>
          </cell>
          <cell r="D303" t="str">
            <v>15</v>
          </cell>
          <cell r="E303" t="str">
            <v>2</v>
          </cell>
          <cell r="F303" t="str">
            <v>37,558.50</v>
          </cell>
          <cell r="H303" t="str">
            <v>37,558.50</v>
          </cell>
          <cell r="I303" t="str">
            <v>1,565,652.76</v>
          </cell>
          <cell r="K303" t="str">
            <v>1,528,094.26</v>
          </cell>
        </row>
        <row r="304">
          <cell r="A304" t="str">
            <v>مصروفات مستحقة -  إيجارات</v>
          </cell>
          <cell r="B304" t="str">
            <v>0002</v>
          </cell>
          <cell r="C304" t="str">
            <v>07</v>
          </cell>
          <cell r="D304" t="str">
            <v>15</v>
          </cell>
          <cell r="E304" t="str">
            <v>2</v>
          </cell>
          <cell r="F304" t="str">
            <v>483,115.21</v>
          </cell>
          <cell r="G304" t="str">
            <v>378,439.15</v>
          </cell>
          <cell r="H304" t="str">
            <v>2,700,321.53</v>
          </cell>
          <cell r="I304" t="str">
            <v>3,078,760.68</v>
          </cell>
          <cell r="K304" t="str">
            <v>378,439.15</v>
          </cell>
        </row>
        <row r="305">
          <cell r="A305" t="str">
            <v>مصروفات مستحقة - إيجار سيارات</v>
          </cell>
          <cell r="B305" t="str">
            <v>0003</v>
          </cell>
          <cell r="C305" t="str">
            <v>07</v>
          </cell>
          <cell r="D305" t="str">
            <v>15</v>
          </cell>
          <cell r="E305" t="str">
            <v>2</v>
          </cell>
          <cell r="F305" t="str">
            <v>691,616.80</v>
          </cell>
          <cell r="G305" t="str">
            <v>616,897.50</v>
          </cell>
          <cell r="H305" t="str">
            <v>3,001,259.77</v>
          </cell>
          <cell r="I305" t="str">
            <v>3,618,157.27</v>
          </cell>
          <cell r="K305" t="str">
            <v>616,897.50</v>
          </cell>
        </row>
        <row r="306">
          <cell r="A306" t="str">
            <v>مصروفات مستحقة - عمالة مؤقتة</v>
          </cell>
          <cell r="B306" t="str">
            <v>0007</v>
          </cell>
          <cell r="C306" t="str">
            <v>07</v>
          </cell>
          <cell r="D306" t="str">
            <v>15</v>
          </cell>
          <cell r="E306" t="str">
            <v>2</v>
          </cell>
          <cell r="F306" t="str">
            <v>167,616.16</v>
          </cell>
          <cell r="G306" t="str">
            <v>136,849.01</v>
          </cell>
          <cell r="H306" t="str">
            <v>691,995.55</v>
          </cell>
          <cell r="I306" t="str">
            <v>828,844.56</v>
          </cell>
          <cell r="K306" t="str">
            <v>136,849.01</v>
          </cell>
        </row>
        <row r="307">
          <cell r="A307" t="str">
            <v>مصروفات مستحقة - أتعاب مراجعة</v>
          </cell>
          <cell r="B307" t="str">
            <v>0008</v>
          </cell>
          <cell r="C307" t="str">
            <v>07</v>
          </cell>
          <cell r="D307" t="str">
            <v>15</v>
          </cell>
          <cell r="E307" t="str">
            <v>2</v>
          </cell>
          <cell r="F307" t="str">
            <v>20,000.00</v>
          </cell>
          <cell r="G307" t="str">
            <v>20,000.00</v>
          </cell>
          <cell r="H307" t="str">
            <v>20,000.00</v>
          </cell>
          <cell r="I307" t="str">
            <v>40,000.00</v>
          </cell>
          <cell r="K307" t="str">
            <v>20,000.00</v>
          </cell>
        </row>
        <row r="308">
          <cell r="A308" t="str">
            <v>مصروفات مستحقة - مستحقات مقاولى باطن</v>
          </cell>
          <cell r="B308" t="str">
            <v>0010</v>
          </cell>
          <cell r="C308" t="str">
            <v>07</v>
          </cell>
          <cell r="D308" t="str">
            <v>15</v>
          </cell>
          <cell r="E308" t="str">
            <v>2</v>
          </cell>
          <cell r="F308" t="str">
            <v>229,852,042.40</v>
          </cell>
          <cell r="G308" t="str">
            <v>250,270,936.00</v>
          </cell>
          <cell r="H308" t="str">
            <v>611,783,114.63</v>
          </cell>
          <cell r="I308" t="str">
            <v>862,054,050.63</v>
          </cell>
          <cell r="K308" t="str">
            <v>250,270,936.00</v>
          </cell>
        </row>
        <row r="309">
          <cell r="A309" t="str">
            <v>مصروفات مستحقة - م.اقامة العاملين</v>
          </cell>
          <cell r="B309" t="str">
            <v>0012</v>
          </cell>
          <cell r="C309" t="str">
            <v>07</v>
          </cell>
          <cell r="D309" t="str">
            <v>15</v>
          </cell>
          <cell r="E309" t="str">
            <v>2</v>
          </cell>
          <cell r="F309" t="str">
            <v>13,060.00</v>
          </cell>
          <cell r="G309" t="str">
            <v>11,500.00</v>
          </cell>
          <cell r="H309" t="str">
            <v>121,810.00</v>
          </cell>
          <cell r="I309" t="str">
            <v>133,310.00</v>
          </cell>
          <cell r="K309" t="str">
            <v>11,500.00</v>
          </cell>
        </row>
        <row r="310">
          <cell r="A310" t="str">
            <v>مصروفات مستحقة - تامينات مقاولات</v>
          </cell>
          <cell r="B310" t="str">
            <v>0014</v>
          </cell>
          <cell r="C310" t="str">
            <v>07</v>
          </cell>
          <cell r="D310" t="str">
            <v>15</v>
          </cell>
          <cell r="E310" t="str">
            <v>2</v>
          </cell>
          <cell r="F310" t="str">
            <v>1,554,602.26</v>
          </cell>
          <cell r="G310" t="str">
            <v>985,199.57</v>
          </cell>
          <cell r="H310" t="str">
            <v>4,370,816.49</v>
          </cell>
          <cell r="I310" t="str">
            <v>5,356,016.06</v>
          </cell>
          <cell r="K310" t="str">
            <v>985,199.57</v>
          </cell>
        </row>
        <row r="311">
          <cell r="A311" t="str">
            <v>مصروفات مستحقة -م.تغذية</v>
          </cell>
          <cell r="B311" t="str">
            <v>0016</v>
          </cell>
          <cell r="C311" t="str">
            <v>07</v>
          </cell>
          <cell r="D311" t="str">
            <v>15</v>
          </cell>
          <cell r="E311" t="str">
            <v>2</v>
          </cell>
          <cell r="F311" t="str">
            <v>678,908.00</v>
          </cell>
          <cell r="G311" t="str">
            <v>803,252.50</v>
          </cell>
          <cell r="H311" t="str">
            <v>3,166,394.41</v>
          </cell>
          <cell r="I311" t="str">
            <v>3,969,646.91</v>
          </cell>
          <cell r="K311" t="str">
            <v>803,252.50</v>
          </cell>
        </row>
        <row r="312">
          <cell r="A312" t="str">
            <v>مصروفات مستحقة -وقود</v>
          </cell>
          <cell r="B312" t="str">
            <v>0017</v>
          </cell>
          <cell r="C312" t="str">
            <v>07</v>
          </cell>
          <cell r="D312" t="str">
            <v>15</v>
          </cell>
          <cell r="E312" t="str">
            <v>2</v>
          </cell>
          <cell r="G312" t="str">
            <v>31,430.49</v>
          </cell>
          <cell r="H312" t="str">
            <v>247,175.00</v>
          </cell>
          <cell r="I312" t="str">
            <v>278,605.49</v>
          </cell>
          <cell r="K312" t="str">
            <v>31,430.49</v>
          </cell>
        </row>
        <row r="313">
          <cell r="A313" t="str">
            <v>مصروفات مستحقة -م.علاج</v>
          </cell>
          <cell r="B313" t="str">
            <v>0019</v>
          </cell>
          <cell r="C313" t="str">
            <v>07</v>
          </cell>
          <cell r="D313" t="str">
            <v>15</v>
          </cell>
          <cell r="E313" t="str">
            <v>2</v>
          </cell>
          <cell r="F313" t="str">
            <v>27,384.00</v>
          </cell>
          <cell r="G313" t="str">
            <v>24,709.50</v>
          </cell>
          <cell r="H313" t="str">
            <v>235,912.12</v>
          </cell>
          <cell r="I313" t="str">
            <v>260,621.62</v>
          </cell>
          <cell r="K313" t="str">
            <v>24,709.50</v>
          </cell>
        </row>
        <row r="314">
          <cell r="A314" t="str">
            <v>مصروفات مستحقة -انتقالات</v>
          </cell>
          <cell r="B314" t="str">
            <v>0020</v>
          </cell>
          <cell r="C314" t="str">
            <v>07</v>
          </cell>
          <cell r="D314" t="str">
            <v>15</v>
          </cell>
          <cell r="E314" t="str">
            <v>2</v>
          </cell>
          <cell r="G314" t="str">
            <v>30,000.00</v>
          </cell>
          <cell r="H314" t="str">
            <v>71,390.50</v>
          </cell>
          <cell r="I314" t="str">
            <v>101,390.50</v>
          </cell>
          <cell r="K314" t="str">
            <v>30,000.00</v>
          </cell>
        </row>
        <row r="315">
          <cell r="A315" t="str">
            <v>مصروفات مستحقة - شحن وتخليص</v>
          </cell>
          <cell r="B315" t="str">
            <v>0022</v>
          </cell>
          <cell r="C315" t="str">
            <v>07</v>
          </cell>
          <cell r="D315" t="str">
            <v>15</v>
          </cell>
          <cell r="E315" t="str">
            <v>2</v>
          </cell>
          <cell r="F315" t="str">
            <v>3,352,057.50</v>
          </cell>
          <cell r="G315" t="str">
            <v>6,982,097.40</v>
          </cell>
          <cell r="H315" t="str">
            <v>6,084,716.66</v>
          </cell>
          <cell r="I315" t="str">
            <v>13,066,814.06</v>
          </cell>
          <cell r="K315" t="str">
            <v>6,982,097.40</v>
          </cell>
        </row>
        <row r="316">
          <cell r="A316" t="str">
            <v>مصروفات مستحقة - أخرى</v>
          </cell>
          <cell r="B316" t="str">
            <v>0999</v>
          </cell>
          <cell r="C316" t="str">
            <v>07</v>
          </cell>
          <cell r="D316" t="str">
            <v>15</v>
          </cell>
          <cell r="E316" t="str">
            <v>2</v>
          </cell>
          <cell r="F316" t="str">
            <v>1,013,032.82</v>
          </cell>
          <cell r="G316" t="str">
            <v>266,875.00</v>
          </cell>
          <cell r="H316" t="str">
            <v>317,452,581.76</v>
          </cell>
          <cell r="I316" t="str">
            <v>317,752,272.56</v>
          </cell>
          <cell r="K316" t="str">
            <v>299,690.80</v>
          </cell>
        </row>
        <row r="317">
          <cell r="A317" t="str">
            <v>عملاء - دفعات مقدمة</v>
          </cell>
          <cell r="B317" t="str">
            <v>0001</v>
          </cell>
          <cell r="C317" t="str">
            <v>15</v>
          </cell>
          <cell r="D317" t="str">
            <v>15</v>
          </cell>
          <cell r="E317" t="str">
            <v>2</v>
          </cell>
          <cell r="F317" t="str">
            <v>2,569,985.61</v>
          </cell>
          <cell r="G317" t="str">
            <v>28,702,171.76</v>
          </cell>
          <cell r="H317" t="str">
            <v>635,930,637.87</v>
          </cell>
          <cell r="I317" t="str">
            <v>686,200,376.14</v>
          </cell>
          <cell r="K317" t="str">
            <v>50,269,738.27</v>
          </cell>
        </row>
        <row r="318">
          <cell r="A318" t="str">
            <v>تامينات من الغير - مقاولين</v>
          </cell>
          <cell r="B318" t="str">
            <v>0001</v>
          </cell>
          <cell r="C318" t="str">
            <v>20</v>
          </cell>
          <cell r="D318" t="str">
            <v>15</v>
          </cell>
          <cell r="E318" t="str">
            <v>2</v>
          </cell>
          <cell r="F318" t="str">
            <v>14,791,858.54</v>
          </cell>
          <cell r="G318" t="str">
            <v>8,385,542.51</v>
          </cell>
          <cell r="H318" t="str">
            <v>28,090,843.99</v>
          </cell>
          <cell r="I318" t="str">
            <v>41,174,844.53</v>
          </cell>
          <cell r="K318" t="str">
            <v>13,084,000.54</v>
          </cell>
        </row>
        <row r="319">
          <cell r="A319" t="str">
            <v>تامين خرده</v>
          </cell>
          <cell r="B319" t="str">
            <v>0003</v>
          </cell>
          <cell r="C319" t="str">
            <v>20</v>
          </cell>
          <cell r="D319" t="str">
            <v>15</v>
          </cell>
          <cell r="E319" t="str">
            <v>2</v>
          </cell>
          <cell r="H319" t="str">
            <v>2,000.00</v>
          </cell>
          <cell r="I319" t="str">
            <v>6,000.00</v>
          </cell>
          <cell r="K319" t="str">
            <v>4,000.00</v>
          </cell>
        </row>
        <row r="320">
          <cell r="A320" t="str">
            <v>تامين - تليفون</v>
          </cell>
          <cell r="B320" t="str">
            <v>0004</v>
          </cell>
          <cell r="C320" t="str">
            <v>20</v>
          </cell>
          <cell r="D320" t="str">
            <v>15</v>
          </cell>
          <cell r="E320" t="str">
            <v>2</v>
          </cell>
          <cell r="F320" t="str">
            <v>50.00</v>
          </cell>
          <cell r="H320" t="str">
            <v>5,751.70</v>
          </cell>
          <cell r="I320" t="str">
            <v>13,511.00</v>
          </cell>
          <cell r="K320" t="str">
            <v>7,759.30</v>
          </cell>
        </row>
        <row r="321">
          <cell r="A321" t="str">
            <v>تامينات من الغير - مناقصات</v>
          </cell>
          <cell r="B321" t="str">
            <v>0005</v>
          </cell>
          <cell r="C321" t="str">
            <v>20</v>
          </cell>
          <cell r="D321" t="str">
            <v>15</v>
          </cell>
          <cell r="E321" t="str">
            <v>2</v>
          </cell>
          <cell r="F321" t="str">
            <v>550.00</v>
          </cell>
          <cell r="G321" t="str">
            <v>52,442.00</v>
          </cell>
          <cell r="H321" t="str">
            <v>192,716.00</v>
          </cell>
          <cell r="I321" t="str">
            <v>377,658.00</v>
          </cell>
          <cell r="K321" t="str">
            <v>184,942.00</v>
          </cell>
        </row>
        <row r="322">
          <cell r="A322" t="str">
            <v>مصلحة  الضرائب - ض كسب عمل</v>
          </cell>
          <cell r="B322" t="str">
            <v>0001</v>
          </cell>
          <cell r="C322" t="str">
            <v>25</v>
          </cell>
          <cell r="D322" t="str">
            <v>15</v>
          </cell>
          <cell r="E322" t="str">
            <v>2</v>
          </cell>
          <cell r="F322" t="str">
            <v>1,061,741.00</v>
          </cell>
          <cell r="G322" t="str">
            <v>947,521.00</v>
          </cell>
          <cell r="H322" t="str">
            <v>6,261,161.76</v>
          </cell>
          <cell r="I322" t="str">
            <v>8,213,136.63</v>
          </cell>
          <cell r="K322" t="str">
            <v>1,951,974.87</v>
          </cell>
        </row>
        <row r="323">
          <cell r="A323" t="str">
            <v>مصلحة  الضرائب - ضرائب  مخصومة من المنبع</v>
          </cell>
          <cell r="B323" t="str">
            <v>0002</v>
          </cell>
          <cell r="C323" t="str">
            <v>25</v>
          </cell>
          <cell r="D323" t="str">
            <v>15</v>
          </cell>
          <cell r="E323" t="str">
            <v>2</v>
          </cell>
          <cell r="F323" t="str">
            <v>33.30</v>
          </cell>
          <cell r="G323" t="str">
            <v>196,490.06</v>
          </cell>
          <cell r="H323" t="str">
            <v>770,002.55</v>
          </cell>
          <cell r="I323" t="str">
            <v>1,403,927.12</v>
          </cell>
          <cell r="K323" t="str">
            <v>633,924.57</v>
          </cell>
        </row>
        <row r="324">
          <cell r="A324" t="str">
            <v>مصلحة  الضرائب - ضرائب مبيعات</v>
          </cell>
          <cell r="B324" t="str">
            <v>0004</v>
          </cell>
          <cell r="C324" t="str">
            <v>25</v>
          </cell>
          <cell r="D324" t="str">
            <v>15</v>
          </cell>
          <cell r="E324" t="str">
            <v>2</v>
          </cell>
          <cell r="F324" t="str">
            <v>4,379,403.96</v>
          </cell>
          <cell r="G324" t="str">
            <v>91,487.20</v>
          </cell>
          <cell r="H324" t="str">
            <v>38,167,326.13</v>
          </cell>
          <cell r="I324" t="str">
            <v>33,723,494.67</v>
          </cell>
          <cell r="J324" t="str">
            <v>4,443,831.46</v>
          </cell>
        </row>
        <row r="325">
          <cell r="A325" t="str">
            <v>هيئة التأمينات الإجتماعية - 15 مايو</v>
          </cell>
          <cell r="B325" t="str">
            <v>0001</v>
          </cell>
          <cell r="C325" t="str">
            <v>30</v>
          </cell>
          <cell r="D325" t="str">
            <v>15</v>
          </cell>
          <cell r="E325" t="str">
            <v>2</v>
          </cell>
          <cell r="F325" t="str">
            <v>1,003,430.00</v>
          </cell>
          <cell r="G325" t="str">
            <v>1,015,714.00</v>
          </cell>
          <cell r="H325" t="str">
            <v>5,914,507.00</v>
          </cell>
          <cell r="I325" t="str">
            <v>6,929,820.43</v>
          </cell>
          <cell r="K325" t="str">
            <v>1,015,313.43</v>
          </cell>
        </row>
        <row r="326">
          <cell r="A326" t="str">
            <v>هيئة التأمينات الإجتماعية - العاشر</v>
          </cell>
          <cell r="B326" t="str">
            <v>0002</v>
          </cell>
          <cell r="C326" t="str">
            <v>30</v>
          </cell>
          <cell r="D326" t="str">
            <v>15</v>
          </cell>
          <cell r="E326" t="str">
            <v>2</v>
          </cell>
          <cell r="F326" t="str">
            <v>1,163.00</v>
          </cell>
          <cell r="H326" t="str">
            <v>27,990.87</v>
          </cell>
          <cell r="I326" t="str">
            <v>29,153.90</v>
          </cell>
          <cell r="K326" t="str">
            <v>1,163.03</v>
          </cell>
        </row>
        <row r="327">
          <cell r="A327" t="str">
            <v>مكتب تامينات مقاولات العاشر من رمضان</v>
          </cell>
          <cell r="B327" t="str">
            <v>0015</v>
          </cell>
          <cell r="C327" t="str">
            <v>35</v>
          </cell>
          <cell r="D327" t="str">
            <v>15</v>
          </cell>
          <cell r="E327" t="str">
            <v>2</v>
          </cell>
          <cell r="H327" t="str">
            <v>3,964.00</v>
          </cell>
          <cell r="J327" t="str">
            <v>3,964.00</v>
          </cell>
        </row>
        <row r="328">
          <cell r="A328" t="str">
            <v>تامينات مقاولات - طلخا والكريمات</v>
          </cell>
          <cell r="B328" t="str">
            <v>0016</v>
          </cell>
          <cell r="C328" t="str">
            <v>35</v>
          </cell>
          <cell r="D328" t="str">
            <v>15</v>
          </cell>
          <cell r="E328" t="str">
            <v>2</v>
          </cell>
          <cell r="H328" t="str">
            <v>4,529.04</v>
          </cell>
          <cell r="I328" t="str">
            <v>73,470.87</v>
          </cell>
          <cell r="K328" t="str">
            <v>68,941.83</v>
          </cell>
        </row>
        <row r="329">
          <cell r="A329" t="str">
            <v>ارصدة دائنة تحت التسوية</v>
          </cell>
          <cell r="B329" t="str">
            <v>0001</v>
          </cell>
          <cell r="C329" t="str">
            <v>50</v>
          </cell>
          <cell r="D329" t="str">
            <v>15</v>
          </cell>
          <cell r="E329" t="str">
            <v>2</v>
          </cell>
          <cell r="F329" t="str">
            <v>1,630,354.81</v>
          </cell>
          <cell r="G329" t="str">
            <v>13,772,865.00</v>
          </cell>
          <cell r="H329" t="str">
            <v>2,299,492.43</v>
          </cell>
          <cell r="I329" t="str">
            <v>14,778,590.53</v>
          </cell>
          <cell r="K329" t="str">
            <v>12,479,098.10</v>
          </cell>
        </row>
        <row r="330">
          <cell r="A330" t="str">
            <v>دائنو توزيعات</v>
          </cell>
          <cell r="B330" t="str">
            <v>0001</v>
          </cell>
          <cell r="C330" t="str">
            <v>60</v>
          </cell>
          <cell r="D330" t="str">
            <v>15</v>
          </cell>
          <cell r="E330" t="str">
            <v>2</v>
          </cell>
          <cell r="H330" t="str">
            <v>1,241,557.00</v>
          </cell>
          <cell r="I330" t="str">
            <v>4,505,939.57</v>
          </cell>
          <cell r="K330" t="str">
            <v>3,264,382.57</v>
          </cell>
        </row>
        <row r="331">
          <cell r="A331" t="str">
            <v>صندوق تمويل التدريب العاملين</v>
          </cell>
          <cell r="B331" t="str">
            <v>0003</v>
          </cell>
          <cell r="C331" t="str">
            <v>60</v>
          </cell>
          <cell r="D331" t="str">
            <v>15</v>
          </cell>
          <cell r="E331" t="str">
            <v>2</v>
          </cell>
          <cell r="I331" t="str">
            <v>125,434.00</v>
          </cell>
          <cell r="K331" t="str">
            <v>125,434.00</v>
          </cell>
        </row>
        <row r="332">
          <cell r="A332" t="str">
            <v>مستحقات العاملين</v>
          </cell>
          <cell r="B332" t="str">
            <v>0002</v>
          </cell>
          <cell r="C332" t="str">
            <v>90</v>
          </cell>
          <cell r="D332" t="str">
            <v>15</v>
          </cell>
          <cell r="E332" t="str">
            <v>2</v>
          </cell>
          <cell r="F332" t="str">
            <v>85,639.26</v>
          </cell>
          <cell r="G332" t="str">
            <v>143,856.49</v>
          </cell>
          <cell r="H332" t="str">
            <v>171,393.46</v>
          </cell>
          <cell r="I332" t="str">
            <v>416,126.44</v>
          </cell>
          <cell r="K332" t="str">
            <v>244,732.98</v>
          </cell>
        </row>
        <row r="333">
          <cell r="A333" t="str">
            <v>موردين تحت التسوية - مخازن</v>
          </cell>
          <cell r="B333" t="str">
            <v>0004</v>
          </cell>
          <cell r="C333" t="str">
            <v>90</v>
          </cell>
          <cell r="D333" t="str">
            <v>15</v>
          </cell>
          <cell r="E333" t="str">
            <v>2</v>
          </cell>
          <cell r="F333" t="str">
            <v>677,587.22</v>
          </cell>
          <cell r="G333" t="str">
            <v>12,800.25</v>
          </cell>
          <cell r="H333" t="str">
            <v>12,261,430.50</v>
          </cell>
          <cell r="I333" t="str">
            <v>14,255,660.78</v>
          </cell>
          <cell r="K333" t="str">
            <v>1,994,230.28</v>
          </cell>
        </row>
        <row r="334">
          <cell r="A334" t="str">
            <v>حصيلة جزاءات</v>
          </cell>
          <cell r="B334" t="str">
            <v>0006</v>
          </cell>
          <cell r="C334" t="str">
            <v>90</v>
          </cell>
          <cell r="D334" t="str">
            <v>15</v>
          </cell>
          <cell r="E334" t="str">
            <v>2</v>
          </cell>
          <cell r="G334" t="str">
            <v>13,876.00</v>
          </cell>
          <cell r="I334" t="str">
            <v>360,504.32</v>
          </cell>
          <cell r="K334" t="str">
            <v>360,504.32</v>
          </cell>
        </row>
        <row r="335">
          <cell r="A335" t="str">
            <v>امانات عاملين</v>
          </cell>
          <cell r="B335" t="str">
            <v>0008</v>
          </cell>
          <cell r="C335" t="str">
            <v>90</v>
          </cell>
          <cell r="D335" t="str">
            <v>15</v>
          </cell>
          <cell r="E335" t="str">
            <v>2</v>
          </cell>
          <cell r="I335" t="str">
            <v>18,320.64</v>
          </cell>
          <cell r="K335" t="str">
            <v>18,320.64</v>
          </cell>
        </row>
        <row r="336">
          <cell r="A336" t="str">
            <v>جاري شركات شقيقة - المتحدة للمسابك</v>
          </cell>
          <cell r="B336" t="str">
            <v>0001</v>
          </cell>
          <cell r="C336" t="str">
            <v>06</v>
          </cell>
          <cell r="D336" t="str">
            <v>25</v>
          </cell>
          <cell r="E336" t="str">
            <v>2</v>
          </cell>
          <cell r="F336" t="str">
            <v>1,257,200.74</v>
          </cell>
          <cell r="G336" t="str">
            <v>4,256,787.86</v>
          </cell>
          <cell r="H336" t="str">
            <v>6,433,967.06</v>
          </cell>
          <cell r="I336" t="str">
            <v>7,986,032.59</v>
          </cell>
          <cell r="K336" t="str">
            <v>1,552,065.53</v>
          </cell>
        </row>
        <row r="337">
          <cell r="A337" t="str">
            <v>جاري شركات شقيقة - أسنبرو</v>
          </cell>
          <cell r="B337" t="str">
            <v>0004</v>
          </cell>
          <cell r="C337" t="str">
            <v>06</v>
          </cell>
          <cell r="D337" t="str">
            <v>25</v>
          </cell>
          <cell r="E337" t="str">
            <v>2</v>
          </cell>
          <cell r="F337" t="str">
            <v>205,860.00</v>
          </cell>
          <cell r="G337" t="str">
            <v>149,796.00</v>
          </cell>
          <cell r="H337" t="str">
            <v>264,398.70</v>
          </cell>
          <cell r="I337" t="str">
            <v>2,794,518.83</v>
          </cell>
          <cell r="K337" t="str">
            <v>2,530,120.13</v>
          </cell>
        </row>
        <row r="338">
          <cell r="A338" t="str">
            <v>جاري شركات شقيقة - أرتيك</v>
          </cell>
          <cell r="B338" t="str">
            <v>0006</v>
          </cell>
          <cell r="C338" t="str">
            <v>06</v>
          </cell>
          <cell r="D338" t="str">
            <v>25</v>
          </cell>
          <cell r="E338" t="str">
            <v>2</v>
          </cell>
          <cell r="G338" t="str">
            <v>199,070.58</v>
          </cell>
          <cell r="H338" t="str">
            <v>678,887.10</v>
          </cell>
          <cell r="I338" t="str">
            <v>971,221.02</v>
          </cell>
          <cell r="K338" t="str">
            <v>292,333.92</v>
          </cell>
        </row>
        <row r="339">
          <cell r="A339" t="str">
            <v>الشركة الوطنية للتنمية و التجارة</v>
          </cell>
          <cell r="B339" t="str">
            <v>0009</v>
          </cell>
          <cell r="C339" t="str">
            <v>06</v>
          </cell>
          <cell r="D339" t="str">
            <v>25</v>
          </cell>
          <cell r="E339" t="str">
            <v>2</v>
          </cell>
          <cell r="G339" t="str">
            <v>236,875.60</v>
          </cell>
          <cell r="H339" t="str">
            <v>30,272,062.75</v>
          </cell>
          <cell r="I339" t="str">
            <v>23,957,375.89</v>
          </cell>
          <cell r="J339" t="str">
            <v>6,314,686.86</v>
          </cell>
        </row>
        <row r="340">
          <cell r="A340" t="str">
            <v>جارى شركات شقيقة دائنة القلعة للاستثمار</v>
          </cell>
          <cell r="B340" t="str">
            <v>0012</v>
          </cell>
          <cell r="C340" t="str">
            <v>06</v>
          </cell>
          <cell r="D340" t="str">
            <v>25</v>
          </cell>
          <cell r="E340" t="str">
            <v>2</v>
          </cell>
          <cell r="G340" t="str">
            <v>50,000,000.00</v>
          </cell>
          <cell r="I340" t="str">
            <v>50,000,000.00</v>
          </cell>
          <cell r="K340" t="str">
            <v>50,000,000.00</v>
          </cell>
        </row>
        <row r="341">
          <cell r="A341" t="str">
            <v>جارى دائن - شركة التكامل للاسمنت</v>
          </cell>
          <cell r="B341" t="str">
            <v>0014</v>
          </cell>
          <cell r="C341" t="str">
            <v>06</v>
          </cell>
          <cell r="D341" t="str">
            <v>25</v>
          </cell>
          <cell r="E341" t="str">
            <v>2</v>
          </cell>
          <cell r="F341" t="str">
            <v>164,213,714.03</v>
          </cell>
          <cell r="G341" t="str">
            <v>107,701,815.68</v>
          </cell>
          <cell r="H341" t="str">
            <v>599,841,376.78</v>
          </cell>
          <cell r="I341" t="str">
            <v>646,342,332.61</v>
          </cell>
          <cell r="K341" t="str">
            <v>46,500,955.83</v>
          </cell>
        </row>
        <row r="342">
          <cell r="A342" t="str">
            <v>عملاء دفعات مقدمة  - مشروع التكامل</v>
          </cell>
          <cell r="B342" t="str">
            <v>0002</v>
          </cell>
          <cell r="C342" t="str">
            <v>05</v>
          </cell>
          <cell r="D342" t="str">
            <v>99</v>
          </cell>
          <cell r="E342" t="str">
            <v>2</v>
          </cell>
          <cell r="F342" t="str">
            <v>107,158,080.68</v>
          </cell>
          <cell r="H342" t="str">
            <v>130,619,010.74</v>
          </cell>
          <cell r="I342" t="str">
            <v>77,039,970.40</v>
          </cell>
          <cell r="J342" t="str">
            <v>53,579,040.34</v>
          </cell>
        </row>
        <row r="343">
          <cell r="A343" t="str">
            <v>ضرائب دخل مؤجلة - التزامات</v>
          </cell>
          <cell r="B343" t="str">
            <v>0001</v>
          </cell>
          <cell r="C343" t="str">
            <v>06</v>
          </cell>
          <cell r="D343" t="str">
            <v>99</v>
          </cell>
          <cell r="E343" t="str">
            <v>2</v>
          </cell>
          <cell r="F343" t="str">
            <v>22,985.00</v>
          </cell>
          <cell r="G343" t="str">
            <v>2,209,453.00</v>
          </cell>
          <cell r="H343" t="str">
            <v>550,269.00</v>
          </cell>
          <cell r="I343" t="str">
            <v>7,862,011.00</v>
          </cell>
          <cell r="K343" t="str">
            <v>7,311,742.00</v>
          </cell>
        </row>
        <row r="344">
          <cell r="A344" t="str">
            <v>مصروفات إهلاك - مباني</v>
          </cell>
          <cell r="B344" t="str">
            <v>0001</v>
          </cell>
          <cell r="C344" t="str">
            <v>01</v>
          </cell>
          <cell r="D344" t="str">
            <v>01</v>
          </cell>
          <cell r="E344" t="str">
            <v>3</v>
          </cell>
          <cell r="F344" t="str">
            <v>541,417.95</v>
          </cell>
          <cell r="H344" t="str">
            <v>3,745,264.96</v>
          </cell>
          <cell r="J344" t="str">
            <v>3,745,264.96</v>
          </cell>
        </row>
        <row r="345">
          <cell r="A345" t="str">
            <v>مصروفات إهلاك - آلات ومعدات</v>
          </cell>
          <cell r="B345" t="str">
            <v>0001</v>
          </cell>
          <cell r="C345" t="str">
            <v>02</v>
          </cell>
          <cell r="D345" t="str">
            <v>01</v>
          </cell>
          <cell r="E345" t="str">
            <v>3</v>
          </cell>
          <cell r="F345" t="str">
            <v>426,087.97</v>
          </cell>
          <cell r="H345" t="str">
            <v>2,839,682.57</v>
          </cell>
          <cell r="J345" t="str">
            <v>2,839,682.57</v>
          </cell>
        </row>
        <row r="346">
          <cell r="A346" t="str">
            <v>مصروفات إهلاك - معدات نقل - أوناش</v>
          </cell>
          <cell r="B346" t="str">
            <v>0001</v>
          </cell>
          <cell r="C346" t="str">
            <v>03</v>
          </cell>
          <cell r="D346" t="str">
            <v>01</v>
          </cell>
          <cell r="E346" t="str">
            <v>3</v>
          </cell>
          <cell r="F346" t="str">
            <v>728,223.50</v>
          </cell>
          <cell r="H346" t="str">
            <v>5,006,538.52</v>
          </cell>
          <cell r="J346" t="str">
            <v>5,006,538.52</v>
          </cell>
        </row>
        <row r="347">
          <cell r="A347" t="str">
            <v>مصروفات إهلاك - معدات نقل - سيارات نقل</v>
          </cell>
          <cell r="B347" t="str">
            <v>0001</v>
          </cell>
          <cell r="C347" t="str">
            <v>04</v>
          </cell>
          <cell r="D347" t="str">
            <v>01</v>
          </cell>
          <cell r="E347" t="str">
            <v>3</v>
          </cell>
          <cell r="F347" t="str">
            <v>88,232.42</v>
          </cell>
          <cell r="H347" t="str">
            <v>503,044.31</v>
          </cell>
          <cell r="J347" t="str">
            <v>503,044.31</v>
          </cell>
        </row>
        <row r="348">
          <cell r="A348" t="str">
            <v>مصروفات إهلاك - سيارات</v>
          </cell>
          <cell r="B348" t="str">
            <v>0001</v>
          </cell>
          <cell r="C348" t="str">
            <v>05</v>
          </cell>
          <cell r="D348" t="str">
            <v>01</v>
          </cell>
          <cell r="E348" t="str">
            <v>3</v>
          </cell>
          <cell r="F348" t="str">
            <v>17,599.67</v>
          </cell>
          <cell r="H348" t="str">
            <v>105,597.98</v>
          </cell>
          <cell r="J348" t="str">
            <v>105,597.98</v>
          </cell>
        </row>
        <row r="349">
          <cell r="A349" t="str">
            <v>مصروفات إهلاك - وسائل نقل نهرى</v>
          </cell>
          <cell r="B349" t="str">
            <v>0001</v>
          </cell>
          <cell r="C349" t="str">
            <v>06</v>
          </cell>
          <cell r="D349" t="str">
            <v>01</v>
          </cell>
          <cell r="E349" t="str">
            <v>3</v>
          </cell>
          <cell r="F349" t="str">
            <v>11,919.07</v>
          </cell>
          <cell r="H349" t="str">
            <v>71,514.43</v>
          </cell>
          <cell r="J349" t="str">
            <v>71,514.43</v>
          </cell>
        </row>
        <row r="350">
          <cell r="A350" t="str">
            <v>مصروفات إهلاك - عدد وأدوات</v>
          </cell>
          <cell r="B350" t="str">
            <v>0001</v>
          </cell>
          <cell r="C350" t="str">
            <v>07</v>
          </cell>
          <cell r="D350" t="str">
            <v>01</v>
          </cell>
          <cell r="E350" t="str">
            <v>3</v>
          </cell>
          <cell r="F350" t="str">
            <v>123,433.89</v>
          </cell>
          <cell r="H350" t="str">
            <v>702,131.33</v>
          </cell>
          <cell r="J350" t="str">
            <v>702,131.33</v>
          </cell>
        </row>
        <row r="351">
          <cell r="A351" t="str">
            <v>مصروفات إهلاك - أدوات أمان ومكافحة حرائق</v>
          </cell>
          <cell r="B351" t="str">
            <v>0001</v>
          </cell>
          <cell r="C351" t="str">
            <v>08</v>
          </cell>
          <cell r="D351" t="str">
            <v>01</v>
          </cell>
          <cell r="E351" t="str">
            <v>3</v>
          </cell>
          <cell r="F351" t="str">
            <v>310.60</v>
          </cell>
          <cell r="H351" t="str">
            <v>1,863.62</v>
          </cell>
          <cell r="J351" t="str">
            <v>1,863.62</v>
          </cell>
        </row>
        <row r="352">
          <cell r="A352" t="str">
            <v>مصروفات إهلاك - أثاث وأجهزة مكتبية</v>
          </cell>
          <cell r="B352" t="str">
            <v>0001</v>
          </cell>
          <cell r="C352" t="str">
            <v>09</v>
          </cell>
          <cell r="D352" t="str">
            <v>01</v>
          </cell>
          <cell r="E352" t="str">
            <v>3</v>
          </cell>
          <cell r="F352" t="str">
            <v>70,286.11</v>
          </cell>
          <cell r="H352" t="str">
            <v>387,123.67</v>
          </cell>
          <cell r="I352" t="str">
            <v>61.00</v>
          </cell>
          <cell r="J352" t="str">
            <v>387,062.67</v>
          </cell>
        </row>
        <row r="353">
          <cell r="A353" t="str">
            <v>مصروفات إهلاك - أجهزة كمبيوتر</v>
          </cell>
          <cell r="B353" t="str">
            <v>0001</v>
          </cell>
          <cell r="C353" t="str">
            <v>10</v>
          </cell>
          <cell r="D353" t="str">
            <v>01</v>
          </cell>
          <cell r="E353" t="str">
            <v>3</v>
          </cell>
          <cell r="F353" t="str">
            <v>91,846.85</v>
          </cell>
          <cell r="H353" t="str">
            <v>491,949.44</v>
          </cell>
          <cell r="J353" t="str">
            <v>491,949.44</v>
          </cell>
        </row>
        <row r="354">
          <cell r="A354" t="str">
            <v>مصروفات إهلاك - أجهزة كمبيوتر - برامج</v>
          </cell>
          <cell r="B354" t="str">
            <v>0001</v>
          </cell>
          <cell r="C354" t="str">
            <v>11</v>
          </cell>
          <cell r="D354" t="str">
            <v>01</v>
          </cell>
          <cell r="E354" t="str">
            <v>3</v>
          </cell>
          <cell r="F354" t="str">
            <v>36,017.95</v>
          </cell>
          <cell r="H354" t="str">
            <v>215,023.07</v>
          </cell>
          <cell r="J354" t="str">
            <v>215,023.07</v>
          </cell>
        </row>
        <row r="355">
          <cell r="A355" t="str">
            <v>مصروفات إهلاك - مباني</v>
          </cell>
          <cell r="B355" t="str">
            <v>0001</v>
          </cell>
          <cell r="C355" t="str">
            <v>01</v>
          </cell>
          <cell r="D355" t="str">
            <v>05</v>
          </cell>
          <cell r="E355" t="str">
            <v>3</v>
          </cell>
          <cell r="G355" t="str">
            <v>572,040.36</v>
          </cell>
          <cell r="I355" t="str">
            <v>572,040.36</v>
          </cell>
          <cell r="K355" t="str">
            <v>572,040.36</v>
          </cell>
        </row>
        <row r="356">
          <cell r="A356" t="str">
            <v>مصروفات إهلاك - معدات نقل - أوناش</v>
          </cell>
          <cell r="B356" t="str">
            <v>0003</v>
          </cell>
          <cell r="C356" t="str">
            <v>01</v>
          </cell>
          <cell r="D356" t="str">
            <v>05</v>
          </cell>
          <cell r="E356" t="str">
            <v>3</v>
          </cell>
          <cell r="I356" t="str">
            <v>3,550,091.52</v>
          </cell>
          <cell r="K356" t="str">
            <v>3,550,091.52</v>
          </cell>
        </row>
        <row r="357">
          <cell r="A357" t="str">
            <v>مصروفات إهلاك - معدات نقل - سيارات نقل</v>
          </cell>
          <cell r="B357" t="str">
            <v>0004</v>
          </cell>
          <cell r="C357" t="str">
            <v>01</v>
          </cell>
          <cell r="D357" t="str">
            <v>05</v>
          </cell>
          <cell r="E357" t="str">
            <v>3</v>
          </cell>
          <cell r="I357" t="str">
            <v>326,579.47</v>
          </cell>
          <cell r="K357" t="str">
            <v>326,579.47</v>
          </cell>
        </row>
        <row r="358">
          <cell r="A358" t="str">
            <v>إيرادات المشروعات</v>
          </cell>
          <cell r="B358" t="str">
            <v>0001</v>
          </cell>
          <cell r="C358" t="str">
            <v>01</v>
          </cell>
          <cell r="D358" t="str">
            <v>01</v>
          </cell>
          <cell r="E358" t="str">
            <v>4</v>
          </cell>
          <cell r="G358" t="str">
            <v>6,826,897.63</v>
          </cell>
          <cell r="H358" t="str">
            <v>64,589,049.92</v>
          </cell>
          <cell r="I358" t="str">
            <v>508,549,085.05</v>
          </cell>
          <cell r="K358" t="str">
            <v>443,960,035.13</v>
          </cell>
        </row>
        <row r="359">
          <cell r="A359" t="str">
            <v>إيرادات التركيبات -  إيجار أوناش</v>
          </cell>
          <cell r="B359" t="str">
            <v>0010</v>
          </cell>
          <cell r="C359" t="str">
            <v>02</v>
          </cell>
          <cell r="D359" t="str">
            <v>01</v>
          </cell>
          <cell r="E359" t="str">
            <v>4</v>
          </cell>
          <cell r="I359" t="str">
            <v>300.00</v>
          </cell>
          <cell r="K359" t="str">
            <v>300.00</v>
          </cell>
        </row>
        <row r="360">
          <cell r="A360" t="str">
            <v>إيرادات تصنيع - مصنعات</v>
          </cell>
          <cell r="B360" t="str">
            <v>0001</v>
          </cell>
          <cell r="C360" t="str">
            <v>03</v>
          </cell>
          <cell r="D360" t="str">
            <v>01</v>
          </cell>
          <cell r="E360" t="str">
            <v>4</v>
          </cell>
          <cell r="G360" t="str">
            <v>1,065,848.00</v>
          </cell>
          <cell r="H360" t="str">
            <v>128,131.40</v>
          </cell>
          <cell r="I360" t="str">
            <v>5,904,115.70</v>
          </cell>
          <cell r="K360" t="str">
            <v>5,775,984.30</v>
          </cell>
        </row>
        <row r="361">
          <cell r="A361" t="str">
            <v>ايرادات - تحت التسوية</v>
          </cell>
          <cell r="B361" t="str">
            <v>0001</v>
          </cell>
          <cell r="C361" t="str">
            <v>90</v>
          </cell>
          <cell r="D361" t="str">
            <v>01</v>
          </cell>
          <cell r="E361" t="str">
            <v>4</v>
          </cell>
          <cell r="F361" t="str">
            <v>57,020,651.95</v>
          </cell>
          <cell r="G361" t="str">
            <v>71,223,694.38</v>
          </cell>
          <cell r="H361" t="str">
            <v>1,287,635,714.01</v>
          </cell>
          <cell r="I361" t="str">
            <v>1,358,859,408.39</v>
          </cell>
          <cell r="K361" t="str">
            <v>71,223,694.38</v>
          </cell>
        </row>
        <row r="362">
          <cell r="A362" t="str">
            <v>مردودات مبيعات - مشروعات</v>
          </cell>
          <cell r="B362" t="str">
            <v>0001</v>
          </cell>
          <cell r="C362" t="str">
            <v>01</v>
          </cell>
          <cell r="D362" t="str">
            <v>03</v>
          </cell>
          <cell r="E362" t="str">
            <v>4</v>
          </cell>
          <cell r="H362" t="str">
            <v>3,025,438.39</v>
          </cell>
          <cell r="J362" t="str">
            <v>3,025,438.39</v>
          </cell>
        </row>
        <row r="363">
          <cell r="A363" t="str">
            <v>تكلفة المشروعات - مصنعات التبين</v>
          </cell>
          <cell r="B363" t="str">
            <v>0005</v>
          </cell>
          <cell r="C363" t="str">
            <v>01</v>
          </cell>
          <cell r="D363" t="str">
            <v>01</v>
          </cell>
          <cell r="E363" t="str">
            <v>5</v>
          </cell>
          <cell r="F363" t="str">
            <v>65,670,389.37</v>
          </cell>
          <cell r="G363" t="str">
            <v>71,132,171.31</v>
          </cell>
          <cell r="H363" t="str">
            <v>360,406,872.22</v>
          </cell>
          <cell r="I363" t="str">
            <v>377,626,545.67</v>
          </cell>
          <cell r="K363" t="str">
            <v>17,219,673.45</v>
          </cell>
        </row>
        <row r="364">
          <cell r="A364" t="str">
            <v>تكلفة المشروعات - م . التصنيع الاخرى</v>
          </cell>
          <cell r="B364" t="str">
            <v>0006</v>
          </cell>
          <cell r="C364" t="str">
            <v>01</v>
          </cell>
          <cell r="D364" t="str">
            <v>01</v>
          </cell>
          <cell r="E364" t="str">
            <v>5</v>
          </cell>
          <cell r="F364" t="str">
            <v>1,034,624.55</v>
          </cell>
          <cell r="G364" t="str">
            <v>1,034,623.82</v>
          </cell>
          <cell r="H364" t="str">
            <v>7,013,314.64</v>
          </cell>
          <cell r="I364" t="str">
            <v>6,938,608.00</v>
          </cell>
          <cell r="J364" t="str">
            <v>74,706.64</v>
          </cell>
        </row>
        <row r="365">
          <cell r="A365" t="str">
            <v>ت  المشروعات من مصروفات ادارات المشروعات</v>
          </cell>
          <cell r="B365" t="str">
            <v>0007</v>
          </cell>
          <cell r="C365" t="str">
            <v>01</v>
          </cell>
          <cell r="D365" t="str">
            <v>01</v>
          </cell>
          <cell r="E365" t="str">
            <v>5</v>
          </cell>
          <cell r="F365" t="str">
            <v>806,332.94</v>
          </cell>
          <cell r="G365" t="str">
            <v>806,333.68</v>
          </cell>
          <cell r="H365" t="str">
            <v>4,776,071.20</v>
          </cell>
          <cell r="I365" t="str">
            <v>4,850,777.84</v>
          </cell>
          <cell r="K365" t="str">
            <v>74,706.64</v>
          </cell>
        </row>
        <row r="366">
          <cell r="A366" t="str">
            <v>تكلفة المشروعات - تكلفة ورشة المشروعات</v>
          </cell>
          <cell r="B366" t="str">
            <v>0008</v>
          </cell>
          <cell r="C366" t="str">
            <v>01</v>
          </cell>
          <cell r="D366" t="str">
            <v>01</v>
          </cell>
          <cell r="E366" t="str">
            <v>5</v>
          </cell>
          <cell r="F366" t="str">
            <v>370,565.94</v>
          </cell>
          <cell r="G366" t="str">
            <v>449,077.94</v>
          </cell>
          <cell r="H366" t="str">
            <v>2,601,019.53</v>
          </cell>
          <cell r="I366" t="str">
            <v>3,544,903.77</v>
          </cell>
          <cell r="K366" t="str">
            <v>943,884.24</v>
          </cell>
        </row>
        <row r="367">
          <cell r="A367" t="str">
            <v>تكلفة المشروعات - ادارة التركيبات</v>
          </cell>
          <cell r="B367" t="str">
            <v>0001</v>
          </cell>
          <cell r="C367" t="str">
            <v>02</v>
          </cell>
          <cell r="D367" t="str">
            <v>01</v>
          </cell>
          <cell r="E367" t="str">
            <v>5</v>
          </cell>
          <cell r="F367" t="str">
            <v>719,773.50</v>
          </cell>
          <cell r="G367" t="str">
            <v>719,773.49</v>
          </cell>
          <cell r="H367" t="str">
            <v>6,795,040.89</v>
          </cell>
          <cell r="I367" t="str">
            <v>6,795,384.64</v>
          </cell>
          <cell r="K367" t="str">
            <v>343.75</v>
          </cell>
        </row>
        <row r="368">
          <cell r="A368" t="str">
            <v>خامات - مخزن التبين</v>
          </cell>
          <cell r="B368" t="str">
            <v>0001</v>
          </cell>
          <cell r="C368" t="str">
            <v>50</v>
          </cell>
          <cell r="D368" t="str">
            <v>01</v>
          </cell>
          <cell r="E368" t="str">
            <v>5</v>
          </cell>
          <cell r="F368" t="str">
            <v>12,654,009.06</v>
          </cell>
          <cell r="G368" t="str">
            <v>156,539.72</v>
          </cell>
          <cell r="H368" t="str">
            <v>78,622,141.93</v>
          </cell>
          <cell r="I368" t="str">
            <v>3,573,237.21</v>
          </cell>
          <cell r="J368" t="str">
            <v>75,048,904.72</v>
          </cell>
        </row>
        <row r="369">
          <cell r="A369" t="str">
            <v>قطع غيار ومهمات التبين</v>
          </cell>
          <cell r="B369" t="str">
            <v>0002</v>
          </cell>
          <cell r="C369" t="str">
            <v>50</v>
          </cell>
          <cell r="D369" t="str">
            <v>01</v>
          </cell>
          <cell r="E369" t="str">
            <v>5</v>
          </cell>
          <cell r="F369" t="str">
            <v>2,021,499.17</v>
          </cell>
          <cell r="G369" t="str">
            <v>3,572.80</v>
          </cell>
          <cell r="H369" t="str">
            <v>12,772,194.32</v>
          </cell>
          <cell r="I369" t="str">
            <v>3,572.80</v>
          </cell>
          <cell r="J369" t="str">
            <v>12,768,621.52</v>
          </cell>
        </row>
        <row r="370">
          <cell r="A370" t="str">
            <v>قطع غيار ومهمات الرئيسى</v>
          </cell>
          <cell r="B370" t="str">
            <v>0003</v>
          </cell>
          <cell r="C370" t="str">
            <v>50</v>
          </cell>
          <cell r="D370" t="str">
            <v>01</v>
          </cell>
          <cell r="E370" t="str">
            <v>5</v>
          </cell>
          <cell r="F370" t="str">
            <v>152,841.60</v>
          </cell>
          <cell r="G370" t="str">
            <v>27.20</v>
          </cell>
          <cell r="H370" t="str">
            <v>1,889,135.49</v>
          </cell>
          <cell r="I370" t="str">
            <v>469,232.87</v>
          </cell>
          <cell r="J370" t="str">
            <v>1,419,902.62</v>
          </cell>
        </row>
        <row r="371">
          <cell r="A371" t="str">
            <v>قطع غيار  التركيبات</v>
          </cell>
          <cell r="B371" t="str">
            <v>0004</v>
          </cell>
          <cell r="C371" t="str">
            <v>50</v>
          </cell>
          <cell r="D371" t="str">
            <v>01</v>
          </cell>
          <cell r="E371" t="str">
            <v>5</v>
          </cell>
          <cell r="F371" t="str">
            <v>27,255.62</v>
          </cell>
          <cell r="G371" t="str">
            <v>13,627.81</v>
          </cell>
          <cell r="H371" t="str">
            <v>33,577.78</v>
          </cell>
          <cell r="I371" t="str">
            <v>16,295.04</v>
          </cell>
          <cell r="J371" t="str">
            <v>17,282.74</v>
          </cell>
        </row>
        <row r="372">
          <cell r="A372" t="str">
            <v>ادوات كتابية الرئيسى</v>
          </cell>
          <cell r="B372" t="str">
            <v>0005</v>
          </cell>
          <cell r="C372" t="str">
            <v>50</v>
          </cell>
          <cell r="D372" t="str">
            <v>01</v>
          </cell>
          <cell r="E372" t="str">
            <v>5</v>
          </cell>
          <cell r="F372" t="str">
            <v>91,705.02</v>
          </cell>
          <cell r="G372" t="str">
            <v>1,423.64</v>
          </cell>
          <cell r="H372" t="str">
            <v>624,997.17</v>
          </cell>
          <cell r="I372" t="str">
            <v>4,261.63</v>
          </cell>
          <cell r="J372" t="str">
            <v>620,735.54</v>
          </cell>
        </row>
        <row r="373">
          <cell r="A373" t="str">
            <v>مخزن طره</v>
          </cell>
          <cell r="B373" t="str">
            <v>0017</v>
          </cell>
          <cell r="C373" t="str">
            <v>50</v>
          </cell>
          <cell r="D373" t="str">
            <v>01</v>
          </cell>
          <cell r="E373" t="str">
            <v>5</v>
          </cell>
          <cell r="F373" t="str">
            <v>31,169.07</v>
          </cell>
          <cell r="H373" t="str">
            <v>31,169.07</v>
          </cell>
          <cell r="J373" t="str">
            <v>31,169.07</v>
          </cell>
        </row>
        <row r="374">
          <cell r="A374" t="str">
            <v>قطع غيار ومهمات - مخزن حلوان</v>
          </cell>
          <cell r="B374" t="str">
            <v>0025</v>
          </cell>
          <cell r="C374" t="str">
            <v>50</v>
          </cell>
          <cell r="D374" t="str">
            <v>01</v>
          </cell>
          <cell r="E374" t="str">
            <v>5</v>
          </cell>
          <cell r="F374" t="str">
            <v>2,665.67</v>
          </cell>
          <cell r="H374" t="str">
            <v>2,665.67</v>
          </cell>
          <cell r="J374" t="str">
            <v>2,665.67</v>
          </cell>
        </row>
        <row r="375">
          <cell r="A375" t="str">
            <v>مخزن ق غ مطار القاهرة</v>
          </cell>
          <cell r="B375" t="str">
            <v>0033</v>
          </cell>
          <cell r="C375" t="str">
            <v>50</v>
          </cell>
          <cell r="D375" t="str">
            <v>01</v>
          </cell>
          <cell r="E375" t="str">
            <v>5</v>
          </cell>
          <cell r="F375" t="str">
            <v>101,963.89</v>
          </cell>
          <cell r="H375" t="str">
            <v>368,172.29</v>
          </cell>
          <cell r="J375" t="str">
            <v>368,172.29</v>
          </cell>
        </row>
        <row r="376">
          <cell r="A376" t="str">
            <v>ق غ مخزن سماد السويس</v>
          </cell>
          <cell r="B376" t="str">
            <v>0035</v>
          </cell>
          <cell r="C376" t="str">
            <v>50</v>
          </cell>
          <cell r="D376" t="str">
            <v>01</v>
          </cell>
          <cell r="E376" t="str">
            <v>5</v>
          </cell>
          <cell r="H376" t="str">
            <v>135,422.75</v>
          </cell>
          <cell r="I376" t="str">
            <v>8,242.18</v>
          </cell>
          <cell r="J376" t="str">
            <v>127,180.57</v>
          </cell>
        </row>
        <row r="377">
          <cell r="A377" t="str">
            <v>ق غ مخزن طلخا</v>
          </cell>
          <cell r="B377" t="str">
            <v>0040</v>
          </cell>
          <cell r="C377" t="str">
            <v>50</v>
          </cell>
          <cell r="D377" t="str">
            <v>01</v>
          </cell>
          <cell r="E377" t="str">
            <v>5</v>
          </cell>
          <cell r="F377" t="str">
            <v>229,496.36</v>
          </cell>
          <cell r="G377" t="str">
            <v>15,689.57</v>
          </cell>
          <cell r="H377" t="str">
            <v>355,041.30</v>
          </cell>
          <cell r="I377" t="str">
            <v>27,322.57</v>
          </cell>
          <cell r="J377" t="str">
            <v>327,718.73</v>
          </cell>
        </row>
        <row r="378">
          <cell r="A378" t="str">
            <v>ق غ السيارات والمعدات</v>
          </cell>
          <cell r="B378" t="str">
            <v>0042</v>
          </cell>
          <cell r="C378" t="str">
            <v>50</v>
          </cell>
          <cell r="D378" t="str">
            <v>01</v>
          </cell>
          <cell r="E378" t="str">
            <v>5</v>
          </cell>
          <cell r="F378" t="str">
            <v>314,618.83</v>
          </cell>
          <cell r="G378" t="str">
            <v>10,220.83</v>
          </cell>
          <cell r="H378" t="str">
            <v>1,874,512.18</v>
          </cell>
          <cell r="I378" t="str">
            <v>10,220.83</v>
          </cell>
          <cell r="J378" t="str">
            <v>1,864,291.35</v>
          </cell>
        </row>
        <row r="379">
          <cell r="A379" t="str">
            <v>ق.غ اسمنت الرمادى خط - 2</v>
          </cell>
          <cell r="B379" t="str">
            <v>0043</v>
          </cell>
          <cell r="C379" t="str">
            <v>50</v>
          </cell>
          <cell r="D379" t="str">
            <v>01</v>
          </cell>
          <cell r="E379" t="str">
            <v>5</v>
          </cell>
          <cell r="F379" t="str">
            <v>946,531.12</v>
          </cell>
          <cell r="G379" t="str">
            <v>46,066.36</v>
          </cell>
          <cell r="H379" t="str">
            <v>49,668,422.98</v>
          </cell>
          <cell r="I379" t="str">
            <v>30,468,660.84</v>
          </cell>
          <cell r="J379" t="str">
            <v>19,199,762.14</v>
          </cell>
        </row>
        <row r="380">
          <cell r="A380" t="str">
            <v>مخزن ق غ كهرباء الكريمات</v>
          </cell>
          <cell r="B380" t="str">
            <v>0044</v>
          </cell>
          <cell r="C380" t="str">
            <v>50</v>
          </cell>
          <cell r="D380" t="str">
            <v>01</v>
          </cell>
          <cell r="E380" t="str">
            <v>5</v>
          </cell>
          <cell r="F380" t="str">
            <v>17,490.86</v>
          </cell>
          <cell r="H380" t="str">
            <v>214,111.31</v>
          </cell>
          <cell r="J380" t="str">
            <v>214,111.31</v>
          </cell>
        </row>
        <row r="381">
          <cell r="A381" t="str">
            <v>مخزن خامات الرئيسى</v>
          </cell>
          <cell r="B381" t="str">
            <v>0046</v>
          </cell>
          <cell r="C381" t="str">
            <v>50</v>
          </cell>
          <cell r="D381" t="str">
            <v>01</v>
          </cell>
          <cell r="E381" t="str">
            <v>5</v>
          </cell>
          <cell r="F381" t="str">
            <v>641,763.03</v>
          </cell>
          <cell r="G381" t="str">
            <v>674,830.34</v>
          </cell>
          <cell r="H381" t="str">
            <v>649,440.46</v>
          </cell>
          <cell r="I381" t="str">
            <v>674,830.34</v>
          </cell>
          <cell r="K381" t="str">
            <v>25,389.88</v>
          </cell>
        </row>
        <row r="382">
          <cell r="A382" t="str">
            <v>مخزن ق غ السودان</v>
          </cell>
          <cell r="B382" t="str">
            <v>0047</v>
          </cell>
          <cell r="C382" t="str">
            <v>50</v>
          </cell>
          <cell r="D382" t="str">
            <v>01</v>
          </cell>
          <cell r="E382" t="str">
            <v>5</v>
          </cell>
          <cell r="F382" t="str">
            <v>265,606.56</v>
          </cell>
          <cell r="G382" t="str">
            <v>15,147.15</v>
          </cell>
          <cell r="H382" t="str">
            <v>2,461,094.84</v>
          </cell>
          <cell r="I382" t="str">
            <v>401,518.54</v>
          </cell>
          <cell r="J382" t="str">
            <v>2,059,576.30</v>
          </cell>
        </row>
        <row r="383">
          <cell r="A383" t="str">
            <v>مخزن كربونات الكالسيوم</v>
          </cell>
          <cell r="B383" t="str">
            <v>0048</v>
          </cell>
          <cell r="C383" t="str">
            <v>50</v>
          </cell>
          <cell r="D383" t="str">
            <v>01</v>
          </cell>
          <cell r="E383" t="str">
            <v>5</v>
          </cell>
          <cell r="F383" t="str">
            <v>2,772,963.47</v>
          </cell>
          <cell r="G383" t="str">
            <v>69,890.03</v>
          </cell>
          <cell r="H383" t="str">
            <v>42,313,553.46</v>
          </cell>
          <cell r="I383" t="str">
            <v>7,789,208.92</v>
          </cell>
          <cell r="J383" t="str">
            <v>34,524,344.54</v>
          </cell>
        </row>
        <row r="384">
          <cell r="A384" t="str">
            <v>مخزن التكامل - السودان</v>
          </cell>
          <cell r="B384" t="str">
            <v>0049</v>
          </cell>
          <cell r="C384" t="str">
            <v>50</v>
          </cell>
          <cell r="D384" t="str">
            <v>01</v>
          </cell>
          <cell r="E384" t="str">
            <v>5</v>
          </cell>
          <cell r="F384" t="str">
            <v>266,142.51</v>
          </cell>
          <cell r="G384" t="str">
            <v>3,085.54</v>
          </cell>
          <cell r="H384" t="str">
            <v>3,378,450.70</v>
          </cell>
          <cell r="I384" t="str">
            <v>1,504,132.47</v>
          </cell>
          <cell r="J384" t="str">
            <v>1,874,318.23</v>
          </cell>
        </row>
        <row r="385">
          <cell r="A385" t="str">
            <v>مخزن ورشة المشروعات الكبرى</v>
          </cell>
          <cell r="B385" t="str">
            <v>0050</v>
          </cell>
          <cell r="C385" t="str">
            <v>50</v>
          </cell>
          <cell r="D385" t="str">
            <v>01</v>
          </cell>
          <cell r="E385" t="str">
            <v>5</v>
          </cell>
          <cell r="F385" t="str">
            <v>155,002.18</v>
          </cell>
          <cell r="H385" t="str">
            <v>1,249,732.34</v>
          </cell>
          <cell r="I385" t="str">
            <v>160,881.40</v>
          </cell>
          <cell r="J385" t="str">
            <v>1,088,850.94</v>
          </cell>
        </row>
        <row r="386">
          <cell r="A386" t="str">
            <v>تكلفة مخزن سينكو</v>
          </cell>
          <cell r="B386" t="str">
            <v>0051</v>
          </cell>
          <cell r="C386" t="str">
            <v>50</v>
          </cell>
          <cell r="D386" t="str">
            <v>01</v>
          </cell>
          <cell r="E386" t="str">
            <v>5</v>
          </cell>
          <cell r="F386" t="str">
            <v>39,651.39</v>
          </cell>
          <cell r="H386" t="str">
            <v>157,011.16</v>
          </cell>
          <cell r="J386" t="str">
            <v>157,011.16</v>
          </cell>
        </row>
        <row r="387">
          <cell r="A387" t="str">
            <v>تكلفة مخزن مهمات دينابون - دمنهور</v>
          </cell>
          <cell r="B387" t="str">
            <v>0052</v>
          </cell>
          <cell r="C387" t="str">
            <v>50</v>
          </cell>
          <cell r="D387" t="str">
            <v>01</v>
          </cell>
          <cell r="E387" t="str">
            <v>5</v>
          </cell>
          <cell r="F387" t="str">
            <v>26,728.17</v>
          </cell>
          <cell r="H387" t="str">
            <v>63,122.04</v>
          </cell>
          <cell r="J387" t="str">
            <v>63,122.04</v>
          </cell>
        </row>
        <row r="388">
          <cell r="A388" t="str">
            <v>تكلفة مخزن مهمات سيمتار - رأس غارب</v>
          </cell>
          <cell r="B388" t="str">
            <v>0053</v>
          </cell>
          <cell r="C388" t="str">
            <v>50</v>
          </cell>
          <cell r="D388" t="str">
            <v>01</v>
          </cell>
          <cell r="E388" t="str">
            <v>5</v>
          </cell>
          <cell r="F388" t="str">
            <v>179,898.01</v>
          </cell>
          <cell r="H388" t="str">
            <v>419,871.33</v>
          </cell>
          <cell r="J388" t="str">
            <v>419,871.33</v>
          </cell>
        </row>
        <row r="389">
          <cell r="A389" t="str">
            <v>مخزن قطع غيار التركيبات</v>
          </cell>
          <cell r="B389" t="str">
            <v>0004</v>
          </cell>
          <cell r="C389" t="str">
            <v>01</v>
          </cell>
          <cell r="D389" t="str">
            <v>90</v>
          </cell>
          <cell r="E389" t="str">
            <v>5</v>
          </cell>
          <cell r="F389" t="str">
            <v>2,764.54</v>
          </cell>
          <cell r="G389" t="str">
            <v>283.19</v>
          </cell>
          <cell r="H389" t="str">
            <v>307,356.49</v>
          </cell>
          <cell r="I389" t="str">
            <v>304,875.14</v>
          </cell>
          <cell r="J389" t="str">
            <v>2,481.35</v>
          </cell>
        </row>
        <row r="390">
          <cell r="A390" t="str">
            <v>مخزن ادوات كتابية ومكتبية</v>
          </cell>
          <cell r="B390" t="str">
            <v>0005</v>
          </cell>
          <cell r="C390" t="str">
            <v>01</v>
          </cell>
          <cell r="D390" t="str">
            <v>90</v>
          </cell>
          <cell r="E390" t="str">
            <v>5</v>
          </cell>
          <cell r="G390" t="str">
            <v>2,481.35</v>
          </cell>
          <cell r="H390" t="str">
            <v>2,478.73</v>
          </cell>
          <cell r="I390" t="str">
            <v>4,960.08</v>
          </cell>
          <cell r="K390" t="str">
            <v>2,481.35</v>
          </cell>
        </row>
        <row r="391">
          <cell r="A391" t="str">
            <v>تسويات جردية</v>
          </cell>
          <cell r="B391" t="str">
            <v>0001</v>
          </cell>
          <cell r="C391" t="str">
            <v>09</v>
          </cell>
          <cell r="D391" t="str">
            <v>90</v>
          </cell>
          <cell r="E391" t="str">
            <v>5</v>
          </cell>
          <cell r="F391" t="str">
            <v>1,485,659.74</v>
          </cell>
          <cell r="G391" t="str">
            <v>73,876.34</v>
          </cell>
          <cell r="H391" t="str">
            <v>1,485,659.74</v>
          </cell>
          <cell r="I391" t="str">
            <v>73,876.34</v>
          </cell>
          <cell r="J391" t="str">
            <v>1,411,783.40</v>
          </cell>
        </row>
        <row r="392">
          <cell r="A392" t="str">
            <v>أجر أساسىوبدلات أخرى</v>
          </cell>
          <cell r="B392" t="str">
            <v>0001</v>
          </cell>
          <cell r="C392" t="str">
            <v>01</v>
          </cell>
          <cell r="D392" t="str">
            <v>01</v>
          </cell>
          <cell r="E392" t="str">
            <v>6</v>
          </cell>
          <cell r="F392" t="str">
            <v>6,640,118.50</v>
          </cell>
          <cell r="G392" t="str">
            <v>311,834.00</v>
          </cell>
          <cell r="H392" t="str">
            <v>42,751,372.45</v>
          </cell>
          <cell r="I392" t="str">
            <v>956,304.30</v>
          </cell>
          <cell r="J392" t="str">
            <v>41,795,068.15</v>
          </cell>
        </row>
        <row r="393">
          <cell r="A393" t="str">
            <v>أجر إضافي</v>
          </cell>
          <cell r="B393" t="str">
            <v>0002</v>
          </cell>
          <cell r="C393" t="str">
            <v>01</v>
          </cell>
          <cell r="D393" t="str">
            <v>01</v>
          </cell>
          <cell r="E393" t="str">
            <v>6</v>
          </cell>
          <cell r="F393" t="str">
            <v>1,038,891.39</v>
          </cell>
          <cell r="G393" t="str">
            <v>1,298.00</v>
          </cell>
          <cell r="H393" t="str">
            <v>9,164,144.08</v>
          </cell>
          <cell r="I393" t="str">
            <v>3,018.00</v>
          </cell>
          <cell r="J393" t="str">
            <v>9,161,126.08</v>
          </cell>
        </row>
        <row r="394">
          <cell r="A394" t="str">
            <v>حوافز إنتاج</v>
          </cell>
          <cell r="B394" t="str">
            <v>0004</v>
          </cell>
          <cell r="C394" t="str">
            <v>01</v>
          </cell>
          <cell r="D394" t="str">
            <v>01</v>
          </cell>
          <cell r="E394" t="str">
            <v>6</v>
          </cell>
          <cell r="F394" t="str">
            <v>20,788.23</v>
          </cell>
          <cell r="H394" t="str">
            <v>2,243,056.49</v>
          </cell>
          <cell r="I394" t="str">
            <v>27,900.00</v>
          </cell>
          <cell r="J394" t="str">
            <v>2,215,156.49</v>
          </cell>
        </row>
        <row r="395">
          <cell r="A395" t="str">
            <v>مكافآت - مكافآت دورية</v>
          </cell>
          <cell r="B395" t="str">
            <v>0006</v>
          </cell>
          <cell r="C395" t="str">
            <v>01</v>
          </cell>
          <cell r="D395" t="str">
            <v>01</v>
          </cell>
          <cell r="E395" t="str">
            <v>6</v>
          </cell>
          <cell r="H395" t="str">
            <v>192.00</v>
          </cell>
          <cell r="J395" t="str">
            <v>192.00</v>
          </cell>
        </row>
        <row r="396">
          <cell r="A396" t="str">
            <v>مكافآت - مكافآت خاصة</v>
          </cell>
          <cell r="B396" t="str">
            <v>0007</v>
          </cell>
          <cell r="C396" t="str">
            <v>01</v>
          </cell>
          <cell r="D396" t="str">
            <v>01</v>
          </cell>
          <cell r="E396" t="str">
            <v>6</v>
          </cell>
          <cell r="F396" t="str">
            <v>68,891.20</v>
          </cell>
          <cell r="G396" t="str">
            <v>2,000.00</v>
          </cell>
          <cell r="H396" t="str">
            <v>2,494,229.62</v>
          </cell>
          <cell r="I396" t="str">
            <v>13,050.00</v>
          </cell>
          <cell r="J396" t="str">
            <v>2,481,179.62</v>
          </cell>
        </row>
        <row r="397">
          <cell r="A397" t="str">
            <v>عمالة مؤقتة</v>
          </cell>
          <cell r="B397" t="str">
            <v>0008</v>
          </cell>
          <cell r="C397" t="str">
            <v>01</v>
          </cell>
          <cell r="D397" t="str">
            <v>01</v>
          </cell>
          <cell r="E397" t="str">
            <v>6</v>
          </cell>
          <cell r="F397" t="str">
            <v>2,001,160.92</v>
          </cell>
          <cell r="G397" t="str">
            <v>171,762.66</v>
          </cell>
          <cell r="H397" t="str">
            <v>13,732,414.61</v>
          </cell>
          <cell r="I397" t="str">
            <v>1,424,346.58</v>
          </cell>
          <cell r="J397" t="str">
            <v>12,308,068.03</v>
          </cell>
        </row>
        <row r="398">
          <cell r="A398" t="str">
            <v>صندوق مزايا تقاعد للعاملين</v>
          </cell>
          <cell r="B398" t="str">
            <v>0009</v>
          </cell>
          <cell r="C398" t="str">
            <v>01</v>
          </cell>
          <cell r="D398" t="str">
            <v>01</v>
          </cell>
          <cell r="E398" t="str">
            <v>6</v>
          </cell>
          <cell r="H398" t="str">
            <v>479,861.42</v>
          </cell>
          <cell r="J398" t="str">
            <v>479,861.42</v>
          </cell>
        </row>
        <row r="399">
          <cell r="A399" t="str">
            <v>بدلات حضور اعضاء مجلس الادارة</v>
          </cell>
          <cell r="B399" t="str">
            <v>0010</v>
          </cell>
          <cell r="C399" t="str">
            <v>01</v>
          </cell>
          <cell r="D399" t="str">
            <v>01</v>
          </cell>
          <cell r="E399" t="str">
            <v>6</v>
          </cell>
          <cell r="H399" t="str">
            <v>24,000.00</v>
          </cell>
          <cell r="J399" t="str">
            <v>24,000.00</v>
          </cell>
        </row>
        <row r="400">
          <cell r="A400" t="str">
            <v>حافز اداء</v>
          </cell>
          <cell r="B400" t="str">
            <v>0012</v>
          </cell>
          <cell r="C400" t="str">
            <v>01</v>
          </cell>
          <cell r="D400" t="str">
            <v>01</v>
          </cell>
          <cell r="E400" t="str">
            <v>6</v>
          </cell>
          <cell r="F400" t="str">
            <v>174,812.76</v>
          </cell>
          <cell r="G400" t="str">
            <v>2,800.00</v>
          </cell>
          <cell r="H400" t="str">
            <v>304,921.10</v>
          </cell>
          <cell r="I400" t="str">
            <v>2,800.00</v>
          </cell>
          <cell r="J400" t="str">
            <v>302,121.10</v>
          </cell>
        </row>
        <row r="401">
          <cell r="A401" t="str">
            <v>بدل تصميم</v>
          </cell>
          <cell r="B401" t="str">
            <v>0013</v>
          </cell>
          <cell r="C401" t="str">
            <v>01</v>
          </cell>
          <cell r="D401" t="str">
            <v>01</v>
          </cell>
          <cell r="E401" t="str">
            <v>6</v>
          </cell>
          <cell r="H401" t="str">
            <v>197,510.53</v>
          </cell>
          <cell r="J401" t="str">
            <v>197,510.53</v>
          </cell>
        </row>
        <row r="402">
          <cell r="A402" t="str">
            <v>بدل اعارة وتليفون</v>
          </cell>
          <cell r="B402" t="str">
            <v>0014</v>
          </cell>
          <cell r="C402" t="str">
            <v>01</v>
          </cell>
          <cell r="D402" t="str">
            <v>01</v>
          </cell>
          <cell r="E402" t="str">
            <v>6</v>
          </cell>
          <cell r="F402" t="str">
            <v>49,252.00</v>
          </cell>
          <cell r="H402" t="str">
            <v>148,306.00</v>
          </cell>
          <cell r="J402" t="str">
            <v>148,306.00</v>
          </cell>
        </row>
        <row r="403">
          <cell r="A403" t="str">
            <v>بدل طبيعه موقع</v>
          </cell>
          <cell r="B403" t="str">
            <v>0015</v>
          </cell>
          <cell r="C403" t="str">
            <v>01</v>
          </cell>
          <cell r="D403" t="str">
            <v>01</v>
          </cell>
          <cell r="E403" t="str">
            <v>6</v>
          </cell>
          <cell r="F403" t="str">
            <v>2,661,626.07</v>
          </cell>
          <cell r="G403" t="str">
            <v>360.00</v>
          </cell>
          <cell r="H403" t="str">
            <v>7,951,089.23</v>
          </cell>
          <cell r="I403" t="str">
            <v>180,094.40</v>
          </cell>
          <cell r="J403" t="str">
            <v>7,770,994.83</v>
          </cell>
        </row>
        <row r="404">
          <cell r="A404" t="str">
            <v>وجبات وبدلات تغذية للعاملين</v>
          </cell>
          <cell r="B404" t="str">
            <v>0002</v>
          </cell>
          <cell r="C404" t="str">
            <v>02</v>
          </cell>
          <cell r="D404" t="str">
            <v>01</v>
          </cell>
          <cell r="E404" t="str">
            <v>6</v>
          </cell>
          <cell r="F404" t="str">
            <v>2,031,024.45</v>
          </cell>
          <cell r="G404" t="str">
            <v>812,413.10</v>
          </cell>
          <cell r="H404" t="str">
            <v>9,962,906.13</v>
          </cell>
          <cell r="I404" t="str">
            <v>4,661,084.17</v>
          </cell>
          <cell r="J404" t="str">
            <v>5,301,821.96</v>
          </cell>
        </row>
        <row r="405">
          <cell r="A405" t="str">
            <v>مصاريف علاج للعاملين</v>
          </cell>
          <cell r="B405" t="str">
            <v>0003</v>
          </cell>
          <cell r="C405" t="str">
            <v>02</v>
          </cell>
          <cell r="D405" t="str">
            <v>01</v>
          </cell>
          <cell r="E405" t="str">
            <v>6</v>
          </cell>
          <cell r="F405" t="str">
            <v>507,423.21</v>
          </cell>
          <cell r="G405" t="str">
            <v>42,123.55</v>
          </cell>
          <cell r="H405" t="str">
            <v>1,823,793.84</v>
          </cell>
          <cell r="I405" t="str">
            <v>479,924.55</v>
          </cell>
          <cell r="J405" t="str">
            <v>1,343,869.29</v>
          </cell>
        </row>
        <row r="406">
          <cell r="A406" t="str">
            <v>إعانات مالية إجتماعية للعاملين</v>
          </cell>
          <cell r="B406" t="str">
            <v>0004</v>
          </cell>
          <cell r="C406" t="str">
            <v>02</v>
          </cell>
          <cell r="D406" t="str">
            <v>01</v>
          </cell>
          <cell r="E406" t="str">
            <v>6</v>
          </cell>
          <cell r="H406" t="str">
            <v>250.00</v>
          </cell>
          <cell r="J406" t="str">
            <v>250.00</v>
          </cell>
        </row>
        <row r="407">
          <cell r="A407" t="str">
            <v>مصروفات إقامة للعاملين</v>
          </cell>
          <cell r="B407" t="str">
            <v>0005</v>
          </cell>
          <cell r="C407" t="str">
            <v>02</v>
          </cell>
          <cell r="D407" t="str">
            <v>01</v>
          </cell>
          <cell r="E407" t="str">
            <v>6</v>
          </cell>
          <cell r="F407" t="str">
            <v>166,627.65</v>
          </cell>
          <cell r="G407" t="str">
            <v>14,615.64</v>
          </cell>
          <cell r="H407" t="str">
            <v>599,602.11</v>
          </cell>
          <cell r="I407" t="str">
            <v>165,865.64</v>
          </cell>
          <cell r="J407" t="str">
            <v>433,736.47</v>
          </cell>
        </row>
        <row r="408">
          <cell r="A408" t="str">
            <v>إنتقالات العاملين</v>
          </cell>
          <cell r="B408" t="str">
            <v>0006</v>
          </cell>
          <cell r="C408" t="str">
            <v>02</v>
          </cell>
          <cell r="D408" t="str">
            <v>01</v>
          </cell>
          <cell r="E408" t="str">
            <v>6</v>
          </cell>
          <cell r="F408" t="str">
            <v>31,473.98</v>
          </cell>
          <cell r="H408" t="str">
            <v>446,571.00</v>
          </cell>
          <cell r="I408" t="str">
            <v>103,295.00</v>
          </cell>
          <cell r="J408" t="str">
            <v>343,276.00</v>
          </cell>
        </row>
        <row r="409">
          <cell r="A409" t="str">
            <v>مزايا للعاملين</v>
          </cell>
          <cell r="B409" t="str">
            <v>0007</v>
          </cell>
          <cell r="C409" t="str">
            <v>02</v>
          </cell>
          <cell r="D409" t="str">
            <v>01</v>
          </cell>
          <cell r="E409" t="str">
            <v>6</v>
          </cell>
          <cell r="H409" t="str">
            <v>4,850.00</v>
          </cell>
          <cell r="J409" t="str">
            <v>4,850.00</v>
          </cell>
        </row>
        <row r="410">
          <cell r="A410" t="str">
            <v>حصةالشركة من التأمينات الإجتماعية - مايو</v>
          </cell>
          <cell r="B410" t="str">
            <v>0002</v>
          </cell>
          <cell r="C410" t="str">
            <v>03</v>
          </cell>
          <cell r="D410" t="str">
            <v>01</v>
          </cell>
          <cell r="E410" t="str">
            <v>6</v>
          </cell>
          <cell r="F410" t="str">
            <v>717,237.00</v>
          </cell>
          <cell r="G410" t="str">
            <v>45,410.00</v>
          </cell>
          <cell r="H410" t="str">
            <v>3,942,902.50</v>
          </cell>
          <cell r="I410" t="str">
            <v>60,119.00</v>
          </cell>
          <cell r="J410" t="str">
            <v>3,882,783.50</v>
          </cell>
        </row>
        <row r="411">
          <cell r="A411" t="str">
            <v>مصروفات تدريب عاملين</v>
          </cell>
          <cell r="B411" t="str">
            <v>0003</v>
          </cell>
          <cell r="C411" t="str">
            <v>03</v>
          </cell>
          <cell r="D411" t="str">
            <v>01</v>
          </cell>
          <cell r="E411" t="str">
            <v>6</v>
          </cell>
          <cell r="G411" t="str">
            <v>2,400.00</v>
          </cell>
          <cell r="H411" t="str">
            <v>165,500.00</v>
          </cell>
          <cell r="I411" t="str">
            <v>31,383.00</v>
          </cell>
          <cell r="J411" t="str">
            <v>134,117.00</v>
          </cell>
        </row>
        <row r="412">
          <cell r="A412" t="str">
            <v>صندوق اعانة طوارئ عاملين</v>
          </cell>
          <cell r="B412" t="str">
            <v>0004</v>
          </cell>
          <cell r="C412" t="str">
            <v>03</v>
          </cell>
          <cell r="D412" t="str">
            <v>01</v>
          </cell>
          <cell r="E412" t="str">
            <v>6</v>
          </cell>
          <cell r="F412" t="str">
            <v>13,814.00</v>
          </cell>
          <cell r="H412" t="str">
            <v>40,005.41</v>
          </cell>
          <cell r="J412" t="str">
            <v>40,005.41</v>
          </cell>
        </row>
        <row r="413">
          <cell r="A413" t="str">
            <v>صندوق الخدمات الاجتماعيةوالصحيةوالثقافية</v>
          </cell>
          <cell r="B413" t="str">
            <v>0005</v>
          </cell>
          <cell r="C413" t="str">
            <v>03</v>
          </cell>
          <cell r="D413" t="str">
            <v>01</v>
          </cell>
          <cell r="E413" t="str">
            <v>6</v>
          </cell>
          <cell r="H413" t="str">
            <v>22,316.00</v>
          </cell>
          <cell r="J413" t="str">
            <v>22,316.00</v>
          </cell>
        </row>
        <row r="414">
          <cell r="A414" t="str">
            <v>مصروفات سفر- مأموريات محلية</v>
          </cell>
          <cell r="B414" t="str">
            <v>0001</v>
          </cell>
          <cell r="C414" t="str">
            <v>01</v>
          </cell>
          <cell r="D414" t="str">
            <v>02</v>
          </cell>
          <cell r="E414" t="str">
            <v>6</v>
          </cell>
          <cell r="F414" t="str">
            <v>105,432.50</v>
          </cell>
          <cell r="G414" t="str">
            <v>275.00</v>
          </cell>
          <cell r="H414" t="str">
            <v>376,505.10</v>
          </cell>
          <cell r="I414" t="str">
            <v>650.00</v>
          </cell>
          <cell r="J414" t="str">
            <v>375,855.10</v>
          </cell>
        </row>
        <row r="415">
          <cell r="A415" t="str">
            <v>سفر عمل - ماموريات عمل بالخارج</v>
          </cell>
          <cell r="B415" t="str">
            <v>0001</v>
          </cell>
          <cell r="C415" t="str">
            <v>02</v>
          </cell>
          <cell r="D415" t="str">
            <v>02</v>
          </cell>
          <cell r="E415" t="str">
            <v>6</v>
          </cell>
          <cell r="F415" t="str">
            <v>683,278.00</v>
          </cell>
          <cell r="G415" t="str">
            <v>54,983.60</v>
          </cell>
          <cell r="H415" t="str">
            <v>2,846,210.83</v>
          </cell>
          <cell r="I415" t="str">
            <v>447,772.60</v>
          </cell>
          <cell r="J415" t="str">
            <v>2,398,438.23</v>
          </cell>
        </row>
        <row r="416">
          <cell r="A416" t="str">
            <v>مصروفات مزايدات وكراسات شروط</v>
          </cell>
          <cell r="B416" t="str">
            <v>0001</v>
          </cell>
          <cell r="C416" t="str">
            <v>03</v>
          </cell>
          <cell r="D416" t="str">
            <v>03</v>
          </cell>
          <cell r="E416" t="str">
            <v>6</v>
          </cell>
          <cell r="H416" t="str">
            <v>27,700.00</v>
          </cell>
          <cell r="J416" t="str">
            <v>27,700.00</v>
          </cell>
        </row>
        <row r="417">
          <cell r="A417" t="str">
            <v>إعلانات - عامة</v>
          </cell>
          <cell r="B417" t="str">
            <v>0001</v>
          </cell>
          <cell r="C417" t="str">
            <v>06</v>
          </cell>
          <cell r="D417" t="str">
            <v>03</v>
          </cell>
          <cell r="E417" t="str">
            <v>6</v>
          </cell>
          <cell r="F417" t="str">
            <v>37,714.45</v>
          </cell>
          <cell r="H417" t="str">
            <v>122,926.55</v>
          </cell>
          <cell r="I417" t="str">
            <v>13,000.00</v>
          </cell>
          <cell r="J417" t="str">
            <v>109,926.55</v>
          </cell>
        </row>
        <row r="418">
          <cell r="A418" t="str">
            <v>نقل مصنعات</v>
          </cell>
          <cell r="B418" t="str">
            <v>0001</v>
          </cell>
          <cell r="C418" t="str">
            <v>07</v>
          </cell>
          <cell r="D418" t="str">
            <v>03</v>
          </cell>
          <cell r="E418" t="str">
            <v>6</v>
          </cell>
          <cell r="F418" t="str">
            <v>1,335,218.06</v>
          </cell>
          <cell r="G418" t="str">
            <v>13,005.25</v>
          </cell>
          <cell r="H418" t="str">
            <v>2,804,393.58</v>
          </cell>
          <cell r="I418" t="str">
            <v>178,985.75</v>
          </cell>
          <cell r="J418" t="str">
            <v>2,625,407.83</v>
          </cell>
        </row>
        <row r="419">
          <cell r="A419" t="str">
            <v>مصاريف بيع وتسويق أخرى</v>
          </cell>
          <cell r="B419" t="str">
            <v>0001</v>
          </cell>
          <cell r="C419" t="str">
            <v>99</v>
          </cell>
          <cell r="D419" t="str">
            <v>03</v>
          </cell>
          <cell r="E419" t="str">
            <v>6</v>
          </cell>
          <cell r="F419" t="str">
            <v>14,078.58</v>
          </cell>
          <cell r="H419" t="str">
            <v>33,128.08</v>
          </cell>
          <cell r="J419" t="str">
            <v>33,128.08</v>
          </cell>
        </row>
        <row r="420">
          <cell r="A420" t="str">
            <v>وسائل إتصال - تليفونات</v>
          </cell>
          <cell r="B420" t="str">
            <v>0001</v>
          </cell>
          <cell r="C420" t="str">
            <v>01</v>
          </cell>
          <cell r="D420" t="str">
            <v>04</v>
          </cell>
          <cell r="E420" t="str">
            <v>6</v>
          </cell>
          <cell r="F420" t="str">
            <v>35,379.83</v>
          </cell>
          <cell r="H420" t="str">
            <v>278,823.52</v>
          </cell>
          <cell r="I420" t="str">
            <v>25,031.63</v>
          </cell>
          <cell r="J420" t="str">
            <v>253,791.89</v>
          </cell>
        </row>
        <row r="421">
          <cell r="A421" t="str">
            <v>وسائل إتصال - تليفونات محمولة</v>
          </cell>
          <cell r="B421" t="str">
            <v>0001</v>
          </cell>
          <cell r="C421" t="str">
            <v>02</v>
          </cell>
          <cell r="D421" t="str">
            <v>04</v>
          </cell>
          <cell r="E421" t="str">
            <v>6</v>
          </cell>
          <cell r="F421" t="str">
            <v>9,542.51</v>
          </cell>
          <cell r="H421" t="str">
            <v>411,425.98</v>
          </cell>
          <cell r="I421" t="str">
            <v>10,221.68</v>
          </cell>
          <cell r="J421" t="str">
            <v>401,204.30</v>
          </cell>
        </row>
        <row r="422">
          <cell r="A422" t="str">
            <v>وسائل إتصال - فاكس وتلكس</v>
          </cell>
          <cell r="B422" t="str">
            <v>0001</v>
          </cell>
          <cell r="C422" t="str">
            <v>03</v>
          </cell>
          <cell r="D422" t="str">
            <v>04</v>
          </cell>
          <cell r="E422" t="str">
            <v>6</v>
          </cell>
          <cell r="H422" t="str">
            <v>272.50</v>
          </cell>
          <cell r="J422" t="str">
            <v>272.50</v>
          </cell>
        </row>
        <row r="423">
          <cell r="A423" t="str">
            <v>وسائل إتصال - بريد وتوصيل طرود</v>
          </cell>
          <cell r="B423" t="str">
            <v>0001</v>
          </cell>
          <cell r="C423" t="str">
            <v>04</v>
          </cell>
          <cell r="D423" t="str">
            <v>04</v>
          </cell>
          <cell r="E423" t="str">
            <v>6</v>
          </cell>
          <cell r="F423" t="str">
            <v>2,697.38</v>
          </cell>
          <cell r="H423" t="str">
            <v>70,459.71</v>
          </cell>
          <cell r="J423" t="str">
            <v>70,459.71</v>
          </cell>
        </row>
        <row r="424">
          <cell r="A424" t="str">
            <v>وسائل إتصال - إنترنت</v>
          </cell>
          <cell r="B424" t="str">
            <v>0001</v>
          </cell>
          <cell r="C424" t="str">
            <v>05</v>
          </cell>
          <cell r="D424" t="str">
            <v>04</v>
          </cell>
          <cell r="E424" t="str">
            <v>6</v>
          </cell>
          <cell r="F424" t="str">
            <v>36,218.89</v>
          </cell>
          <cell r="H424" t="str">
            <v>172,048.55</v>
          </cell>
          <cell r="J424" t="str">
            <v>172,048.55</v>
          </cell>
        </row>
        <row r="425">
          <cell r="A425" t="str">
            <v>مصروفات -  كهرباء</v>
          </cell>
          <cell r="B425" t="str">
            <v>0001</v>
          </cell>
          <cell r="C425" t="str">
            <v>01</v>
          </cell>
          <cell r="D425" t="str">
            <v>05</v>
          </cell>
          <cell r="E425" t="str">
            <v>6</v>
          </cell>
          <cell r="F425" t="str">
            <v>146,765.79</v>
          </cell>
          <cell r="H425" t="str">
            <v>768,843.65</v>
          </cell>
          <cell r="I425" t="str">
            <v>80,000.00</v>
          </cell>
          <cell r="J425" t="str">
            <v>688,843.65</v>
          </cell>
        </row>
        <row r="426">
          <cell r="A426" t="str">
            <v>مصروفات -  ماء</v>
          </cell>
          <cell r="B426" t="str">
            <v>0001</v>
          </cell>
          <cell r="C426" t="str">
            <v>02</v>
          </cell>
          <cell r="D426" t="str">
            <v>05</v>
          </cell>
          <cell r="E426" t="str">
            <v>6</v>
          </cell>
          <cell r="F426" t="str">
            <v>91,092.40</v>
          </cell>
          <cell r="G426" t="str">
            <v>6,000.00</v>
          </cell>
          <cell r="H426" t="str">
            <v>481,869.32</v>
          </cell>
          <cell r="I426" t="str">
            <v>88,893.30</v>
          </cell>
          <cell r="J426" t="str">
            <v>392,976.02</v>
          </cell>
        </row>
        <row r="427">
          <cell r="A427" t="str">
            <v>مصروفات - غاز</v>
          </cell>
          <cell r="B427" t="str">
            <v>0001</v>
          </cell>
          <cell r="C427" t="str">
            <v>03</v>
          </cell>
          <cell r="D427" t="str">
            <v>05</v>
          </cell>
          <cell r="E427" t="str">
            <v>6</v>
          </cell>
          <cell r="F427" t="str">
            <v>7,901.36</v>
          </cell>
          <cell r="H427" t="str">
            <v>41,302.27</v>
          </cell>
          <cell r="J427" t="str">
            <v>41,302.27</v>
          </cell>
        </row>
        <row r="428">
          <cell r="A428" t="str">
            <v>مصروفات -  زيوت وشحوم</v>
          </cell>
          <cell r="B428" t="str">
            <v>0001</v>
          </cell>
          <cell r="C428" t="str">
            <v>04</v>
          </cell>
          <cell r="D428" t="str">
            <v>05</v>
          </cell>
          <cell r="E428" t="str">
            <v>6</v>
          </cell>
          <cell r="H428" t="str">
            <v>43.00</v>
          </cell>
          <cell r="J428" t="str">
            <v>43.00</v>
          </cell>
        </row>
        <row r="429">
          <cell r="A429" t="str">
            <v>مصاريف سولار للموقع</v>
          </cell>
          <cell r="B429" t="str">
            <v>0001</v>
          </cell>
          <cell r="C429" t="str">
            <v>05</v>
          </cell>
          <cell r="D429" t="str">
            <v>05</v>
          </cell>
          <cell r="E429" t="str">
            <v>6</v>
          </cell>
          <cell r="F429" t="str">
            <v>38,814.14</v>
          </cell>
          <cell r="H429" t="str">
            <v>445,894.65</v>
          </cell>
          <cell r="I429" t="str">
            <v>478,122.75</v>
          </cell>
          <cell r="K429" t="str">
            <v>32,228.10</v>
          </cell>
        </row>
        <row r="430">
          <cell r="A430" t="str">
            <v>شراء مهمات</v>
          </cell>
          <cell r="B430" t="str">
            <v>0001</v>
          </cell>
          <cell r="C430" t="str">
            <v>06</v>
          </cell>
          <cell r="D430" t="str">
            <v>05</v>
          </cell>
          <cell r="E430" t="str">
            <v>6</v>
          </cell>
          <cell r="F430" t="str">
            <v>119,144.79</v>
          </cell>
          <cell r="G430" t="str">
            <v>49,012.20</v>
          </cell>
          <cell r="H430" t="str">
            <v>752,437.29</v>
          </cell>
          <cell r="I430" t="str">
            <v>337,677.06</v>
          </cell>
          <cell r="J430" t="str">
            <v>414,760.23</v>
          </cell>
        </row>
        <row r="431">
          <cell r="A431" t="str">
            <v>شراء قطع غيار</v>
          </cell>
          <cell r="B431" t="str">
            <v>0001</v>
          </cell>
          <cell r="C431" t="str">
            <v>07</v>
          </cell>
          <cell r="D431" t="str">
            <v>05</v>
          </cell>
          <cell r="E431" t="str">
            <v>6</v>
          </cell>
          <cell r="H431" t="str">
            <v>1,757.99</v>
          </cell>
          <cell r="J431" t="str">
            <v>1,757.99</v>
          </cell>
        </row>
        <row r="432">
          <cell r="A432" t="str">
            <v>تجهيزات مواقع</v>
          </cell>
          <cell r="B432" t="str">
            <v>0001</v>
          </cell>
          <cell r="C432" t="str">
            <v>09</v>
          </cell>
          <cell r="D432" t="str">
            <v>05</v>
          </cell>
          <cell r="E432" t="str">
            <v>6</v>
          </cell>
          <cell r="F432" t="str">
            <v>285,063.03</v>
          </cell>
          <cell r="G432" t="str">
            <v>212,095.69</v>
          </cell>
          <cell r="H432" t="str">
            <v>933,131.47</v>
          </cell>
          <cell r="I432" t="str">
            <v>212,095.69</v>
          </cell>
          <cell r="J432" t="str">
            <v>721,035.78</v>
          </cell>
        </row>
        <row r="433">
          <cell r="A433" t="str">
            <v>مصروفات  سيارات - وقود</v>
          </cell>
          <cell r="B433" t="str">
            <v>0001</v>
          </cell>
          <cell r="C433" t="str">
            <v>01</v>
          </cell>
          <cell r="D433" t="str">
            <v>06</v>
          </cell>
          <cell r="E433" t="str">
            <v>6</v>
          </cell>
          <cell r="F433" t="str">
            <v>79,022.73</v>
          </cell>
          <cell r="G433" t="str">
            <v>749.09</v>
          </cell>
          <cell r="H433" t="str">
            <v>625,273.25</v>
          </cell>
          <cell r="I433" t="str">
            <v>1,093.59</v>
          </cell>
          <cell r="J433" t="str">
            <v>624,179.66</v>
          </cell>
        </row>
        <row r="434">
          <cell r="A434" t="str">
            <v>مصروفات  سيارات - صيانة</v>
          </cell>
          <cell r="B434" t="str">
            <v>0001</v>
          </cell>
          <cell r="C434" t="str">
            <v>02</v>
          </cell>
          <cell r="D434" t="str">
            <v>06</v>
          </cell>
          <cell r="E434" t="str">
            <v>6</v>
          </cell>
          <cell r="F434" t="str">
            <v>66,258.24</v>
          </cell>
          <cell r="H434" t="str">
            <v>151,258.63</v>
          </cell>
          <cell r="I434" t="str">
            <v>577.70</v>
          </cell>
          <cell r="J434" t="str">
            <v>150,680.93</v>
          </cell>
        </row>
        <row r="435">
          <cell r="A435" t="str">
            <v>مصروفات مرور وانتظار السيارات</v>
          </cell>
          <cell r="B435" t="str">
            <v>0001</v>
          </cell>
          <cell r="C435" t="str">
            <v>03</v>
          </cell>
          <cell r="D435" t="str">
            <v>06</v>
          </cell>
          <cell r="E435" t="str">
            <v>6</v>
          </cell>
          <cell r="F435" t="str">
            <v>13,328.44</v>
          </cell>
          <cell r="H435" t="str">
            <v>62,207.97</v>
          </cell>
          <cell r="J435" t="str">
            <v>62,207.97</v>
          </cell>
        </row>
        <row r="436">
          <cell r="A436" t="str">
            <v>مصروفات سيارات- تأمين</v>
          </cell>
          <cell r="B436" t="str">
            <v>0001</v>
          </cell>
          <cell r="C436" t="str">
            <v>04</v>
          </cell>
          <cell r="D436" t="str">
            <v>06</v>
          </cell>
          <cell r="E436" t="str">
            <v>6</v>
          </cell>
          <cell r="F436" t="str">
            <v>13,906.70</v>
          </cell>
          <cell r="H436" t="str">
            <v>13,906.70</v>
          </cell>
          <cell r="J436" t="str">
            <v>13,906.70</v>
          </cell>
        </row>
        <row r="437">
          <cell r="A437" t="str">
            <v>مصروفات سيارات-زيوت وشحوم</v>
          </cell>
          <cell r="B437" t="str">
            <v>0001</v>
          </cell>
          <cell r="C437" t="str">
            <v>05</v>
          </cell>
          <cell r="D437" t="str">
            <v>06</v>
          </cell>
          <cell r="E437" t="str">
            <v>6</v>
          </cell>
          <cell r="F437" t="str">
            <v>7,465.83</v>
          </cell>
          <cell r="H437" t="str">
            <v>84,340.18</v>
          </cell>
          <cell r="I437" t="str">
            <v>120.00</v>
          </cell>
          <cell r="J437" t="str">
            <v>84,220.18</v>
          </cell>
        </row>
        <row r="438">
          <cell r="A438" t="str">
            <v>ايجار سيارات - ملاكى</v>
          </cell>
          <cell r="B438" t="str">
            <v>0001</v>
          </cell>
          <cell r="C438" t="str">
            <v>06</v>
          </cell>
          <cell r="D438" t="str">
            <v>06</v>
          </cell>
          <cell r="E438" t="str">
            <v>6</v>
          </cell>
          <cell r="F438" t="str">
            <v>301,877.34</v>
          </cell>
          <cell r="H438" t="str">
            <v>1,592,139.28</v>
          </cell>
          <cell r="I438" t="str">
            <v>37,023.01</v>
          </cell>
          <cell r="J438" t="str">
            <v>1,555,116.27</v>
          </cell>
        </row>
        <row r="439">
          <cell r="A439" t="str">
            <v>ايجار معدات</v>
          </cell>
          <cell r="B439" t="str">
            <v>0002</v>
          </cell>
          <cell r="C439" t="str">
            <v>06</v>
          </cell>
          <cell r="D439" t="str">
            <v>06</v>
          </cell>
          <cell r="E439" t="str">
            <v>6</v>
          </cell>
          <cell r="F439" t="str">
            <v>1,286,938.15</v>
          </cell>
          <cell r="G439" t="str">
            <v>499,212.31</v>
          </cell>
          <cell r="H439" t="str">
            <v>8,046,663.65</v>
          </cell>
          <cell r="I439" t="str">
            <v>4,112,186.89</v>
          </cell>
          <cell r="J439" t="str">
            <v>3,934,476.76</v>
          </cell>
        </row>
        <row r="440">
          <cell r="A440" t="str">
            <v>ايجار سيارات - نقل عاملين</v>
          </cell>
          <cell r="B440" t="str">
            <v>0003</v>
          </cell>
          <cell r="C440" t="str">
            <v>06</v>
          </cell>
          <cell r="D440" t="str">
            <v>06</v>
          </cell>
          <cell r="E440" t="str">
            <v>6</v>
          </cell>
          <cell r="F440" t="str">
            <v>1,401,024.41</v>
          </cell>
          <cell r="G440" t="str">
            <v>691,616.80</v>
          </cell>
          <cell r="H440" t="str">
            <v>9,823,665.83</v>
          </cell>
          <cell r="I440" t="str">
            <v>4,890,784.04</v>
          </cell>
          <cell r="J440" t="str">
            <v>4,932,881.79</v>
          </cell>
        </row>
        <row r="441">
          <cell r="A441" t="str">
            <v>ايجارات اخرى</v>
          </cell>
          <cell r="B441" t="str">
            <v>0004</v>
          </cell>
          <cell r="C441" t="str">
            <v>06</v>
          </cell>
          <cell r="D441" t="str">
            <v>06</v>
          </cell>
          <cell r="E441" t="str">
            <v>6</v>
          </cell>
          <cell r="F441" t="str">
            <v>160.00</v>
          </cell>
          <cell r="G441" t="str">
            <v>13,040.00</v>
          </cell>
          <cell r="H441" t="str">
            <v>157,693.75</v>
          </cell>
          <cell r="I441" t="str">
            <v>122,540.00</v>
          </cell>
          <cell r="J441" t="str">
            <v>35,153.75</v>
          </cell>
        </row>
        <row r="442">
          <cell r="A442" t="str">
            <v>مصروفات سيارات- تجديد رخص</v>
          </cell>
          <cell r="B442" t="str">
            <v>0001</v>
          </cell>
          <cell r="C442" t="str">
            <v>07</v>
          </cell>
          <cell r="D442" t="str">
            <v>06</v>
          </cell>
          <cell r="E442" t="str">
            <v>6</v>
          </cell>
          <cell r="F442" t="str">
            <v>23,349.80</v>
          </cell>
          <cell r="H442" t="str">
            <v>44,958.25</v>
          </cell>
          <cell r="J442" t="str">
            <v>44,958.25</v>
          </cell>
        </row>
        <row r="443">
          <cell r="A443" t="str">
            <v>وقود معدات</v>
          </cell>
          <cell r="B443" t="str">
            <v>0001</v>
          </cell>
          <cell r="C443" t="str">
            <v>08</v>
          </cell>
          <cell r="D443" t="str">
            <v>06</v>
          </cell>
          <cell r="E443" t="str">
            <v>6</v>
          </cell>
          <cell r="F443" t="str">
            <v>3,587.00</v>
          </cell>
          <cell r="H443" t="str">
            <v>10,626.75</v>
          </cell>
          <cell r="J443" t="str">
            <v>10,626.75</v>
          </cell>
        </row>
        <row r="444">
          <cell r="A444" t="str">
            <v>صيانة معدات</v>
          </cell>
          <cell r="B444" t="str">
            <v>0001</v>
          </cell>
          <cell r="C444" t="str">
            <v>09</v>
          </cell>
          <cell r="D444" t="str">
            <v>06</v>
          </cell>
          <cell r="E444" t="str">
            <v>6</v>
          </cell>
          <cell r="F444" t="str">
            <v>35,634.64</v>
          </cell>
          <cell r="G444" t="str">
            <v>470.00</v>
          </cell>
          <cell r="H444" t="str">
            <v>195,992.72</v>
          </cell>
          <cell r="I444" t="str">
            <v>470.00</v>
          </cell>
          <cell r="J444" t="str">
            <v>195,522.72</v>
          </cell>
        </row>
        <row r="445">
          <cell r="A445" t="str">
            <v>مرور معدات</v>
          </cell>
          <cell r="B445" t="str">
            <v>0001</v>
          </cell>
          <cell r="C445" t="str">
            <v>10</v>
          </cell>
          <cell r="D445" t="str">
            <v>06</v>
          </cell>
          <cell r="E445" t="str">
            <v>6</v>
          </cell>
          <cell r="H445" t="str">
            <v>4,435.75</v>
          </cell>
          <cell r="J445" t="str">
            <v>4,435.75</v>
          </cell>
        </row>
        <row r="446">
          <cell r="A446" t="str">
            <v>أدوات مكتبية</v>
          </cell>
          <cell r="B446" t="str">
            <v>0001</v>
          </cell>
          <cell r="C446" t="str">
            <v>01</v>
          </cell>
          <cell r="D446" t="str">
            <v>07</v>
          </cell>
          <cell r="E446" t="str">
            <v>6</v>
          </cell>
          <cell r="F446" t="str">
            <v>6,038.35</v>
          </cell>
          <cell r="H446" t="str">
            <v>39,514.18</v>
          </cell>
          <cell r="J446" t="str">
            <v>39,514.18</v>
          </cell>
        </row>
        <row r="447">
          <cell r="A447" t="str">
            <v>مطبوعات</v>
          </cell>
          <cell r="B447" t="str">
            <v>0001</v>
          </cell>
          <cell r="C447" t="str">
            <v>03</v>
          </cell>
          <cell r="D447" t="str">
            <v>07</v>
          </cell>
          <cell r="E447" t="str">
            <v>6</v>
          </cell>
          <cell r="F447" t="str">
            <v>517.91</v>
          </cell>
          <cell r="H447" t="str">
            <v>68,438.69</v>
          </cell>
          <cell r="J447" t="str">
            <v>68,438.69</v>
          </cell>
        </row>
        <row r="448">
          <cell r="A448" t="str">
            <v>بوفيه وضيافة مكتبية</v>
          </cell>
          <cell r="B448" t="str">
            <v>0001</v>
          </cell>
          <cell r="C448" t="str">
            <v>04</v>
          </cell>
          <cell r="D448" t="str">
            <v>07</v>
          </cell>
          <cell r="E448" t="str">
            <v>6</v>
          </cell>
          <cell r="F448" t="str">
            <v>66,118.44</v>
          </cell>
          <cell r="H448" t="str">
            <v>339,809.32</v>
          </cell>
          <cell r="I448" t="str">
            <v>5,000.00</v>
          </cell>
          <cell r="J448" t="str">
            <v>334,809.32</v>
          </cell>
        </row>
        <row r="449">
          <cell r="A449" t="str">
            <v>خدمات نظافة</v>
          </cell>
          <cell r="B449" t="str">
            <v>0001</v>
          </cell>
          <cell r="C449" t="str">
            <v>05</v>
          </cell>
          <cell r="D449" t="str">
            <v>07</v>
          </cell>
          <cell r="E449" t="str">
            <v>6</v>
          </cell>
          <cell r="F449" t="str">
            <v>38,061.05</v>
          </cell>
          <cell r="H449" t="str">
            <v>179,681.81</v>
          </cell>
          <cell r="I449" t="str">
            <v>20,492.74</v>
          </cell>
          <cell r="J449" t="str">
            <v>159,189.07</v>
          </cell>
        </row>
        <row r="450">
          <cell r="A450" t="str">
            <v>مصروفات كمبيوتر - قابل للإستهلاك</v>
          </cell>
          <cell r="B450" t="str">
            <v>0001</v>
          </cell>
          <cell r="C450" t="str">
            <v>06</v>
          </cell>
          <cell r="D450" t="str">
            <v>07</v>
          </cell>
          <cell r="E450" t="str">
            <v>6</v>
          </cell>
          <cell r="H450" t="str">
            <v>114,312.00</v>
          </cell>
          <cell r="I450" t="str">
            <v>2,585.00</v>
          </cell>
          <cell r="J450" t="str">
            <v>111,727.00</v>
          </cell>
        </row>
        <row r="451">
          <cell r="A451" t="str">
            <v>مصروفات كمبيوتر - صيانة أجزاء</v>
          </cell>
          <cell r="B451" t="str">
            <v>0001</v>
          </cell>
          <cell r="C451" t="str">
            <v>07</v>
          </cell>
          <cell r="D451" t="str">
            <v>07</v>
          </cell>
          <cell r="E451" t="str">
            <v>6</v>
          </cell>
          <cell r="F451" t="str">
            <v>1,692.62</v>
          </cell>
          <cell r="H451" t="str">
            <v>49,036.66</v>
          </cell>
          <cell r="J451" t="str">
            <v>49,036.66</v>
          </cell>
        </row>
        <row r="452">
          <cell r="A452" t="str">
            <v>مصروفات كمبيوتر - صيانة برامج</v>
          </cell>
          <cell r="B452" t="str">
            <v>0001</v>
          </cell>
          <cell r="C452" t="str">
            <v>08</v>
          </cell>
          <cell r="D452" t="str">
            <v>07</v>
          </cell>
          <cell r="E452" t="str">
            <v>6</v>
          </cell>
          <cell r="F452" t="str">
            <v>67,733.72</v>
          </cell>
          <cell r="H452" t="str">
            <v>100,339.47</v>
          </cell>
          <cell r="J452" t="str">
            <v>100,339.47</v>
          </cell>
        </row>
        <row r="453">
          <cell r="A453" t="str">
            <v>مصروفات زراعة نباتات</v>
          </cell>
          <cell r="B453" t="str">
            <v>0001</v>
          </cell>
          <cell r="C453" t="str">
            <v>10</v>
          </cell>
          <cell r="D453" t="str">
            <v>07</v>
          </cell>
          <cell r="E453" t="str">
            <v>6</v>
          </cell>
          <cell r="H453" t="str">
            <v>52,535.50</v>
          </cell>
          <cell r="J453" t="str">
            <v>52,535.50</v>
          </cell>
        </row>
        <row r="454">
          <cell r="A454" t="str">
            <v>مصروفات عقارات - ايجار مباني</v>
          </cell>
          <cell r="B454" t="str">
            <v>0001</v>
          </cell>
          <cell r="C454" t="str">
            <v>01</v>
          </cell>
          <cell r="D454" t="str">
            <v>08</v>
          </cell>
          <cell r="E454" t="str">
            <v>6</v>
          </cell>
          <cell r="F454" t="str">
            <v>47,630.00</v>
          </cell>
          <cell r="H454" t="str">
            <v>208,610.50</v>
          </cell>
          <cell r="I454" t="str">
            <v>7,000.00</v>
          </cell>
          <cell r="J454" t="str">
            <v>201,610.50</v>
          </cell>
        </row>
        <row r="455">
          <cell r="A455" t="str">
            <v>مصروفات عقارات - ايجار أراضي</v>
          </cell>
          <cell r="B455" t="str">
            <v>0002</v>
          </cell>
          <cell r="C455" t="str">
            <v>01</v>
          </cell>
          <cell r="D455" t="str">
            <v>08</v>
          </cell>
          <cell r="E455" t="str">
            <v>6</v>
          </cell>
          <cell r="F455" t="str">
            <v>56,750.00</v>
          </cell>
          <cell r="H455" t="str">
            <v>60,750.00</v>
          </cell>
          <cell r="J455" t="str">
            <v>60,750.00</v>
          </cell>
        </row>
        <row r="456">
          <cell r="A456" t="str">
            <v>مصروفات ايجار شقق</v>
          </cell>
          <cell r="B456" t="str">
            <v>0003</v>
          </cell>
          <cell r="C456" t="str">
            <v>01</v>
          </cell>
          <cell r="D456" t="str">
            <v>08</v>
          </cell>
          <cell r="E456" t="str">
            <v>6</v>
          </cell>
          <cell r="F456" t="str">
            <v>34,756.26</v>
          </cell>
          <cell r="H456" t="str">
            <v>194,018.54</v>
          </cell>
          <cell r="J456" t="str">
            <v>194,018.54</v>
          </cell>
        </row>
        <row r="457">
          <cell r="A457" t="str">
            <v>مصروفات عقارات - الصيانة</v>
          </cell>
          <cell r="B457" t="str">
            <v>0001</v>
          </cell>
          <cell r="C457" t="str">
            <v>02</v>
          </cell>
          <cell r="D457" t="str">
            <v>08</v>
          </cell>
          <cell r="E457" t="str">
            <v>6</v>
          </cell>
          <cell r="F457" t="str">
            <v>78.00</v>
          </cell>
          <cell r="H457" t="str">
            <v>6,026.53</v>
          </cell>
          <cell r="J457" t="str">
            <v>6,026.53</v>
          </cell>
        </row>
        <row r="458">
          <cell r="A458" t="str">
            <v>مصروفات حراسة</v>
          </cell>
          <cell r="B458" t="str">
            <v>0001</v>
          </cell>
          <cell r="C458" t="str">
            <v>01</v>
          </cell>
          <cell r="D458" t="str">
            <v>09</v>
          </cell>
          <cell r="E458" t="str">
            <v>6</v>
          </cell>
          <cell r="F458" t="str">
            <v>15,997.24</v>
          </cell>
          <cell r="H458" t="str">
            <v>110,562.65</v>
          </cell>
          <cell r="I458" t="str">
            <v>935.00</v>
          </cell>
          <cell r="J458" t="str">
            <v>109,627.65</v>
          </cell>
        </row>
        <row r="459">
          <cell r="A459" t="str">
            <v>ملابس وأزياء عمل أمان</v>
          </cell>
          <cell r="B459" t="str">
            <v>0001</v>
          </cell>
          <cell r="C459" t="str">
            <v>02</v>
          </cell>
          <cell r="D459" t="str">
            <v>09</v>
          </cell>
          <cell r="E459" t="str">
            <v>6</v>
          </cell>
          <cell r="F459" t="str">
            <v>292.55</v>
          </cell>
          <cell r="H459" t="str">
            <v>292.55</v>
          </cell>
          <cell r="I459" t="str">
            <v>92.00</v>
          </cell>
          <cell r="J459" t="str">
            <v>200.55</v>
          </cell>
        </row>
        <row r="460">
          <cell r="A460" t="str">
            <v>حفلات إجتماعية</v>
          </cell>
          <cell r="B460" t="str">
            <v>0001</v>
          </cell>
          <cell r="C460" t="str">
            <v>05</v>
          </cell>
          <cell r="D460" t="str">
            <v>10</v>
          </cell>
          <cell r="E460" t="str">
            <v>6</v>
          </cell>
          <cell r="H460" t="str">
            <v>1,320.75</v>
          </cell>
          <cell r="J460" t="str">
            <v>1,320.75</v>
          </cell>
        </row>
        <row r="461">
          <cell r="A461" t="str">
            <v>مصروفات تأمين- حريق</v>
          </cell>
          <cell r="B461" t="str">
            <v>0001</v>
          </cell>
          <cell r="C461" t="str">
            <v>01</v>
          </cell>
          <cell r="D461" t="str">
            <v>11</v>
          </cell>
          <cell r="E461" t="str">
            <v>6</v>
          </cell>
          <cell r="H461" t="str">
            <v>211,747.50</v>
          </cell>
          <cell r="J461" t="str">
            <v>211,747.50</v>
          </cell>
        </row>
        <row r="462">
          <cell r="A462" t="str">
            <v>مصروفات تأمين -  سرقة</v>
          </cell>
          <cell r="B462" t="str">
            <v>0001</v>
          </cell>
          <cell r="C462" t="str">
            <v>02</v>
          </cell>
          <cell r="D462" t="str">
            <v>11</v>
          </cell>
          <cell r="E462" t="str">
            <v>6</v>
          </cell>
          <cell r="H462" t="str">
            <v>12,957.60</v>
          </cell>
          <cell r="J462" t="str">
            <v>12,957.60</v>
          </cell>
        </row>
        <row r="463">
          <cell r="A463" t="str">
            <v>مصروفات تأمين -  خيانة امانة</v>
          </cell>
          <cell r="B463" t="str">
            <v>0001</v>
          </cell>
          <cell r="C463" t="str">
            <v>03</v>
          </cell>
          <cell r="D463" t="str">
            <v>11</v>
          </cell>
          <cell r="E463" t="str">
            <v>6</v>
          </cell>
          <cell r="H463" t="str">
            <v>15,747.80</v>
          </cell>
          <cell r="J463" t="str">
            <v>15,747.80</v>
          </cell>
        </row>
        <row r="464">
          <cell r="A464" t="str">
            <v>مصروفات تأمين - مشروعات</v>
          </cell>
          <cell r="B464" t="str">
            <v>0001</v>
          </cell>
          <cell r="C464" t="str">
            <v>04</v>
          </cell>
          <cell r="D464" t="str">
            <v>11</v>
          </cell>
          <cell r="E464" t="str">
            <v>6</v>
          </cell>
          <cell r="F464" t="str">
            <v>365,458.58</v>
          </cell>
          <cell r="H464" t="str">
            <v>1,654,322.95</v>
          </cell>
          <cell r="I464" t="str">
            <v>324,215.72</v>
          </cell>
          <cell r="J464" t="str">
            <v>1,330,107.23</v>
          </cell>
        </row>
        <row r="465">
          <cell r="A465" t="str">
            <v>مصروفات تامين - شحن بحرى</v>
          </cell>
          <cell r="B465" t="str">
            <v>0001</v>
          </cell>
          <cell r="C465" t="str">
            <v>05</v>
          </cell>
          <cell r="D465" t="str">
            <v>11</v>
          </cell>
          <cell r="E465" t="str">
            <v>6</v>
          </cell>
          <cell r="F465" t="str">
            <v>3,489.98</v>
          </cell>
          <cell r="H465" t="str">
            <v>559,197.14</v>
          </cell>
          <cell r="I465" t="str">
            <v>42,128.72</v>
          </cell>
          <cell r="J465" t="str">
            <v>517,068.42</v>
          </cell>
        </row>
        <row r="466">
          <cell r="A466" t="str">
            <v>مصروفات تامين - شحن جوى</v>
          </cell>
          <cell r="B466" t="str">
            <v>0001</v>
          </cell>
          <cell r="C466" t="str">
            <v>06</v>
          </cell>
          <cell r="D466" t="str">
            <v>11</v>
          </cell>
          <cell r="E466" t="str">
            <v>6</v>
          </cell>
          <cell r="F466" t="str">
            <v>1,020.28</v>
          </cell>
          <cell r="H466" t="str">
            <v>3,511.12</v>
          </cell>
          <cell r="J466" t="str">
            <v>3,511.12</v>
          </cell>
        </row>
        <row r="467">
          <cell r="A467" t="str">
            <v>مصروفات تامين - شحن برى</v>
          </cell>
          <cell r="B467" t="str">
            <v>0002</v>
          </cell>
          <cell r="C467" t="str">
            <v>06</v>
          </cell>
          <cell r="D467" t="str">
            <v>11</v>
          </cell>
          <cell r="E467" t="str">
            <v>6</v>
          </cell>
          <cell r="F467" t="str">
            <v>8,338.43</v>
          </cell>
          <cell r="H467" t="str">
            <v>64,358.66</v>
          </cell>
          <cell r="J467" t="str">
            <v>64,358.66</v>
          </cell>
        </row>
        <row r="468">
          <cell r="A468" t="str">
            <v>مصروفات تامين - سيارات</v>
          </cell>
          <cell r="B468" t="str">
            <v>0001</v>
          </cell>
          <cell r="C468" t="str">
            <v>07</v>
          </cell>
          <cell r="D468" t="str">
            <v>11</v>
          </cell>
          <cell r="E468" t="str">
            <v>6</v>
          </cell>
          <cell r="F468" t="str">
            <v>2,500.00</v>
          </cell>
          <cell r="H468" t="str">
            <v>58,985.00</v>
          </cell>
          <cell r="J468" t="str">
            <v>58,985.00</v>
          </cell>
        </row>
        <row r="469">
          <cell r="A469" t="str">
            <v>مصروفات تامين شامل</v>
          </cell>
          <cell r="B469" t="str">
            <v>0001</v>
          </cell>
          <cell r="C469" t="str">
            <v>08</v>
          </cell>
          <cell r="D469" t="str">
            <v>11</v>
          </cell>
          <cell r="E469" t="str">
            <v>6</v>
          </cell>
          <cell r="H469" t="str">
            <v>601,649.50</v>
          </cell>
          <cell r="J469" t="str">
            <v>601,649.50</v>
          </cell>
        </row>
        <row r="470">
          <cell r="A470" t="str">
            <v>مصروفات تأمين أخرى</v>
          </cell>
          <cell r="B470" t="str">
            <v>0001</v>
          </cell>
          <cell r="C470" t="str">
            <v>99</v>
          </cell>
          <cell r="D470" t="str">
            <v>11</v>
          </cell>
          <cell r="E470" t="str">
            <v>6</v>
          </cell>
          <cell r="F470" t="str">
            <v>1,193.09</v>
          </cell>
          <cell r="H470" t="str">
            <v>377,199.75</v>
          </cell>
          <cell r="J470" t="str">
            <v>377,199.75</v>
          </cell>
        </row>
        <row r="471">
          <cell r="A471" t="str">
            <v>مصروفات قانونية</v>
          </cell>
          <cell r="B471" t="str">
            <v>0001</v>
          </cell>
          <cell r="C471" t="str">
            <v>01</v>
          </cell>
          <cell r="D471" t="str">
            <v>12</v>
          </cell>
          <cell r="E471" t="str">
            <v>6</v>
          </cell>
          <cell r="F471" t="str">
            <v>31,709.82</v>
          </cell>
          <cell r="G471" t="str">
            <v>3,000.00</v>
          </cell>
          <cell r="H471" t="str">
            <v>75,188.99</v>
          </cell>
          <cell r="I471" t="str">
            <v>4,000.00</v>
          </cell>
          <cell r="J471" t="str">
            <v>71,188.99</v>
          </cell>
        </row>
        <row r="472">
          <cell r="A472" t="str">
            <v>أتعاب مراجعة</v>
          </cell>
          <cell r="B472" t="str">
            <v>0001</v>
          </cell>
          <cell r="C472" t="str">
            <v>02</v>
          </cell>
          <cell r="D472" t="str">
            <v>12</v>
          </cell>
          <cell r="E472" t="str">
            <v>6</v>
          </cell>
          <cell r="F472" t="str">
            <v>127,000.00</v>
          </cell>
          <cell r="G472" t="str">
            <v>125,000.00</v>
          </cell>
          <cell r="H472" t="str">
            <v>147,000.00</v>
          </cell>
          <cell r="I472" t="str">
            <v>125,000.00</v>
          </cell>
          <cell r="J472" t="str">
            <v>22,000.00</v>
          </cell>
        </row>
        <row r="473">
          <cell r="A473" t="str">
            <v>إستشارات مالية و ضريبية</v>
          </cell>
          <cell r="B473" t="str">
            <v>0001</v>
          </cell>
          <cell r="C473" t="str">
            <v>03</v>
          </cell>
          <cell r="D473" t="str">
            <v>12</v>
          </cell>
          <cell r="E473" t="str">
            <v>6</v>
          </cell>
          <cell r="F473" t="str">
            <v>162,000.00</v>
          </cell>
          <cell r="H473" t="str">
            <v>872,000.00</v>
          </cell>
          <cell r="J473" t="str">
            <v>872,000.00</v>
          </cell>
        </row>
        <row r="474">
          <cell r="A474" t="str">
            <v>استشارات اخرى</v>
          </cell>
          <cell r="B474" t="str">
            <v>0002</v>
          </cell>
          <cell r="C474" t="str">
            <v>03</v>
          </cell>
          <cell r="D474" t="str">
            <v>12</v>
          </cell>
          <cell r="E474" t="str">
            <v>6</v>
          </cell>
          <cell r="F474" t="str">
            <v>1,951.29</v>
          </cell>
          <cell r="H474" t="str">
            <v>225,225.29</v>
          </cell>
          <cell r="J474" t="str">
            <v>225,225.29</v>
          </cell>
        </row>
        <row r="475">
          <cell r="A475" t="str">
            <v>تصنيع</v>
          </cell>
          <cell r="B475" t="str">
            <v>0001</v>
          </cell>
          <cell r="C475" t="str">
            <v>04</v>
          </cell>
          <cell r="D475" t="str">
            <v>12</v>
          </cell>
          <cell r="E475" t="str">
            <v>6</v>
          </cell>
          <cell r="H475" t="str">
            <v>150.00</v>
          </cell>
          <cell r="J475" t="str">
            <v>150.00</v>
          </cell>
        </row>
        <row r="476">
          <cell r="A476" t="str">
            <v>نقل - مواد خام</v>
          </cell>
          <cell r="B476" t="str">
            <v>0001</v>
          </cell>
          <cell r="C476" t="str">
            <v>06</v>
          </cell>
          <cell r="D476" t="str">
            <v>12</v>
          </cell>
          <cell r="E476" t="str">
            <v>6</v>
          </cell>
          <cell r="F476" t="str">
            <v>94,178.68</v>
          </cell>
          <cell r="G476" t="str">
            <v>40,758.38</v>
          </cell>
          <cell r="H476" t="str">
            <v>229,270.03</v>
          </cell>
          <cell r="I476" t="str">
            <v>40,758.38</v>
          </cell>
          <cell r="J476" t="str">
            <v>188,511.65</v>
          </cell>
        </row>
        <row r="477">
          <cell r="A477" t="str">
            <v>نقل - بضاعة تامة الصنع</v>
          </cell>
          <cell r="B477" t="str">
            <v>0002</v>
          </cell>
          <cell r="C477" t="str">
            <v>06</v>
          </cell>
          <cell r="D477" t="str">
            <v>12</v>
          </cell>
          <cell r="E477" t="str">
            <v>6</v>
          </cell>
          <cell r="H477" t="str">
            <v>74,836.00</v>
          </cell>
          <cell r="J477" t="str">
            <v>74,836.00</v>
          </cell>
        </row>
        <row r="478">
          <cell r="A478" t="str">
            <v>نقل معدات</v>
          </cell>
          <cell r="B478" t="str">
            <v>0003</v>
          </cell>
          <cell r="C478" t="str">
            <v>06</v>
          </cell>
          <cell r="D478" t="str">
            <v>12</v>
          </cell>
          <cell r="E478" t="str">
            <v>6</v>
          </cell>
          <cell r="F478" t="str">
            <v>36,663.93</v>
          </cell>
          <cell r="G478" t="str">
            <v>8,958.15</v>
          </cell>
          <cell r="H478" t="str">
            <v>1,162,553.67</v>
          </cell>
          <cell r="I478" t="str">
            <v>66,993.15</v>
          </cell>
          <cell r="J478" t="str">
            <v>1,095,560.52</v>
          </cell>
        </row>
        <row r="479">
          <cell r="A479" t="str">
            <v>أخرى متعاقد عليها</v>
          </cell>
          <cell r="B479" t="str">
            <v>0001</v>
          </cell>
          <cell r="C479" t="str">
            <v>09</v>
          </cell>
          <cell r="D479" t="str">
            <v>12</v>
          </cell>
          <cell r="E479" t="str">
            <v>6</v>
          </cell>
          <cell r="F479" t="str">
            <v>105,242.00</v>
          </cell>
          <cell r="H479" t="str">
            <v>216,122.00</v>
          </cell>
          <cell r="J479" t="str">
            <v>216,122.00</v>
          </cell>
        </row>
        <row r="480">
          <cell r="A480" t="str">
            <v>مصروفات صيانة</v>
          </cell>
          <cell r="B480" t="str">
            <v>0001</v>
          </cell>
          <cell r="C480" t="str">
            <v>01</v>
          </cell>
          <cell r="D480" t="str">
            <v>13</v>
          </cell>
          <cell r="E480" t="str">
            <v>6</v>
          </cell>
          <cell r="F480" t="str">
            <v>125,897.48</v>
          </cell>
          <cell r="G480" t="str">
            <v>1,100.00</v>
          </cell>
          <cell r="H480" t="str">
            <v>345,608.61</v>
          </cell>
          <cell r="I480" t="str">
            <v>21,695.75</v>
          </cell>
          <cell r="J480" t="str">
            <v>323,912.86</v>
          </cell>
        </row>
        <row r="481">
          <cell r="A481" t="str">
            <v>غازات صناعية</v>
          </cell>
          <cell r="B481" t="str">
            <v>0001</v>
          </cell>
          <cell r="C481" t="str">
            <v>02</v>
          </cell>
          <cell r="D481" t="str">
            <v>13</v>
          </cell>
          <cell r="E481" t="str">
            <v>6</v>
          </cell>
          <cell r="F481" t="str">
            <v>8,839.60</v>
          </cell>
          <cell r="H481" t="str">
            <v>42,776.80</v>
          </cell>
          <cell r="J481" t="str">
            <v>42,776.80</v>
          </cell>
        </row>
        <row r="482">
          <cell r="A482" t="str">
            <v>شحن وتخليص</v>
          </cell>
          <cell r="B482" t="str">
            <v>0001</v>
          </cell>
          <cell r="C482" t="str">
            <v>03</v>
          </cell>
          <cell r="D482" t="str">
            <v>13</v>
          </cell>
          <cell r="E482" t="str">
            <v>6</v>
          </cell>
          <cell r="F482" t="str">
            <v>13,072,661.21</v>
          </cell>
          <cell r="G482" t="str">
            <v>15,063,075.38</v>
          </cell>
          <cell r="H482" t="str">
            <v>32,830,773.63</v>
          </cell>
          <cell r="I482" t="str">
            <v>19,774,643.82</v>
          </cell>
          <cell r="J482" t="str">
            <v>13,056,129.81</v>
          </cell>
        </row>
        <row r="483">
          <cell r="A483" t="str">
            <v>تشغيل بواسطة الغير</v>
          </cell>
          <cell r="B483" t="str">
            <v>0001</v>
          </cell>
          <cell r="C483" t="str">
            <v>04</v>
          </cell>
          <cell r="D483" t="str">
            <v>13</v>
          </cell>
          <cell r="E483" t="str">
            <v>6</v>
          </cell>
          <cell r="G483" t="str">
            <v>205,860.00</v>
          </cell>
          <cell r="H483" t="str">
            <v>33,598,148.39</v>
          </cell>
          <cell r="I483" t="str">
            <v>89,916,371.70</v>
          </cell>
          <cell r="K483" t="str">
            <v>56,318,223.31</v>
          </cell>
        </row>
        <row r="484">
          <cell r="A484" t="str">
            <v>تشغيل بواسطة الغير - ترميل ودهان</v>
          </cell>
          <cell r="B484" t="str">
            <v>0002</v>
          </cell>
          <cell r="C484" t="str">
            <v>04</v>
          </cell>
          <cell r="D484" t="str">
            <v>13</v>
          </cell>
          <cell r="E484" t="str">
            <v>6</v>
          </cell>
          <cell r="F484" t="str">
            <v>282,700.12</v>
          </cell>
          <cell r="G484" t="str">
            <v>140,000.00</v>
          </cell>
          <cell r="H484" t="str">
            <v>473,526.41</v>
          </cell>
          <cell r="I484" t="str">
            <v>140,000.00</v>
          </cell>
          <cell r="J484" t="str">
            <v>333,526.41</v>
          </cell>
        </row>
        <row r="485">
          <cell r="A485" t="str">
            <v>تشغيل بواسطة الغير  - فحص واختبارات</v>
          </cell>
          <cell r="B485" t="str">
            <v>0003</v>
          </cell>
          <cell r="C485" t="str">
            <v>04</v>
          </cell>
          <cell r="D485" t="str">
            <v>13</v>
          </cell>
          <cell r="E485" t="str">
            <v>6</v>
          </cell>
          <cell r="F485" t="str">
            <v>29,514.00</v>
          </cell>
          <cell r="H485" t="str">
            <v>52,124.90</v>
          </cell>
          <cell r="J485" t="str">
            <v>52,124.90</v>
          </cell>
        </row>
        <row r="486">
          <cell r="A486" t="str">
            <v>تشغيل بواسطة الغير - اعمال عزل</v>
          </cell>
          <cell r="B486" t="str">
            <v>0004</v>
          </cell>
          <cell r="C486" t="str">
            <v>04</v>
          </cell>
          <cell r="D486" t="str">
            <v>13</v>
          </cell>
          <cell r="E486" t="str">
            <v>6</v>
          </cell>
          <cell r="H486" t="str">
            <v>890,224.52</v>
          </cell>
          <cell r="I486" t="str">
            <v>1,500.00</v>
          </cell>
          <cell r="J486" t="str">
            <v>888,724.52</v>
          </cell>
        </row>
        <row r="487">
          <cell r="A487" t="str">
            <v>تشغيل بواسطة الغير - اعمال تصنيع</v>
          </cell>
          <cell r="B487" t="str">
            <v>0005</v>
          </cell>
          <cell r="C487" t="str">
            <v>04</v>
          </cell>
          <cell r="D487" t="str">
            <v>13</v>
          </cell>
          <cell r="E487" t="str">
            <v>6</v>
          </cell>
          <cell r="F487" t="str">
            <v>57,878.09</v>
          </cell>
          <cell r="H487" t="str">
            <v>160,621.00</v>
          </cell>
          <cell r="I487" t="str">
            <v>14,742.00</v>
          </cell>
          <cell r="J487" t="str">
            <v>145,879.00</v>
          </cell>
        </row>
        <row r="488">
          <cell r="A488" t="str">
            <v>دمغات</v>
          </cell>
          <cell r="B488" t="str">
            <v>0001</v>
          </cell>
          <cell r="C488" t="str">
            <v>05</v>
          </cell>
          <cell r="D488" t="str">
            <v>14</v>
          </cell>
          <cell r="E488" t="str">
            <v>6</v>
          </cell>
          <cell r="F488" t="str">
            <v>2.00</v>
          </cell>
          <cell r="H488" t="str">
            <v>308.64</v>
          </cell>
          <cell r="J488" t="str">
            <v>308.64</v>
          </cell>
        </row>
        <row r="489">
          <cell r="A489" t="str">
            <v>توريدات بالموقع - معدات</v>
          </cell>
          <cell r="B489" t="str">
            <v>0001</v>
          </cell>
          <cell r="C489" t="str">
            <v>01</v>
          </cell>
          <cell r="D489" t="str">
            <v>15</v>
          </cell>
          <cell r="E489" t="str">
            <v>6</v>
          </cell>
          <cell r="F489" t="str">
            <v>141,923,020.78</v>
          </cell>
          <cell r="G489" t="str">
            <v>122,808,335.77</v>
          </cell>
          <cell r="H489" t="str">
            <v>500,287,917.48</v>
          </cell>
          <cell r="I489" t="str">
            <v>383,731,814.77</v>
          </cell>
          <cell r="J489" t="str">
            <v>116,556,102.71</v>
          </cell>
        </row>
        <row r="490">
          <cell r="A490" t="str">
            <v>مصروفات تامينات اجتماعية - السويس</v>
          </cell>
          <cell r="B490" t="str">
            <v>0003</v>
          </cell>
          <cell r="C490" t="str">
            <v>01</v>
          </cell>
          <cell r="D490" t="str">
            <v>17</v>
          </cell>
          <cell r="E490" t="str">
            <v>6</v>
          </cell>
          <cell r="H490" t="str">
            <v>37,729.80</v>
          </cell>
          <cell r="I490" t="str">
            <v>2,015.34</v>
          </cell>
          <cell r="J490" t="str">
            <v>35,714.46</v>
          </cell>
        </row>
        <row r="491">
          <cell r="A491" t="str">
            <v>مصروفات تامينات اجتماعية - العريش</v>
          </cell>
          <cell r="B491" t="str">
            <v>0007</v>
          </cell>
          <cell r="C491" t="str">
            <v>01</v>
          </cell>
          <cell r="D491" t="str">
            <v>17</v>
          </cell>
          <cell r="E491" t="str">
            <v>6</v>
          </cell>
          <cell r="F491" t="str">
            <v>1,031,645.88</v>
          </cell>
          <cell r="G491" t="str">
            <v>1,038,738.56</v>
          </cell>
          <cell r="H491" t="str">
            <v>10,489,724.63</v>
          </cell>
          <cell r="I491" t="str">
            <v>11,533,236.76</v>
          </cell>
          <cell r="K491" t="str">
            <v>1,043,512.13</v>
          </cell>
        </row>
        <row r="492">
          <cell r="A492" t="str">
            <v>مصروفات تامينات اجتماعية - العامرية</v>
          </cell>
          <cell r="B492" t="str">
            <v>0009</v>
          </cell>
          <cell r="C492" t="str">
            <v>01</v>
          </cell>
          <cell r="D492" t="str">
            <v>17</v>
          </cell>
          <cell r="E492" t="str">
            <v>6</v>
          </cell>
          <cell r="I492" t="str">
            <v>10,731.95</v>
          </cell>
          <cell r="K492" t="str">
            <v>10,731.95</v>
          </cell>
        </row>
        <row r="493">
          <cell r="A493" t="str">
            <v>مصروفات تامينات اجتماعية - العاشر</v>
          </cell>
          <cell r="B493" t="str">
            <v>0015</v>
          </cell>
          <cell r="C493" t="str">
            <v>01</v>
          </cell>
          <cell r="D493" t="str">
            <v>17</v>
          </cell>
          <cell r="E493" t="str">
            <v>6</v>
          </cell>
          <cell r="H493" t="str">
            <v>26,827.90</v>
          </cell>
          <cell r="J493" t="str">
            <v>26,827.90</v>
          </cell>
        </row>
        <row r="494">
          <cell r="A494" t="str">
            <v>مصروفات تامينات اجتماعية - طلخا و كريمات</v>
          </cell>
          <cell r="B494" t="str">
            <v>0016</v>
          </cell>
          <cell r="C494" t="str">
            <v>01</v>
          </cell>
          <cell r="D494" t="str">
            <v>17</v>
          </cell>
          <cell r="E494" t="str">
            <v>6</v>
          </cell>
          <cell r="H494" t="str">
            <v>521,636.57</v>
          </cell>
          <cell r="J494" t="str">
            <v>521,636.57</v>
          </cell>
        </row>
        <row r="495">
          <cell r="A495" t="str">
            <v>مصروفات تامينات اجتماعية - المنيا</v>
          </cell>
          <cell r="B495" t="str">
            <v>0017</v>
          </cell>
          <cell r="C495" t="str">
            <v>01</v>
          </cell>
          <cell r="D495" t="str">
            <v>17</v>
          </cell>
          <cell r="E495" t="str">
            <v>6</v>
          </cell>
          <cell r="F495" t="str">
            <v>633,135.73</v>
          </cell>
          <cell r="G495" t="str">
            <v>739,620.98</v>
          </cell>
          <cell r="H495" t="str">
            <v>2,675,307.94</v>
          </cell>
          <cell r="I495" t="str">
            <v>1,872,237.19</v>
          </cell>
          <cell r="J495" t="str">
            <v>803,070.75</v>
          </cell>
        </row>
        <row r="496">
          <cell r="A496" t="str">
            <v>مصروفات - مخصص مخزون راكد</v>
          </cell>
          <cell r="B496" t="str">
            <v>0001</v>
          </cell>
          <cell r="C496" t="str">
            <v>01</v>
          </cell>
          <cell r="D496" t="str">
            <v>18</v>
          </cell>
          <cell r="E496" t="str">
            <v>6</v>
          </cell>
          <cell r="H496" t="str">
            <v>6,932,024.00</v>
          </cell>
          <cell r="J496" t="str">
            <v>6,932,024.00</v>
          </cell>
        </row>
        <row r="497">
          <cell r="A497" t="str">
            <v>مصروفات-مخصص ديون مشكوك فى تحصيلها-عملاء</v>
          </cell>
          <cell r="B497" t="str">
            <v>0002</v>
          </cell>
          <cell r="C497" t="str">
            <v>01</v>
          </cell>
          <cell r="D497" t="str">
            <v>18</v>
          </cell>
          <cell r="E497" t="str">
            <v>6</v>
          </cell>
          <cell r="H497" t="str">
            <v>55,325.00</v>
          </cell>
          <cell r="J497" t="str">
            <v>55,325.00</v>
          </cell>
        </row>
        <row r="498">
          <cell r="A498" t="str">
            <v>مصروفات - ضرائب مبيعات</v>
          </cell>
          <cell r="B498" t="str">
            <v>0004</v>
          </cell>
          <cell r="C498" t="str">
            <v>01</v>
          </cell>
          <cell r="D498" t="str">
            <v>19</v>
          </cell>
          <cell r="E498" t="str">
            <v>6</v>
          </cell>
          <cell r="H498" t="str">
            <v>7,927,207.74</v>
          </cell>
          <cell r="I498" t="str">
            <v>7,803,756.89</v>
          </cell>
          <cell r="J498" t="str">
            <v>123,450.85</v>
          </cell>
        </row>
        <row r="499">
          <cell r="A499" t="str">
            <v>مصروفات - ضريبة الدخل المؤجلة</v>
          </cell>
          <cell r="B499" t="str">
            <v>0006</v>
          </cell>
          <cell r="C499" t="str">
            <v>01</v>
          </cell>
          <cell r="D499" t="str">
            <v>19</v>
          </cell>
          <cell r="E499" t="str">
            <v>6</v>
          </cell>
          <cell r="F499" t="str">
            <v>2,209,453.00</v>
          </cell>
          <cell r="G499" t="str">
            <v>22,985.00</v>
          </cell>
          <cell r="H499" t="str">
            <v>3,466,705.00</v>
          </cell>
          <cell r="I499" t="str">
            <v>550,269.00</v>
          </cell>
          <cell r="J499" t="str">
            <v>2,916,436.00</v>
          </cell>
        </row>
        <row r="500">
          <cell r="A500" t="str">
            <v>مصروفات - ضرائب أخرى</v>
          </cell>
          <cell r="B500" t="str">
            <v>0999</v>
          </cell>
          <cell r="C500" t="str">
            <v>01</v>
          </cell>
          <cell r="D500" t="str">
            <v>19</v>
          </cell>
          <cell r="E500" t="str">
            <v>6</v>
          </cell>
          <cell r="H500" t="str">
            <v>6,278.40</v>
          </cell>
          <cell r="J500" t="str">
            <v>6,278.40</v>
          </cell>
        </row>
        <row r="501">
          <cell r="A501" t="str">
            <v>مقاولوا باطن - اعمال مدنية - انشاءات</v>
          </cell>
          <cell r="B501" t="str">
            <v>0001</v>
          </cell>
          <cell r="C501" t="str">
            <v>01</v>
          </cell>
          <cell r="D501" t="str">
            <v>20</v>
          </cell>
          <cell r="E501" t="str">
            <v>6</v>
          </cell>
          <cell r="F501" t="str">
            <v>45,815,881.48</v>
          </cell>
          <cell r="G501" t="str">
            <v>33,055,415.07</v>
          </cell>
          <cell r="H501" t="str">
            <v>289,201,944.17</v>
          </cell>
          <cell r="I501" t="str">
            <v>155,093,512.64</v>
          </cell>
          <cell r="J501" t="str">
            <v>134,108,431.53</v>
          </cell>
        </row>
        <row r="502">
          <cell r="A502" t="str">
            <v>مقاولوا باطن - اعمال مدنية -مباني ادارية</v>
          </cell>
          <cell r="B502" t="str">
            <v>0002</v>
          </cell>
          <cell r="C502" t="str">
            <v>01</v>
          </cell>
          <cell r="D502" t="str">
            <v>20</v>
          </cell>
          <cell r="E502" t="str">
            <v>6</v>
          </cell>
          <cell r="F502" t="str">
            <v>167,799.50</v>
          </cell>
          <cell r="G502" t="str">
            <v>46,483.76</v>
          </cell>
          <cell r="H502" t="str">
            <v>1,259,847.62</v>
          </cell>
          <cell r="I502" t="str">
            <v>581,630.76</v>
          </cell>
          <cell r="J502" t="str">
            <v>678,216.86</v>
          </cell>
        </row>
        <row r="503">
          <cell r="A503" t="str">
            <v>مقاولوا -اعمال رسومات هندسية</v>
          </cell>
          <cell r="B503" t="str">
            <v>0003</v>
          </cell>
          <cell r="C503" t="str">
            <v>01</v>
          </cell>
          <cell r="D503" t="str">
            <v>20</v>
          </cell>
          <cell r="E503" t="str">
            <v>6</v>
          </cell>
          <cell r="F503" t="str">
            <v>44,696,883.66</v>
          </cell>
          <cell r="G503" t="str">
            <v>42,923,534.36</v>
          </cell>
          <cell r="H503" t="str">
            <v>185,090,022.32</v>
          </cell>
          <cell r="I503" t="str">
            <v>160,099,745.02</v>
          </cell>
          <cell r="J503" t="str">
            <v>24,990,277.30</v>
          </cell>
        </row>
        <row r="504">
          <cell r="A504" t="str">
            <v>مقاولوا باطن - اعمال مدنية - كهربائية</v>
          </cell>
          <cell r="B504" t="str">
            <v>0004</v>
          </cell>
          <cell r="C504" t="str">
            <v>01</v>
          </cell>
          <cell r="D504" t="str">
            <v>20</v>
          </cell>
          <cell r="E504" t="str">
            <v>6</v>
          </cell>
          <cell r="F504" t="str">
            <v>41,374,141.09</v>
          </cell>
          <cell r="G504" t="str">
            <v>20,053,343.04</v>
          </cell>
          <cell r="H504" t="str">
            <v>135,135,156.44</v>
          </cell>
          <cell r="I504" t="str">
            <v>70,894,968.02</v>
          </cell>
          <cell r="J504" t="str">
            <v>64,240,188.42</v>
          </cell>
        </row>
        <row r="505">
          <cell r="A505" t="str">
            <v>مقاولوا باطن - اعمال هدم</v>
          </cell>
          <cell r="B505" t="str">
            <v>0005</v>
          </cell>
          <cell r="C505" t="str">
            <v>01</v>
          </cell>
          <cell r="D505" t="str">
            <v>20</v>
          </cell>
          <cell r="E505" t="str">
            <v>6</v>
          </cell>
          <cell r="F505" t="str">
            <v>140,250.00</v>
          </cell>
          <cell r="H505" t="str">
            <v>654,500.00</v>
          </cell>
          <cell r="J505" t="str">
            <v>654,500.00</v>
          </cell>
        </row>
        <row r="506">
          <cell r="A506" t="str">
            <v>مقاولوا باطن - اعمال جسات</v>
          </cell>
          <cell r="B506" t="str">
            <v>0006</v>
          </cell>
          <cell r="C506" t="str">
            <v>01</v>
          </cell>
          <cell r="D506" t="str">
            <v>20</v>
          </cell>
          <cell r="E506" t="str">
            <v>6</v>
          </cell>
          <cell r="F506" t="str">
            <v>1,541,939.80</v>
          </cell>
          <cell r="H506" t="str">
            <v>2,340,617.28</v>
          </cell>
          <cell r="J506" t="str">
            <v>2,340,617.28</v>
          </cell>
        </row>
        <row r="507">
          <cell r="A507" t="str">
            <v>مقاولوا باطن - توصيل مرافق</v>
          </cell>
          <cell r="B507" t="str">
            <v>0007</v>
          </cell>
          <cell r="C507" t="str">
            <v>01</v>
          </cell>
          <cell r="D507" t="str">
            <v>20</v>
          </cell>
          <cell r="E507" t="str">
            <v>6</v>
          </cell>
          <cell r="H507" t="str">
            <v>430,633.46</v>
          </cell>
          <cell r="J507" t="str">
            <v>430,633.46</v>
          </cell>
        </row>
        <row r="508">
          <cell r="A508" t="str">
            <v>مصروفات ايجار تمويلى ونش 400 طن</v>
          </cell>
          <cell r="B508" t="str">
            <v>0001</v>
          </cell>
          <cell r="C508" t="str">
            <v>01</v>
          </cell>
          <cell r="D508" t="str">
            <v>90</v>
          </cell>
          <cell r="E508" t="str">
            <v>6</v>
          </cell>
          <cell r="F508" t="str">
            <v>390,686.00</v>
          </cell>
          <cell r="H508" t="str">
            <v>1,929,564.00</v>
          </cell>
          <cell r="J508" t="str">
            <v>1,929,564.00</v>
          </cell>
        </row>
        <row r="509">
          <cell r="A509" t="str">
            <v>م تامين ايجار تمويلى ونش 400 طن</v>
          </cell>
          <cell r="B509" t="str">
            <v>0002</v>
          </cell>
          <cell r="C509" t="str">
            <v>01</v>
          </cell>
          <cell r="D509" t="str">
            <v>90</v>
          </cell>
          <cell r="E509" t="str">
            <v>6</v>
          </cell>
          <cell r="F509" t="str">
            <v>7,323.25</v>
          </cell>
          <cell r="H509" t="str">
            <v>43,939.50</v>
          </cell>
          <cell r="J509" t="str">
            <v>43,939.50</v>
          </cell>
        </row>
        <row r="510">
          <cell r="A510" t="str">
            <v>مصروفات ايجار تمويلى - 2 أتوبيس MCV400</v>
          </cell>
          <cell r="B510" t="str">
            <v>0001</v>
          </cell>
          <cell r="C510" t="str">
            <v>02</v>
          </cell>
          <cell r="D510" t="str">
            <v>90</v>
          </cell>
          <cell r="E510" t="str">
            <v>6</v>
          </cell>
          <cell r="F510" t="str">
            <v>17,093.50</v>
          </cell>
          <cell r="H510" t="str">
            <v>102,561.00</v>
          </cell>
          <cell r="J510" t="str">
            <v>102,561.00</v>
          </cell>
        </row>
        <row r="511">
          <cell r="A511" t="str">
            <v>م.صيانة ايجار تمويلى - 2 أتوبيس MCV400</v>
          </cell>
          <cell r="B511" t="str">
            <v>0003</v>
          </cell>
          <cell r="C511" t="str">
            <v>02</v>
          </cell>
          <cell r="D511" t="str">
            <v>90</v>
          </cell>
          <cell r="E511" t="str">
            <v>6</v>
          </cell>
          <cell r="H511" t="str">
            <v>4,342.29</v>
          </cell>
          <cell r="I511" t="str">
            <v>1,716.98</v>
          </cell>
          <cell r="J511" t="str">
            <v>2,625.31</v>
          </cell>
        </row>
        <row r="512">
          <cell r="A512" t="str">
            <v>م. ايجارتمويلى - حفار كوماتسو BC220</v>
          </cell>
          <cell r="B512" t="str">
            <v>0001</v>
          </cell>
          <cell r="C512" t="str">
            <v>03</v>
          </cell>
          <cell r="D512" t="str">
            <v>90</v>
          </cell>
          <cell r="E512" t="str">
            <v>6</v>
          </cell>
          <cell r="H512" t="str">
            <v>130,526.00</v>
          </cell>
          <cell r="J512" t="str">
            <v>130,526.00</v>
          </cell>
        </row>
        <row r="513">
          <cell r="A513" t="str">
            <v>م.تأمين ايجارتمويلى - حفار كوماتسوBC220</v>
          </cell>
          <cell r="B513" t="str">
            <v>0002</v>
          </cell>
          <cell r="C513" t="str">
            <v>03</v>
          </cell>
          <cell r="D513" t="str">
            <v>90</v>
          </cell>
          <cell r="E513" t="str">
            <v>6</v>
          </cell>
          <cell r="H513" t="str">
            <v>5,260.00</v>
          </cell>
          <cell r="J513" t="str">
            <v>5,260.00</v>
          </cell>
        </row>
        <row r="514">
          <cell r="A514" t="str">
            <v>م.ايجار تمويلى (حفاركاتينة+2لودر مفصلى)</v>
          </cell>
          <cell r="B514" t="str">
            <v>0001</v>
          </cell>
          <cell r="C514" t="str">
            <v>04</v>
          </cell>
          <cell r="D514" t="str">
            <v>90</v>
          </cell>
          <cell r="E514" t="str">
            <v>6</v>
          </cell>
          <cell r="H514" t="str">
            <v>221,415.00</v>
          </cell>
          <cell r="J514" t="str">
            <v>221,415.00</v>
          </cell>
        </row>
        <row r="515">
          <cell r="A515" t="str">
            <v>م.تامين تمويلى (حفاركاتينة+2لودر مفصلى)</v>
          </cell>
          <cell r="B515" t="str">
            <v>0002</v>
          </cell>
          <cell r="C515" t="str">
            <v>04</v>
          </cell>
          <cell r="D515" t="str">
            <v>90</v>
          </cell>
          <cell r="E515" t="str">
            <v>6</v>
          </cell>
          <cell r="H515" t="str">
            <v>18,745.00</v>
          </cell>
          <cell r="J515" t="str">
            <v>18,745.00</v>
          </cell>
        </row>
        <row r="516">
          <cell r="A516" t="str">
            <v>مصروفات سنوات سابقة</v>
          </cell>
          <cell r="B516" t="str">
            <v>0001</v>
          </cell>
          <cell r="C516" t="str">
            <v>01</v>
          </cell>
          <cell r="D516" t="str">
            <v>98</v>
          </cell>
          <cell r="E516" t="str">
            <v>6</v>
          </cell>
          <cell r="H516" t="str">
            <v>2,389,187.59</v>
          </cell>
          <cell r="I516" t="str">
            <v>23,737.84</v>
          </cell>
          <cell r="J516" t="str">
            <v>2,365,449.75</v>
          </cell>
        </row>
        <row r="517">
          <cell r="A517" t="str">
            <v>مصروفات حكومية  -  داخل مصر</v>
          </cell>
          <cell r="B517" t="str">
            <v>0001</v>
          </cell>
          <cell r="C517" t="str">
            <v>01</v>
          </cell>
          <cell r="D517" t="str">
            <v>99</v>
          </cell>
          <cell r="E517" t="str">
            <v>6</v>
          </cell>
          <cell r="H517" t="str">
            <v>100.00</v>
          </cell>
          <cell r="J517" t="str">
            <v>100.00</v>
          </cell>
        </row>
        <row r="518">
          <cell r="A518" t="str">
            <v>رسوم ترخيص</v>
          </cell>
          <cell r="B518" t="str">
            <v>0001</v>
          </cell>
          <cell r="C518" t="str">
            <v>03</v>
          </cell>
          <cell r="D518" t="str">
            <v>99</v>
          </cell>
          <cell r="E518" t="str">
            <v>6</v>
          </cell>
          <cell r="H518" t="str">
            <v>44.80</v>
          </cell>
          <cell r="J518" t="str">
            <v>44.80</v>
          </cell>
        </row>
        <row r="519">
          <cell r="A519" t="str">
            <v>غرامات وتعويضات</v>
          </cell>
          <cell r="B519" t="str">
            <v>0001</v>
          </cell>
          <cell r="C519" t="str">
            <v>04</v>
          </cell>
          <cell r="D519" t="str">
            <v>99</v>
          </cell>
          <cell r="E519" t="str">
            <v>6</v>
          </cell>
          <cell r="F519" t="str">
            <v>5,338,902.90</v>
          </cell>
          <cell r="G519" t="str">
            <v>3,987,256.95</v>
          </cell>
          <cell r="H519" t="str">
            <v>34,340,293.46</v>
          </cell>
          <cell r="I519" t="str">
            <v>22,718,487.12</v>
          </cell>
          <cell r="J519" t="str">
            <v>11,621,806.34</v>
          </cell>
        </row>
        <row r="520">
          <cell r="A520" t="str">
            <v>دمغات</v>
          </cell>
          <cell r="B520" t="str">
            <v>0001</v>
          </cell>
          <cell r="C520" t="str">
            <v>05</v>
          </cell>
          <cell r="D520" t="str">
            <v>99</v>
          </cell>
          <cell r="E520" t="str">
            <v>6</v>
          </cell>
          <cell r="F520" t="str">
            <v>137.98</v>
          </cell>
          <cell r="H520" t="str">
            <v>117,864.05</v>
          </cell>
          <cell r="I520" t="str">
            <v>116,274.14</v>
          </cell>
          <cell r="J520" t="str">
            <v>1,589.91</v>
          </cell>
        </row>
        <row r="521">
          <cell r="A521" t="str">
            <v>إكراميات</v>
          </cell>
          <cell r="B521" t="str">
            <v>0001</v>
          </cell>
          <cell r="C521" t="str">
            <v>06</v>
          </cell>
          <cell r="D521" t="str">
            <v>99</v>
          </cell>
          <cell r="E521" t="str">
            <v>6</v>
          </cell>
          <cell r="F521" t="str">
            <v>4,550.90</v>
          </cell>
          <cell r="H521" t="str">
            <v>72,385.20</v>
          </cell>
          <cell r="I521" t="str">
            <v>33,990.00</v>
          </cell>
          <cell r="J521" t="str">
            <v>38,395.20</v>
          </cell>
        </row>
        <row r="522">
          <cell r="A522" t="str">
            <v>رسوم جمركية وتخليص</v>
          </cell>
          <cell r="B522" t="str">
            <v>0001</v>
          </cell>
          <cell r="C522" t="str">
            <v>07</v>
          </cell>
          <cell r="D522" t="str">
            <v>99</v>
          </cell>
          <cell r="E522" t="str">
            <v>6</v>
          </cell>
          <cell r="F522" t="str">
            <v>1,040.40</v>
          </cell>
          <cell r="H522" t="str">
            <v>3,788.16</v>
          </cell>
          <cell r="J522" t="str">
            <v>3,788.16</v>
          </cell>
        </row>
        <row r="523">
          <cell r="A523" t="str">
            <v>مصروفات متنوعة أخرى</v>
          </cell>
          <cell r="B523" t="str">
            <v>0001</v>
          </cell>
          <cell r="C523" t="str">
            <v>08</v>
          </cell>
          <cell r="D523" t="str">
            <v>99</v>
          </cell>
          <cell r="E523" t="str">
            <v>6</v>
          </cell>
          <cell r="F523" t="str">
            <v>14,421,526.86</v>
          </cell>
          <cell r="G523" t="str">
            <v>14,435,758.47</v>
          </cell>
          <cell r="H523" t="str">
            <v>79,065,210.06</v>
          </cell>
          <cell r="I523" t="str">
            <v>69,710,003.65</v>
          </cell>
          <cell r="J523" t="str">
            <v>9,355,206.41</v>
          </cell>
        </row>
        <row r="524">
          <cell r="A524" t="str">
            <v>تكلفة اعمال تحت التنفيذ</v>
          </cell>
          <cell r="B524" t="str">
            <v>0001</v>
          </cell>
          <cell r="C524" t="str">
            <v>09</v>
          </cell>
          <cell r="D524" t="str">
            <v>99</v>
          </cell>
          <cell r="E524" t="str">
            <v>6</v>
          </cell>
          <cell r="F524" t="str">
            <v>16,062,529.50</v>
          </cell>
          <cell r="G524" t="str">
            <v>81,955,198.17</v>
          </cell>
          <cell r="H524" t="str">
            <v>247,466,707.56</v>
          </cell>
          <cell r="I524" t="str">
            <v>237,889,428.73</v>
          </cell>
          <cell r="J524" t="str">
            <v>9,577,278.83</v>
          </cell>
        </row>
        <row r="525">
          <cell r="A525" t="str">
            <v>مصروفات بنكيه- جنيه مصري</v>
          </cell>
          <cell r="B525" t="str">
            <v>0001</v>
          </cell>
          <cell r="C525" t="str">
            <v>01</v>
          </cell>
          <cell r="D525" t="str">
            <v>01</v>
          </cell>
          <cell r="E525" t="str">
            <v>7</v>
          </cell>
          <cell r="F525" t="str">
            <v>1,179,091.24</v>
          </cell>
          <cell r="G525" t="str">
            <v>563,629.40</v>
          </cell>
          <cell r="H525" t="str">
            <v>3,819,847.19</v>
          </cell>
          <cell r="I525" t="str">
            <v>612,315.03</v>
          </cell>
          <cell r="J525" t="str">
            <v>3,207,532.16</v>
          </cell>
        </row>
        <row r="526">
          <cell r="A526" t="str">
            <v>مصروفات بنكيه- دولار</v>
          </cell>
          <cell r="B526" t="str">
            <v>0002</v>
          </cell>
          <cell r="C526" t="str">
            <v>01</v>
          </cell>
          <cell r="D526" t="str">
            <v>01</v>
          </cell>
          <cell r="E526" t="str">
            <v>7</v>
          </cell>
          <cell r="F526" t="str">
            <v>36,024.09</v>
          </cell>
          <cell r="G526" t="str">
            <v>34,091.90</v>
          </cell>
          <cell r="H526" t="str">
            <v>1,310,910.85</v>
          </cell>
          <cell r="I526" t="str">
            <v>34,091.90</v>
          </cell>
          <cell r="J526" t="str">
            <v>1,276,818.95</v>
          </cell>
        </row>
        <row r="527">
          <cell r="A527" t="str">
            <v>مصروفات بنكيه  يورو</v>
          </cell>
          <cell r="B527" t="str">
            <v>0003</v>
          </cell>
          <cell r="C527" t="str">
            <v>01</v>
          </cell>
          <cell r="D527" t="str">
            <v>01</v>
          </cell>
          <cell r="E527" t="str">
            <v>7</v>
          </cell>
          <cell r="F527" t="str">
            <v>1,130,631.96</v>
          </cell>
          <cell r="G527" t="str">
            <v>440,997.23</v>
          </cell>
          <cell r="H527" t="str">
            <v>2,092,317.57</v>
          </cell>
          <cell r="I527" t="str">
            <v>468,298.24</v>
          </cell>
          <cell r="J527" t="str">
            <v>1,624,019.33</v>
          </cell>
        </row>
        <row r="528">
          <cell r="A528" t="str">
            <v>مصروفات بنكيه جنيه استرلينى</v>
          </cell>
          <cell r="B528" t="str">
            <v>0005</v>
          </cell>
          <cell r="C528" t="str">
            <v>01</v>
          </cell>
          <cell r="D528" t="str">
            <v>01</v>
          </cell>
          <cell r="E528" t="str">
            <v>7</v>
          </cell>
          <cell r="F528" t="str">
            <v>1,098.92</v>
          </cell>
          <cell r="H528" t="str">
            <v>1,098.92</v>
          </cell>
          <cell r="J528" t="str">
            <v>1,098.92</v>
          </cell>
        </row>
        <row r="529">
          <cell r="A529" t="str">
            <v>م بنكية -دينار سودانى</v>
          </cell>
          <cell r="B529" t="str">
            <v>0007</v>
          </cell>
          <cell r="C529" t="str">
            <v>01</v>
          </cell>
          <cell r="D529" t="str">
            <v>01</v>
          </cell>
          <cell r="E529" t="str">
            <v>7</v>
          </cell>
          <cell r="F529" t="str">
            <v>6,521.69</v>
          </cell>
          <cell r="H529" t="str">
            <v>28,267.58</v>
          </cell>
          <cell r="I529" t="str">
            <v>2,983.88</v>
          </cell>
          <cell r="J529" t="str">
            <v>25,283.70</v>
          </cell>
        </row>
        <row r="530">
          <cell r="A530" t="str">
            <v>عموله اعلى رصيد جنيه</v>
          </cell>
          <cell r="B530" t="str">
            <v>0001</v>
          </cell>
          <cell r="C530" t="str">
            <v>02</v>
          </cell>
          <cell r="D530" t="str">
            <v>01</v>
          </cell>
          <cell r="E530" t="str">
            <v>7</v>
          </cell>
          <cell r="F530" t="str">
            <v>4,760.00</v>
          </cell>
          <cell r="H530" t="str">
            <v>6,921.83</v>
          </cell>
          <cell r="J530" t="str">
            <v>6,921.83</v>
          </cell>
        </row>
        <row r="531">
          <cell r="A531" t="str">
            <v>عموله اعلى رصيد يورو</v>
          </cell>
          <cell r="B531" t="str">
            <v>0003</v>
          </cell>
          <cell r="C531" t="str">
            <v>02</v>
          </cell>
          <cell r="D531" t="str">
            <v>01</v>
          </cell>
          <cell r="E531" t="str">
            <v>7</v>
          </cell>
          <cell r="H531" t="str">
            <v>114.49</v>
          </cell>
          <cell r="J531" t="str">
            <v>114.49</v>
          </cell>
        </row>
        <row r="532">
          <cell r="A532" t="str">
            <v>فوائد بنكيه جنيه</v>
          </cell>
          <cell r="B532" t="str">
            <v>0001</v>
          </cell>
          <cell r="C532" t="str">
            <v>03</v>
          </cell>
          <cell r="D532" t="str">
            <v>01</v>
          </cell>
          <cell r="E532" t="str">
            <v>7</v>
          </cell>
          <cell r="F532" t="str">
            <v>1,071,506.97</v>
          </cell>
          <cell r="H532" t="str">
            <v>6,235,332.97</v>
          </cell>
          <cell r="I532" t="str">
            <v>2,143,981.67</v>
          </cell>
          <cell r="J532" t="str">
            <v>4,091,351.30</v>
          </cell>
        </row>
        <row r="533">
          <cell r="A533" t="str">
            <v>فوائد بنكيه دولار</v>
          </cell>
          <cell r="B533" t="str">
            <v>0002</v>
          </cell>
          <cell r="C533" t="str">
            <v>03</v>
          </cell>
          <cell r="D533" t="str">
            <v>01</v>
          </cell>
          <cell r="E533" t="str">
            <v>7</v>
          </cell>
          <cell r="F533" t="str">
            <v>21,175.66</v>
          </cell>
          <cell r="G533" t="str">
            <v>6,429.35</v>
          </cell>
          <cell r="H533" t="str">
            <v>102,898.57</v>
          </cell>
          <cell r="I533" t="str">
            <v>7,058.98</v>
          </cell>
          <cell r="J533" t="str">
            <v>95,839.59</v>
          </cell>
        </row>
        <row r="534">
          <cell r="A534" t="str">
            <v>فوائد بنكيه يورو</v>
          </cell>
          <cell r="B534" t="str">
            <v>0003</v>
          </cell>
          <cell r="C534" t="str">
            <v>03</v>
          </cell>
          <cell r="D534" t="str">
            <v>01</v>
          </cell>
          <cell r="E534" t="str">
            <v>7</v>
          </cell>
          <cell r="F534" t="str">
            <v>1,044.14</v>
          </cell>
          <cell r="H534" t="str">
            <v>1,061,780.00</v>
          </cell>
          <cell r="I534" t="str">
            <v>48.22</v>
          </cell>
          <cell r="J534" t="str">
            <v>1,061,731.78</v>
          </cell>
        </row>
        <row r="535">
          <cell r="A535" t="str">
            <v>فروق تغيير عملات</v>
          </cell>
          <cell r="B535" t="str">
            <v>0001</v>
          </cell>
          <cell r="C535" t="str">
            <v>30</v>
          </cell>
          <cell r="D535" t="str">
            <v>01</v>
          </cell>
          <cell r="E535" t="str">
            <v>7</v>
          </cell>
          <cell r="F535" t="str">
            <v>7,792,446.78</v>
          </cell>
          <cell r="G535" t="str">
            <v>4,232,849.73</v>
          </cell>
          <cell r="H535" t="str">
            <v>17,983,035.82</v>
          </cell>
          <cell r="I535" t="str">
            <v>12,197,835.61</v>
          </cell>
          <cell r="J535" t="str">
            <v>5,785,200.21</v>
          </cell>
        </row>
        <row r="536">
          <cell r="A536" t="str">
            <v>خسائر  تكهين أصول ثابتة</v>
          </cell>
          <cell r="B536" t="str">
            <v>0002</v>
          </cell>
          <cell r="C536" t="str">
            <v>40</v>
          </cell>
          <cell r="D536" t="str">
            <v>01</v>
          </cell>
          <cell r="E536" t="str">
            <v>7</v>
          </cell>
          <cell r="H536" t="str">
            <v>341,442.12</v>
          </cell>
          <cell r="I536" t="str">
            <v>268,821.06</v>
          </cell>
          <cell r="J536" t="str">
            <v>72,621.06</v>
          </cell>
        </row>
        <row r="537">
          <cell r="A537" t="str">
            <v>مصروفات إهلاك - مباني</v>
          </cell>
          <cell r="B537" t="str">
            <v>0001</v>
          </cell>
          <cell r="C537" t="str">
            <v>01</v>
          </cell>
          <cell r="D537" t="str">
            <v>90</v>
          </cell>
          <cell r="E537" t="str">
            <v>7</v>
          </cell>
          <cell r="F537" t="str">
            <v>572,040.36</v>
          </cell>
          <cell r="H537" t="str">
            <v>572,040.36</v>
          </cell>
          <cell r="J537" t="str">
            <v>572,040.36</v>
          </cell>
        </row>
        <row r="538">
          <cell r="A538" t="str">
            <v>مصروفات إهلاك - معدات نقل - أوناش</v>
          </cell>
          <cell r="B538" t="str">
            <v>0003</v>
          </cell>
          <cell r="C538" t="str">
            <v>01</v>
          </cell>
          <cell r="D538" t="str">
            <v>90</v>
          </cell>
          <cell r="E538" t="str">
            <v>7</v>
          </cell>
          <cell r="H538" t="str">
            <v>3,550,091.52</v>
          </cell>
          <cell r="J538" t="str">
            <v>3,550,091.52</v>
          </cell>
        </row>
        <row r="539">
          <cell r="A539" t="str">
            <v>مصروفات إهلاك - معدات نقل - سيارات نقل</v>
          </cell>
          <cell r="B539" t="str">
            <v>0004</v>
          </cell>
          <cell r="C539" t="str">
            <v>01</v>
          </cell>
          <cell r="D539" t="str">
            <v>90</v>
          </cell>
          <cell r="E539" t="str">
            <v>7</v>
          </cell>
          <cell r="H539" t="str">
            <v>326,579.47</v>
          </cell>
          <cell r="J539" t="str">
            <v>326,579.47</v>
          </cell>
        </row>
        <row r="540">
          <cell r="A540" t="str">
            <v>فوائد ودائع لأجل</v>
          </cell>
          <cell r="B540" t="str">
            <v>0001</v>
          </cell>
          <cell r="C540" t="str">
            <v>05</v>
          </cell>
          <cell r="D540" t="str">
            <v>01</v>
          </cell>
          <cell r="E540" t="str">
            <v>8</v>
          </cell>
          <cell r="I540" t="str">
            <v>30,479.96</v>
          </cell>
          <cell r="K540" t="str">
            <v>30,479.96</v>
          </cell>
        </row>
        <row r="541">
          <cell r="A541" t="str">
            <v>فوائد حسابات جارية دائنة</v>
          </cell>
          <cell r="B541" t="str">
            <v>0002</v>
          </cell>
          <cell r="C541" t="str">
            <v>05</v>
          </cell>
          <cell r="D541" t="str">
            <v>01</v>
          </cell>
          <cell r="E541" t="str">
            <v>8</v>
          </cell>
          <cell r="F541" t="str">
            <v>18,428.31</v>
          </cell>
          <cell r="G541" t="str">
            <v>187,841.82</v>
          </cell>
          <cell r="H541" t="str">
            <v>18,428.31</v>
          </cell>
          <cell r="I541" t="str">
            <v>193,771.35</v>
          </cell>
          <cell r="K541" t="str">
            <v>175,343.04</v>
          </cell>
        </row>
        <row r="542">
          <cell r="A542" t="str">
            <v>إيرادات فوائد مؤجلة</v>
          </cell>
          <cell r="B542" t="str">
            <v>0001</v>
          </cell>
          <cell r="C542" t="str">
            <v>10</v>
          </cell>
          <cell r="D542" t="str">
            <v>01</v>
          </cell>
          <cell r="E542" t="str">
            <v>8</v>
          </cell>
          <cell r="G542" t="str">
            <v>595.76</v>
          </cell>
          <cell r="I542" t="str">
            <v>1,466.70</v>
          </cell>
          <cell r="K542" t="str">
            <v>1,466.70</v>
          </cell>
        </row>
        <row r="543">
          <cell r="A543" t="str">
            <v>إيرادات بيع خردة</v>
          </cell>
          <cell r="B543" t="str">
            <v>0001</v>
          </cell>
          <cell r="C543" t="str">
            <v>35</v>
          </cell>
          <cell r="D543" t="str">
            <v>01</v>
          </cell>
          <cell r="E543" t="str">
            <v>8</v>
          </cell>
          <cell r="G543" t="str">
            <v>172,544.00</v>
          </cell>
          <cell r="I543" t="str">
            <v>172,544.00</v>
          </cell>
          <cell r="K543" t="str">
            <v>172,544.00</v>
          </cell>
        </row>
        <row r="544">
          <cell r="A544" t="str">
            <v>إيرادات أخرى</v>
          </cell>
          <cell r="B544" t="str">
            <v>0001</v>
          </cell>
          <cell r="C544" t="str">
            <v>99</v>
          </cell>
          <cell r="D544" t="str">
            <v>01</v>
          </cell>
          <cell r="E544" t="str">
            <v>8</v>
          </cell>
          <cell r="G544" t="str">
            <v>30,000.00</v>
          </cell>
          <cell r="I544" t="str">
            <v>60,000.00</v>
          </cell>
          <cell r="K544" t="str">
            <v>60,000.00</v>
          </cell>
        </row>
        <row r="545">
          <cell r="A545" t="str">
            <v>حساب وسيط المشتريات</v>
          </cell>
          <cell r="B545" t="str">
            <v>0002</v>
          </cell>
          <cell r="C545" t="str">
            <v>99</v>
          </cell>
          <cell r="D545" t="str">
            <v>99</v>
          </cell>
          <cell r="E545" t="str">
            <v>9</v>
          </cell>
          <cell r="F545" t="str">
            <v>90,645,701.80</v>
          </cell>
          <cell r="G545" t="str">
            <v>23,591,044.33</v>
          </cell>
          <cell r="H545" t="str">
            <v>183,655,094.42</v>
          </cell>
          <cell r="I545" t="str">
            <v>144,850,614.55</v>
          </cell>
          <cell r="J545" t="str">
            <v>38,804,479.87</v>
          </cell>
        </row>
        <row r="546">
          <cell r="A546" t="str">
            <v>إجمالى كلى</v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>2,861,984,830.71</v>
          </cell>
          <cell r="G546" t="str">
            <v>2,861,984,830.71</v>
          </cell>
          <cell r="H546" t="str">
            <v>17,117,750,448.55</v>
          </cell>
          <cell r="I546" t="str">
            <v>17,117,750,448.60</v>
          </cell>
          <cell r="J546" t="str">
            <v>1,994,843,801.79</v>
          </cell>
          <cell r="K546" t="str">
            <v>1,994,843,801.84</v>
          </cell>
        </row>
      </sheetData>
      <sheetData sheetId="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L TAKAMOL (3)"/>
      <sheetName val="sina gray (2)"/>
      <sheetName val="EL TAKAMOL (2)"/>
      <sheetName val="sina gray"/>
      <sheetName val="MASS JORDON"/>
      <sheetName val="EL TAKAMOL"/>
      <sheetName val="MASS JORDON (3)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&amp; Index"/>
      <sheetName val="Turnover"/>
      <sheetName val="Sheet6"/>
      <sheetName val="Actual &amp; Assumptions"/>
      <sheetName val="Financial Statements"/>
      <sheetName val="Loans"/>
      <sheetName val="RE &amp; Dividends"/>
      <sheetName val="Rev ASSUMP "/>
      <sheetName val="IS Assumption"/>
      <sheetName val="Sheet1"/>
      <sheetName val="Sheet2"/>
      <sheetName val="Sheet3"/>
      <sheetName val="Sheet4"/>
      <sheetName val="Budget 2022"/>
      <sheetName val="Budget Forms"/>
      <sheetName val="COGS-Budget 2022"/>
      <sheetName val="QH IS MTD"/>
      <sheetName val="QH IS YTD"/>
      <sheetName val="QH IS Qarters"/>
      <sheetName val="GP"/>
      <sheetName val="Governmental dues plan"/>
      <sheetName val="NDT Payments"/>
      <sheetName val="Ratio Analysis"/>
      <sheetName val="Checker"/>
      <sheetName val="Pro LIst"/>
      <sheetName val="CM %"/>
      <sheetName val="ZIS 01 - 06.2020"/>
      <sheetName val="Bud 2015"/>
      <sheetName val="BB TO 2021 old"/>
      <sheetName val="Signed Budget "/>
      <sheetName val="Sheet5"/>
      <sheetName val="Sheet7"/>
      <sheetName val="Sheet9"/>
    </sheetNames>
    <sheetDataSet>
      <sheetData sheetId="0">
        <row r="7">
          <cell r="G7" t="str">
            <v>ASA</v>
          </cell>
        </row>
      </sheetData>
      <sheetData sheetId="1">
        <row r="6">
          <cell r="C6">
            <v>81592</v>
          </cell>
          <cell r="D6">
            <v>118569</v>
          </cell>
          <cell r="E6">
            <v>175817</v>
          </cell>
          <cell r="F6">
            <v>199327</v>
          </cell>
          <cell r="G6">
            <v>203199.52499999999</v>
          </cell>
          <cell r="H6">
            <v>99837</v>
          </cell>
          <cell r="I6">
            <v>100659</v>
          </cell>
          <cell r="J6">
            <v>66300</v>
          </cell>
          <cell r="K6">
            <v>150177.75608000008</v>
          </cell>
          <cell r="L6">
            <v>38758</v>
          </cell>
          <cell r="M6">
            <v>61858.000000000007</v>
          </cell>
          <cell r="N6">
            <v>41104</v>
          </cell>
          <cell r="O6">
            <v>72228</v>
          </cell>
          <cell r="P6">
            <v>213948</v>
          </cell>
          <cell r="Q6">
            <v>59555.345710000009</v>
          </cell>
          <cell r="R6">
            <v>57539</v>
          </cell>
          <cell r="S6">
            <v>69535</v>
          </cell>
          <cell r="T6">
            <v>68308</v>
          </cell>
          <cell r="U6">
            <v>254937.34571000002</v>
          </cell>
          <cell r="V6">
            <v>93291</v>
          </cell>
          <cell r="W6">
            <v>34196</v>
          </cell>
          <cell r="X6">
            <v>58950.451850000005</v>
          </cell>
          <cell r="Y6">
            <v>53643</v>
          </cell>
          <cell r="Z6">
            <v>240080.45185000001</v>
          </cell>
          <cell r="AA6">
            <v>30504.511990000003</v>
          </cell>
          <cell r="AB6">
            <v>22386.849299999998</v>
          </cell>
          <cell r="AC6">
            <v>29592.746080000004</v>
          </cell>
          <cell r="AD6">
            <v>53398.813679999999</v>
          </cell>
          <cell r="AE6">
            <v>135882.92105</v>
          </cell>
          <cell r="AF6">
            <v>17691.54336</v>
          </cell>
          <cell r="AG6">
            <v>26050.103459999998</v>
          </cell>
          <cell r="AH6">
            <v>54184.778869999995</v>
          </cell>
          <cell r="AI6">
            <v>46473</v>
          </cell>
          <cell r="AJ6">
            <v>144399.42569</v>
          </cell>
          <cell r="AK6">
            <v>16775</v>
          </cell>
          <cell r="AL6">
            <v>17112</v>
          </cell>
          <cell r="AM6">
            <v>8800</v>
          </cell>
          <cell r="AN6">
            <v>29033</v>
          </cell>
          <cell r="AO6">
            <v>71720</v>
          </cell>
          <cell r="AP6">
            <v>28326.457740179285</v>
          </cell>
          <cell r="AQ6">
            <v>28154.64258840726</v>
          </cell>
          <cell r="AR6">
            <v>20950.480018306633</v>
          </cell>
          <cell r="AS6">
            <v>26943.943600000002</v>
          </cell>
          <cell r="AT6">
            <v>104375.52394689317</v>
          </cell>
          <cell r="AU6">
            <v>79475.674979999952</v>
          </cell>
          <cell r="AV6">
            <v>79224.315960000007</v>
          </cell>
          <cell r="AW6">
            <v>56099.999960000008</v>
          </cell>
          <cell r="AX6">
            <v>55339.709960000007</v>
          </cell>
          <cell r="AY6">
            <v>270139.70085999998</v>
          </cell>
          <cell r="AZ6">
            <v>289903.62694999995</v>
          </cell>
          <cell r="BA6">
            <v>318531.15418179997</v>
          </cell>
          <cell r="BB6">
            <v>350010.54907288391</v>
          </cell>
          <cell r="BC6">
            <v>384626.67183726345</v>
          </cell>
          <cell r="BD6">
            <v>422692.85891379364</v>
          </cell>
          <cell r="BE6">
            <v>464553.77029476094</v>
          </cell>
          <cell r="BF6">
            <v>510588.52157851268</v>
          </cell>
          <cell r="BG6">
            <v>561214.12921826774</v>
          </cell>
          <cell r="BH6">
            <v>616889.30028645566</v>
          </cell>
          <cell r="BI6">
            <v>678118.60120585305</v>
          </cell>
          <cell r="BJ6">
            <v>745457.04334391269</v>
          </cell>
          <cell r="BK6">
            <v>819515.12715630245</v>
          </cell>
          <cell r="BL6">
            <v>900964.39073427126</v>
          </cell>
        </row>
        <row r="7">
          <cell r="C7">
            <v>28250</v>
          </cell>
          <cell r="D7">
            <v>72752</v>
          </cell>
          <cell r="E7">
            <v>158634</v>
          </cell>
          <cell r="F7">
            <v>79210</v>
          </cell>
          <cell r="G7">
            <v>56138</v>
          </cell>
          <cell r="H7">
            <v>126372.633</v>
          </cell>
          <cell r="I7">
            <v>160090</v>
          </cell>
          <cell r="J7">
            <v>124195</v>
          </cell>
          <cell r="K7">
            <v>62261.245700000014</v>
          </cell>
          <cell r="L7">
            <v>12307</v>
          </cell>
          <cell r="M7">
            <v>16381.507249999708</v>
          </cell>
          <cell r="N7">
            <v>20312</v>
          </cell>
          <cell r="O7">
            <v>13952</v>
          </cell>
          <cell r="P7">
            <v>62952.507249999704</v>
          </cell>
          <cell r="Q7">
            <v>14145.46588</v>
          </cell>
          <cell r="R7">
            <v>10012</v>
          </cell>
          <cell r="S7">
            <v>23246</v>
          </cell>
          <cell r="T7">
            <v>15081</v>
          </cell>
          <cell r="U7">
            <v>62484.465880000003</v>
          </cell>
          <cell r="V7">
            <v>17336</v>
          </cell>
          <cell r="W7">
            <v>18589</v>
          </cell>
          <cell r="X7">
            <v>22448.56885</v>
          </cell>
          <cell r="Y7">
            <v>13713</v>
          </cell>
          <cell r="Z7">
            <v>72086.568849999996</v>
          </cell>
          <cell r="AA7">
            <v>22097.911459999999</v>
          </cell>
          <cell r="AB7">
            <v>15471.855810000001</v>
          </cell>
          <cell r="AC7">
            <v>17779.988089999999</v>
          </cell>
          <cell r="AD7">
            <v>16978.347139999998</v>
          </cell>
          <cell r="AE7">
            <v>72328.102499999994</v>
          </cell>
          <cell r="AF7">
            <v>17367.092070000002</v>
          </cell>
          <cell r="AG7">
            <v>16300.307649999999</v>
          </cell>
          <cell r="AH7">
            <v>13312.343969999998</v>
          </cell>
          <cell r="AI7">
            <v>12707</v>
          </cell>
          <cell r="AJ7">
            <v>59686.743690000003</v>
          </cell>
          <cell r="AK7">
            <v>14251</v>
          </cell>
          <cell r="AL7">
            <v>12844</v>
          </cell>
          <cell r="AM7">
            <v>11703</v>
          </cell>
          <cell r="AN7">
            <v>11543</v>
          </cell>
          <cell r="AO7">
            <v>50341</v>
          </cell>
          <cell r="AP7">
            <v>8041.6265799999992</v>
          </cell>
          <cell r="AQ7">
            <v>8932.6944700000004</v>
          </cell>
          <cell r="AR7">
            <v>5672.1650199999995</v>
          </cell>
          <cell r="AS7">
            <v>5250</v>
          </cell>
          <cell r="AT7">
            <v>27896.486069999999</v>
          </cell>
          <cell r="AU7">
            <v>5876.8980000000001</v>
          </cell>
          <cell r="AV7">
            <v>5276.8980000000001</v>
          </cell>
          <cell r="AW7">
            <v>2593.098</v>
          </cell>
          <cell r="AX7">
            <v>1350</v>
          </cell>
          <cell r="AY7">
            <v>15096.894</v>
          </cell>
          <cell r="AZ7">
            <v>22008.6279588</v>
          </cell>
          <cell r="BA7">
            <v>22668.886797563999</v>
          </cell>
          <cell r="BB7">
            <v>23348.953401490919</v>
          </cell>
          <cell r="BC7">
            <v>24049.422003535645</v>
          </cell>
          <cell r="BD7">
            <v>24770.904663641715</v>
          </cell>
          <cell r="BE7">
            <v>25514.031803550966</v>
          </cell>
          <cell r="BF7">
            <v>26279.452757657495</v>
          </cell>
          <cell r="BG7">
            <v>27067.836340387221</v>
          </cell>
          <cell r="BH7">
            <v>27879.871430598836</v>
          </cell>
          <cell r="BI7">
            <v>28716.267573516801</v>
          </cell>
          <cell r="BJ7">
            <v>29577.755600722307</v>
          </cell>
          <cell r="BK7">
            <v>30465.088268743977</v>
          </cell>
          <cell r="BL7">
            <v>31379.040916806298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4118.5330000000004</v>
          </cell>
          <cell r="H8">
            <v>70355.360000000001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</row>
        <row r="13">
          <cell r="B13" t="str">
            <v>Cost Of Operations</v>
          </cell>
          <cell r="C13">
            <v>-79505</v>
          </cell>
          <cell r="D13">
            <v>-142439</v>
          </cell>
          <cell r="E13">
            <v>-274755</v>
          </cell>
          <cell r="F13">
            <v>-224370</v>
          </cell>
          <cell r="G13">
            <v>-228336.99999999997</v>
          </cell>
          <cell r="H13">
            <v>-248938.99999999997</v>
          </cell>
          <cell r="I13">
            <v>-227473</v>
          </cell>
          <cell r="J13">
            <v>-167762.41817590056</v>
          </cell>
          <cell r="K13">
            <v>-178940.66506</v>
          </cell>
          <cell r="L13">
            <v>-44607.010370000018</v>
          </cell>
          <cell r="M13">
            <v>-62893.687330000001</v>
          </cell>
          <cell r="N13">
            <v>-50533.715939999995</v>
          </cell>
          <cell r="O13">
            <v>-76225.887999999977</v>
          </cell>
          <cell r="P13">
            <v>-231540.30163999999</v>
          </cell>
          <cell r="Q13">
            <v>-67009.093720000004</v>
          </cell>
          <cell r="R13">
            <v>-55555.973259999904</v>
          </cell>
          <cell r="S13">
            <v>-85031.028540000101</v>
          </cell>
          <cell r="T13">
            <v>-65003.321790000002</v>
          </cell>
          <cell r="U13">
            <v>-272599.41730999999</v>
          </cell>
          <cell r="V13">
            <v>-95998.999999999985</v>
          </cell>
          <cell r="W13">
            <v>-36661.36909</v>
          </cell>
          <cell r="X13">
            <v>-74065.394879999891</v>
          </cell>
          <cell r="Y13">
            <v>-61239.236030000102</v>
          </cell>
          <cell r="Z13">
            <v>-267965</v>
          </cell>
          <cell r="AA13">
            <v>-49200.96764000001</v>
          </cell>
          <cell r="AB13">
            <v>-25964.658159999999</v>
          </cell>
          <cell r="AC13">
            <v>-38814.851279999995</v>
          </cell>
          <cell r="AD13">
            <v>-57027.082720000006</v>
          </cell>
          <cell r="AE13">
            <v>-171007.55979999999</v>
          </cell>
          <cell r="AF13">
            <v>-32158.839660000005</v>
          </cell>
          <cell r="AG13">
            <v>-50402.081979999995</v>
          </cell>
          <cell r="AH13">
            <v>-72195.870699999999</v>
          </cell>
          <cell r="AI13">
            <v>-71254</v>
          </cell>
          <cell r="AJ13">
            <v>-226010.79233999999</v>
          </cell>
          <cell r="AK13">
            <v>-67094</v>
          </cell>
          <cell r="AL13">
            <v>-34238</v>
          </cell>
          <cell r="AM13">
            <v>-31499</v>
          </cell>
          <cell r="AN13">
            <v>-26626</v>
          </cell>
          <cell r="AO13">
            <v>-159457</v>
          </cell>
          <cell r="AP13">
            <v>-32989.773760000004</v>
          </cell>
          <cell r="AQ13">
            <v>-31777.494290000002</v>
          </cell>
          <cell r="AR13">
            <v>-19382.628580000004</v>
          </cell>
          <cell r="AS13">
            <v>-29737.497353899998</v>
          </cell>
          <cell r="AT13">
            <v>-113887.39398390002</v>
          </cell>
          <cell r="AU13">
            <v>-75518.066989999978</v>
          </cell>
          <cell r="AV13">
            <v>-71617.975599999976</v>
          </cell>
          <cell r="AW13">
            <v>-47834.416239999977</v>
          </cell>
          <cell r="AX13">
            <v>-36626.59298999999</v>
          </cell>
          <cell r="AY13">
            <v>-231597.05181999988</v>
          </cell>
          <cell r="AZ13">
            <v>-252162.40280416145</v>
          </cell>
          <cell r="BA13">
            <v>-274671.27586519334</v>
          </cell>
          <cell r="BB13">
            <v>-299310.38643871294</v>
          </cell>
          <cell r="BC13">
            <v>-326287.16765696084</v>
          </cell>
          <cell r="BD13">
            <v>-356072.87367966567</v>
          </cell>
          <cell r="BE13">
            <v>-385699.07521448145</v>
          </cell>
          <cell r="BF13">
            <v>-420899.73249569989</v>
          </cell>
          <cell r="BG13">
            <v>-459469.05750680569</v>
          </cell>
          <cell r="BH13">
            <v>-501736.85937009106</v>
          </cell>
          <cell r="BI13">
            <v>-548065.59060501889</v>
          </cell>
          <cell r="BJ13">
            <v>-598853.59505321155</v>
          </cell>
          <cell r="BK13">
            <v>-654538.67978903221</v>
          </cell>
          <cell r="BL13">
            <v>-715602.04337438883</v>
          </cell>
        </row>
      </sheetData>
      <sheetData sheetId="2"/>
      <sheetData sheetId="3">
        <row r="4">
          <cell r="C4" t="str">
            <v>2006 A</v>
          </cell>
          <cell r="D4" t="str">
            <v>2007 A</v>
          </cell>
          <cell r="E4" t="str">
            <v>2008 A</v>
          </cell>
          <cell r="F4" t="str">
            <v>2009 A</v>
          </cell>
          <cell r="G4" t="str">
            <v>2010 A</v>
          </cell>
          <cell r="H4" t="str">
            <v>2011 A</v>
          </cell>
          <cell r="I4" t="str">
            <v>2012 A</v>
          </cell>
          <cell r="J4" t="str">
            <v>2013 A</v>
          </cell>
          <cell r="K4" t="str">
            <v>2014 A</v>
          </cell>
          <cell r="P4" t="str">
            <v>2015 A</v>
          </cell>
          <cell r="U4" t="str">
            <v>2016 A</v>
          </cell>
          <cell r="Z4" t="str">
            <v>2017 A</v>
          </cell>
          <cell r="AE4" t="str">
            <v>2018 A</v>
          </cell>
          <cell r="AF4" t="str">
            <v>Q1 - 2019</v>
          </cell>
          <cell r="AG4" t="str">
            <v>Q2 - 2019</v>
          </cell>
          <cell r="AH4" t="str">
            <v>Q3 - 2019</v>
          </cell>
          <cell r="AI4" t="str">
            <v>Q4 - 2019</v>
          </cell>
          <cell r="AJ4" t="str">
            <v>2019 A</v>
          </cell>
          <cell r="AZ4" t="str">
            <v>2023 P</v>
          </cell>
          <cell r="BA4" t="str">
            <v>2024 P</v>
          </cell>
          <cell r="BB4" t="str">
            <v>2025 P</v>
          </cell>
          <cell r="BC4" t="str">
            <v>2026 P</v>
          </cell>
          <cell r="BD4" t="str">
            <v>2027 P</v>
          </cell>
          <cell r="BE4" t="str">
            <v>2028 P</v>
          </cell>
          <cell r="BF4" t="str">
            <v>2029 P</v>
          </cell>
          <cell r="BG4" t="str">
            <v>2030 P</v>
          </cell>
          <cell r="BH4" t="str">
            <v>2031 P</v>
          </cell>
          <cell r="BI4" t="str">
            <v>2032 P</v>
          </cell>
          <cell r="BJ4" t="str">
            <v>2033 P</v>
          </cell>
          <cell r="BK4" t="str">
            <v>2034 P</v>
          </cell>
          <cell r="BL4" t="str">
            <v>2035 P</v>
          </cell>
        </row>
        <row r="19">
          <cell r="A19" t="str">
            <v>G&amp;A</v>
          </cell>
        </row>
        <row r="20">
          <cell r="C20">
            <v>-7886</v>
          </cell>
          <cell r="D20">
            <v>-8536</v>
          </cell>
          <cell r="E20">
            <v>-8292</v>
          </cell>
          <cell r="F20">
            <v>-8753</v>
          </cell>
          <cell r="G20">
            <v>-9245</v>
          </cell>
          <cell r="H20">
            <v>-9556</v>
          </cell>
          <cell r="I20">
            <v>-9843</v>
          </cell>
          <cell r="J20">
            <v>-10103</v>
          </cell>
          <cell r="K20">
            <v>-10742.844810000001</v>
          </cell>
          <cell r="L20">
            <v>-2168</v>
          </cell>
          <cell r="M20">
            <v>-2702</v>
          </cell>
          <cell r="N20">
            <v>-2772</v>
          </cell>
          <cell r="O20">
            <v>-4357</v>
          </cell>
          <cell r="P20">
            <v>-12000</v>
          </cell>
          <cell r="Q20">
            <v>-7824.2282400000004</v>
          </cell>
          <cell r="R20">
            <v>-1146.3406200000002</v>
          </cell>
          <cell r="S20">
            <v>-2709</v>
          </cell>
          <cell r="T20">
            <v>252</v>
          </cell>
          <cell r="U20">
            <v>-11427.568860000001</v>
          </cell>
          <cell r="V20">
            <v>-3741.22334</v>
          </cell>
          <cell r="W20">
            <v>-3776</v>
          </cell>
          <cell r="X20">
            <v>-5116</v>
          </cell>
          <cell r="Y20">
            <v>-5020</v>
          </cell>
          <cell r="Z20">
            <v>-17653.22334</v>
          </cell>
          <cell r="AA20">
            <v>-3813</v>
          </cell>
          <cell r="AB20">
            <v>-4455</v>
          </cell>
          <cell r="AC20">
            <v>-4701</v>
          </cell>
          <cell r="AD20">
            <v>-3254</v>
          </cell>
          <cell r="AE20">
            <v>-16223</v>
          </cell>
          <cell r="AF20">
            <v>-2281</v>
          </cell>
          <cell r="AG20">
            <v>-3335</v>
          </cell>
          <cell r="AH20">
            <v>-5269</v>
          </cell>
          <cell r="AI20">
            <v>-3111</v>
          </cell>
          <cell r="AJ20">
            <v>-13996</v>
          </cell>
          <cell r="AK20">
            <v>-5973</v>
          </cell>
          <cell r="AL20">
            <v>-3082</v>
          </cell>
          <cell r="AM20">
            <v>-2087</v>
          </cell>
          <cell r="AN20">
            <v>-3988</v>
          </cell>
          <cell r="AO20">
            <v>-15130</v>
          </cell>
          <cell r="AP20">
            <v>-2682.2392999999997</v>
          </cell>
          <cell r="AQ20">
            <v>-3378.17371</v>
          </cell>
          <cell r="AR20">
            <v>-6932.101920000001</v>
          </cell>
          <cell r="AS20">
            <v>-3331.6129799999994</v>
          </cell>
          <cell r="AT20">
            <v>-16324.127910000001</v>
          </cell>
          <cell r="AU20">
            <v>-4274.47732</v>
          </cell>
          <cell r="AV20">
            <v>-5364.85232</v>
          </cell>
          <cell r="AW20">
            <v>-5507.3023200000007</v>
          </cell>
          <cell r="AX20">
            <v>-5448.8773200000005</v>
          </cell>
          <cell r="AY20">
            <v>-20595.509280000002</v>
          </cell>
          <cell r="AZ20">
            <v>-21493.834664399998</v>
          </cell>
          <cell r="BA20">
            <v>-22431.818314835997</v>
          </cell>
          <cell r="BB20">
            <v>-23411.232824482442</v>
          </cell>
          <cell r="BC20">
            <v>-24433.931003367386</v>
          </cell>
          <cell r="BD20">
            <v>-25501.849552703021</v>
          </cell>
          <cell r="BE20">
            <v>-26617.012909472123</v>
          </cell>
          <cell r="BF20">
            <v>-27781.537269245033</v>
          </cell>
          <cell r="BG20">
            <v>-28997.634795578568</v>
          </cell>
          <cell r="BH20">
            <v>-30267.618024743628</v>
          </cell>
          <cell r="BI20">
            <v>-31593.904474942388</v>
          </cell>
          <cell r="BJ20">
            <v>-32979.021469609543</v>
          </cell>
          <cell r="BK20">
            <v>-34425.611184846864</v>
          </cell>
          <cell r="BL20">
            <v>-35936.435931516324</v>
          </cell>
        </row>
        <row r="29">
          <cell r="A29" t="str">
            <v>S&amp;M</v>
          </cell>
        </row>
        <row r="30">
          <cell r="C30">
            <v>-5673</v>
          </cell>
          <cell r="D30">
            <v>-5220</v>
          </cell>
          <cell r="E30">
            <v>-5066</v>
          </cell>
          <cell r="F30">
            <v>-4721</v>
          </cell>
          <cell r="G30">
            <v>-3281</v>
          </cell>
          <cell r="H30">
            <v>-3365</v>
          </cell>
          <cell r="I30">
            <v>-5835</v>
          </cell>
          <cell r="J30">
            <v>-5785</v>
          </cell>
          <cell r="K30">
            <v>-6152.0539399999998</v>
          </cell>
          <cell r="L30">
            <v>-1625</v>
          </cell>
          <cell r="M30">
            <v>-1795</v>
          </cell>
          <cell r="N30">
            <v>-1873</v>
          </cell>
          <cell r="O30">
            <v>-1945</v>
          </cell>
          <cell r="P30">
            <v>-9959</v>
          </cell>
          <cell r="Q30">
            <v>-2164.4784399999999</v>
          </cell>
          <cell r="R30">
            <v>-1878.4265600000001</v>
          </cell>
          <cell r="S30">
            <v>-967</v>
          </cell>
          <cell r="T30">
            <v>-1602</v>
          </cell>
          <cell r="U30">
            <v>-6611.9049999999997</v>
          </cell>
          <cell r="V30">
            <v>-1897</v>
          </cell>
          <cell r="W30">
            <v>-1913</v>
          </cell>
          <cell r="X30">
            <v>-1969.9196299999999</v>
          </cell>
          <cell r="Y30">
            <v>-1806</v>
          </cell>
          <cell r="Z30">
            <v>-7585.9196300000003</v>
          </cell>
          <cell r="AA30">
            <v>-1785</v>
          </cell>
          <cell r="AB30">
            <v>-1675</v>
          </cell>
          <cell r="AC30">
            <v>-792</v>
          </cell>
          <cell r="AD30">
            <v>-465</v>
          </cell>
          <cell r="AE30">
            <v>-4717</v>
          </cell>
          <cell r="AF30">
            <v>-1528</v>
          </cell>
          <cell r="AG30">
            <v>-246</v>
          </cell>
          <cell r="AH30">
            <v>-956</v>
          </cell>
          <cell r="AI30">
            <v>-471</v>
          </cell>
          <cell r="AJ30">
            <v>-3201</v>
          </cell>
          <cell r="AK30">
            <v>-392</v>
          </cell>
          <cell r="AL30">
            <v>-387</v>
          </cell>
          <cell r="AM30">
            <v>-542</v>
          </cell>
          <cell r="AN30">
            <v>-648</v>
          </cell>
          <cell r="AO30">
            <v>-1969</v>
          </cell>
          <cell r="AP30">
            <v>-822.23731000000009</v>
          </cell>
          <cell r="AQ30">
            <v>-863.05633999999998</v>
          </cell>
          <cell r="AR30">
            <v>-943.40616000000011</v>
          </cell>
          <cell r="AS30">
            <v>-933.93114000000003</v>
          </cell>
          <cell r="AT30">
            <v>-3562.6309500000002</v>
          </cell>
          <cell r="AU30">
            <v>-1312.0228100000002</v>
          </cell>
          <cell r="AV30">
            <v>-1198.3828100000001</v>
          </cell>
          <cell r="AW30">
            <v>-1293.3028100000001</v>
          </cell>
          <cell r="AX30">
            <v>-1267.90281</v>
          </cell>
          <cell r="AY30">
            <v>-5071.6112400000002</v>
          </cell>
          <cell r="AZ30">
            <v>-5319.5308548000003</v>
          </cell>
          <cell r="BA30">
            <v>-5579.6200124520001</v>
          </cell>
          <cell r="BB30">
            <v>-5852.47813258308</v>
          </cell>
          <cell r="BC30">
            <v>-6138.7342435010532</v>
          </cell>
          <cell r="BD30">
            <v>-6439.0484481364783</v>
          </cell>
          <cell r="BE30">
            <v>-6754.1134627020892</v>
          </cell>
          <cell r="BF30">
            <v>-7084.6562316823329</v>
          </cell>
          <cell r="BG30">
            <v>-7431.4396229453932</v>
          </cell>
          <cell r="BH30">
            <v>-7795.2642069587646</v>
          </cell>
          <cell r="BI30">
            <v>-8176.9701242874489</v>
          </cell>
          <cell r="BJ30">
            <v>-8577.4390457617974</v>
          </cell>
          <cell r="BK30">
            <v>-8997.596229920262</v>
          </cell>
          <cell r="BL30">
            <v>-9438.412682561464</v>
          </cell>
        </row>
        <row r="39">
          <cell r="A39" t="str">
            <v>Equity Investment Revenues / BOD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</row>
        <row r="43">
          <cell r="A43" t="str">
            <v>Depreciation &amp; Amortization</v>
          </cell>
        </row>
        <row r="44">
          <cell r="C44">
            <v>-865</v>
          </cell>
          <cell r="D44">
            <v>-509</v>
          </cell>
          <cell r="E44">
            <v>-536</v>
          </cell>
          <cell r="F44">
            <v>-716</v>
          </cell>
          <cell r="G44">
            <v>-685</v>
          </cell>
          <cell r="H44">
            <v>-514</v>
          </cell>
          <cell r="I44">
            <v>-397</v>
          </cell>
          <cell r="J44">
            <v>-276</v>
          </cell>
          <cell r="K44">
            <v>-365.11295000000001</v>
          </cell>
          <cell r="L44">
            <v>-84</v>
          </cell>
          <cell r="M44">
            <v>-88</v>
          </cell>
          <cell r="N44">
            <v>-86</v>
          </cell>
          <cell r="O44">
            <v>-85</v>
          </cell>
          <cell r="P44">
            <v>-343</v>
          </cell>
          <cell r="Q44">
            <v>-29.686790000000002</v>
          </cell>
          <cell r="R44">
            <v>-36.029470000000003</v>
          </cell>
          <cell r="S44">
            <v>-51</v>
          </cell>
          <cell r="T44">
            <v>-50</v>
          </cell>
          <cell r="U44">
            <v>-166.71626000000001</v>
          </cell>
          <cell r="V44">
            <v>-50.035290000000003</v>
          </cell>
          <cell r="W44">
            <v>-49.114659999999994</v>
          </cell>
          <cell r="X44">
            <v>-48.51061</v>
          </cell>
          <cell r="Y44">
            <v>-49.571230000000007</v>
          </cell>
          <cell r="Z44">
            <v>-197.23178999999999</v>
          </cell>
          <cell r="AA44">
            <v>-50</v>
          </cell>
          <cell r="AB44">
            <v>-51</v>
          </cell>
          <cell r="AC44">
            <v>-51</v>
          </cell>
          <cell r="AD44">
            <v>-49</v>
          </cell>
          <cell r="AE44">
            <v>-201</v>
          </cell>
          <cell r="AF44">
            <v>-42</v>
          </cell>
          <cell r="AG44">
            <v>-33</v>
          </cell>
          <cell r="AH44">
            <v>-19</v>
          </cell>
          <cell r="AI44">
            <v>-18</v>
          </cell>
          <cell r="AJ44">
            <v>-112</v>
          </cell>
          <cell r="AK44">
            <v>-94</v>
          </cell>
          <cell r="AL44">
            <v>-89</v>
          </cell>
          <cell r="AM44">
            <v>-89</v>
          </cell>
          <cell r="AN44">
            <v>-86</v>
          </cell>
          <cell r="AO44">
            <v>-358</v>
          </cell>
          <cell r="AP44">
            <v>-84.057000000000002</v>
          </cell>
          <cell r="AQ44">
            <v>-83.929919999999996</v>
          </cell>
          <cell r="AR44">
            <v>-208.97841999999997</v>
          </cell>
          <cell r="AS44">
            <v>-276.38303999999999</v>
          </cell>
          <cell r="AT44">
            <v>-653.34837999999991</v>
          </cell>
          <cell r="AU44">
            <v>-360</v>
          </cell>
          <cell r="AV44">
            <v>-360</v>
          </cell>
          <cell r="AW44">
            <v>-360</v>
          </cell>
          <cell r="AX44">
            <v>-360</v>
          </cell>
          <cell r="AY44">
            <v>-1440</v>
          </cell>
          <cell r="AZ44">
            <v>-78.740822772228796</v>
          </cell>
          <cell r="BA44">
            <v>-93.262832525505658</v>
          </cell>
          <cell r="BB44">
            <v>-120.46958009660339</v>
          </cell>
          <cell r="BC44">
            <v>-155.33545554124905</v>
          </cell>
          <cell r="BD44">
            <v>-184.34839193478112</v>
          </cell>
          <cell r="BE44">
            <v>-208.70026157214016</v>
          </cell>
          <cell r="BF44">
            <v>-229.34496669449001</v>
          </cell>
          <cell r="BG44">
            <v>-247.04604118366842</v>
          </cell>
          <cell r="BH44">
            <v>-262.41473206374502</v>
          </cell>
          <cell r="BI44">
            <v>-275.94046485102518</v>
          </cell>
          <cell r="BJ44">
            <v>-288.01521598565017</v>
          </cell>
          <cell r="BK44">
            <v>-298.95301093134185</v>
          </cell>
          <cell r="BL44">
            <v>-309.005522812609</v>
          </cell>
        </row>
        <row r="47">
          <cell r="A47" t="str">
            <v>Net Financing Costs / Interest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-1232</v>
          </cell>
          <cell r="M48">
            <v>-1007</v>
          </cell>
          <cell r="N48">
            <v>-1885</v>
          </cell>
          <cell r="O48">
            <v>-1326</v>
          </cell>
          <cell r="P48">
            <v>-1236</v>
          </cell>
          <cell r="Q48">
            <v>-313.05885000000001</v>
          </cell>
          <cell r="R48">
            <v>-313.53613000000001</v>
          </cell>
          <cell r="S48">
            <v>-778</v>
          </cell>
          <cell r="T48">
            <v>-681</v>
          </cell>
          <cell r="U48">
            <v>-2085.5949799999999</v>
          </cell>
          <cell r="V48">
            <v>-469</v>
          </cell>
          <cell r="W48">
            <v>-314</v>
          </cell>
          <cell r="X48">
            <v>-198.12042</v>
          </cell>
          <cell r="Y48">
            <v>-148.73650000000001</v>
          </cell>
          <cell r="Z48">
            <v>-1129.8569199999999</v>
          </cell>
          <cell r="AA48">
            <v>8</v>
          </cell>
          <cell r="AB48">
            <v>-122</v>
          </cell>
          <cell r="AC48">
            <v>316</v>
          </cell>
          <cell r="AD48">
            <v>205</v>
          </cell>
          <cell r="AF48">
            <v>0</v>
          </cell>
          <cell r="AG48">
            <v>13</v>
          </cell>
          <cell r="AH48">
            <v>12</v>
          </cell>
          <cell r="AI48">
            <v>10</v>
          </cell>
          <cell r="AJ48">
            <v>35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</row>
        <row r="51">
          <cell r="AF51">
            <v>-481.12599999999998</v>
          </cell>
          <cell r="AG51">
            <v>-178</v>
          </cell>
          <cell r="AH51">
            <v>-495</v>
          </cell>
          <cell r="AI51">
            <v>-332</v>
          </cell>
          <cell r="AK51">
            <v>-1012</v>
          </cell>
          <cell r="AL51">
            <v>-167</v>
          </cell>
          <cell r="AM51">
            <v>-318</v>
          </cell>
          <cell r="AN51">
            <v>-10335</v>
          </cell>
          <cell r="AO51">
            <v>-11832</v>
          </cell>
          <cell r="AP51">
            <v>-199.42794999999998</v>
          </cell>
          <cell r="AQ51">
            <v>-159.9033</v>
          </cell>
          <cell r="AR51">
            <v>-766.65242999999998</v>
          </cell>
          <cell r="AS51">
            <v>-1575.3546299999998</v>
          </cell>
          <cell r="AU51">
            <v>-699.99999000000003</v>
          </cell>
          <cell r="AV51">
            <v>-699.99999000000003</v>
          </cell>
          <cell r="AW51">
            <v>-700</v>
          </cell>
          <cell r="AX51">
            <v>-700.00002000000006</v>
          </cell>
          <cell r="AY51">
            <v>-2800</v>
          </cell>
          <cell r="AZ51">
            <v>-1597.8022477439488</v>
          </cell>
          <cell r="BA51">
            <v>-1727.6321504148134</v>
          </cell>
          <cell r="BB51">
            <v>-1869.5465336896584</v>
          </cell>
          <cell r="BC51">
            <v>-1619.7815122711911</v>
          </cell>
          <cell r="BD51">
            <v>-1755.5776430013311</v>
          </cell>
          <cell r="BE51">
            <v>-1904.1679261895749</v>
          </cell>
          <cell r="BF51">
            <v>-2066.8082132632871</v>
          </cell>
          <cell r="BG51">
            <v>-2244.8792338780127</v>
          </cell>
          <cell r="BH51">
            <v>-2439.8990625328634</v>
          </cell>
          <cell r="BI51">
            <v>-2653.53683121121</v>
          </cell>
          <cell r="BJ51">
            <v>-2887.6278126301431</v>
          </cell>
          <cell r="BK51">
            <v>-3144.1900111399041</v>
          </cell>
          <cell r="BL51">
            <v>-3425.4424120180443</v>
          </cell>
        </row>
        <row r="52">
          <cell r="C52">
            <v>-1223</v>
          </cell>
          <cell r="D52">
            <v>-2186</v>
          </cell>
          <cell r="E52">
            <v>-5773</v>
          </cell>
          <cell r="F52">
            <v>-4988</v>
          </cell>
          <cell r="G52">
            <v>-7305</v>
          </cell>
          <cell r="H52">
            <v>-8082</v>
          </cell>
          <cell r="I52">
            <v>-10193</v>
          </cell>
          <cell r="J52">
            <v>-9725</v>
          </cell>
          <cell r="K52">
            <v>-4585</v>
          </cell>
          <cell r="L52">
            <v>-1232</v>
          </cell>
          <cell r="M52">
            <v>-1007</v>
          </cell>
          <cell r="N52">
            <v>-1885</v>
          </cell>
          <cell r="O52">
            <v>-1326</v>
          </cell>
          <cell r="P52">
            <v>-1236</v>
          </cell>
          <cell r="Q52">
            <v>-919.38061000000005</v>
          </cell>
          <cell r="R52">
            <v>-1469.1366981116696</v>
          </cell>
          <cell r="S52">
            <v>-1159</v>
          </cell>
          <cell r="T52">
            <v>-1575</v>
          </cell>
          <cell r="U52">
            <v>-5122.5173081116691</v>
          </cell>
          <cell r="V52">
            <v>-2472</v>
          </cell>
          <cell r="W52">
            <v>-439</v>
          </cell>
          <cell r="X52">
            <v>-396.43257</v>
          </cell>
          <cell r="Y52">
            <v>-1093.06762</v>
          </cell>
          <cell r="Z52">
            <v>-4400.5001899999997</v>
          </cell>
          <cell r="AA52">
            <v>-69.99914508868315</v>
          </cell>
          <cell r="AB52">
            <v>-204.99935349930001</v>
          </cell>
          <cell r="AC52">
            <v>-62.981873360000009</v>
          </cell>
          <cell r="AD52">
            <v>-218.01728655999989</v>
          </cell>
          <cell r="AE52">
            <v>-555.99765850798303</v>
          </cell>
          <cell r="AF52">
            <v>-481.12599999999998</v>
          </cell>
          <cell r="AG52">
            <v>-165</v>
          </cell>
          <cell r="AH52">
            <v>-483</v>
          </cell>
          <cell r="AI52">
            <v>-322</v>
          </cell>
          <cell r="AJ52">
            <v>-1451.126</v>
          </cell>
          <cell r="AK52">
            <v>-1012</v>
          </cell>
          <cell r="AL52">
            <v>-167</v>
          </cell>
          <cell r="AM52">
            <v>-318</v>
          </cell>
          <cell r="AN52">
            <v>-10335</v>
          </cell>
          <cell r="AO52">
            <v>-11832</v>
          </cell>
          <cell r="AP52">
            <v>-199.42794999999998</v>
          </cell>
          <cell r="AQ52">
            <v>-159.9033</v>
          </cell>
          <cell r="AR52">
            <v>-766.65242999999998</v>
          </cell>
          <cell r="AS52">
            <v>-1575.3546299999998</v>
          </cell>
          <cell r="AT52">
            <v>-2701.3383099999996</v>
          </cell>
          <cell r="AU52">
            <v>-699.99999000000003</v>
          </cell>
          <cell r="AV52">
            <v>-699.99999000000003</v>
          </cell>
          <cell r="AW52">
            <v>-700</v>
          </cell>
          <cell r="AX52">
            <v>-700.00002000000006</v>
          </cell>
          <cell r="AY52">
            <v>-2800</v>
          </cell>
        </row>
        <row r="55">
          <cell r="A55" t="str">
            <v>Provisions &amp; Impairments</v>
          </cell>
        </row>
        <row r="56">
          <cell r="C56">
            <v>-4675</v>
          </cell>
          <cell r="D56">
            <v>-7079</v>
          </cell>
          <cell r="E56">
            <v>-3012</v>
          </cell>
          <cell r="F56">
            <v>463</v>
          </cell>
          <cell r="G56">
            <v>-1621</v>
          </cell>
          <cell r="H56">
            <v>-9872</v>
          </cell>
          <cell r="I56">
            <v>-4527</v>
          </cell>
          <cell r="J56">
            <v>-8404</v>
          </cell>
          <cell r="K56">
            <v>-6392</v>
          </cell>
          <cell r="L56">
            <v>-2026</v>
          </cell>
          <cell r="M56">
            <v>-3135</v>
          </cell>
          <cell r="N56">
            <v>-1712</v>
          </cell>
          <cell r="O56">
            <v>-2337</v>
          </cell>
          <cell r="P56">
            <v>-9210</v>
          </cell>
          <cell r="Q56">
            <v>-1524.18</v>
          </cell>
          <cell r="R56">
            <v>-3608.2359999999999</v>
          </cell>
          <cell r="S56">
            <v>-4439</v>
          </cell>
          <cell r="T56">
            <v>-1399</v>
          </cell>
          <cell r="U56">
            <v>-10970.416000000001</v>
          </cell>
          <cell r="V56">
            <v>-2154</v>
          </cell>
          <cell r="W56">
            <v>-7241.0667999999996</v>
          </cell>
          <cell r="X56">
            <v>1708.8108</v>
          </cell>
          <cell r="Y56">
            <v>-3422.7439999999997</v>
          </cell>
          <cell r="Z56">
            <v>-11109</v>
          </cell>
          <cell r="AA56">
            <v>-2346</v>
          </cell>
          <cell r="AB56">
            <v>-2346</v>
          </cell>
          <cell r="AC56">
            <v>-3074</v>
          </cell>
          <cell r="AD56">
            <v>-4619</v>
          </cell>
          <cell r="AE56">
            <v>-12385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361</v>
          </cell>
          <cell r="AL56">
            <v>2591</v>
          </cell>
          <cell r="AM56">
            <v>1558</v>
          </cell>
          <cell r="AN56">
            <v>-2413</v>
          </cell>
          <cell r="AO56">
            <v>2097</v>
          </cell>
          <cell r="AP56">
            <v>1110.633</v>
          </cell>
          <cell r="AQ56">
            <v>212.14400000000001</v>
          </cell>
          <cell r="AR56">
            <v>3246.953</v>
          </cell>
          <cell r="AS56">
            <v>-3999.9999900000003</v>
          </cell>
          <cell r="AT56">
            <v>569.73000999999931</v>
          </cell>
          <cell r="AU56">
            <v>-2829.0716066666555</v>
          </cell>
          <cell r="AV56">
            <v>-3212.9996466666671</v>
          </cell>
          <cell r="AW56">
            <v>-1540.9081266666706</v>
          </cell>
          <cell r="AX56">
            <v>-7927.6226200000065</v>
          </cell>
          <cell r="AY56">
            <v>-15510.601999999999</v>
          </cell>
          <cell r="AZ56">
            <v>-16563.701496847221</v>
          </cell>
          <cell r="BA56">
            <v>-16663.606571212084</v>
          </cell>
          <cell r="BB56">
            <v>-13777.801220161964</v>
          </cell>
          <cell r="BC56">
            <v>-10854.72593741614</v>
          </cell>
          <cell r="BD56">
            <v>-10939.317464252874</v>
          </cell>
          <cell r="BE56">
            <v>-11032.341711766136</v>
          </cell>
          <cell r="BF56">
            <v>-11134.641159063362</v>
          </cell>
          <cell r="BG56">
            <v>-11247.142509373929</v>
          </cell>
          <cell r="BH56">
            <v>-11370.86511174768</v>
          </cell>
          <cell r="BI56">
            <v>-11506.930224901895</v>
          </cell>
          <cell r="BJ56">
            <v>-11656.571207430918</v>
          </cell>
          <cell r="BK56">
            <v>-11821.144727014005</v>
          </cell>
          <cell r="BL56">
            <v>-12002.143090520603</v>
          </cell>
        </row>
        <row r="62">
          <cell r="A62" t="str">
            <v>FOREX</v>
          </cell>
        </row>
        <row r="63">
          <cell r="C63">
            <v>90</v>
          </cell>
          <cell r="D63">
            <v>380</v>
          </cell>
          <cell r="E63">
            <v>-145</v>
          </cell>
          <cell r="F63">
            <v>-1175</v>
          </cell>
          <cell r="G63">
            <v>-4339</v>
          </cell>
          <cell r="H63">
            <v>-1420</v>
          </cell>
          <cell r="I63">
            <v>524</v>
          </cell>
          <cell r="J63">
            <v>5426</v>
          </cell>
          <cell r="K63">
            <v>-105</v>
          </cell>
          <cell r="L63">
            <v>1660</v>
          </cell>
          <cell r="M63">
            <v>-278</v>
          </cell>
          <cell r="N63">
            <v>1058</v>
          </cell>
          <cell r="O63">
            <v>-1657</v>
          </cell>
          <cell r="P63">
            <v>784</v>
          </cell>
          <cell r="Q63">
            <v>13322.08764</v>
          </cell>
          <cell r="R63">
            <v>-336.85928999999999</v>
          </cell>
          <cell r="S63">
            <v>2829</v>
          </cell>
          <cell r="T63">
            <v>7247</v>
          </cell>
          <cell r="U63">
            <v>23061.228349999998</v>
          </cell>
          <cell r="V63">
            <v>12166</v>
          </cell>
          <cell r="W63">
            <v>2251</v>
          </cell>
          <cell r="X63">
            <v>4547.2774300000001</v>
          </cell>
          <cell r="Y63">
            <v>-1550.2774300000001</v>
          </cell>
          <cell r="Z63">
            <v>17414</v>
          </cell>
          <cell r="AA63">
            <v>2662</v>
          </cell>
          <cell r="AB63">
            <v>-4942</v>
          </cell>
          <cell r="AC63">
            <v>-719</v>
          </cell>
          <cell r="AD63">
            <v>-1207</v>
          </cell>
          <cell r="AE63">
            <v>-4206</v>
          </cell>
          <cell r="AF63">
            <v>-4116</v>
          </cell>
          <cell r="AG63">
            <v>-2521</v>
          </cell>
          <cell r="AH63">
            <v>-5333</v>
          </cell>
          <cell r="AI63">
            <v>64</v>
          </cell>
          <cell r="AJ63">
            <v>-11906</v>
          </cell>
          <cell r="AK63">
            <v>-25</v>
          </cell>
          <cell r="AL63">
            <v>-669</v>
          </cell>
          <cell r="AM63">
            <v>2385</v>
          </cell>
          <cell r="AN63">
            <v>2760</v>
          </cell>
          <cell r="AO63">
            <v>4451</v>
          </cell>
          <cell r="AP63">
            <v>-3151.4641299999998</v>
          </cell>
          <cell r="AQ63">
            <v>718.00720000000024</v>
          </cell>
          <cell r="AR63">
            <v>-1611.4552399999998</v>
          </cell>
          <cell r="AS63">
            <v>242.97623999999999</v>
          </cell>
          <cell r="AT63">
            <v>-3801.9359299999996</v>
          </cell>
          <cell r="AU63">
            <v>-163.46304000000001</v>
          </cell>
          <cell r="AV63">
            <v>-224.87057999999993</v>
          </cell>
          <cell r="AW63">
            <v>157.1371300000001</v>
          </cell>
          <cell r="AX63">
            <v>-768.80349999999999</v>
          </cell>
          <cell r="AY63">
            <v>-999.9999899999998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</row>
        <row r="66">
          <cell r="A66" t="str">
            <v>Other Revenues / Costs</v>
          </cell>
        </row>
        <row r="67">
          <cell r="C67">
            <v>569</v>
          </cell>
          <cell r="D67">
            <v>61</v>
          </cell>
          <cell r="E67">
            <v>164</v>
          </cell>
          <cell r="F67">
            <v>206</v>
          </cell>
          <cell r="G67">
            <v>3133</v>
          </cell>
          <cell r="H67">
            <v>1001</v>
          </cell>
          <cell r="I67">
            <v>1677</v>
          </cell>
          <cell r="J67">
            <v>4687</v>
          </cell>
          <cell r="K67">
            <v>0</v>
          </cell>
          <cell r="L67">
            <v>63</v>
          </cell>
          <cell r="M67">
            <v>-228</v>
          </cell>
          <cell r="N67">
            <v>3926</v>
          </cell>
          <cell r="O67">
            <v>-379</v>
          </cell>
          <cell r="P67">
            <v>-831</v>
          </cell>
          <cell r="Q67">
            <v>1173.85339</v>
          </cell>
          <cell r="R67">
            <v>0</v>
          </cell>
          <cell r="S67">
            <v>2</v>
          </cell>
          <cell r="T67">
            <v>-2713</v>
          </cell>
          <cell r="U67">
            <v>-1537.14661</v>
          </cell>
          <cell r="V67">
            <v>775</v>
          </cell>
          <cell r="W67">
            <v>6</v>
          </cell>
          <cell r="X67">
            <v>14</v>
          </cell>
          <cell r="Y67">
            <v>0</v>
          </cell>
          <cell r="Z67">
            <v>795</v>
          </cell>
          <cell r="AA67">
            <v>471</v>
          </cell>
          <cell r="AB67">
            <v>0</v>
          </cell>
          <cell r="AC67">
            <v>36</v>
          </cell>
          <cell r="AD67">
            <v>1222</v>
          </cell>
          <cell r="AE67">
            <v>1729</v>
          </cell>
          <cell r="AF67">
            <v>109</v>
          </cell>
          <cell r="AG67">
            <v>7627</v>
          </cell>
          <cell r="AH67">
            <v>-7627</v>
          </cell>
          <cell r="AI67">
            <v>0</v>
          </cell>
          <cell r="AJ67">
            <v>109</v>
          </cell>
          <cell r="AK67">
            <v>0</v>
          </cell>
          <cell r="AL67">
            <v>0</v>
          </cell>
          <cell r="AM67">
            <v>0</v>
          </cell>
          <cell r="AN67">
            <v>1900</v>
          </cell>
          <cell r="AO67">
            <v>1900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-287.92631620971434</v>
          </cell>
          <cell r="BA67">
            <v>-321.66316628463528</v>
          </cell>
          <cell r="BB67">
            <v>-447.50260335644998</v>
          </cell>
          <cell r="BC67">
            <v>-459.73059331898804</v>
          </cell>
          <cell r="BD67">
            <v>-536.2048045306974</v>
          </cell>
          <cell r="BE67">
            <v>-745.85615737137937</v>
          </cell>
          <cell r="BF67">
            <v>-909.80491412874255</v>
          </cell>
          <cell r="BG67">
            <v>-918.00080431954871</v>
          </cell>
          <cell r="BH67">
            <v>-1115.4566367787777</v>
          </cell>
          <cell r="BI67">
            <v>-1269.3040123620883</v>
          </cell>
          <cell r="BJ67">
            <v>-466.30978776963116</v>
          </cell>
          <cell r="BK67">
            <v>-515.21237042879943</v>
          </cell>
          <cell r="BL67">
            <v>-615.9742009793523</v>
          </cell>
        </row>
        <row r="70">
          <cell r="A70" t="str">
            <v xml:space="preserve">Employee Compensation /Saving Cost 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-8749</v>
          </cell>
          <cell r="U71">
            <v>-8749</v>
          </cell>
          <cell r="V71">
            <v>-975</v>
          </cell>
          <cell r="W71">
            <v>-2387</v>
          </cell>
          <cell r="X71">
            <v>-3902</v>
          </cell>
          <cell r="Y71">
            <v>-8162</v>
          </cell>
          <cell r="Z71">
            <v>-15426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-74.546999999999997</v>
          </cell>
          <cell r="AR71">
            <v>-1053.223</v>
          </cell>
          <cell r="AS71">
            <v>-500</v>
          </cell>
          <cell r="AT71">
            <v>-1627.77</v>
          </cell>
          <cell r="AU71">
            <v>-1555.5362000000002</v>
          </cell>
          <cell r="AV71">
            <v>-1604.7871800000003</v>
          </cell>
          <cell r="AW71">
            <v>-1320.3481200000001</v>
          </cell>
          <cell r="AX71">
            <v>-709.88049000000001</v>
          </cell>
          <cell r="AY71">
            <v>-5190.5519899999999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</row>
        <row r="74">
          <cell r="A74" t="str">
            <v>Settlement  (   ARESCO &amp; AEK)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</row>
        <row r="80">
          <cell r="A80" t="str">
            <v>Gain / Loss from Sale of Investment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</row>
        <row r="84">
          <cell r="A84" t="str">
            <v>Corporate / Income Tax</v>
          </cell>
        </row>
        <row r="85">
          <cell r="C85">
            <v>-3274</v>
          </cell>
          <cell r="D85">
            <v>-6677</v>
          </cell>
          <cell r="E85">
            <v>-10809</v>
          </cell>
          <cell r="F85">
            <v>-7324</v>
          </cell>
          <cell r="G85">
            <v>-2431</v>
          </cell>
          <cell r="H85">
            <v>0</v>
          </cell>
          <cell r="I85">
            <v>-2516</v>
          </cell>
          <cell r="J85">
            <v>-621</v>
          </cell>
          <cell r="K85">
            <v>-915</v>
          </cell>
          <cell r="L85">
            <v>-477</v>
          </cell>
          <cell r="M85">
            <v>-1946</v>
          </cell>
          <cell r="N85">
            <v>-1792</v>
          </cell>
          <cell r="O85">
            <v>2034</v>
          </cell>
          <cell r="P85">
            <v>-2181</v>
          </cell>
          <cell r="Q85">
            <v>-1963.2835845000018</v>
          </cell>
          <cell r="R85">
            <v>-2213.6982799999996</v>
          </cell>
          <cell r="S85">
            <v>510</v>
          </cell>
          <cell r="T85">
            <v>-1126</v>
          </cell>
          <cell r="U85">
            <v>-4792.9818645000014</v>
          </cell>
          <cell r="V85">
            <v>-3295</v>
          </cell>
          <cell r="W85">
            <v>-1766</v>
          </cell>
          <cell r="X85">
            <v>-376.40222</v>
          </cell>
          <cell r="Y85">
            <v>3139</v>
          </cell>
          <cell r="Z85">
            <v>-2298.4022199999999</v>
          </cell>
          <cell r="AA85">
            <v>-151</v>
          </cell>
          <cell r="AB85">
            <v>-184</v>
          </cell>
          <cell r="AC85">
            <v>-85</v>
          </cell>
          <cell r="AD85">
            <v>-1432</v>
          </cell>
          <cell r="AE85">
            <v>-1852</v>
          </cell>
          <cell r="AF85">
            <v>-507</v>
          </cell>
          <cell r="AG85">
            <v>-83</v>
          </cell>
          <cell r="AH85">
            <v>0</v>
          </cell>
          <cell r="AI85">
            <v>590</v>
          </cell>
          <cell r="AJ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W85">
            <v>0</v>
          </cell>
          <cell r="AX85">
            <v>-648.0067972500043</v>
          </cell>
          <cell r="AY85">
            <v>-648.0067972500043</v>
          </cell>
          <cell r="AZ85">
            <v>495.7387328458218</v>
          </cell>
          <cell r="BA85">
            <v>-700.9377639037051</v>
          </cell>
          <cell r="BB85">
            <v>-3402.2253018598385</v>
          </cell>
          <cell r="BC85">
            <v>-6410.5511452314095</v>
          </cell>
          <cell r="BD85">
            <v>-8071.9020096602517</v>
          </cell>
          <cell r="BE85">
            <v>-10597.064330887899</v>
          </cell>
          <cell r="BF85">
            <v>-12794.165823285812</v>
          </cell>
          <cell r="BG85">
            <v>-15290.313183095139</v>
          </cell>
          <cell r="BH85">
            <v>-18034.283775889759</v>
          </cell>
          <cell r="BI85">
            <v>-21110.725217885396</v>
          </cell>
          <cell r="BJ85">
            <v>-24764.019073305109</v>
          </cell>
          <cell r="BK85">
            <v>-28616.06717618537</v>
          </cell>
          <cell r="BL85">
            <v>-32892.721209524745</v>
          </cell>
        </row>
        <row r="89">
          <cell r="A89" t="str">
            <v>Deferred Tax</v>
          </cell>
        </row>
        <row r="90">
          <cell r="C90">
            <v>0</v>
          </cell>
          <cell r="D90">
            <v>30</v>
          </cell>
          <cell r="E90">
            <v>-62</v>
          </cell>
          <cell r="F90">
            <v>57</v>
          </cell>
          <cell r="G90">
            <v>152</v>
          </cell>
          <cell r="H90">
            <v>-63</v>
          </cell>
          <cell r="I90">
            <v>74</v>
          </cell>
          <cell r="J90">
            <v>-38</v>
          </cell>
          <cell r="K90">
            <v>50</v>
          </cell>
          <cell r="L90">
            <v>-4</v>
          </cell>
          <cell r="M90">
            <v>-13</v>
          </cell>
          <cell r="N90">
            <v>-30</v>
          </cell>
          <cell r="O90">
            <v>-89</v>
          </cell>
          <cell r="P90">
            <v>-136</v>
          </cell>
          <cell r="Q90">
            <v>-41.371199999999995</v>
          </cell>
          <cell r="R90">
            <v>-14.13395</v>
          </cell>
          <cell r="S90">
            <v>2</v>
          </cell>
          <cell r="T90">
            <v>-5434</v>
          </cell>
          <cell r="U90">
            <v>-5487.50515</v>
          </cell>
          <cell r="V90">
            <v>-38</v>
          </cell>
          <cell r="W90">
            <v>3</v>
          </cell>
          <cell r="X90">
            <v>-0.2296</v>
          </cell>
          <cell r="Y90">
            <v>-2881</v>
          </cell>
          <cell r="Z90">
            <v>-2916.2296000000001</v>
          </cell>
          <cell r="AA90">
            <v>13</v>
          </cell>
          <cell r="AB90">
            <v>11</v>
          </cell>
          <cell r="AC90">
            <v>11</v>
          </cell>
          <cell r="AD90">
            <v>953</v>
          </cell>
          <cell r="AE90">
            <v>988</v>
          </cell>
          <cell r="AF90">
            <v>24</v>
          </cell>
          <cell r="AG90">
            <v>17</v>
          </cell>
          <cell r="AH90">
            <v>22</v>
          </cell>
          <cell r="AI90">
            <v>3467</v>
          </cell>
          <cell r="AJ90">
            <v>3530</v>
          </cell>
          <cell r="AK90">
            <v>0</v>
          </cell>
          <cell r="AL90">
            <v>-612</v>
          </cell>
          <cell r="AM90">
            <v>-664</v>
          </cell>
          <cell r="AN90">
            <v>-794.11599999999999</v>
          </cell>
          <cell r="AO90">
            <v>-2070.116</v>
          </cell>
          <cell r="AP90">
            <v>1184.8520000000001</v>
          </cell>
          <cell r="AQ90">
            <v>-182.66200000000001</v>
          </cell>
          <cell r="AR90">
            <v>167.71100000000001</v>
          </cell>
          <cell r="AS90">
            <v>248.905</v>
          </cell>
          <cell r="AT90">
            <v>1418.806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</row>
        <row r="91">
          <cell r="AO91">
            <v>0</v>
          </cell>
        </row>
        <row r="92">
          <cell r="AO92">
            <v>0</v>
          </cell>
          <cell r="AT92">
            <v>0</v>
          </cell>
          <cell r="AY92">
            <v>0</v>
          </cell>
        </row>
        <row r="93">
          <cell r="A93" t="str">
            <v>Medical TaxesTax</v>
          </cell>
        </row>
        <row r="94"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</row>
        <row r="97">
          <cell r="A97" t="str">
            <v>Minority Interest Share in Net Income</v>
          </cell>
        </row>
        <row r="98"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</row>
        <row r="104">
          <cell r="A104" t="str">
            <v>Fixed Assets Gross</v>
          </cell>
        </row>
        <row r="105">
          <cell r="C105">
            <v>6956</v>
          </cell>
          <cell r="D105">
            <v>9665</v>
          </cell>
          <cell r="E105">
            <v>12967</v>
          </cell>
          <cell r="F105">
            <v>14542</v>
          </cell>
          <cell r="G105">
            <v>13999</v>
          </cell>
          <cell r="H105">
            <v>14208</v>
          </cell>
          <cell r="I105">
            <v>14568</v>
          </cell>
          <cell r="J105">
            <v>22025</v>
          </cell>
          <cell r="K105">
            <v>22393</v>
          </cell>
          <cell r="L105">
            <v>22590</v>
          </cell>
          <cell r="M105">
            <v>23092</v>
          </cell>
          <cell r="N105">
            <v>23247</v>
          </cell>
          <cell r="O105">
            <v>15804</v>
          </cell>
          <cell r="P105">
            <v>15804</v>
          </cell>
          <cell r="Q105">
            <v>15903.6114</v>
          </cell>
          <cell r="R105">
            <v>16555</v>
          </cell>
          <cell r="S105">
            <v>16566</v>
          </cell>
          <cell r="T105">
            <v>16397</v>
          </cell>
          <cell r="U105">
            <v>16397</v>
          </cell>
          <cell r="V105">
            <v>16469</v>
          </cell>
          <cell r="W105">
            <v>16570</v>
          </cell>
          <cell r="X105">
            <v>16616</v>
          </cell>
          <cell r="Y105">
            <v>16709</v>
          </cell>
          <cell r="Z105">
            <v>16709</v>
          </cell>
          <cell r="AA105">
            <v>16798</v>
          </cell>
          <cell r="AB105">
            <v>16847</v>
          </cell>
          <cell r="AC105">
            <v>17291</v>
          </cell>
          <cell r="AD105">
            <v>15099.160619999999</v>
          </cell>
          <cell r="AE105">
            <v>15099.160619999999</v>
          </cell>
          <cell r="AF105">
            <v>15125</v>
          </cell>
          <cell r="AG105">
            <v>15145</v>
          </cell>
          <cell r="AH105">
            <v>15145</v>
          </cell>
          <cell r="AI105">
            <v>15168</v>
          </cell>
          <cell r="AJ105">
            <v>15168</v>
          </cell>
          <cell r="AK105">
            <v>15202</v>
          </cell>
          <cell r="AL105">
            <v>15280</v>
          </cell>
          <cell r="AM105">
            <v>15305</v>
          </cell>
          <cell r="AN105">
            <v>14792</v>
          </cell>
          <cell r="AO105">
            <v>14792</v>
          </cell>
          <cell r="AP105">
            <v>14842.292800000001</v>
          </cell>
          <cell r="AQ105">
            <v>14842.292800000001</v>
          </cell>
          <cell r="AR105">
            <v>14888.303907680003</v>
          </cell>
          <cell r="AS105">
            <v>14888.303907680003</v>
          </cell>
          <cell r="AU105">
            <v>14938.924140966117</v>
          </cell>
          <cell r="AV105">
            <v>14938.924140966117</v>
          </cell>
          <cell r="AW105">
            <v>14985.234805803113</v>
          </cell>
          <cell r="AX105">
            <v>14985.234805803113</v>
          </cell>
          <cell r="AZ105">
            <v>15135.087153861145</v>
          </cell>
          <cell r="BA105">
            <v>15286.438025399757</v>
          </cell>
          <cell r="BB105">
            <v>15515.734595780752</v>
          </cell>
          <cell r="BC105">
            <v>15810.533553100584</v>
          </cell>
          <cell r="BD105">
            <v>16110.933690609494</v>
          </cell>
          <cell r="BE105">
            <v>16417.041430731071</v>
          </cell>
          <cell r="BF105">
            <v>16728.96521791496</v>
          </cell>
          <cell r="BG105">
            <v>17046.815557055343</v>
          </cell>
          <cell r="BH105">
            <v>17370.705052639394</v>
          </cell>
          <cell r="BI105">
            <v>17700.748448639541</v>
          </cell>
          <cell r="BJ105">
            <v>18037.06266916369</v>
          </cell>
          <cell r="BK105">
            <v>18379.7668598778</v>
          </cell>
          <cell r="BL105">
            <v>18728.982430215478</v>
          </cell>
        </row>
        <row r="109">
          <cell r="A109" t="str">
            <v>(Less) Accumulated Dep.</v>
          </cell>
        </row>
        <row r="110">
          <cell r="C110">
            <v>-4482</v>
          </cell>
          <cell r="D110">
            <v>-4995</v>
          </cell>
          <cell r="E110">
            <v>-6819</v>
          </cell>
          <cell r="F110">
            <v>-8816</v>
          </cell>
          <cell r="G110">
            <v>-10394</v>
          </cell>
          <cell r="H110">
            <v>-11948</v>
          </cell>
          <cell r="I110">
            <v>-12872</v>
          </cell>
          <cell r="J110">
            <v>-13472</v>
          </cell>
          <cell r="K110">
            <v>-14216</v>
          </cell>
          <cell r="L110">
            <v>-14373</v>
          </cell>
          <cell r="M110">
            <v>-14528</v>
          </cell>
          <cell r="N110">
            <v>-14712</v>
          </cell>
          <cell r="O110">
            <v>-14333</v>
          </cell>
          <cell r="P110">
            <v>-14333</v>
          </cell>
          <cell r="Q110">
            <v>-14466.54422</v>
          </cell>
          <cell r="R110">
            <v>-14617</v>
          </cell>
          <cell r="S110">
            <v>-14800</v>
          </cell>
          <cell r="T110">
            <v>-14772</v>
          </cell>
          <cell r="U110">
            <v>-14772</v>
          </cell>
          <cell r="V110">
            <v>-14946</v>
          </cell>
          <cell r="W110">
            <v>-15116</v>
          </cell>
          <cell r="X110">
            <v>-15279</v>
          </cell>
          <cell r="Y110">
            <v>-15444</v>
          </cell>
          <cell r="Z110">
            <v>-15444</v>
          </cell>
          <cell r="AA110">
            <v>-15611</v>
          </cell>
          <cell r="AB110">
            <v>-15783</v>
          </cell>
          <cell r="AC110">
            <v>-15969</v>
          </cell>
          <cell r="AD110">
            <v>-13836.44976</v>
          </cell>
          <cell r="AE110">
            <v>-13836.44976</v>
          </cell>
          <cell r="AF110">
            <v>-14017</v>
          </cell>
          <cell r="AG110">
            <v>-14168</v>
          </cell>
          <cell r="AH110">
            <v>-14283</v>
          </cell>
          <cell r="AI110">
            <v>-14393</v>
          </cell>
          <cell r="AJ110">
            <v>-14393</v>
          </cell>
          <cell r="AK110">
            <v>-14498</v>
          </cell>
          <cell r="AL110">
            <v>-14597</v>
          </cell>
          <cell r="AM110">
            <v>-14688</v>
          </cell>
          <cell r="AN110">
            <v>-14248</v>
          </cell>
          <cell r="AO110">
            <v>-14248</v>
          </cell>
          <cell r="AP110">
            <v>-14321</v>
          </cell>
          <cell r="AQ110">
            <v>-14393</v>
          </cell>
          <cell r="AR110">
            <v>-14465</v>
          </cell>
          <cell r="AS110">
            <v>-14741.383040000001</v>
          </cell>
          <cell r="AU110">
            <v>-14741.383040000001</v>
          </cell>
          <cell r="AV110">
            <v>-14741.383040000001</v>
          </cell>
          <cell r="AW110">
            <v>-14741.383040000001</v>
          </cell>
          <cell r="AX110">
            <v>-14741.383040000001</v>
          </cell>
          <cell r="AZ110">
            <v>-14820.123862772229</v>
          </cell>
          <cell r="BA110">
            <v>-14913.386695297735</v>
          </cell>
          <cell r="BB110">
            <v>-15033.856275394339</v>
          </cell>
          <cell r="BC110">
            <v>-15189.191730935589</v>
          </cell>
          <cell r="BD110">
            <v>-15373.54012287037</v>
          </cell>
          <cell r="BE110">
            <v>-15582.24038444251</v>
          </cell>
          <cell r="BF110">
            <v>-15811.585351137001</v>
          </cell>
          <cell r="BG110">
            <v>-16058.631392320669</v>
          </cell>
          <cell r="BH110">
            <v>-16321.046124384415</v>
          </cell>
          <cell r="BI110">
            <v>-16596.986589235439</v>
          </cell>
          <cell r="BJ110">
            <v>-16885.001805221091</v>
          </cell>
          <cell r="BK110">
            <v>-17183.954816152433</v>
          </cell>
          <cell r="BL110">
            <v>-17492.96033896504</v>
          </cell>
        </row>
        <row r="112">
          <cell r="A112" t="str">
            <v>Fixed Assets NET</v>
          </cell>
          <cell r="C112">
            <v>2474</v>
          </cell>
          <cell r="D112">
            <v>4670</v>
          </cell>
          <cell r="E112">
            <v>6148</v>
          </cell>
          <cell r="F112">
            <v>5726</v>
          </cell>
          <cell r="G112">
            <v>3605</v>
          </cell>
          <cell r="H112">
            <v>2260</v>
          </cell>
          <cell r="I112">
            <v>1696</v>
          </cell>
          <cell r="J112">
            <v>8553</v>
          </cell>
          <cell r="K112">
            <v>8177</v>
          </cell>
          <cell r="L112">
            <v>8217</v>
          </cell>
          <cell r="M112">
            <v>8564</v>
          </cell>
          <cell r="N112">
            <v>8535</v>
          </cell>
          <cell r="O112">
            <v>1471</v>
          </cell>
          <cell r="Q112">
            <v>1437.06718</v>
          </cell>
          <cell r="R112">
            <v>1938</v>
          </cell>
          <cell r="S112">
            <v>1766</v>
          </cell>
          <cell r="T112">
            <v>1625</v>
          </cell>
          <cell r="U112">
            <v>1625</v>
          </cell>
          <cell r="V112">
            <v>1523</v>
          </cell>
          <cell r="W112">
            <v>1454</v>
          </cell>
          <cell r="X112">
            <v>1337</v>
          </cell>
          <cell r="Y112">
            <v>1265</v>
          </cell>
          <cell r="Z112">
            <v>1265</v>
          </cell>
          <cell r="AA112">
            <v>1187</v>
          </cell>
          <cell r="AB112">
            <v>1064</v>
          </cell>
          <cell r="AC112">
            <v>1322</v>
          </cell>
          <cell r="AD112">
            <v>1262.7108599999992</v>
          </cell>
          <cell r="AE112">
            <v>1262.7108599999992</v>
          </cell>
          <cell r="AF112">
            <v>1108</v>
          </cell>
          <cell r="AG112">
            <v>977</v>
          </cell>
          <cell r="AH112">
            <v>862</v>
          </cell>
          <cell r="AI112">
            <v>775</v>
          </cell>
          <cell r="AJ112">
            <v>775</v>
          </cell>
          <cell r="AK112">
            <v>704</v>
          </cell>
          <cell r="AL112">
            <v>683</v>
          </cell>
          <cell r="AM112">
            <v>617</v>
          </cell>
          <cell r="AN112">
            <v>544</v>
          </cell>
          <cell r="AO112">
            <v>544</v>
          </cell>
          <cell r="AP112">
            <v>521.29280000000108</v>
          </cell>
          <cell r="AQ112">
            <v>449.29280000000108</v>
          </cell>
          <cell r="AR112">
            <v>423.30390768000325</v>
          </cell>
          <cell r="AS112">
            <v>146.92086768000263</v>
          </cell>
          <cell r="AT112">
            <v>146.92086768000263</v>
          </cell>
          <cell r="AU112">
            <v>197.54110096611657</v>
          </cell>
          <cell r="AV112">
            <v>197.54110096611657</v>
          </cell>
          <cell r="AW112">
            <v>243.85176580311236</v>
          </cell>
          <cell r="AX112">
            <v>243.85176580311236</v>
          </cell>
          <cell r="AY112">
            <v>243.85176580311236</v>
          </cell>
          <cell r="AZ112">
            <v>314.96329108891587</v>
          </cell>
          <cell r="BA112">
            <v>373.05133010202189</v>
          </cell>
          <cell r="BB112">
            <v>481.87832038641318</v>
          </cell>
          <cell r="BC112">
            <v>621.34182216499539</v>
          </cell>
          <cell r="BD112">
            <v>737.39356773912368</v>
          </cell>
          <cell r="BE112">
            <v>834.80104628856134</v>
          </cell>
          <cell r="BF112">
            <v>917.37986677795925</v>
          </cell>
          <cell r="BG112">
            <v>988.18416473467369</v>
          </cell>
          <cell r="BH112">
            <v>1049.6589282549794</v>
          </cell>
          <cell r="BI112">
            <v>1103.7618594041014</v>
          </cell>
          <cell r="BJ112">
            <v>1152.0608639425991</v>
          </cell>
          <cell r="BK112">
            <v>1195.8120437253674</v>
          </cell>
          <cell r="BL112">
            <v>1236.0220912504374</v>
          </cell>
        </row>
        <row r="113">
          <cell r="A113" t="str">
            <v>Assets Under Construction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178</v>
          </cell>
          <cell r="H114">
            <v>115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</row>
        <row r="117">
          <cell r="A117" t="str">
            <v>Goodwill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</row>
        <row r="120">
          <cell r="A120" t="str">
            <v>Investments</v>
          </cell>
        </row>
        <row r="121">
          <cell r="C121">
            <v>116</v>
          </cell>
          <cell r="D121">
            <v>116</v>
          </cell>
          <cell r="E121">
            <v>383</v>
          </cell>
          <cell r="F121">
            <v>791</v>
          </cell>
          <cell r="G121">
            <v>791</v>
          </cell>
          <cell r="H121">
            <v>1522</v>
          </cell>
          <cell r="I121">
            <v>1522</v>
          </cell>
          <cell r="J121">
            <v>1522</v>
          </cell>
          <cell r="K121">
            <v>1522</v>
          </cell>
          <cell r="L121">
            <v>1522</v>
          </cell>
          <cell r="M121">
            <v>1522</v>
          </cell>
          <cell r="N121">
            <v>1522</v>
          </cell>
          <cell r="O121">
            <v>1522</v>
          </cell>
          <cell r="P121">
            <v>1522</v>
          </cell>
          <cell r="Q121">
            <v>1522</v>
          </cell>
          <cell r="R121">
            <v>1522</v>
          </cell>
          <cell r="S121">
            <v>1522</v>
          </cell>
          <cell r="T121">
            <v>1522</v>
          </cell>
          <cell r="V121">
            <v>1522</v>
          </cell>
          <cell r="W121">
            <v>1522</v>
          </cell>
          <cell r="X121">
            <v>1522</v>
          </cell>
          <cell r="Y121">
            <v>3318.69164</v>
          </cell>
          <cell r="AA121">
            <v>3319</v>
          </cell>
          <cell r="AB121">
            <v>7702</v>
          </cell>
          <cell r="AC121">
            <v>7702</v>
          </cell>
          <cell r="AD121">
            <v>3319</v>
          </cell>
          <cell r="AF121">
            <v>3319</v>
          </cell>
          <cell r="AG121">
            <v>3319</v>
          </cell>
          <cell r="AH121">
            <v>3319</v>
          </cell>
          <cell r="AI121">
            <v>3319</v>
          </cell>
          <cell r="AK121">
            <v>3319</v>
          </cell>
          <cell r="AL121">
            <v>3319</v>
          </cell>
          <cell r="AM121">
            <v>3319</v>
          </cell>
          <cell r="AN121">
            <v>1797.3168799999999</v>
          </cell>
          <cell r="AP121">
            <v>1797.3168799999999</v>
          </cell>
          <cell r="AQ121">
            <v>1797.3168799999999</v>
          </cell>
          <cell r="AR121">
            <v>1797.3168799999999</v>
          </cell>
          <cell r="AS121">
            <v>1797.3168799999999</v>
          </cell>
          <cell r="AU121">
            <v>1797.3168799999999</v>
          </cell>
          <cell r="AV121">
            <v>1797.3168799999999</v>
          </cell>
          <cell r="AW121">
            <v>1797.3168799999999</v>
          </cell>
          <cell r="AX121">
            <v>1797.3168799999999</v>
          </cell>
          <cell r="AY121">
            <v>1797.3168799999999</v>
          </cell>
          <cell r="AZ121">
            <v>1797.3168799999999</v>
          </cell>
          <cell r="BA121">
            <v>1797.3168799999999</v>
          </cell>
          <cell r="BB121">
            <v>1797.3168799999999</v>
          </cell>
          <cell r="BC121">
            <v>1797.3168799999999</v>
          </cell>
          <cell r="BD121">
            <v>1797.3168799999999</v>
          </cell>
          <cell r="BE121">
            <v>1797.3168799999999</v>
          </cell>
          <cell r="BF121">
            <v>1797.3168799999999</v>
          </cell>
          <cell r="BG121">
            <v>1797.3168799999999</v>
          </cell>
          <cell r="BH121">
            <v>1797.3168799999999</v>
          </cell>
          <cell r="BI121">
            <v>1797.3168799999999</v>
          </cell>
          <cell r="BJ121">
            <v>1797.3168799999999</v>
          </cell>
          <cell r="BK121">
            <v>1797.3168799999999</v>
          </cell>
          <cell r="BL121">
            <v>1797.3168799999999</v>
          </cell>
        </row>
        <row r="128">
          <cell r="A128" t="str">
            <v>Other Assets</v>
          </cell>
        </row>
        <row r="129">
          <cell r="C129">
            <v>0</v>
          </cell>
          <cell r="D129">
            <v>0</v>
          </cell>
          <cell r="E129">
            <v>-32</v>
          </cell>
          <cell r="F129">
            <v>26</v>
          </cell>
          <cell r="G129">
            <v>431</v>
          </cell>
          <cell r="H129">
            <v>200</v>
          </cell>
          <cell r="I129">
            <v>189</v>
          </cell>
          <cell r="J129">
            <v>151</v>
          </cell>
          <cell r="K129">
            <v>201</v>
          </cell>
          <cell r="L129">
            <v>197</v>
          </cell>
          <cell r="M129">
            <v>184</v>
          </cell>
          <cell r="N129">
            <v>155</v>
          </cell>
          <cell r="O129">
            <v>65</v>
          </cell>
          <cell r="P129">
            <v>66</v>
          </cell>
          <cell r="Q129">
            <v>24.332999999999998</v>
          </cell>
          <cell r="R129">
            <v>10</v>
          </cell>
          <cell r="S129">
            <v>13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4656</v>
          </cell>
          <cell r="AL129">
            <v>2836</v>
          </cell>
          <cell r="AM129">
            <v>2633</v>
          </cell>
          <cell r="AN129">
            <v>2431.3958199999997</v>
          </cell>
          <cell r="AO129">
            <v>2431.3958199999997</v>
          </cell>
          <cell r="AP129">
            <v>2228</v>
          </cell>
          <cell r="AQ129">
            <v>2024</v>
          </cell>
          <cell r="AR129">
            <v>3242</v>
          </cell>
          <cell r="AS129">
            <v>3242</v>
          </cell>
          <cell r="AU129">
            <v>3242</v>
          </cell>
          <cell r="AV129">
            <v>3242</v>
          </cell>
          <cell r="AW129">
            <v>3242</v>
          </cell>
          <cell r="AX129">
            <v>3242</v>
          </cell>
          <cell r="AY129">
            <v>3242</v>
          </cell>
          <cell r="AZ129">
            <v>3242</v>
          </cell>
          <cell r="BA129">
            <v>3242</v>
          </cell>
          <cell r="BB129">
            <v>3242</v>
          </cell>
          <cell r="BC129">
            <v>3242</v>
          </cell>
          <cell r="BD129">
            <v>3242</v>
          </cell>
          <cell r="BE129">
            <v>3242</v>
          </cell>
          <cell r="BF129">
            <v>3242</v>
          </cell>
          <cell r="BG129">
            <v>3242</v>
          </cell>
          <cell r="BH129">
            <v>3242</v>
          </cell>
          <cell r="BI129">
            <v>3242</v>
          </cell>
          <cell r="BJ129">
            <v>3242</v>
          </cell>
          <cell r="BK129">
            <v>3242</v>
          </cell>
          <cell r="BL129">
            <v>3242</v>
          </cell>
        </row>
        <row r="132">
          <cell r="A132" t="str">
            <v>Projects Under Progress - POC Calc</v>
          </cell>
        </row>
        <row r="133">
          <cell r="C133">
            <v>0</v>
          </cell>
          <cell r="D133">
            <v>0</v>
          </cell>
          <cell r="E133">
            <v>19974</v>
          </cell>
          <cell r="F133">
            <v>14818</v>
          </cell>
          <cell r="G133">
            <v>14411</v>
          </cell>
          <cell r="H133">
            <v>15677</v>
          </cell>
          <cell r="I133">
            <v>8602</v>
          </cell>
          <cell r="J133">
            <v>10824</v>
          </cell>
          <cell r="K133">
            <v>9900</v>
          </cell>
          <cell r="L133">
            <v>11561</v>
          </cell>
          <cell r="M133">
            <v>9466</v>
          </cell>
          <cell r="N133">
            <v>13762</v>
          </cell>
          <cell r="O133">
            <v>15133</v>
          </cell>
          <cell r="P133">
            <v>15133</v>
          </cell>
          <cell r="Q133">
            <v>16516.638999999999</v>
          </cell>
          <cell r="R133">
            <v>23572</v>
          </cell>
          <cell r="S133">
            <v>15055</v>
          </cell>
          <cell r="T133">
            <v>54191</v>
          </cell>
          <cell r="U133">
            <v>54191</v>
          </cell>
          <cell r="V133">
            <v>32882</v>
          </cell>
          <cell r="W133">
            <v>54153</v>
          </cell>
          <cell r="X133">
            <v>35028</v>
          </cell>
          <cell r="Y133">
            <v>40976</v>
          </cell>
          <cell r="Z133">
            <v>40976</v>
          </cell>
          <cell r="AA133">
            <v>27817</v>
          </cell>
          <cell r="AB133">
            <v>38811</v>
          </cell>
          <cell r="AC133">
            <v>36046</v>
          </cell>
          <cell r="AD133">
            <v>30295.563999999998</v>
          </cell>
          <cell r="AE133">
            <v>30295.563999999998</v>
          </cell>
          <cell r="AF133">
            <v>27690</v>
          </cell>
          <cell r="AG133">
            <v>28492</v>
          </cell>
          <cell r="AH133">
            <v>22327</v>
          </cell>
          <cell r="AI133">
            <v>19522</v>
          </cell>
          <cell r="AJ133">
            <v>19522</v>
          </cell>
          <cell r="AK133">
            <v>15669</v>
          </cell>
          <cell r="AL133">
            <v>13750</v>
          </cell>
          <cell r="AM133">
            <v>16124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6104.4321649999974</v>
          </cell>
          <cell r="AZ133">
            <v>7004.5111890044855</v>
          </cell>
          <cell r="BA133">
            <v>7629.7576629220375</v>
          </cell>
          <cell r="BB133">
            <v>8314.1774010753597</v>
          </cell>
          <cell r="BC133">
            <v>9063.5324349155799</v>
          </cell>
          <cell r="BD133">
            <v>9890.9131577684911</v>
          </cell>
          <cell r="BE133">
            <v>10713.863200402262</v>
          </cell>
          <cell r="BF133">
            <v>11691.659235991665</v>
          </cell>
          <cell r="BG133">
            <v>12763.029375189046</v>
          </cell>
          <cell r="BH133">
            <v>13937.13498250253</v>
          </cell>
          <cell r="BI133">
            <v>15224.044183472746</v>
          </cell>
          <cell r="BJ133">
            <v>16634.822084811432</v>
          </cell>
          <cell r="BK133">
            <v>18181.629994139785</v>
          </cell>
          <cell r="BL133">
            <v>19877.834538177467</v>
          </cell>
        </row>
        <row r="137">
          <cell r="A137" t="str">
            <v>Inventory</v>
          </cell>
        </row>
        <row r="138">
          <cell r="C138">
            <v>16119</v>
          </cell>
          <cell r="D138">
            <v>58840</v>
          </cell>
          <cell r="E138">
            <v>67967</v>
          </cell>
          <cell r="F138">
            <v>80592</v>
          </cell>
          <cell r="G138">
            <v>70966</v>
          </cell>
          <cell r="H138">
            <v>70089.714999999997</v>
          </cell>
          <cell r="I138">
            <v>53428</v>
          </cell>
          <cell r="J138">
            <v>47111</v>
          </cell>
          <cell r="K138">
            <v>41860</v>
          </cell>
          <cell r="L138">
            <v>43814</v>
          </cell>
          <cell r="M138">
            <v>43213</v>
          </cell>
          <cell r="N138">
            <v>47733</v>
          </cell>
          <cell r="O138">
            <v>54994</v>
          </cell>
          <cell r="P138">
            <v>54994</v>
          </cell>
          <cell r="Q138">
            <v>51047.86997</v>
          </cell>
          <cell r="R138">
            <v>54120</v>
          </cell>
          <cell r="S138">
            <v>52943</v>
          </cell>
          <cell r="T138">
            <v>62063</v>
          </cell>
          <cell r="U138">
            <v>62063</v>
          </cell>
          <cell r="V138">
            <v>50819</v>
          </cell>
          <cell r="W138">
            <v>50279</v>
          </cell>
          <cell r="X138">
            <v>48159</v>
          </cell>
          <cell r="Y138">
            <v>46220.373100000004</v>
          </cell>
          <cell r="Z138">
            <v>46220.373100000004</v>
          </cell>
          <cell r="AA138">
            <v>45931</v>
          </cell>
          <cell r="AB138">
            <v>44998</v>
          </cell>
          <cell r="AC138">
            <v>48320</v>
          </cell>
          <cell r="AD138">
            <v>64709</v>
          </cell>
          <cell r="AE138">
            <v>64709</v>
          </cell>
          <cell r="AF138">
            <v>64908</v>
          </cell>
          <cell r="AG138">
            <v>66130.643460000007</v>
          </cell>
          <cell r="AH138">
            <v>66281.000000000015</v>
          </cell>
          <cell r="AI138">
            <v>64918.380060000047</v>
          </cell>
          <cell r="AJ138">
            <v>64918.380060000047</v>
          </cell>
          <cell r="AK138">
            <v>64708</v>
          </cell>
          <cell r="AL138">
            <v>67836</v>
          </cell>
          <cell r="AM138">
            <v>71880</v>
          </cell>
          <cell r="AN138">
            <v>72845</v>
          </cell>
          <cell r="AO138">
            <v>72845</v>
          </cell>
          <cell r="AP138">
            <v>71120</v>
          </cell>
          <cell r="AQ138">
            <v>70078</v>
          </cell>
          <cell r="AR138">
            <v>69753</v>
          </cell>
          <cell r="AS138">
            <v>69387.493825766665</v>
          </cell>
          <cell r="AU138">
            <v>50345.377993333321</v>
          </cell>
          <cell r="AV138">
            <v>59681.646333333309</v>
          </cell>
          <cell r="AW138">
            <v>58464.286515555534</v>
          </cell>
          <cell r="AX138">
            <v>44765.835876666657</v>
          </cell>
          <cell r="AY138">
            <v>44765.835876666657</v>
          </cell>
          <cell r="AZ138">
            <v>56036.089512035884</v>
          </cell>
          <cell r="BA138">
            <v>68667.818966298335</v>
          </cell>
          <cell r="BB138">
            <v>84804.609490968665</v>
          </cell>
          <cell r="BC138">
            <v>99698.856784071366</v>
          </cell>
          <cell r="BD138">
            <v>113745.50131433766</v>
          </cell>
          <cell r="BE138">
            <v>123209.42680462601</v>
          </cell>
          <cell r="BF138">
            <v>136792.41306110244</v>
          </cell>
          <cell r="BG138">
            <v>146774.83781467404</v>
          </cell>
          <cell r="BH138">
            <v>151914.77130927757</v>
          </cell>
          <cell r="BI138">
            <v>152240.44183472748</v>
          </cell>
          <cell r="BJ138">
            <v>154703.84538874633</v>
          </cell>
          <cell r="BK138">
            <v>154543.85495018816</v>
          </cell>
          <cell r="BL138">
            <v>155047.10939778425</v>
          </cell>
        </row>
        <row r="146">
          <cell r="A146" t="str">
            <v>Accounts Receivables</v>
          </cell>
        </row>
        <row r="147">
          <cell r="C147">
            <v>25601</v>
          </cell>
          <cell r="D147">
            <v>32439</v>
          </cell>
          <cell r="E147">
            <v>67402</v>
          </cell>
          <cell r="F147">
            <v>53437</v>
          </cell>
          <cell r="G147">
            <v>57597</v>
          </cell>
          <cell r="H147">
            <v>53346</v>
          </cell>
          <cell r="I147">
            <v>29205</v>
          </cell>
          <cell r="J147">
            <v>31309</v>
          </cell>
          <cell r="K147">
            <v>56300</v>
          </cell>
          <cell r="L147">
            <v>53069</v>
          </cell>
          <cell r="M147">
            <v>59812</v>
          </cell>
          <cell r="N147">
            <v>35826</v>
          </cell>
          <cell r="O147">
            <v>49699</v>
          </cell>
          <cell r="P147">
            <v>49699</v>
          </cell>
          <cell r="Q147">
            <v>56528.129130000001</v>
          </cell>
          <cell r="R147">
            <v>42739</v>
          </cell>
          <cell r="S147">
            <v>48509</v>
          </cell>
          <cell r="T147">
            <v>47837</v>
          </cell>
          <cell r="U147">
            <v>47837</v>
          </cell>
          <cell r="V147">
            <v>55035</v>
          </cell>
          <cell r="W147">
            <v>59543</v>
          </cell>
          <cell r="X147">
            <v>89733</v>
          </cell>
          <cell r="Y147">
            <v>86125</v>
          </cell>
          <cell r="Z147">
            <v>86125</v>
          </cell>
          <cell r="AA147">
            <v>64818</v>
          </cell>
          <cell r="AB147">
            <v>37557</v>
          </cell>
          <cell r="AC147">
            <v>46902</v>
          </cell>
          <cell r="AD147">
            <v>70594</v>
          </cell>
          <cell r="AE147">
            <v>70594</v>
          </cell>
          <cell r="AF147">
            <v>38844</v>
          </cell>
          <cell r="AG147">
            <v>44904</v>
          </cell>
          <cell r="AH147">
            <v>48146</v>
          </cell>
          <cell r="AI147">
            <v>38725</v>
          </cell>
          <cell r="AJ147">
            <v>38725</v>
          </cell>
          <cell r="AK147">
            <v>31041</v>
          </cell>
          <cell r="AL147">
            <v>25641</v>
          </cell>
          <cell r="AM147">
            <v>21411</v>
          </cell>
          <cell r="AN147">
            <v>20123</v>
          </cell>
          <cell r="AO147">
            <v>20123</v>
          </cell>
          <cell r="AP147">
            <v>23839</v>
          </cell>
          <cell r="AQ147">
            <v>29549</v>
          </cell>
          <cell r="AR147">
            <v>29945</v>
          </cell>
          <cell r="AS147">
            <v>23950.172088888892</v>
          </cell>
          <cell r="AU147">
            <v>70645.044426666631</v>
          </cell>
          <cell r="AV147">
            <v>44013.508866666671</v>
          </cell>
          <cell r="AW147">
            <v>49866.666631111118</v>
          </cell>
          <cell r="AX147">
            <v>43041.996635555559</v>
          </cell>
          <cell r="AY147">
            <v>43041.996635555559</v>
          </cell>
          <cell r="AZ147">
            <v>56370.149684722215</v>
          </cell>
          <cell r="BA147">
            <v>66360.657121208336</v>
          </cell>
          <cell r="BB147">
            <v>77780.12201619643</v>
          </cell>
          <cell r="BC147">
            <v>85472.59374161411</v>
          </cell>
          <cell r="BD147">
            <v>93931.746425287463</v>
          </cell>
          <cell r="BE147">
            <v>103234.17117661354</v>
          </cell>
          <cell r="BF147">
            <v>113464.11590633616</v>
          </cell>
          <cell r="BG147">
            <v>124714.25093739283</v>
          </cell>
          <cell r="BH147">
            <v>137086.51117476792</v>
          </cell>
          <cell r="BI147">
            <v>150693.02249018956</v>
          </cell>
          <cell r="BJ147">
            <v>165657.12074309171</v>
          </cell>
          <cell r="BK147">
            <v>182114.47270140055</v>
          </cell>
          <cell r="BL147">
            <v>200214.3090520603</v>
          </cell>
        </row>
        <row r="151">
          <cell r="A151" t="str">
            <v>Debtors &amp; Debit Balances</v>
          </cell>
        </row>
        <row r="152">
          <cell r="C152">
            <v>35258</v>
          </cell>
          <cell r="D152">
            <v>36608</v>
          </cell>
          <cell r="E152">
            <v>35504</v>
          </cell>
          <cell r="F152">
            <v>27320</v>
          </cell>
          <cell r="G152">
            <v>34692</v>
          </cell>
          <cell r="H152">
            <v>62494</v>
          </cell>
          <cell r="I152">
            <v>48599</v>
          </cell>
          <cell r="J152">
            <v>38475</v>
          </cell>
          <cell r="K152">
            <v>25637</v>
          </cell>
          <cell r="L152">
            <v>52213</v>
          </cell>
          <cell r="M152">
            <v>52751</v>
          </cell>
          <cell r="N152">
            <v>69795</v>
          </cell>
          <cell r="O152">
            <v>61452</v>
          </cell>
          <cell r="P152">
            <v>61452</v>
          </cell>
          <cell r="Q152">
            <v>71175.541110000006</v>
          </cell>
          <cell r="R152">
            <v>98515</v>
          </cell>
          <cell r="S152">
            <v>99203</v>
          </cell>
          <cell r="T152">
            <v>85710</v>
          </cell>
          <cell r="U152">
            <v>85710</v>
          </cell>
          <cell r="V152">
            <v>94977</v>
          </cell>
          <cell r="W152">
            <v>101657</v>
          </cell>
          <cell r="X152">
            <v>100253</v>
          </cell>
          <cell r="Y152">
            <v>59872</v>
          </cell>
          <cell r="Z152">
            <v>59872</v>
          </cell>
          <cell r="AA152">
            <v>47629</v>
          </cell>
          <cell r="AB152">
            <v>52285</v>
          </cell>
          <cell r="AC152">
            <v>47400</v>
          </cell>
          <cell r="AD152">
            <v>40346</v>
          </cell>
          <cell r="AE152">
            <v>40346</v>
          </cell>
          <cell r="AF152">
            <v>48085</v>
          </cell>
          <cell r="AG152">
            <v>46542</v>
          </cell>
          <cell r="AH152">
            <v>72826</v>
          </cell>
          <cell r="AI152">
            <v>71099</v>
          </cell>
          <cell r="AJ152">
            <v>71099</v>
          </cell>
          <cell r="AK152">
            <v>39883</v>
          </cell>
          <cell r="AL152">
            <v>32117</v>
          </cell>
          <cell r="AM152">
            <v>36248</v>
          </cell>
          <cell r="AN152">
            <v>41031.001340000003</v>
          </cell>
          <cell r="AO152">
            <v>41031.001340000003</v>
          </cell>
          <cell r="AP152">
            <v>52251</v>
          </cell>
          <cell r="AQ152">
            <v>57513</v>
          </cell>
          <cell r="AR152">
            <v>62586</v>
          </cell>
          <cell r="AS152">
            <v>60174.807373333337</v>
          </cell>
          <cell r="AU152">
            <v>79475.674979999952</v>
          </cell>
          <cell r="AV152">
            <v>79224.315960000007</v>
          </cell>
          <cell r="AW152">
            <v>56099.999960000008</v>
          </cell>
          <cell r="AX152">
            <v>67637.423284444449</v>
          </cell>
          <cell r="AY152">
            <v>67637.423284444449</v>
          </cell>
          <cell r="AZ152">
            <v>68449.467474305551</v>
          </cell>
          <cell r="BA152">
            <v>79632.788545449992</v>
          </cell>
          <cell r="BB152">
            <v>89447.140318625883</v>
          </cell>
          <cell r="BC152">
            <v>106840.74217701763</v>
          </cell>
          <cell r="BD152">
            <v>123285.41718318981</v>
          </cell>
          <cell r="BE152">
            <v>135494.84966930529</v>
          </cell>
          <cell r="BF152">
            <v>148921.65212706619</v>
          </cell>
          <cell r="BG152">
            <v>163687.45435532808</v>
          </cell>
          <cell r="BH152">
            <v>171358.13896845991</v>
          </cell>
          <cell r="BI152">
            <v>188366.27811273697</v>
          </cell>
          <cell r="BJ152">
            <v>196717.83088242143</v>
          </cell>
          <cell r="BK152">
            <v>220813.79815044816</v>
          </cell>
          <cell r="BL152">
            <v>225241.09768356782</v>
          </cell>
        </row>
        <row r="161">
          <cell r="A161" t="str">
            <v>Due From Inter Companies Net</v>
          </cell>
        </row>
        <row r="162">
          <cell r="C162">
            <v>1889</v>
          </cell>
          <cell r="D162">
            <v>4324</v>
          </cell>
          <cell r="E162">
            <v>28139</v>
          </cell>
          <cell r="F162">
            <v>47611</v>
          </cell>
          <cell r="G162">
            <v>59030</v>
          </cell>
          <cell r="H162">
            <v>85412</v>
          </cell>
          <cell r="I162">
            <v>100536</v>
          </cell>
          <cell r="J162">
            <v>139781</v>
          </cell>
          <cell r="K162">
            <v>116485</v>
          </cell>
          <cell r="L162">
            <v>114268</v>
          </cell>
          <cell r="M162">
            <v>120673</v>
          </cell>
          <cell r="N162">
            <v>122451</v>
          </cell>
          <cell r="O162">
            <v>109098</v>
          </cell>
          <cell r="P162">
            <v>109098</v>
          </cell>
          <cell r="Q162">
            <v>117953.65817</v>
          </cell>
          <cell r="R162">
            <v>121384</v>
          </cell>
          <cell r="S162">
            <v>125995</v>
          </cell>
          <cell r="T162">
            <v>122482</v>
          </cell>
          <cell r="U162">
            <v>122482</v>
          </cell>
          <cell r="V162">
            <v>126550</v>
          </cell>
          <cell r="W162">
            <v>130060</v>
          </cell>
          <cell r="X162">
            <v>153974</v>
          </cell>
          <cell r="Y162">
            <v>102293</v>
          </cell>
          <cell r="Z162">
            <v>102293</v>
          </cell>
          <cell r="AA162">
            <v>101994</v>
          </cell>
          <cell r="AB162">
            <v>98347</v>
          </cell>
          <cell r="AC162">
            <v>102209</v>
          </cell>
          <cell r="AD162">
            <v>105982</v>
          </cell>
          <cell r="AE162">
            <v>105982</v>
          </cell>
          <cell r="AF162">
            <v>110036</v>
          </cell>
          <cell r="AG162">
            <v>127742</v>
          </cell>
          <cell r="AH162">
            <v>113446</v>
          </cell>
          <cell r="AI162">
            <v>117388</v>
          </cell>
          <cell r="AJ162">
            <v>117388</v>
          </cell>
          <cell r="AK162">
            <v>99393</v>
          </cell>
          <cell r="AL162">
            <v>97621</v>
          </cell>
          <cell r="AM162">
            <v>96329</v>
          </cell>
          <cell r="AN162">
            <v>95431</v>
          </cell>
          <cell r="AO162">
            <v>95431</v>
          </cell>
          <cell r="AP162">
            <v>96151</v>
          </cell>
          <cell r="AQ162">
            <v>99433</v>
          </cell>
          <cell r="AR162">
            <v>94800</v>
          </cell>
          <cell r="AS162">
            <v>88800</v>
          </cell>
          <cell r="AU162">
            <v>87050</v>
          </cell>
          <cell r="AV162">
            <v>85300</v>
          </cell>
          <cell r="AW162">
            <v>83550</v>
          </cell>
          <cell r="AX162">
            <v>81800</v>
          </cell>
          <cell r="AY162">
            <v>81800</v>
          </cell>
          <cell r="AZ162">
            <v>66800</v>
          </cell>
          <cell r="BA162">
            <v>51800</v>
          </cell>
          <cell r="BB162">
            <v>36800</v>
          </cell>
          <cell r="BC162">
            <v>33522</v>
          </cell>
          <cell r="BD162">
            <v>30522</v>
          </cell>
          <cell r="BE162">
            <v>28260</v>
          </cell>
          <cell r="BF162">
            <v>28260</v>
          </cell>
          <cell r="BG162">
            <v>28260</v>
          </cell>
          <cell r="BH162">
            <v>28260</v>
          </cell>
          <cell r="BI162">
            <v>28260</v>
          </cell>
          <cell r="BJ162">
            <v>28260</v>
          </cell>
          <cell r="BK162">
            <v>28260</v>
          </cell>
          <cell r="BL162">
            <v>28260</v>
          </cell>
        </row>
        <row r="172">
          <cell r="A172" t="str">
            <v>Due From Related Party Companies</v>
          </cell>
        </row>
        <row r="173">
          <cell r="C173">
            <v>0</v>
          </cell>
          <cell r="D173">
            <v>0</v>
          </cell>
          <cell r="E173">
            <v>-78</v>
          </cell>
          <cell r="F173">
            <v>-13</v>
          </cell>
          <cell r="G173">
            <v>-8</v>
          </cell>
          <cell r="H173">
            <v>-12</v>
          </cell>
          <cell r="I173">
            <v>-2</v>
          </cell>
          <cell r="J173">
            <v>13</v>
          </cell>
          <cell r="K173">
            <v>33</v>
          </cell>
          <cell r="L173">
            <v>36</v>
          </cell>
          <cell r="M173">
            <v>39</v>
          </cell>
          <cell r="N173">
            <v>43</v>
          </cell>
          <cell r="O173">
            <v>46</v>
          </cell>
          <cell r="Q173">
            <v>51.149300000000004</v>
          </cell>
          <cell r="R173">
            <v>44</v>
          </cell>
          <cell r="S173">
            <v>44</v>
          </cell>
          <cell r="T173">
            <v>44</v>
          </cell>
          <cell r="V173">
            <v>44</v>
          </cell>
          <cell r="W173">
            <v>8044</v>
          </cell>
          <cell r="X173">
            <v>8095</v>
          </cell>
          <cell r="Y173">
            <v>8059</v>
          </cell>
          <cell r="AA173">
            <v>8055</v>
          </cell>
          <cell r="AB173">
            <v>8045</v>
          </cell>
          <cell r="AC173">
            <v>10261</v>
          </cell>
          <cell r="AD173">
            <v>10483.3971</v>
          </cell>
          <cell r="AF173">
            <v>16309</v>
          </cell>
          <cell r="AG173">
            <v>3582</v>
          </cell>
          <cell r="AH173">
            <v>8040</v>
          </cell>
          <cell r="AI173">
            <v>11046</v>
          </cell>
          <cell r="AJ173">
            <v>11046</v>
          </cell>
          <cell r="AK173">
            <v>6869</v>
          </cell>
          <cell r="AL173">
            <v>4689</v>
          </cell>
          <cell r="AM173">
            <v>5105</v>
          </cell>
          <cell r="AN173">
            <v>5588</v>
          </cell>
          <cell r="AO173">
            <v>5588</v>
          </cell>
          <cell r="AP173">
            <v>4685</v>
          </cell>
          <cell r="AQ173">
            <v>3685</v>
          </cell>
          <cell r="AR173">
            <v>2392</v>
          </cell>
          <cell r="AS173">
            <v>2396</v>
          </cell>
          <cell r="AU173">
            <v>2396</v>
          </cell>
          <cell r="AV173">
            <v>2396</v>
          </cell>
          <cell r="AW173">
            <v>2396</v>
          </cell>
          <cell r="AX173">
            <v>2396</v>
          </cell>
          <cell r="AY173">
            <v>2396</v>
          </cell>
          <cell r="AZ173">
            <v>2396</v>
          </cell>
          <cell r="BA173">
            <v>2396</v>
          </cell>
          <cell r="BB173">
            <v>2396</v>
          </cell>
          <cell r="BC173">
            <v>2396</v>
          </cell>
          <cell r="BD173">
            <v>2396</v>
          </cell>
          <cell r="BE173">
            <v>2396</v>
          </cell>
          <cell r="BF173">
            <v>2396</v>
          </cell>
          <cell r="BG173">
            <v>2396</v>
          </cell>
          <cell r="BH173">
            <v>2396</v>
          </cell>
          <cell r="BI173">
            <v>2396</v>
          </cell>
          <cell r="BJ173">
            <v>2396</v>
          </cell>
          <cell r="BK173">
            <v>2396</v>
          </cell>
          <cell r="BL173">
            <v>2396</v>
          </cell>
        </row>
        <row r="179">
          <cell r="A179" t="str">
            <v>Short Term Investment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</row>
        <row r="183">
          <cell r="A183" t="str">
            <v>Cash &amp; Banks</v>
          </cell>
        </row>
        <row r="184">
          <cell r="C184">
            <v>210</v>
          </cell>
          <cell r="D184">
            <v>16159</v>
          </cell>
          <cell r="E184">
            <v>40502</v>
          </cell>
          <cell r="F184">
            <v>29854</v>
          </cell>
          <cell r="G184">
            <v>33965</v>
          </cell>
          <cell r="H184">
            <v>22288</v>
          </cell>
          <cell r="I184">
            <v>17992</v>
          </cell>
          <cell r="J184">
            <v>14465</v>
          </cell>
          <cell r="K184">
            <v>14498</v>
          </cell>
          <cell r="L184">
            <v>19263</v>
          </cell>
          <cell r="M184">
            <v>13492</v>
          </cell>
          <cell r="N184">
            <v>21736</v>
          </cell>
          <cell r="O184">
            <v>26952</v>
          </cell>
          <cell r="P184">
            <v>26952</v>
          </cell>
          <cell r="Q184">
            <v>19953.078430000001</v>
          </cell>
          <cell r="R184">
            <v>15005</v>
          </cell>
          <cell r="S184">
            <v>15380</v>
          </cell>
          <cell r="T184">
            <v>15025</v>
          </cell>
          <cell r="U184">
            <v>15025</v>
          </cell>
          <cell r="V184">
            <v>11795</v>
          </cell>
          <cell r="W184">
            <v>6060</v>
          </cell>
          <cell r="X184">
            <v>10664</v>
          </cell>
          <cell r="Y184">
            <v>24817</v>
          </cell>
          <cell r="Z184">
            <v>24817</v>
          </cell>
          <cell r="AA184">
            <v>9322</v>
          </cell>
          <cell r="AB184">
            <v>14373</v>
          </cell>
          <cell r="AC184">
            <v>3340</v>
          </cell>
          <cell r="AD184">
            <v>65</v>
          </cell>
          <cell r="AE184">
            <v>65</v>
          </cell>
          <cell r="AF184">
            <v>7292.3928554796476</v>
          </cell>
          <cell r="AG184">
            <v>3991.078525479661</v>
          </cell>
          <cell r="AH184">
            <v>5851.9061254796834</v>
          </cell>
          <cell r="AI184">
            <v>6670.5940654795995</v>
          </cell>
          <cell r="AJ184">
            <v>6670.5940654795995</v>
          </cell>
          <cell r="AK184">
            <v>10106</v>
          </cell>
          <cell r="AL184">
            <v>10142</v>
          </cell>
          <cell r="AM184">
            <v>10041</v>
          </cell>
          <cell r="AN184">
            <v>11073.144085479675</v>
          </cell>
          <cell r="AO184">
            <v>11073.144085479675</v>
          </cell>
          <cell r="AP184">
            <v>11428.760190179284</v>
          </cell>
          <cell r="AQ184">
            <v>8480</v>
          </cell>
          <cell r="AR184">
            <v>3406.1921946927919</v>
          </cell>
          <cell r="AS184">
            <v>3844.9701609539025</v>
          </cell>
          <cell r="AU184">
            <v>0</v>
          </cell>
          <cell r="AV184">
            <v>0</v>
          </cell>
          <cell r="AW184">
            <v>0</v>
          </cell>
          <cell r="AX184">
            <v>10066.25437566963</v>
          </cell>
          <cell r="AY184">
            <v>10066.25437566963</v>
          </cell>
          <cell r="AZ184">
            <v>19729.02002493084</v>
          </cell>
          <cell r="BA184">
            <v>25561.057083242762</v>
          </cell>
          <cell r="BB184">
            <v>33608.961598695496</v>
          </cell>
          <cell r="BC184">
            <v>29912.877617784347</v>
          </cell>
          <cell r="BD184">
            <v>32525.609632362466</v>
          </cell>
          <cell r="BE184">
            <v>36504.792928340619</v>
          </cell>
          <cell r="BF184">
            <v>27629.930392810063</v>
          </cell>
          <cell r="BG184">
            <v>14673.490237904771</v>
          </cell>
          <cell r="BH184">
            <v>15985.753126783951</v>
          </cell>
          <cell r="BI184">
            <v>17927.767071239447</v>
          </cell>
          <cell r="BJ184">
            <v>23263.397452481557</v>
          </cell>
          <cell r="BK184">
            <v>19241.367283428088</v>
          </cell>
          <cell r="BL184">
            <v>35731.111482888839</v>
          </cell>
        </row>
        <row r="185"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5000</v>
          </cell>
          <cell r="R185">
            <v>5000</v>
          </cell>
          <cell r="S185">
            <v>5000</v>
          </cell>
          <cell r="T185">
            <v>5000</v>
          </cell>
          <cell r="U185">
            <v>5000</v>
          </cell>
          <cell r="V185">
            <v>5000</v>
          </cell>
          <cell r="W185">
            <v>5000</v>
          </cell>
          <cell r="X185">
            <v>0</v>
          </cell>
          <cell r="Y185">
            <v>0</v>
          </cell>
          <cell r="Z185">
            <v>0</v>
          </cell>
          <cell r="AA185">
            <v>5000</v>
          </cell>
          <cell r="AB185">
            <v>5000</v>
          </cell>
          <cell r="AC185">
            <v>5000</v>
          </cell>
          <cell r="AD185">
            <v>5000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</row>
        <row r="191">
          <cell r="A191" t="str">
            <v>Banks Over Draft</v>
          </cell>
        </row>
        <row r="192">
          <cell r="C192">
            <v>19556</v>
          </cell>
          <cell r="D192">
            <v>29045</v>
          </cell>
          <cell r="E192">
            <v>58556</v>
          </cell>
          <cell r="F192">
            <v>47109</v>
          </cell>
          <cell r="G192">
            <v>46496</v>
          </cell>
          <cell r="H192">
            <v>76222</v>
          </cell>
          <cell r="I192">
            <v>62272</v>
          </cell>
          <cell r="J192">
            <v>75746</v>
          </cell>
          <cell r="K192">
            <v>42190</v>
          </cell>
          <cell r="L192">
            <v>0</v>
          </cell>
          <cell r="M192">
            <v>0</v>
          </cell>
          <cell r="N192">
            <v>0</v>
          </cell>
          <cell r="O192">
            <v>27694</v>
          </cell>
          <cell r="P192">
            <v>27694</v>
          </cell>
          <cell r="Q192">
            <v>0</v>
          </cell>
          <cell r="R192">
            <v>0</v>
          </cell>
          <cell r="S192">
            <v>0</v>
          </cell>
          <cell r="T192">
            <v>25702</v>
          </cell>
          <cell r="U192">
            <v>25702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32882.927204159983</v>
          </cell>
          <cell r="AV192">
            <v>28019.274995826716</v>
          </cell>
          <cell r="AW192">
            <v>77488.230049552571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</row>
        <row r="195">
          <cell r="I195">
            <v>0.14499999999999999</v>
          </cell>
          <cell r="J195">
            <v>0.14499999999999999</v>
          </cell>
          <cell r="K195">
            <v>0.14499999999999999</v>
          </cell>
          <cell r="L195">
            <v>0.13500000000000001</v>
          </cell>
          <cell r="M195">
            <v>0.13500000000000001</v>
          </cell>
          <cell r="N195">
            <v>0.13500000000000001</v>
          </cell>
          <cell r="O195">
            <v>0.13500000000000001</v>
          </cell>
          <cell r="P195">
            <v>0.13500000000000001</v>
          </cell>
          <cell r="Q195">
            <v>0.125</v>
          </cell>
          <cell r="R195">
            <v>0.125</v>
          </cell>
          <cell r="S195">
            <v>0.125</v>
          </cell>
          <cell r="T195">
            <v>0.125</v>
          </cell>
          <cell r="U195">
            <v>0.125</v>
          </cell>
          <cell r="V195">
            <v>0.13500000000000001</v>
          </cell>
          <cell r="W195">
            <v>0.13500000000000001</v>
          </cell>
          <cell r="X195">
            <v>0.13500000000000001</v>
          </cell>
          <cell r="Z195">
            <v>0.125</v>
          </cell>
          <cell r="AA195">
            <v>0.18</v>
          </cell>
          <cell r="AB195">
            <v>0.18</v>
          </cell>
          <cell r="AC195">
            <v>0.18</v>
          </cell>
          <cell r="AD195">
            <v>0.18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</row>
        <row r="197">
          <cell r="A197" t="str">
            <v>Provisions</v>
          </cell>
        </row>
        <row r="198">
          <cell r="C198">
            <v>6000</v>
          </cell>
          <cell r="D198">
            <v>11048</v>
          </cell>
          <cell r="E198">
            <v>38157</v>
          </cell>
          <cell r="F198">
            <v>25794</v>
          </cell>
          <cell r="G198">
            <v>31546</v>
          </cell>
          <cell r="H198">
            <v>16094</v>
          </cell>
          <cell r="I198">
            <v>20494</v>
          </cell>
          <cell r="J198">
            <v>33784</v>
          </cell>
          <cell r="K198">
            <v>29463</v>
          </cell>
          <cell r="L198">
            <v>45981</v>
          </cell>
          <cell r="M198">
            <v>42631</v>
          </cell>
          <cell r="N198">
            <v>43511</v>
          </cell>
          <cell r="O198">
            <v>42770</v>
          </cell>
          <cell r="P198">
            <v>42770</v>
          </cell>
          <cell r="Q198">
            <v>48253.209619999994</v>
          </cell>
          <cell r="R198">
            <v>62667</v>
          </cell>
          <cell r="S198">
            <v>82660</v>
          </cell>
          <cell r="T198">
            <v>44057</v>
          </cell>
          <cell r="U198">
            <v>44057</v>
          </cell>
          <cell r="V198">
            <v>61740</v>
          </cell>
          <cell r="W198">
            <v>65552</v>
          </cell>
          <cell r="X198">
            <v>65629</v>
          </cell>
          <cell r="Y198">
            <v>49692.520619999996</v>
          </cell>
          <cell r="Z198">
            <v>49692.520619999996</v>
          </cell>
          <cell r="AA198">
            <v>51805</v>
          </cell>
          <cell r="AB198">
            <v>56636</v>
          </cell>
          <cell r="AC198">
            <v>57629</v>
          </cell>
          <cell r="AD198">
            <v>64892</v>
          </cell>
          <cell r="AE198">
            <v>64892</v>
          </cell>
          <cell r="AF198">
            <v>64183</v>
          </cell>
          <cell r="AG198">
            <v>69589</v>
          </cell>
          <cell r="AH198">
            <v>65970.932000000001</v>
          </cell>
          <cell r="AI198">
            <v>62869</v>
          </cell>
          <cell r="AJ198">
            <v>62869</v>
          </cell>
          <cell r="AK198">
            <v>62126</v>
          </cell>
          <cell r="AL198">
            <v>58753</v>
          </cell>
          <cell r="AM198">
            <v>58694</v>
          </cell>
          <cell r="AN198">
            <v>57433</v>
          </cell>
          <cell r="AO198">
            <v>57433</v>
          </cell>
          <cell r="AP198">
            <v>57433</v>
          </cell>
          <cell r="AQ198">
            <v>57433</v>
          </cell>
          <cell r="AR198">
            <v>57433</v>
          </cell>
          <cell r="AS198">
            <v>60340</v>
          </cell>
          <cell r="AT198">
            <v>60340</v>
          </cell>
          <cell r="AU198">
            <v>58433</v>
          </cell>
          <cell r="AV198">
            <v>57433</v>
          </cell>
          <cell r="AW198">
            <v>57433</v>
          </cell>
          <cell r="AX198">
            <v>70751</v>
          </cell>
          <cell r="AY198">
            <v>70751</v>
          </cell>
          <cell r="AZ198">
            <v>87314.701496847221</v>
          </cell>
          <cell r="BA198">
            <v>103978.3080680593</v>
          </cell>
          <cell r="BB198">
            <v>117756.10928822125</v>
          </cell>
          <cell r="BC198">
            <v>128610.83522563739</v>
          </cell>
          <cell r="BD198">
            <v>139550.15268989027</v>
          </cell>
          <cell r="BE198">
            <v>150582.49440165641</v>
          </cell>
          <cell r="BF198">
            <v>161717.13556071976</v>
          </cell>
          <cell r="BG198">
            <v>172964.27807009369</v>
          </cell>
          <cell r="BH198">
            <v>184335.14318184135</v>
          </cell>
          <cell r="BI198">
            <v>195842.07340674323</v>
          </cell>
          <cell r="BJ198">
            <v>207498.64461417415</v>
          </cell>
          <cell r="BK198">
            <v>219319.78934118815</v>
          </cell>
          <cell r="BL198">
            <v>231321.93243170876</v>
          </cell>
        </row>
        <row r="208">
          <cell r="A208" t="str">
            <v>Short-term Loans &amp; Current Portion of LTL</v>
          </cell>
        </row>
        <row r="209">
          <cell r="C209">
            <v>600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38523</v>
          </cell>
          <cell r="M209">
            <v>35238</v>
          </cell>
          <cell r="N209">
            <v>26116</v>
          </cell>
          <cell r="P209">
            <v>0</v>
          </cell>
          <cell r="Q209">
            <v>25591.533589999999</v>
          </cell>
          <cell r="R209">
            <v>28270</v>
          </cell>
          <cell r="S209">
            <v>30174</v>
          </cell>
          <cell r="T209">
            <v>0</v>
          </cell>
          <cell r="V209">
            <v>12609</v>
          </cell>
          <cell r="W209">
            <v>8754</v>
          </cell>
          <cell r="X209">
            <v>8132</v>
          </cell>
          <cell r="Y209">
            <v>1343</v>
          </cell>
          <cell r="AA209">
            <v>1336</v>
          </cell>
          <cell r="AB209">
            <v>848</v>
          </cell>
          <cell r="AC209">
            <v>848</v>
          </cell>
          <cell r="AD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</row>
        <row r="212">
          <cell r="A212" t="str">
            <v>Accounts Payables</v>
          </cell>
        </row>
        <row r="213">
          <cell r="C213">
            <v>13019</v>
          </cell>
          <cell r="D213">
            <v>12431</v>
          </cell>
          <cell r="E213">
            <v>51434</v>
          </cell>
          <cell r="F213">
            <v>39827</v>
          </cell>
          <cell r="G213">
            <v>51312</v>
          </cell>
          <cell r="H213">
            <v>32374</v>
          </cell>
          <cell r="I213">
            <v>41734</v>
          </cell>
          <cell r="J213">
            <v>32391</v>
          </cell>
          <cell r="K213">
            <v>36269</v>
          </cell>
          <cell r="L213">
            <v>44332</v>
          </cell>
          <cell r="M213">
            <v>35348</v>
          </cell>
          <cell r="N213">
            <v>29754</v>
          </cell>
          <cell r="O213">
            <v>42958</v>
          </cell>
          <cell r="P213">
            <v>42957</v>
          </cell>
          <cell r="Q213">
            <v>50855.561289999998</v>
          </cell>
          <cell r="R213">
            <v>51512</v>
          </cell>
          <cell r="S213">
            <v>38309</v>
          </cell>
          <cell r="T213">
            <v>108642</v>
          </cell>
          <cell r="U213">
            <v>108642</v>
          </cell>
          <cell r="V213">
            <v>57094</v>
          </cell>
          <cell r="W213">
            <v>83622</v>
          </cell>
          <cell r="X213">
            <v>84967</v>
          </cell>
          <cell r="Y213">
            <v>52266</v>
          </cell>
          <cell r="Z213">
            <v>52266</v>
          </cell>
          <cell r="AA213">
            <v>30474</v>
          </cell>
          <cell r="AB213">
            <v>22633</v>
          </cell>
          <cell r="AC213">
            <v>21991</v>
          </cell>
          <cell r="AD213">
            <v>31289</v>
          </cell>
          <cell r="AE213">
            <v>31289</v>
          </cell>
          <cell r="AF213">
            <v>19710</v>
          </cell>
          <cell r="AG213">
            <v>28761</v>
          </cell>
          <cell r="AH213">
            <v>35396</v>
          </cell>
          <cell r="AI213">
            <v>35553</v>
          </cell>
          <cell r="AJ213">
            <v>35553</v>
          </cell>
          <cell r="AK213">
            <v>24309</v>
          </cell>
          <cell r="AL213">
            <v>20181</v>
          </cell>
          <cell r="AM213">
            <v>24161</v>
          </cell>
          <cell r="AN213">
            <v>25823</v>
          </cell>
          <cell r="AO213">
            <v>25823</v>
          </cell>
          <cell r="AP213">
            <v>26905</v>
          </cell>
          <cell r="AQ213">
            <v>30448</v>
          </cell>
          <cell r="AR213">
            <v>28931</v>
          </cell>
          <cell r="AS213">
            <v>28085.41416757222</v>
          </cell>
          <cell r="AT213">
            <v>28085.41416757222</v>
          </cell>
          <cell r="AU213">
            <v>37759.033494999989</v>
          </cell>
          <cell r="AV213">
            <v>35808.987799999988</v>
          </cell>
          <cell r="AW213">
            <v>37204.545964444427</v>
          </cell>
          <cell r="AX213">
            <v>36626.59298999999</v>
          </cell>
          <cell r="AY213">
            <v>36626.59298999999</v>
          </cell>
          <cell r="AZ213">
            <v>42027.067134026911</v>
          </cell>
          <cell r="BA213">
            <v>45778.545977532223</v>
          </cell>
          <cell r="BB213">
            <v>49885.064406452162</v>
          </cell>
          <cell r="BC213">
            <v>54381.194609493476</v>
          </cell>
          <cell r="BD213">
            <v>59345.478946610943</v>
          </cell>
          <cell r="BE213">
            <v>64283.179202413579</v>
          </cell>
          <cell r="BF213">
            <v>70149.955415949982</v>
          </cell>
          <cell r="BG213">
            <v>76578.176251134282</v>
          </cell>
          <cell r="BH213">
            <v>83622.809895015176</v>
          </cell>
          <cell r="BI213">
            <v>91344.265100836492</v>
          </cell>
          <cell r="BJ213">
            <v>99808.932508868602</v>
          </cell>
          <cell r="BK213">
            <v>109089.7799648387</v>
          </cell>
          <cell r="BL213">
            <v>119267.00722906479</v>
          </cell>
        </row>
        <row r="217">
          <cell r="A217" t="str">
            <v>Projects Accrued Cost - POC calc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</row>
        <row r="221">
          <cell r="A221" t="str">
            <v>Creditors &amp; Other Credit Balance</v>
          </cell>
        </row>
        <row r="222">
          <cell r="C222">
            <v>19147</v>
          </cell>
          <cell r="D222">
            <v>37420</v>
          </cell>
          <cell r="E222">
            <v>48803</v>
          </cell>
          <cell r="F222">
            <v>59327</v>
          </cell>
          <cell r="G222">
            <v>34932</v>
          </cell>
          <cell r="H222">
            <v>78523</v>
          </cell>
          <cell r="I222">
            <v>57755</v>
          </cell>
          <cell r="J222">
            <v>67440</v>
          </cell>
          <cell r="K222">
            <v>81538</v>
          </cell>
          <cell r="L222">
            <v>96458</v>
          </cell>
          <cell r="M222">
            <v>110726</v>
          </cell>
          <cell r="N222">
            <v>122466</v>
          </cell>
          <cell r="O222">
            <v>108221</v>
          </cell>
          <cell r="P222">
            <v>108221</v>
          </cell>
          <cell r="Q222">
            <v>113639</v>
          </cell>
          <cell r="R222">
            <v>117236</v>
          </cell>
          <cell r="S222">
            <v>120271</v>
          </cell>
          <cell r="T222">
            <v>117796</v>
          </cell>
          <cell r="U222">
            <v>117796</v>
          </cell>
          <cell r="V222">
            <v>137351</v>
          </cell>
          <cell r="W222">
            <v>147130</v>
          </cell>
          <cell r="X222">
            <v>185761</v>
          </cell>
          <cell r="Y222">
            <v>175902</v>
          </cell>
          <cell r="Z222">
            <v>175902</v>
          </cell>
          <cell r="AA222">
            <v>136390</v>
          </cell>
          <cell r="AB222">
            <v>134932</v>
          </cell>
          <cell r="AC222">
            <v>135868</v>
          </cell>
          <cell r="AD222">
            <v>138014</v>
          </cell>
          <cell r="AE222">
            <v>138014</v>
          </cell>
          <cell r="AF222">
            <v>146598</v>
          </cell>
          <cell r="AG222">
            <v>146544</v>
          </cell>
          <cell r="AH222">
            <v>183740</v>
          </cell>
          <cell r="AI222">
            <v>191355</v>
          </cell>
          <cell r="AJ222">
            <v>191355</v>
          </cell>
          <cell r="AK222">
            <v>199521</v>
          </cell>
          <cell r="AL222">
            <v>195738</v>
          </cell>
          <cell r="AM222">
            <v>205596</v>
          </cell>
          <cell r="AN222">
            <v>205969</v>
          </cell>
          <cell r="AO222">
            <v>205969</v>
          </cell>
          <cell r="AP222">
            <v>219703</v>
          </cell>
          <cell r="AQ222">
            <v>225690</v>
          </cell>
          <cell r="AR222">
            <v>227627</v>
          </cell>
          <cell r="AS222">
            <v>224683.31334057776</v>
          </cell>
          <cell r="AT222">
            <v>224683.31334057776</v>
          </cell>
          <cell r="AU222">
            <v>226554.20096999995</v>
          </cell>
          <cell r="AV222">
            <v>214853.92679999993</v>
          </cell>
          <cell r="AW222">
            <v>143503.24871999995</v>
          </cell>
          <cell r="AX222">
            <v>210806.3907646666</v>
          </cell>
          <cell r="AY222">
            <v>210806.3907646666</v>
          </cell>
          <cell r="AZ222">
            <v>196126.31329212556</v>
          </cell>
          <cell r="BA222">
            <v>180825.25661125229</v>
          </cell>
          <cell r="BB222">
            <v>166283.54802150719</v>
          </cell>
          <cell r="BC222">
            <v>149548.28517610705</v>
          </cell>
          <cell r="BD222">
            <v>133527.32762987464</v>
          </cell>
          <cell r="BE222">
            <v>117852.49520442488</v>
          </cell>
          <cell r="BF222">
            <v>105224.93312392497</v>
          </cell>
          <cell r="BG222">
            <v>89341.205626323339</v>
          </cell>
          <cell r="BH222">
            <v>76654.242403763914</v>
          </cell>
          <cell r="BI222">
            <v>68508.198825627362</v>
          </cell>
          <cell r="BJ222">
            <v>54894.912879877724</v>
          </cell>
          <cell r="BK222">
            <v>43635.911985935476</v>
          </cell>
          <cell r="BL222">
            <v>31804.535261083947</v>
          </cell>
        </row>
        <row r="235">
          <cell r="A235" t="str">
            <v>Taxes</v>
          </cell>
        </row>
        <row r="236">
          <cell r="C236">
            <v>3274</v>
          </cell>
          <cell r="D236">
            <v>6677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K236">
            <v>0</v>
          </cell>
          <cell r="L236">
            <v>477</v>
          </cell>
          <cell r="M236">
            <v>1946</v>
          </cell>
          <cell r="N236">
            <v>1792</v>
          </cell>
          <cell r="O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4873</v>
          </cell>
          <cell r="V236">
            <v>3295</v>
          </cell>
          <cell r="W236">
            <v>1766</v>
          </cell>
          <cell r="X236">
            <v>376.40222</v>
          </cell>
          <cell r="Y236">
            <v>2298</v>
          </cell>
          <cell r="Z236">
            <v>2298</v>
          </cell>
          <cell r="AA236">
            <v>151</v>
          </cell>
          <cell r="AB236">
            <v>184</v>
          </cell>
          <cell r="AC236">
            <v>85</v>
          </cell>
          <cell r="AD236">
            <v>0</v>
          </cell>
          <cell r="AE236">
            <v>0</v>
          </cell>
          <cell r="AF236">
            <v>507</v>
          </cell>
          <cell r="AG236">
            <v>83</v>
          </cell>
          <cell r="AH236">
            <v>0</v>
          </cell>
          <cell r="AI236">
            <v>-590</v>
          </cell>
          <cell r="AJ236">
            <v>-590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648.0067972500043</v>
          </cell>
          <cell r="AY236">
            <v>648.0067972500043</v>
          </cell>
          <cell r="AZ236">
            <v>495.7387328458218</v>
          </cell>
          <cell r="BA236">
            <v>-700.9377639037051</v>
          </cell>
          <cell r="BB236">
            <v>-3402.2253018598385</v>
          </cell>
          <cell r="BC236">
            <v>-6410.5511452314095</v>
          </cell>
          <cell r="BD236">
            <v>-8071.9020096602517</v>
          </cell>
          <cell r="BE236">
            <v>-10597.064330887899</v>
          </cell>
          <cell r="BF236">
            <v>-12794.165823285812</v>
          </cell>
          <cell r="BG236">
            <v>-15290.313183095139</v>
          </cell>
          <cell r="BH236">
            <v>-18034.283775889759</v>
          </cell>
          <cell r="BI236">
            <v>-21110.725217885396</v>
          </cell>
          <cell r="BJ236">
            <v>-24764.019073305109</v>
          </cell>
          <cell r="BK236">
            <v>-28616.06717618537</v>
          </cell>
          <cell r="BL236">
            <v>-32892.721209524745</v>
          </cell>
        </row>
        <row r="241">
          <cell r="A241" t="str">
            <v>Dividends Payable</v>
          </cell>
        </row>
        <row r="242">
          <cell r="C242">
            <v>4</v>
          </cell>
          <cell r="D242">
            <v>432</v>
          </cell>
          <cell r="E242">
            <v>2402</v>
          </cell>
          <cell r="F242">
            <v>2602</v>
          </cell>
          <cell r="G242">
            <v>2803</v>
          </cell>
          <cell r="H242">
            <v>2803</v>
          </cell>
          <cell r="I242">
            <v>27595</v>
          </cell>
          <cell r="J242">
            <v>27595</v>
          </cell>
          <cell r="K242">
            <v>27595</v>
          </cell>
          <cell r="L242">
            <v>27595</v>
          </cell>
          <cell r="M242">
            <v>27595</v>
          </cell>
          <cell r="N242">
            <v>27595</v>
          </cell>
          <cell r="O242">
            <v>27595</v>
          </cell>
          <cell r="P242">
            <v>27595</v>
          </cell>
          <cell r="Q242">
            <v>27595</v>
          </cell>
          <cell r="R242">
            <v>27595</v>
          </cell>
          <cell r="S242">
            <v>27595</v>
          </cell>
          <cell r="T242">
            <v>27595</v>
          </cell>
          <cell r="U242">
            <v>27595</v>
          </cell>
          <cell r="V242">
            <v>27595</v>
          </cell>
          <cell r="W242">
            <v>27595</v>
          </cell>
          <cell r="X242">
            <v>27595</v>
          </cell>
          <cell r="Y242">
            <v>27595</v>
          </cell>
          <cell r="Z242">
            <v>27595</v>
          </cell>
          <cell r="AA242">
            <v>27595</v>
          </cell>
          <cell r="AB242">
            <v>27595</v>
          </cell>
          <cell r="AC242">
            <v>27595</v>
          </cell>
          <cell r="AD242">
            <v>27595</v>
          </cell>
          <cell r="AE242">
            <v>27595</v>
          </cell>
          <cell r="AF242">
            <v>27595</v>
          </cell>
          <cell r="AG242">
            <v>27595</v>
          </cell>
          <cell r="AH242">
            <v>27595</v>
          </cell>
          <cell r="AI242">
            <v>27595</v>
          </cell>
          <cell r="AJ242">
            <v>27595</v>
          </cell>
          <cell r="AK242">
            <v>27595</v>
          </cell>
          <cell r="AL242">
            <v>27595</v>
          </cell>
          <cell r="AM242">
            <v>27595</v>
          </cell>
          <cell r="AN242">
            <v>27595</v>
          </cell>
          <cell r="AO242">
            <v>27595</v>
          </cell>
          <cell r="AP242">
            <v>27595</v>
          </cell>
          <cell r="AQ242">
            <v>27595</v>
          </cell>
          <cell r="AR242">
            <v>27595</v>
          </cell>
          <cell r="AS242">
            <v>27595</v>
          </cell>
          <cell r="AT242">
            <v>27595</v>
          </cell>
          <cell r="AU242">
            <v>27595</v>
          </cell>
          <cell r="AV242">
            <v>27595</v>
          </cell>
          <cell r="AW242">
            <v>27595</v>
          </cell>
          <cell r="AX242">
            <v>27595</v>
          </cell>
          <cell r="AY242">
            <v>27595</v>
          </cell>
          <cell r="AZ242">
            <v>27595</v>
          </cell>
          <cell r="BA242">
            <v>27595</v>
          </cell>
          <cell r="BB242">
            <v>27595</v>
          </cell>
          <cell r="BC242">
            <v>27595</v>
          </cell>
          <cell r="BD242">
            <v>27595</v>
          </cell>
          <cell r="BE242">
            <v>27595</v>
          </cell>
          <cell r="BF242">
            <v>27595</v>
          </cell>
          <cell r="BG242">
            <v>27595</v>
          </cell>
          <cell r="BH242">
            <v>27595</v>
          </cell>
          <cell r="BI242">
            <v>27595</v>
          </cell>
          <cell r="BJ242">
            <v>27595</v>
          </cell>
          <cell r="BK242">
            <v>27595</v>
          </cell>
          <cell r="BL242">
            <v>27595</v>
          </cell>
        </row>
        <row r="245">
          <cell r="A245" t="str">
            <v>Due to Inter companies Net</v>
          </cell>
        </row>
        <row r="246">
          <cell r="C246">
            <v>4779</v>
          </cell>
          <cell r="D246">
            <v>3520</v>
          </cell>
          <cell r="E246">
            <v>22632</v>
          </cell>
          <cell r="F246">
            <v>32322</v>
          </cell>
          <cell r="G246">
            <v>63595</v>
          </cell>
          <cell r="H246">
            <v>42649</v>
          </cell>
          <cell r="I246">
            <v>18553</v>
          </cell>
          <cell r="J246">
            <v>23464</v>
          </cell>
          <cell r="K246">
            <v>24490</v>
          </cell>
          <cell r="L246">
            <v>17161</v>
          </cell>
          <cell r="M246">
            <v>18445</v>
          </cell>
          <cell r="N246">
            <v>26823</v>
          </cell>
          <cell r="O246">
            <v>29610</v>
          </cell>
          <cell r="P246">
            <v>29610</v>
          </cell>
          <cell r="Q246">
            <v>21969.20436</v>
          </cell>
          <cell r="R246">
            <v>21972</v>
          </cell>
          <cell r="S246">
            <v>10053</v>
          </cell>
          <cell r="T246">
            <v>1811</v>
          </cell>
          <cell r="U246">
            <v>1811</v>
          </cell>
          <cell r="V246">
            <v>2457</v>
          </cell>
          <cell r="W246">
            <v>4541</v>
          </cell>
          <cell r="X246">
            <v>692</v>
          </cell>
          <cell r="Y246">
            <v>88</v>
          </cell>
          <cell r="Z246">
            <v>88</v>
          </cell>
          <cell r="AA246">
            <v>96</v>
          </cell>
          <cell r="AB246">
            <v>104</v>
          </cell>
          <cell r="AC246">
            <v>112</v>
          </cell>
          <cell r="AD246">
            <v>2892.7366099999999</v>
          </cell>
          <cell r="AE246">
            <v>2892.7366099999999</v>
          </cell>
          <cell r="AF246">
            <v>2549</v>
          </cell>
          <cell r="AG246">
            <v>2241</v>
          </cell>
          <cell r="AH246">
            <v>1735</v>
          </cell>
          <cell r="AI246">
            <v>1382</v>
          </cell>
          <cell r="AJ246">
            <v>1382</v>
          </cell>
          <cell r="AK246">
            <v>248</v>
          </cell>
          <cell r="AL246">
            <v>1320</v>
          </cell>
          <cell r="AM246">
            <v>2728</v>
          </cell>
          <cell r="AN246">
            <v>6324</v>
          </cell>
          <cell r="AO246">
            <v>6324</v>
          </cell>
          <cell r="AP246">
            <v>6324</v>
          </cell>
          <cell r="AQ246">
            <v>4100</v>
          </cell>
          <cell r="AR246">
            <v>45</v>
          </cell>
          <cell r="AS246">
            <v>45</v>
          </cell>
          <cell r="AT246">
            <v>45</v>
          </cell>
          <cell r="AU246">
            <v>45</v>
          </cell>
          <cell r="AV246">
            <v>45</v>
          </cell>
          <cell r="AW246">
            <v>45</v>
          </cell>
          <cell r="AX246">
            <v>45</v>
          </cell>
          <cell r="AY246">
            <v>45</v>
          </cell>
          <cell r="AZ246">
            <v>45</v>
          </cell>
          <cell r="BA246">
            <v>45</v>
          </cell>
          <cell r="BB246">
            <v>45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</row>
        <row r="254">
          <cell r="A254" t="str">
            <v>Due To Related Parties Companies - ST</v>
          </cell>
        </row>
        <row r="255">
          <cell r="C255">
            <v>0</v>
          </cell>
          <cell r="D255">
            <v>0</v>
          </cell>
          <cell r="E255">
            <v>221</v>
          </cell>
          <cell r="F255">
            <v>161</v>
          </cell>
          <cell r="G255">
            <v>161</v>
          </cell>
          <cell r="H255">
            <v>161</v>
          </cell>
          <cell r="I255">
            <v>161</v>
          </cell>
          <cell r="J255">
            <v>161</v>
          </cell>
          <cell r="K255">
            <v>161</v>
          </cell>
          <cell r="L255">
            <v>161</v>
          </cell>
          <cell r="M255">
            <v>161</v>
          </cell>
          <cell r="N255">
            <v>161</v>
          </cell>
          <cell r="O255">
            <v>161</v>
          </cell>
          <cell r="P255">
            <v>161</v>
          </cell>
          <cell r="Q255">
            <v>161.00692000000001</v>
          </cell>
          <cell r="R255">
            <v>161.00692000000001</v>
          </cell>
          <cell r="S255">
            <v>161.00692000000001</v>
          </cell>
          <cell r="T255">
            <v>161</v>
          </cell>
          <cell r="V255">
            <v>161.00692000000001</v>
          </cell>
          <cell r="W255">
            <v>161.00692000000001</v>
          </cell>
          <cell r="X255">
            <v>161.00692000000001</v>
          </cell>
          <cell r="Y255">
            <v>161.00692000000001</v>
          </cell>
          <cell r="AA255">
            <v>161</v>
          </cell>
          <cell r="AB255">
            <v>161</v>
          </cell>
          <cell r="AC255">
            <v>161</v>
          </cell>
          <cell r="AD255">
            <v>161</v>
          </cell>
          <cell r="AF255">
            <v>161</v>
          </cell>
          <cell r="AG255">
            <v>1410</v>
          </cell>
          <cell r="AH255">
            <v>1591</v>
          </cell>
          <cell r="AI255">
            <v>2103</v>
          </cell>
          <cell r="AK255">
            <v>2529</v>
          </cell>
          <cell r="AL255">
            <v>1111</v>
          </cell>
          <cell r="AM255">
            <v>1087</v>
          </cell>
          <cell r="AN255">
            <v>1086</v>
          </cell>
          <cell r="AP255">
            <v>1084</v>
          </cell>
          <cell r="AQ255">
            <v>1083</v>
          </cell>
          <cell r="AR255">
            <v>1084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</row>
        <row r="258">
          <cell r="A258" t="str">
            <v>Paid In Capital</v>
          </cell>
        </row>
        <row r="259">
          <cell r="C259">
            <v>3000</v>
          </cell>
          <cell r="D259">
            <v>7000</v>
          </cell>
          <cell r="E259">
            <v>7000</v>
          </cell>
          <cell r="F259">
            <v>7000</v>
          </cell>
          <cell r="G259">
            <v>7000</v>
          </cell>
          <cell r="H259">
            <v>7000</v>
          </cell>
          <cell r="I259">
            <v>7000</v>
          </cell>
          <cell r="J259">
            <v>7000</v>
          </cell>
          <cell r="K259">
            <v>7000</v>
          </cell>
          <cell r="L259">
            <v>7000</v>
          </cell>
          <cell r="M259">
            <v>7000</v>
          </cell>
          <cell r="N259">
            <v>7000</v>
          </cell>
          <cell r="O259">
            <v>7000</v>
          </cell>
          <cell r="Q259">
            <v>7000</v>
          </cell>
          <cell r="R259">
            <v>7000</v>
          </cell>
          <cell r="S259">
            <v>7000</v>
          </cell>
          <cell r="T259">
            <v>7000</v>
          </cell>
          <cell r="V259">
            <v>7000</v>
          </cell>
          <cell r="W259">
            <v>7000</v>
          </cell>
          <cell r="X259">
            <v>7000</v>
          </cell>
          <cell r="Y259">
            <v>7000</v>
          </cell>
          <cell r="AA259">
            <v>7000</v>
          </cell>
          <cell r="AB259">
            <v>7000</v>
          </cell>
          <cell r="AC259">
            <v>7000</v>
          </cell>
          <cell r="AD259">
            <v>7000</v>
          </cell>
          <cell r="AF259">
            <v>7000</v>
          </cell>
          <cell r="AG259">
            <v>7000</v>
          </cell>
          <cell r="AH259">
            <v>7000</v>
          </cell>
          <cell r="AI259">
            <v>7000</v>
          </cell>
          <cell r="AK259">
            <v>7000</v>
          </cell>
          <cell r="AL259">
            <v>7000</v>
          </cell>
          <cell r="AM259">
            <v>7000</v>
          </cell>
          <cell r="AN259">
            <v>7000</v>
          </cell>
          <cell r="AP259">
            <v>7000</v>
          </cell>
          <cell r="AQ259">
            <v>7000</v>
          </cell>
          <cell r="AR259">
            <v>7000</v>
          </cell>
          <cell r="AS259">
            <v>7000</v>
          </cell>
          <cell r="AU259">
            <v>7000</v>
          </cell>
          <cell r="AV259">
            <v>7000</v>
          </cell>
          <cell r="AW259">
            <v>7000</v>
          </cell>
          <cell r="AX259">
            <v>7000</v>
          </cell>
          <cell r="AZ259">
            <v>7000</v>
          </cell>
          <cell r="BA259">
            <v>7000</v>
          </cell>
          <cell r="BB259">
            <v>7000</v>
          </cell>
          <cell r="BC259">
            <v>7000</v>
          </cell>
          <cell r="BD259">
            <v>7000</v>
          </cell>
          <cell r="BE259">
            <v>7000</v>
          </cell>
          <cell r="BF259">
            <v>7000</v>
          </cell>
          <cell r="BG259">
            <v>7000</v>
          </cell>
          <cell r="BH259">
            <v>7000</v>
          </cell>
          <cell r="BI259">
            <v>7000</v>
          </cell>
          <cell r="BJ259">
            <v>7000</v>
          </cell>
          <cell r="BK259">
            <v>7000</v>
          </cell>
          <cell r="BL259">
            <v>7000</v>
          </cell>
        </row>
        <row r="264">
          <cell r="A264" t="str">
            <v>Paid Under Capital Increase</v>
          </cell>
        </row>
        <row r="265">
          <cell r="C265">
            <v>4000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</row>
        <row r="272">
          <cell r="A272" t="str">
            <v>Treasury Stock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</row>
        <row r="277">
          <cell r="A277" t="str">
            <v>Reserves</v>
          </cell>
        </row>
        <row r="278">
          <cell r="C278">
            <v>280</v>
          </cell>
          <cell r="D278">
            <v>1020</v>
          </cell>
          <cell r="E278">
            <v>2935</v>
          </cell>
          <cell r="F278">
            <v>5551</v>
          </cell>
          <cell r="G278">
            <v>5551</v>
          </cell>
          <cell r="H278">
            <v>5551</v>
          </cell>
          <cell r="I278">
            <v>5551</v>
          </cell>
          <cell r="J278">
            <v>5551</v>
          </cell>
          <cell r="K278">
            <v>5551</v>
          </cell>
          <cell r="L278">
            <v>5551</v>
          </cell>
          <cell r="M278">
            <v>5551</v>
          </cell>
          <cell r="N278">
            <v>5551</v>
          </cell>
          <cell r="O278">
            <v>5551</v>
          </cell>
          <cell r="Q278">
            <v>5551</v>
          </cell>
          <cell r="R278">
            <v>5551</v>
          </cell>
          <cell r="S278">
            <v>5551</v>
          </cell>
          <cell r="T278">
            <v>5551</v>
          </cell>
          <cell r="V278">
            <v>5551</v>
          </cell>
          <cell r="W278">
            <v>5551</v>
          </cell>
          <cell r="X278">
            <v>5551</v>
          </cell>
          <cell r="Y278">
            <v>5551</v>
          </cell>
          <cell r="AA278">
            <v>5551</v>
          </cell>
          <cell r="AB278">
            <v>5551</v>
          </cell>
          <cell r="AC278">
            <v>5551</v>
          </cell>
          <cell r="AD278">
            <v>5551</v>
          </cell>
          <cell r="AF278">
            <v>5551</v>
          </cell>
          <cell r="AG278">
            <v>5551</v>
          </cell>
          <cell r="AH278">
            <v>5551</v>
          </cell>
          <cell r="AI278">
            <v>5551</v>
          </cell>
          <cell r="AK278">
            <v>5551</v>
          </cell>
          <cell r="AL278">
            <v>5551</v>
          </cell>
          <cell r="AM278">
            <v>5551</v>
          </cell>
          <cell r="AN278">
            <v>5551</v>
          </cell>
          <cell r="AP278">
            <v>5551</v>
          </cell>
          <cell r="AQ278">
            <v>5551</v>
          </cell>
          <cell r="AR278">
            <v>5551</v>
          </cell>
          <cell r="AS278">
            <v>5551</v>
          </cell>
          <cell r="AU278">
            <v>5551</v>
          </cell>
          <cell r="AV278">
            <v>5551</v>
          </cell>
          <cell r="AW278">
            <v>5551</v>
          </cell>
          <cell r="AX278">
            <v>5551</v>
          </cell>
          <cell r="AZ278">
            <v>5551</v>
          </cell>
          <cell r="BA278">
            <v>5551</v>
          </cell>
          <cell r="BB278">
            <v>5551</v>
          </cell>
          <cell r="BC278">
            <v>5551</v>
          </cell>
          <cell r="BD278">
            <v>5551</v>
          </cell>
          <cell r="BE278">
            <v>5551</v>
          </cell>
          <cell r="BF278">
            <v>5551</v>
          </cell>
          <cell r="BG278">
            <v>5551</v>
          </cell>
          <cell r="BH278">
            <v>5551</v>
          </cell>
          <cell r="BI278">
            <v>5551</v>
          </cell>
          <cell r="BJ278">
            <v>5551</v>
          </cell>
          <cell r="BK278">
            <v>5551</v>
          </cell>
          <cell r="BL278">
            <v>5551</v>
          </cell>
        </row>
        <row r="284">
          <cell r="A284" t="str">
            <v>Retained Earnings</v>
          </cell>
        </row>
        <row r="285">
          <cell r="C285">
            <v>608</v>
          </cell>
          <cell r="D285">
            <v>4604</v>
          </cell>
          <cell r="E285">
            <v>7604</v>
          </cell>
          <cell r="F285">
            <v>13254</v>
          </cell>
          <cell r="G285">
            <v>22573</v>
          </cell>
          <cell r="H285">
            <v>35972</v>
          </cell>
          <cell r="I285">
            <v>18230.511500000001</v>
          </cell>
          <cell r="J285">
            <v>20996.765032500021</v>
          </cell>
          <cell r="K285">
            <v>15881</v>
          </cell>
          <cell r="L285">
            <v>20173</v>
          </cell>
          <cell r="M285">
            <v>20173</v>
          </cell>
          <cell r="N285">
            <v>20173</v>
          </cell>
          <cell r="O285">
            <v>18442</v>
          </cell>
          <cell r="Q285">
            <v>28690.531999999999</v>
          </cell>
          <cell r="R285">
            <v>28689.030486599251</v>
          </cell>
          <cell r="S285">
            <v>28689.030486599251</v>
          </cell>
          <cell r="T285">
            <v>28689.030486599251</v>
          </cell>
          <cell r="U285">
            <v>28689.030486599251</v>
          </cell>
          <cell r="V285">
            <v>41704.74306398764</v>
          </cell>
          <cell r="W285">
            <v>41704.74306398764</v>
          </cell>
          <cell r="X285">
            <v>41704.74306398764</v>
          </cell>
          <cell r="Y285">
            <v>41709.74306398764</v>
          </cell>
          <cell r="Z285">
            <v>41709.74306398764</v>
          </cell>
          <cell r="AA285">
            <v>42529.256993987634</v>
          </cell>
          <cell r="AB285">
            <v>42529.256993987634</v>
          </cell>
          <cell r="AC285">
            <v>42529.256993987634</v>
          </cell>
          <cell r="AD285">
            <v>42529.256993987634</v>
          </cell>
          <cell r="AE285">
            <v>42529.256993987634</v>
          </cell>
          <cell r="AF285">
            <v>42309.723085479651</v>
          </cell>
          <cell r="AG285">
            <v>42309.723085479651</v>
          </cell>
          <cell r="AH285">
            <v>42309.723085479651</v>
          </cell>
          <cell r="AI285">
            <v>42309.723085479651</v>
          </cell>
          <cell r="AJ285">
            <v>42309.723085479651</v>
          </cell>
          <cell r="AK285">
            <v>-13148</v>
          </cell>
          <cell r="AL285">
            <v>-13148</v>
          </cell>
          <cell r="AM285">
            <v>-13148</v>
          </cell>
          <cell r="AN285">
            <v>-30706.025874520332</v>
          </cell>
          <cell r="AO285">
            <v>-30706.025874520332</v>
          </cell>
          <cell r="AP285">
            <v>-91014</v>
          </cell>
          <cell r="AQ285">
            <v>-91014</v>
          </cell>
          <cell r="AR285">
            <v>-91013.141874520341</v>
          </cell>
          <cell r="AS285">
            <v>-91013.141874520341</v>
          </cell>
          <cell r="AU285">
            <v>-99311.141311527215</v>
          </cell>
          <cell r="AV285">
            <v>-99311.141311527215</v>
          </cell>
          <cell r="AW285">
            <v>-99311.141311527215</v>
          </cell>
          <cell r="AX285">
            <v>-99311.141311527215</v>
          </cell>
          <cell r="AZ285">
            <v>-97927.879568777149</v>
          </cell>
          <cell r="BA285">
            <v>-83023.825134065934</v>
          </cell>
          <cell r="BB285">
            <v>-64013.600831524054</v>
          </cell>
          <cell r="BC285">
            <v>-38845.740992092193</v>
          </cell>
          <cell r="BD285">
            <v>-6529.6046989013339</v>
          </cell>
          <cell r="BE285">
            <v>15716.51844232445</v>
          </cell>
          <cell r="BF285">
            <v>31112.99428309677</v>
          </cell>
          <cell r="BG285">
            <v>42540.138773101964</v>
          </cell>
          <cell r="BH285">
            <v>52488.295317288503</v>
          </cell>
          <cell r="BI285">
            <v>62117.403056768351</v>
          </cell>
          <cell r="BJ285">
            <v>72149.684940338891</v>
          </cell>
          <cell r="BK285">
            <v>83355.942609634716</v>
          </cell>
          <cell r="BL285">
            <v>95489.351767591201</v>
          </cell>
        </row>
        <row r="288">
          <cell r="A288" t="str">
            <v xml:space="preserve">Revaluation of Investment Available for Sale </v>
          </cell>
        </row>
        <row r="289"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</row>
        <row r="292">
          <cell r="A292" t="str">
            <v>Financial statement Translation Diff.</v>
          </cell>
        </row>
        <row r="293"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</row>
        <row r="296">
          <cell r="A296" t="str">
            <v>Minority Interest</v>
          </cell>
        </row>
        <row r="297"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</row>
        <row r="300">
          <cell r="A300" t="str">
            <v>Minority Interest Portion in Net Profit</v>
          </cell>
        </row>
        <row r="301"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</row>
        <row r="304">
          <cell r="A304" t="str">
            <v>Long Term Loans</v>
          </cell>
        </row>
        <row r="305"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</row>
        <row r="308">
          <cell r="A308" t="str">
            <v>Other Long term Liabilities</v>
          </cell>
        </row>
        <row r="309">
          <cell r="C309">
            <v>0</v>
          </cell>
          <cell r="D309">
            <v>20845</v>
          </cell>
          <cell r="E309">
            <v>0</v>
          </cell>
          <cell r="F309">
            <v>0</v>
          </cell>
          <cell r="G309">
            <v>195</v>
          </cell>
          <cell r="H309">
            <v>286</v>
          </cell>
          <cell r="I309">
            <v>181</v>
          </cell>
          <cell r="J309">
            <v>181</v>
          </cell>
          <cell r="K309">
            <v>181</v>
          </cell>
          <cell r="L309">
            <v>181</v>
          </cell>
          <cell r="M309">
            <v>181</v>
          </cell>
          <cell r="N309">
            <v>181</v>
          </cell>
          <cell r="O309">
            <v>181</v>
          </cell>
          <cell r="P309">
            <v>181</v>
          </cell>
          <cell r="Q309">
            <v>181</v>
          </cell>
          <cell r="R309">
            <v>181</v>
          </cell>
          <cell r="S309">
            <v>181</v>
          </cell>
          <cell r="T309">
            <v>181</v>
          </cell>
          <cell r="U309">
            <v>181</v>
          </cell>
          <cell r="V309">
            <v>181</v>
          </cell>
          <cell r="W309">
            <v>181</v>
          </cell>
          <cell r="X309">
            <v>181</v>
          </cell>
          <cell r="Y309">
            <v>181</v>
          </cell>
          <cell r="Z309">
            <v>181</v>
          </cell>
          <cell r="AA309">
            <v>316</v>
          </cell>
          <cell r="AB309">
            <v>316</v>
          </cell>
          <cell r="AC309">
            <v>331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</row>
        <row r="312">
          <cell r="A312" t="str">
            <v>Deferred Tax</v>
          </cell>
        </row>
        <row r="313">
          <cell r="C313">
            <v>0</v>
          </cell>
          <cell r="D313">
            <v>-30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5421</v>
          </cell>
          <cell r="U313">
            <v>5421</v>
          </cell>
          <cell r="V313">
            <v>5459</v>
          </cell>
          <cell r="W313">
            <v>5456</v>
          </cell>
          <cell r="X313">
            <v>5456</v>
          </cell>
          <cell r="Y313">
            <v>8337</v>
          </cell>
          <cell r="Z313">
            <v>8337</v>
          </cell>
          <cell r="AA313">
            <v>8324</v>
          </cell>
          <cell r="AB313">
            <v>8313</v>
          </cell>
          <cell r="AC313">
            <v>8302</v>
          </cell>
          <cell r="AD313">
            <v>7350</v>
          </cell>
          <cell r="AE313">
            <v>7350</v>
          </cell>
          <cell r="AF313">
            <v>7350</v>
          </cell>
          <cell r="AG313">
            <v>7309</v>
          </cell>
          <cell r="AH313">
            <v>7287</v>
          </cell>
          <cell r="AI313">
            <v>7287</v>
          </cell>
          <cell r="AJ313">
            <v>7287</v>
          </cell>
          <cell r="AK313">
            <v>3820</v>
          </cell>
          <cell r="AL313">
            <v>4433</v>
          </cell>
          <cell r="AM313">
            <v>5096</v>
          </cell>
          <cell r="AN313">
            <v>5096</v>
          </cell>
          <cell r="AO313">
            <v>5096</v>
          </cell>
          <cell r="AP313">
            <v>4706</v>
          </cell>
          <cell r="AQ313">
            <v>4888</v>
          </cell>
          <cell r="AR313">
            <v>4721</v>
          </cell>
          <cell r="AS313">
            <v>-248.905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</row>
        <row r="316">
          <cell r="A316" t="str">
            <v>Convertible shareholders Loan</v>
          </cell>
        </row>
        <row r="317"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</row>
        <row r="320">
          <cell r="A320" t="str">
            <v>Due To Related Parties Companies - LT</v>
          </cell>
        </row>
        <row r="321"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</row>
      </sheetData>
      <sheetData sheetId="4">
        <row r="9">
          <cell r="AO9">
            <v>71720</v>
          </cell>
        </row>
        <row r="10">
          <cell r="AO10">
            <v>50341</v>
          </cell>
        </row>
        <row r="20">
          <cell r="AY20">
            <v>27972.422520000073</v>
          </cell>
        </row>
      </sheetData>
      <sheetData sheetId="5"/>
      <sheetData sheetId="6"/>
      <sheetData sheetId="7"/>
      <sheetData sheetId="8">
        <row r="125">
          <cell r="R125">
            <v>7450501.3200000003</v>
          </cell>
        </row>
        <row r="126">
          <cell r="R126">
            <v>270000</v>
          </cell>
        </row>
        <row r="127">
          <cell r="R127">
            <v>7875007.919999999</v>
          </cell>
        </row>
        <row r="129">
          <cell r="R129">
            <v>0</v>
          </cell>
        </row>
        <row r="130">
          <cell r="R130">
            <v>0</v>
          </cell>
        </row>
        <row r="131">
          <cell r="R131">
            <v>0</v>
          </cell>
        </row>
        <row r="133">
          <cell r="R133">
            <v>0</v>
          </cell>
        </row>
        <row r="134">
          <cell r="R134">
            <v>0</v>
          </cell>
        </row>
        <row r="135">
          <cell r="R135">
            <v>0</v>
          </cell>
        </row>
        <row r="137">
          <cell r="R137">
            <v>0</v>
          </cell>
        </row>
        <row r="138">
          <cell r="R138">
            <v>0</v>
          </cell>
        </row>
        <row r="139">
          <cell r="R139">
            <v>0</v>
          </cell>
        </row>
        <row r="141">
          <cell r="R141">
            <v>0</v>
          </cell>
        </row>
        <row r="142">
          <cell r="R142">
            <v>0</v>
          </cell>
        </row>
        <row r="143">
          <cell r="R143">
            <v>0</v>
          </cell>
        </row>
        <row r="144">
          <cell r="R144">
            <v>5000000.04</v>
          </cell>
        </row>
        <row r="147">
          <cell r="R147">
            <v>4505516.5200000005</v>
          </cell>
        </row>
        <row r="148">
          <cell r="R148">
            <v>0</v>
          </cell>
        </row>
        <row r="149">
          <cell r="R149">
            <v>566094.72</v>
          </cell>
        </row>
        <row r="151">
          <cell r="R151">
            <v>0</v>
          </cell>
        </row>
        <row r="152">
          <cell r="R152">
            <v>0</v>
          </cell>
        </row>
        <row r="153">
          <cell r="R153">
            <v>0</v>
          </cell>
        </row>
        <row r="155">
          <cell r="R155">
            <v>0</v>
          </cell>
        </row>
        <row r="156">
          <cell r="R156">
            <v>0</v>
          </cell>
        </row>
        <row r="157">
          <cell r="R157">
            <v>0</v>
          </cell>
        </row>
        <row r="160">
          <cell r="R160">
            <v>0</v>
          </cell>
        </row>
        <row r="161">
          <cell r="R161">
            <v>0</v>
          </cell>
        </row>
        <row r="162">
          <cell r="R162">
            <v>0</v>
          </cell>
        </row>
        <row r="164">
          <cell r="R164">
            <v>0</v>
          </cell>
        </row>
        <row r="165">
          <cell r="R165">
            <v>0</v>
          </cell>
        </row>
        <row r="166">
          <cell r="R166">
            <v>0</v>
          </cell>
        </row>
        <row r="168">
          <cell r="R168">
            <v>0</v>
          </cell>
        </row>
        <row r="169">
          <cell r="R169">
            <v>0</v>
          </cell>
        </row>
        <row r="170">
          <cell r="R170">
            <v>0</v>
          </cell>
        </row>
        <row r="172">
          <cell r="R172">
            <v>0</v>
          </cell>
        </row>
        <row r="173">
          <cell r="R173">
            <v>0</v>
          </cell>
        </row>
        <row r="174">
          <cell r="R174">
            <v>0</v>
          </cell>
        </row>
        <row r="178">
          <cell r="R178">
            <v>27972422.520000022</v>
          </cell>
        </row>
        <row r="188">
          <cell r="I188">
            <v>0</v>
          </cell>
        </row>
      </sheetData>
      <sheetData sheetId="9"/>
      <sheetData sheetId="10"/>
      <sheetData sheetId="11"/>
      <sheetData sheetId="12"/>
      <sheetData sheetId="13">
        <row r="5">
          <cell r="U5">
            <v>285236594.85999995</v>
          </cell>
          <cell r="AL5">
            <v>-132531637.31999993</v>
          </cell>
          <cell r="BC5">
            <v>-1163296.54</v>
          </cell>
          <cell r="BT5">
            <v>-62575403.159999996</v>
          </cell>
          <cell r="CK5">
            <v>0</v>
          </cell>
          <cell r="DB5">
            <v>-14919970.74</v>
          </cell>
        </row>
        <row r="7">
          <cell r="E7">
            <v>8838558.3333333321</v>
          </cell>
          <cell r="F7">
            <v>10588558.333333332</v>
          </cell>
          <cell r="G7">
            <v>11448558.333333332</v>
          </cell>
          <cell r="I7">
            <v>11557279.333333332</v>
          </cell>
          <cell r="J7">
            <v>10787996.333333332</v>
          </cell>
          <cell r="K7">
            <v>11279040.333333332</v>
          </cell>
          <cell r="M7">
            <v>3500000</v>
          </cell>
          <cell r="N7">
            <v>3500000</v>
          </cell>
          <cell r="O7">
            <v>3500000</v>
          </cell>
          <cell r="Q7">
            <v>2436612</v>
          </cell>
          <cell r="R7">
            <v>1500000</v>
          </cell>
          <cell r="S7">
            <v>1500000</v>
          </cell>
          <cell r="V7">
            <v>-8728320</v>
          </cell>
          <cell r="W7">
            <v>-4964482</v>
          </cell>
          <cell r="X7">
            <v>-10325795.4</v>
          </cell>
          <cell r="Z7">
            <v>-8769440</v>
          </cell>
          <cell r="AA7">
            <v>-5769440</v>
          </cell>
          <cell r="AB7">
            <v>-4769440</v>
          </cell>
          <cell r="AD7">
            <v>-2134720</v>
          </cell>
          <cell r="AE7">
            <v>0</v>
          </cell>
          <cell r="AF7">
            <v>0</v>
          </cell>
          <cell r="AH7">
            <v>0</v>
          </cell>
          <cell r="AI7">
            <v>0</v>
          </cell>
          <cell r="AJ7">
            <v>0</v>
          </cell>
          <cell r="AM7">
            <v>-315625</v>
          </cell>
          <cell r="AN7">
            <v>-334200</v>
          </cell>
          <cell r="AO7">
            <v>-208014.53999999998</v>
          </cell>
          <cell r="AQ7">
            <v>-98973</v>
          </cell>
          <cell r="AR7">
            <v>-20000</v>
          </cell>
          <cell r="AS7">
            <v>-20000</v>
          </cell>
          <cell r="AU7">
            <v>-20000</v>
          </cell>
          <cell r="AV7">
            <v>-20000</v>
          </cell>
          <cell r="AW7">
            <v>-20000</v>
          </cell>
          <cell r="AY7">
            <v>-20000</v>
          </cell>
          <cell r="AZ7">
            <v>-20000</v>
          </cell>
          <cell r="BA7">
            <v>-6484</v>
          </cell>
          <cell r="BD7">
            <v>-390796.14</v>
          </cell>
          <cell r="BE7">
            <v>-3251650.28</v>
          </cell>
          <cell r="BF7">
            <v>-1771794.4</v>
          </cell>
          <cell r="BH7">
            <v>-1771794.4</v>
          </cell>
          <cell r="BI7">
            <v>-1771794.4</v>
          </cell>
          <cell r="BJ7">
            <v>-1771794.4</v>
          </cell>
          <cell r="BL7">
            <v>-1527546.81</v>
          </cell>
          <cell r="BM7">
            <v>-1527546.81</v>
          </cell>
          <cell r="BN7">
            <v>-1527546.81</v>
          </cell>
          <cell r="BP7">
            <v>-1527546.81</v>
          </cell>
          <cell r="BQ7">
            <v>0</v>
          </cell>
          <cell r="BR7">
            <v>0</v>
          </cell>
          <cell r="BU7">
            <v>0</v>
          </cell>
          <cell r="BV7">
            <v>0</v>
          </cell>
          <cell r="BW7">
            <v>0</v>
          </cell>
          <cell r="BY7">
            <v>0</v>
          </cell>
          <cell r="BZ7">
            <v>0</v>
          </cell>
          <cell r="CA7">
            <v>0</v>
          </cell>
          <cell r="CC7">
            <v>0</v>
          </cell>
          <cell r="CD7">
            <v>0</v>
          </cell>
          <cell r="CE7">
            <v>0</v>
          </cell>
          <cell r="CG7">
            <v>0</v>
          </cell>
          <cell r="CH7">
            <v>0</v>
          </cell>
          <cell r="CI7">
            <v>0</v>
          </cell>
          <cell r="CL7">
            <v>-92698.81</v>
          </cell>
          <cell r="CM7">
            <v>-771307.81</v>
          </cell>
          <cell r="CN7">
            <v>-420278.55000000005</v>
          </cell>
          <cell r="CP7">
            <v>-420278.55000000005</v>
          </cell>
          <cell r="CQ7">
            <v>-420278.55000000005</v>
          </cell>
          <cell r="CR7">
            <v>-420278.55000000005</v>
          </cell>
          <cell r="CT7">
            <v>-362341.79000000004</v>
          </cell>
          <cell r="CU7">
            <v>-362341.79000000004</v>
          </cell>
          <cell r="CV7">
            <v>-362341.79000000004</v>
          </cell>
          <cell r="CX7">
            <v>-362341.79000000004</v>
          </cell>
          <cell r="CY7">
            <v>0</v>
          </cell>
          <cell r="CZ7">
            <v>0</v>
          </cell>
          <cell r="DC7">
            <v>-1266666.67</v>
          </cell>
          <cell r="DD7">
            <v>-928287.47</v>
          </cell>
          <cell r="DE7">
            <v>-860611.63</v>
          </cell>
          <cell r="DG7">
            <v>-860611.63</v>
          </cell>
          <cell r="DH7">
            <v>-860611.63</v>
          </cell>
          <cell r="DI7">
            <v>-892935.79</v>
          </cell>
          <cell r="DK7">
            <v>-226269.12</v>
          </cell>
          <cell r="DL7">
            <v>-226269.12</v>
          </cell>
          <cell r="DM7">
            <v>-226269.12</v>
          </cell>
          <cell r="DO7">
            <v>-157522.87</v>
          </cell>
          <cell r="DP7">
            <v>-96972.479999999996</v>
          </cell>
          <cell r="DQ7">
            <v>-96972.479999999996</v>
          </cell>
          <cell r="DT7">
            <v>-281941.30000000005</v>
          </cell>
          <cell r="DU7">
            <v>-281941.30000000005</v>
          </cell>
          <cell r="DV7">
            <v>-281941.30000000005</v>
          </cell>
          <cell r="DX7">
            <v>-223457.35</v>
          </cell>
          <cell r="DY7">
            <v>-223457.35</v>
          </cell>
          <cell r="DZ7">
            <v>-223457.35</v>
          </cell>
          <cell r="EB7">
            <v>-223457.35</v>
          </cell>
          <cell r="EC7">
            <v>-223457.35</v>
          </cell>
          <cell r="ED7">
            <v>-223457.35</v>
          </cell>
          <cell r="EF7">
            <v>-223457.35</v>
          </cell>
          <cell r="EG7">
            <v>-223457.35</v>
          </cell>
          <cell r="EH7">
            <v>-223457.35</v>
          </cell>
        </row>
        <row r="8">
          <cell r="U8">
            <v>460200</v>
          </cell>
        </row>
        <row r="9">
          <cell r="U9">
            <v>399438</v>
          </cell>
        </row>
        <row r="10">
          <cell r="U10">
            <v>1658521</v>
          </cell>
        </row>
        <row r="11">
          <cell r="U11">
            <v>1260000</v>
          </cell>
        </row>
        <row r="12">
          <cell r="U12">
            <v>7000000</v>
          </cell>
        </row>
        <row r="13">
          <cell r="U13">
            <v>2590482</v>
          </cell>
        </row>
        <row r="14">
          <cell r="U14">
            <v>30936612</v>
          </cell>
        </row>
        <row r="15">
          <cell r="U15">
            <v>1400000</v>
          </cell>
        </row>
        <row r="16">
          <cell r="U16">
            <v>34731350</v>
          </cell>
        </row>
        <row r="17">
          <cell r="E17">
            <v>9583333.3333333209</v>
          </cell>
          <cell r="F17">
            <v>9583333.3333333209</v>
          </cell>
          <cell r="G17">
            <v>10583333.333333321</v>
          </cell>
          <cell r="I17">
            <v>8916666.6600000001</v>
          </cell>
          <cell r="J17">
            <v>8916666.6600000001</v>
          </cell>
          <cell r="K17">
            <v>8916666.6600000001</v>
          </cell>
          <cell r="M17">
            <v>8916666.6600000001</v>
          </cell>
          <cell r="N17">
            <v>8916666.6600000001</v>
          </cell>
          <cell r="O17">
            <v>8916666.6600000001</v>
          </cell>
          <cell r="Q17">
            <v>9916666.6600000001</v>
          </cell>
          <cell r="R17">
            <v>9916666.6600000001</v>
          </cell>
          <cell r="S17">
            <v>9916666.6600000001</v>
          </cell>
          <cell r="V17">
            <v>-4533333.33</v>
          </cell>
          <cell r="W17">
            <v>-4533333.33</v>
          </cell>
          <cell r="X17">
            <v>-3713333.33</v>
          </cell>
          <cell r="Z17">
            <v>-5213333.33</v>
          </cell>
          <cell r="AA17">
            <v>-4713333.33</v>
          </cell>
          <cell r="AB17">
            <v>-4713333.33</v>
          </cell>
          <cell r="AD17">
            <v>-5213333.33</v>
          </cell>
          <cell r="AE17">
            <v>-4713333.33</v>
          </cell>
          <cell r="AF17">
            <v>-4713333.33</v>
          </cell>
          <cell r="AH17">
            <v>-4713333.33</v>
          </cell>
          <cell r="AI17">
            <v>-4713333.33</v>
          </cell>
          <cell r="AJ17">
            <v>-4713333.33</v>
          </cell>
          <cell r="AM17">
            <v>0</v>
          </cell>
          <cell r="AN17">
            <v>0</v>
          </cell>
          <cell r="AO17">
            <v>0</v>
          </cell>
          <cell r="AQ17">
            <v>0</v>
          </cell>
          <cell r="AR17">
            <v>0</v>
          </cell>
          <cell r="AS17">
            <v>0</v>
          </cell>
          <cell r="AU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A17">
            <v>0</v>
          </cell>
          <cell r="BD17">
            <v>-1805687.54</v>
          </cell>
          <cell r="BE17">
            <v>-2566978.7399999998</v>
          </cell>
          <cell r="BF17">
            <v>-2566978.7399999998</v>
          </cell>
          <cell r="BH17">
            <v>-2566978.7399999998</v>
          </cell>
          <cell r="BI17">
            <v>-2566978.7399999998</v>
          </cell>
          <cell r="BJ17">
            <v>-2566978.7399999998</v>
          </cell>
          <cell r="BL17">
            <v>-2566978.7399999998</v>
          </cell>
          <cell r="BM17">
            <v>-2566978.7399999998</v>
          </cell>
          <cell r="BN17">
            <v>-761291.2</v>
          </cell>
          <cell r="BP17">
            <v>-761291.2</v>
          </cell>
          <cell r="BQ17">
            <v>-761291.2</v>
          </cell>
          <cell r="BR17">
            <v>-761291.2</v>
          </cell>
          <cell r="BU17">
            <v>0</v>
          </cell>
          <cell r="BV17">
            <v>0</v>
          </cell>
          <cell r="BW17">
            <v>0</v>
          </cell>
          <cell r="BY17">
            <v>0</v>
          </cell>
          <cell r="BZ17">
            <v>0</v>
          </cell>
          <cell r="CA17">
            <v>0</v>
          </cell>
          <cell r="CC17">
            <v>0</v>
          </cell>
          <cell r="CD17">
            <v>0</v>
          </cell>
          <cell r="CE17">
            <v>0</v>
          </cell>
          <cell r="CG17">
            <v>0</v>
          </cell>
          <cell r="CH17">
            <v>0</v>
          </cell>
          <cell r="CI17">
            <v>0</v>
          </cell>
          <cell r="CL17">
            <v>-428318.17</v>
          </cell>
          <cell r="CM17">
            <v>-608900.29</v>
          </cell>
          <cell r="CN17">
            <v>-608900.29</v>
          </cell>
          <cell r="CP17">
            <v>-608900.29</v>
          </cell>
          <cell r="CQ17">
            <v>-608900.29</v>
          </cell>
          <cell r="CR17">
            <v>-608900.29</v>
          </cell>
          <cell r="CT17">
            <v>-608900.29</v>
          </cell>
          <cell r="CU17">
            <v>-608900.29</v>
          </cell>
          <cell r="CV17">
            <v>-180582.12</v>
          </cell>
          <cell r="CX17">
            <v>-180582.12</v>
          </cell>
          <cell r="CY17">
            <v>-180582.12</v>
          </cell>
          <cell r="CZ17">
            <v>-180582.12</v>
          </cell>
          <cell r="DC17">
            <v>-750000</v>
          </cell>
          <cell r="DD17">
            <v>-750000</v>
          </cell>
          <cell r="DE17">
            <v>-750000</v>
          </cell>
          <cell r="DG17">
            <v>-750000</v>
          </cell>
          <cell r="DH17">
            <v>-750000</v>
          </cell>
          <cell r="DI17">
            <v>-750000</v>
          </cell>
          <cell r="DK17">
            <v>-750000</v>
          </cell>
          <cell r="DL17">
            <v>-750000</v>
          </cell>
          <cell r="DM17">
            <v>-750000</v>
          </cell>
          <cell r="DO17">
            <v>-750000</v>
          </cell>
          <cell r="DP17">
            <v>-750000</v>
          </cell>
          <cell r="DQ17">
            <v>-750000</v>
          </cell>
          <cell r="DT17">
            <v>-19999.989999999998</v>
          </cell>
          <cell r="DU17">
            <v>-19999.989999999998</v>
          </cell>
          <cell r="DV17">
            <v>-29999.989999999998</v>
          </cell>
          <cell r="DX17">
            <v>-30000.030000000002</v>
          </cell>
          <cell r="DY17">
            <v>-20000</v>
          </cell>
          <cell r="DZ17">
            <v>-20000</v>
          </cell>
          <cell r="EB17">
            <v>-10000</v>
          </cell>
          <cell r="EC17">
            <v>-10000</v>
          </cell>
          <cell r="ED17">
            <v>-10000</v>
          </cell>
          <cell r="EF17">
            <v>-10000</v>
          </cell>
          <cell r="EG17">
            <v>-10000</v>
          </cell>
          <cell r="EH17">
            <v>-10000</v>
          </cell>
        </row>
        <row r="18">
          <cell r="U18">
            <v>53000000.039999999</v>
          </cell>
        </row>
        <row r="19">
          <cell r="U19">
            <v>18000000</v>
          </cell>
        </row>
        <row r="20">
          <cell r="U20">
            <v>9999999.959999999</v>
          </cell>
        </row>
        <row r="21">
          <cell r="U21">
            <v>10999999.969999978</v>
          </cell>
        </row>
        <row r="22">
          <cell r="U22">
            <v>10999999.969999978</v>
          </cell>
        </row>
        <row r="23">
          <cell r="U23">
            <v>10000000</v>
          </cell>
        </row>
        <row r="25">
          <cell r="E25">
            <v>1958966</v>
          </cell>
          <cell r="F25">
            <v>1958966</v>
          </cell>
          <cell r="G25">
            <v>1958966</v>
          </cell>
          <cell r="I25">
            <v>1758966</v>
          </cell>
          <cell r="J25">
            <v>1758966</v>
          </cell>
          <cell r="K25">
            <v>1758966</v>
          </cell>
          <cell r="M25">
            <v>864366</v>
          </cell>
          <cell r="N25">
            <v>864366</v>
          </cell>
          <cell r="O25">
            <v>864366</v>
          </cell>
          <cell r="Q25">
            <v>450000</v>
          </cell>
          <cell r="R25">
            <v>450000</v>
          </cell>
          <cell r="S25">
            <v>450000</v>
          </cell>
          <cell r="V25">
            <v>-220000</v>
          </cell>
          <cell r="W25">
            <v>-220000</v>
          </cell>
          <cell r="X25">
            <v>-220000</v>
          </cell>
          <cell r="Z25">
            <v>-120000</v>
          </cell>
          <cell r="AA25">
            <v>-120000</v>
          </cell>
          <cell r="AB25">
            <v>-120000</v>
          </cell>
          <cell r="AD25">
            <v>0</v>
          </cell>
          <cell r="AE25">
            <v>0</v>
          </cell>
          <cell r="AF25">
            <v>0</v>
          </cell>
          <cell r="AH25">
            <v>0</v>
          </cell>
          <cell r="AI25">
            <v>0</v>
          </cell>
          <cell r="AJ25">
            <v>0</v>
          </cell>
          <cell r="AM25">
            <v>0</v>
          </cell>
          <cell r="AN25">
            <v>0</v>
          </cell>
          <cell r="AO25">
            <v>0</v>
          </cell>
          <cell r="AQ25">
            <v>0</v>
          </cell>
          <cell r="AR25">
            <v>0</v>
          </cell>
          <cell r="AS25">
            <v>0</v>
          </cell>
          <cell r="AU25">
            <v>0</v>
          </cell>
          <cell r="AV25">
            <v>0</v>
          </cell>
          <cell r="AW25">
            <v>0</v>
          </cell>
          <cell r="AZ25">
            <v>0</v>
          </cell>
          <cell r="BA25">
            <v>0</v>
          </cell>
          <cell r="BB25">
            <v>0</v>
          </cell>
          <cell r="BD25">
            <v>-410119.47</v>
          </cell>
          <cell r="BE25">
            <v>-410119.47</v>
          </cell>
          <cell r="BF25">
            <v>-410119.47</v>
          </cell>
          <cell r="BH25">
            <v>-368248.44999999995</v>
          </cell>
          <cell r="BI25">
            <v>-368248.44999999995</v>
          </cell>
          <cell r="BJ25">
            <v>-368248.44999999995</v>
          </cell>
          <cell r="BL25">
            <v>-180959.4</v>
          </cell>
          <cell r="BM25">
            <v>-180959.4</v>
          </cell>
          <cell r="BN25">
            <v>-180959.4</v>
          </cell>
          <cell r="BP25">
            <v>-94209.78</v>
          </cell>
          <cell r="BQ25">
            <v>-94209.78</v>
          </cell>
          <cell r="BR25">
            <v>-94209.78</v>
          </cell>
          <cell r="BU25">
            <v>0</v>
          </cell>
          <cell r="BV25">
            <v>0</v>
          </cell>
          <cell r="BW25">
            <v>0</v>
          </cell>
          <cell r="BY25">
            <v>0</v>
          </cell>
          <cell r="BZ25">
            <v>0</v>
          </cell>
          <cell r="CA25">
            <v>0</v>
          </cell>
          <cell r="CC25">
            <v>0</v>
          </cell>
          <cell r="CD25">
            <v>0</v>
          </cell>
          <cell r="CE25">
            <v>0</v>
          </cell>
          <cell r="CG25">
            <v>0</v>
          </cell>
          <cell r="CH25">
            <v>0</v>
          </cell>
          <cell r="CI25">
            <v>0</v>
          </cell>
          <cell r="CL25">
            <v>-97282.420000000013</v>
          </cell>
          <cell r="CM25">
            <v>-97282.420000000013</v>
          </cell>
          <cell r="CN25">
            <v>-97282.420000000013</v>
          </cell>
          <cell r="CP25">
            <v>-87350.399999999994</v>
          </cell>
          <cell r="CQ25">
            <v>-87350.399999999994</v>
          </cell>
          <cell r="CR25">
            <v>-87350.399999999994</v>
          </cell>
          <cell r="CT25">
            <v>-42924.490000000005</v>
          </cell>
          <cell r="CU25">
            <v>-42924.490000000005</v>
          </cell>
          <cell r="CV25">
            <v>-42924.490000000005</v>
          </cell>
          <cell r="CX25">
            <v>-22347.040000000001</v>
          </cell>
          <cell r="CY25">
            <v>-22347.040000000001</v>
          </cell>
          <cell r="CZ25">
            <v>-22347.040000000001</v>
          </cell>
          <cell r="DC25">
            <v>0</v>
          </cell>
          <cell r="DD25">
            <v>0</v>
          </cell>
          <cell r="DE25">
            <v>0</v>
          </cell>
          <cell r="DG25">
            <v>0</v>
          </cell>
          <cell r="DH25">
            <v>0</v>
          </cell>
          <cell r="DI25">
            <v>0</v>
          </cell>
          <cell r="DK25">
            <v>0</v>
          </cell>
          <cell r="DL25">
            <v>0</v>
          </cell>
          <cell r="DM25">
            <v>0</v>
          </cell>
          <cell r="DO25">
            <v>0</v>
          </cell>
          <cell r="DP25">
            <v>0</v>
          </cell>
          <cell r="DQ25">
            <v>0</v>
          </cell>
          <cell r="DT25">
            <v>-146059</v>
          </cell>
          <cell r="DU25">
            <v>-146059</v>
          </cell>
          <cell r="DV25">
            <v>-193608</v>
          </cell>
          <cell r="DX25">
            <v>-119977</v>
          </cell>
          <cell r="DY25">
            <v>-119977</v>
          </cell>
          <cell r="DZ25">
            <v>-167526</v>
          </cell>
          <cell r="EB25">
            <v>0</v>
          </cell>
          <cell r="EC25">
            <v>0</v>
          </cell>
          <cell r="ED25">
            <v>0</v>
          </cell>
          <cell r="EF25">
            <v>0</v>
          </cell>
          <cell r="EG25">
            <v>0</v>
          </cell>
          <cell r="EH25">
            <v>0</v>
          </cell>
        </row>
        <row r="31">
          <cell r="E31">
            <v>2033333.3266666669</v>
          </cell>
          <cell r="F31">
            <v>2033333.3266666669</v>
          </cell>
          <cell r="G31">
            <v>2033333.3266666669</v>
          </cell>
          <cell r="I31">
            <v>2033333.3266666669</v>
          </cell>
          <cell r="J31">
            <v>2033333.3266666669</v>
          </cell>
          <cell r="K31">
            <v>2033333.3266666669</v>
          </cell>
          <cell r="M31">
            <v>2033333.3266666669</v>
          </cell>
          <cell r="N31">
            <v>2033333.3266666669</v>
          </cell>
          <cell r="O31">
            <v>2033333.3266666669</v>
          </cell>
          <cell r="Q31">
            <v>2467699.3266666671</v>
          </cell>
          <cell r="R31">
            <v>2467699.3266666671</v>
          </cell>
          <cell r="S31">
            <v>2467699.3266666671</v>
          </cell>
          <cell r="V31">
            <v>0</v>
          </cell>
          <cell r="W31">
            <v>0</v>
          </cell>
          <cell r="X31">
            <v>0</v>
          </cell>
          <cell r="Z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F31">
            <v>0</v>
          </cell>
          <cell r="AH31">
            <v>0</v>
          </cell>
          <cell r="AI31">
            <v>0</v>
          </cell>
          <cell r="AJ31">
            <v>0</v>
          </cell>
          <cell r="AM31">
            <v>0</v>
          </cell>
          <cell r="AN31">
            <v>0</v>
          </cell>
          <cell r="AO31">
            <v>0</v>
          </cell>
          <cell r="AQ31">
            <v>0</v>
          </cell>
          <cell r="AR31">
            <v>0</v>
          </cell>
          <cell r="AS31">
            <v>0</v>
          </cell>
          <cell r="AU31">
            <v>0</v>
          </cell>
          <cell r="AV31">
            <v>0</v>
          </cell>
          <cell r="AW31">
            <v>0</v>
          </cell>
          <cell r="AZ31">
            <v>0</v>
          </cell>
          <cell r="BA31">
            <v>0</v>
          </cell>
          <cell r="BB31">
            <v>0</v>
          </cell>
          <cell r="BD31">
            <v>-751226.09</v>
          </cell>
          <cell r="BE31">
            <v>-751226.09</v>
          </cell>
          <cell r="BF31">
            <v>-751226.09</v>
          </cell>
          <cell r="BH31">
            <v>-751226.09</v>
          </cell>
          <cell r="BI31">
            <v>-751226.09</v>
          </cell>
          <cell r="BJ31">
            <v>-751226.09</v>
          </cell>
          <cell r="BL31">
            <v>-751226.09</v>
          </cell>
          <cell r="BM31">
            <v>-751226.09</v>
          </cell>
          <cell r="BN31">
            <v>-751226.09</v>
          </cell>
          <cell r="BP31">
            <v>-842162.81</v>
          </cell>
          <cell r="BQ31">
            <v>-842162.81</v>
          </cell>
          <cell r="BR31">
            <v>-842162.81</v>
          </cell>
          <cell r="BU31">
            <v>0</v>
          </cell>
          <cell r="BV31">
            <v>0</v>
          </cell>
          <cell r="BW31">
            <v>0</v>
          </cell>
          <cell r="BY31">
            <v>0</v>
          </cell>
          <cell r="BZ31">
            <v>0</v>
          </cell>
          <cell r="CA31">
            <v>0</v>
          </cell>
          <cell r="CC31">
            <v>0</v>
          </cell>
          <cell r="CD31">
            <v>0</v>
          </cell>
          <cell r="CE31">
            <v>0</v>
          </cell>
          <cell r="CG31">
            <v>0</v>
          </cell>
          <cell r="CH31">
            <v>0</v>
          </cell>
          <cell r="CI31">
            <v>0</v>
          </cell>
          <cell r="CL31">
            <v>-184592.09999999998</v>
          </cell>
          <cell r="CM31">
            <v>-184592.09999999998</v>
          </cell>
          <cell r="CN31">
            <v>-184592.09999999998</v>
          </cell>
          <cell r="CP31">
            <v>-184592.09999999998</v>
          </cell>
          <cell r="CQ31">
            <v>-184592.09999999998</v>
          </cell>
          <cell r="CR31">
            <v>-184592.09999999998</v>
          </cell>
          <cell r="CT31">
            <v>-184592.09999999998</v>
          </cell>
          <cell r="CU31">
            <v>-184592.09999999998</v>
          </cell>
          <cell r="CV31">
            <v>-184592.09999999998</v>
          </cell>
          <cell r="CX31">
            <v>-206162.75</v>
          </cell>
          <cell r="CY31">
            <v>-206162.75</v>
          </cell>
          <cell r="CZ31">
            <v>-206162.75</v>
          </cell>
          <cell r="DC31">
            <v>0</v>
          </cell>
          <cell r="DD31">
            <v>0</v>
          </cell>
          <cell r="DE31">
            <v>0</v>
          </cell>
          <cell r="DG31">
            <v>0</v>
          </cell>
          <cell r="DH31">
            <v>0</v>
          </cell>
          <cell r="DI31">
            <v>0</v>
          </cell>
          <cell r="DK31">
            <v>0</v>
          </cell>
          <cell r="DL31">
            <v>0</v>
          </cell>
          <cell r="DM31">
            <v>0</v>
          </cell>
          <cell r="DO31">
            <v>0</v>
          </cell>
          <cell r="DP31">
            <v>0</v>
          </cell>
          <cell r="DQ31">
            <v>0</v>
          </cell>
          <cell r="DT31">
            <v>-30000</v>
          </cell>
          <cell r="DU31">
            <v>-30000</v>
          </cell>
          <cell r="DV31">
            <v>-30000</v>
          </cell>
          <cell r="DX31">
            <v>-30000</v>
          </cell>
          <cell r="DY31">
            <v>-30000</v>
          </cell>
          <cell r="DZ31">
            <v>-30000</v>
          </cell>
          <cell r="EB31">
            <v>-30000</v>
          </cell>
          <cell r="EC31">
            <v>-30000</v>
          </cell>
          <cell r="ED31">
            <v>-77549</v>
          </cell>
          <cell r="EF31">
            <v>-30000</v>
          </cell>
          <cell r="EG31">
            <v>-30000</v>
          </cell>
          <cell r="EH31">
            <v>-77549</v>
          </cell>
        </row>
        <row r="35">
          <cell r="U35">
            <v>2400000</v>
          </cell>
        </row>
        <row r="36">
          <cell r="U36">
            <v>9999999.959999999</v>
          </cell>
        </row>
        <row r="37">
          <cell r="U37">
            <v>2000000.0000000037</v>
          </cell>
        </row>
        <row r="38">
          <cell r="E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Q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Z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F38">
            <v>0</v>
          </cell>
          <cell r="AH38">
            <v>0</v>
          </cell>
          <cell r="AI38">
            <v>0</v>
          </cell>
          <cell r="AJ38">
            <v>0</v>
          </cell>
          <cell r="AM38">
            <v>0</v>
          </cell>
          <cell r="AN38">
            <v>0</v>
          </cell>
          <cell r="AO38">
            <v>0</v>
          </cell>
          <cell r="AQ38">
            <v>0</v>
          </cell>
          <cell r="AR38">
            <v>0</v>
          </cell>
          <cell r="AS38">
            <v>0</v>
          </cell>
          <cell r="AU38">
            <v>0</v>
          </cell>
          <cell r="AV38">
            <v>0</v>
          </cell>
          <cell r="AW38">
            <v>0</v>
          </cell>
          <cell r="AZ38">
            <v>0</v>
          </cell>
          <cell r="BA38">
            <v>0</v>
          </cell>
          <cell r="BB38">
            <v>0</v>
          </cell>
          <cell r="BD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J38">
            <v>0</v>
          </cell>
          <cell r="BL38">
            <v>0</v>
          </cell>
          <cell r="BM38">
            <v>0</v>
          </cell>
          <cell r="BN38">
            <v>0</v>
          </cell>
          <cell r="BP38">
            <v>0</v>
          </cell>
          <cell r="BQ38">
            <v>0</v>
          </cell>
          <cell r="BR38">
            <v>0</v>
          </cell>
          <cell r="BU38">
            <v>0</v>
          </cell>
          <cell r="BV38">
            <v>0</v>
          </cell>
          <cell r="BW38">
            <v>0</v>
          </cell>
          <cell r="BY38">
            <v>0</v>
          </cell>
          <cell r="BZ38">
            <v>0</v>
          </cell>
          <cell r="CA38">
            <v>0</v>
          </cell>
          <cell r="CC38">
            <v>0</v>
          </cell>
          <cell r="CD38">
            <v>0</v>
          </cell>
          <cell r="CE38">
            <v>0</v>
          </cell>
          <cell r="CG38">
            <v>0</v>
          </cell>
          <cell r="CH38">
            <v>0</v>
          </cell>
          <cell r="CI38">
            <v>0</v>
          </cell>
          <cell r="CL38">
            <v>0</v>
          </cell>
          <cell r="CM38">
            <v>0</v>
          </cell>
          <cell r="CN38">
            <v>0</v>
          </cell>
          <cell r="CP38">
            <v>0</v>
          </cell>
          <cell r="CQ38">
            <v>0</v>
          </cell>
          <cell r="CR38">
            <v>0</v>
          </cell>
          <cell r="CT38">
            <v>0</v>
          </cell>
          <cell r="CU38">
            <v>0</v>
          </cell>
          <cell r="CV38">
            <v>0</v>
          </cell>
          <cell r="CX38">
            <v>0</v>
          </cell>
          <cell r="CY38">
            <v>0</v>
          </cell>
          <cell r="CZ38">
            <v>0</v>
          </cell>
          <cell r="DC38">
            <v>0</v>
          </cell>
          <cell r="DD38">
            <v>0</v>
          </cell>
          <cell r="DE38">
            <v>0</v>
          </cell>
          <cell r="DG38">
            <v>0</v>
          </cell>
          <cell r="DH38">
            <v>0</v>
          </cell>
          <cell r="DI38">
            <v>0</v>
          </cell>
          <cell r="DK38">
            <v>0</v>
          </cell>
          <cell r="DL38">
            <v>0</v>
          </cell>
          <cell r="DM38">
            <v>0</v>
          </cell>
          <cell r="DO38">
            <v>0</v>
          </cell>
          <cell r="DP38">
            <v>0</v>
          </cell>
          <cell r="DQ38">
            <v>0</v>
          </cell>
          <cell r="DT38">
            <v>0</v>
          </cell>
          <cell r="DU38">
            <v>0</v>
          </cell>
          <cell r="DV38">
            <v>0</v>
          </cell>
          <cell r="DX38">
            <v>0</v>
          </cell>
          <cell r="DY38">
            <v>0</v>
          </cell>
          <cell r="DZ38">
            <v>0</v>
          </cell>
          <cell r="EB38">
            <v>0</v>
          </cell>
          <cell r="EC38">
            <v>0</v>
          </cell>
          <cell r="ED38">
            <v>0</v>
          </cell>
          <cell r="EF38">
            <v>0</v>
          </cell>
          <cell r="EG38">
            <v>0</v>
          </cell>
          <cell r="EH38">
            <v>0</v>
          </cell>
        </row>
        <row r="49">
          <cell r="E49">
            <v>500000</v>
          </cell>
          <cell r="F49">
            <v>500000</v>
          </cell>
          <cell r="G49">
            <v>500000</v>
          </cell>
          <cell r="I49">
            <v>500000</v>
          </cell>
          <cell r="J49">
            <v>500000</v>
          </cell>
          <cell r="K49">
            <v>500000</v>
          </cell>
          <cell r="M49">
            <v>500000</v>
          </cell>
          <cell r="N49">
            <v>500000</v>
          </cell>
          <cell r="O49">
            <v>500000</v>
          </cell>
          <cell r="Q49">
            <v>500000</v>
          </cell>
          <cell r="R49">
            <v>500000</v>
          </cell>
          <cell r="S49">
            <v>500000</v>
          </cell>
          <cell r="U49">
            <v>6000000</v>
          </cell>
          <cell r="V49">
            <v>-112500</v>
          </cell>
          <cell r="W49">
            <v>-112500</v>
          </cell>
          <cell r="X49">
            <v>-112500</v>
          </cell>
          <cell r="Z49">
            <v>-112500</v>
          </cell>
          <cell r="AA49">
            <v>-112500</v>
          </cell>
          <cell r="AB49">
            <v>-112500</v>
          </cell>
          <cell r="AD49">
            <v>-112500</v>
          </cell>
          <cell r="AE49">
            <v>-112500</v>
          </cell>
          <cell r="AF49">
            <v>-112500</v>
          </cell>
          <cell r="AH49">
            <v>-112500</v>
          </cell>
          <cell r="AI49">
            <v>-112500</v>
          </cell>
          <cell r="AJ49">
            <v>-112500</v>
          </cell>
          <cell r="AM49">
            <v>0</v>
          </cell>
          <cell r="AN49">
            <v>0</v>
          </cell>
          <cell r="AO49">
            <v>0</v>
          </cell>
          <cell r="AQ49">
            <v>0</v>
          </cell>
          <cell r="AR49">
            <v>0</v>
          </cell>
          <cell r="AS49">
            <v>0</v>
          </cell>
          <cell r="AU49">
            <v>0</v>
          </cell>
          <cell r="AV49">
            <v>0</v>
          </cell>
          <cell r="AW49">
            <v>0</v>
          </cell>
          <cell r="AZ49">
            <v>0</v>
          </cell>
          <cell r="BA49">
            <v>0</v>
          </cell>
          <cell r="BB49">
            <v>0</v>
          </cell>
          <cell r="BD49">
            <v>-87231.28</v>
          </cell>
          <cell r="BE49">
            <v>-87231.28</v>
          </cell>
          <cell r="BF49">
            <v>-87231.28</v>
          </cell>
          <cell r="BH49">
            <v>-87231.28</v>
          </cell>
          <cell r="BI49">
            <v>-87231.28</v>
          </cell>
          <cell r="BJ49">
            <v>-87231.28</v>
          </cell>
          <cell r="BL49">
            <v>-87231.28</v>
          </cell>
          <cell r="BM49">
            <v>-87231.28</v>
          </cell>
          <cell r="BN49">
            <v>-87231.28</v>
          </cell>
          <cell r="BP49">
            <v>-87231.28</v>
          </cell>
          <cell r="BQ49">
            <v>-87231.28</v>
          </cell>
          <cell r="BR49">
            <v>-87231.28</v>
          </cell>
          <cell r="BU49">
            <v>0</v>
          </cell>
          <cell r="BV49">
            <v>0</v>
          </cell>
          <cell r="BW49">
            <v>0</v>
          </cell>
          <cell r="BY49">
            <v>0</v>
          </cell>
          <cell r="BZ49">
            <v>0</v>
          </cell>
          <cell r="CA49">
            <v>0</v>
          </cell>
          <cell r="CC49">
            <v>0</v>
          </cell>
          <cell r="CD49">
            <v>0</v>
          </cell>
          <cell r="CE49">
            <v>0</v>
          </cell>
          <cell r="CG49">
            <v>0</v>
          </cell>
          <cell r="CH49">
            <v>0</v>
          </cell>
          <cell r="CI49">
            <v>0</v>
          </cell>
          <cell r="CL49">
            <v>-20691.7</v>
          </cell>
          <cell r="CM49">
            <v>-20691.7</v>
          </cell>
          <cell r="CN49">
            <v>-20691.7</v>
          </cell>
          <cell r="CP49">
            <v>-20691.7</v>
          </cell>
          <cell r="CQ49">
            <v>-20691.7</v>
          </cell>
          <cell r="CR49">
            <v>-20691.7</v>
          </cell>
          <cell r="CT49">
            <v>-20691.7</v>
          </cell>
          <cell r="CU49">
            <v>-20691.7</v>
          </cell>
          <cell r="CV49">
            <v>-20691.7</v>
          </cell>
          <cell r="CX49">
            <v>-20691.7</v>
          </cell>
          <cell r="CY49">
            <v>-20691.7</v>
          </cell>
          <cell r="CZ49">
            <v>-20691.7</v>
          </cell>
          <cell r="DC49">
            <v>0</v>
          </cell>
          <cell r="DD49">
            <v>0</v>
          </cell>
          <cell r="DE49">
            <v>0</v>
          </cell>
          <cell r="DG49">
            <v>0</v>
          </cell>
          <cell r="DH49">
            <v>0</v>
          </cell>
          <cell r="DI49">
            <v>0</v>
          </cell>
          <cell r="DK49">
            <v>0</v>
          </cell>
          <cell r="DL49">
            <v>0</v>
          </cell>
          <cell r="DM49">
            <v>0</v>
          </cell>
          <cell r="DO49">
            <v>0</v>
          </cell>
          <cell r="DP49">
            <v>0</v>
          </cell>
          <cell r="DQ49">
            <v>0</v>
          </cell>
          <cell r="DT49">
            <v>0</v>
          </cell>
          <cell r="DU49">
            <v>0</v>
          </cell>
          <cell r="DV49">
            <v>0</v>
          </cell>
          <cell r="DX49">
            <v>0</v>
          </cell>
          <cell r="DY49">
            <v>0</v>
          </cell>
          <cell r="DZ49">
            <v>0</v>
          </cell>
          <cell r="EB49">
            <v>0</v>
          </cell>
          <cell r="EC49">
            <v>0</v>
          </cell>
          <cell r="ED49">
            <v>0</v>
          </cell>
          <cell r="EF49">
            <v>0</v>
          </cell>
          <cell r="EG49">
            <v>0</v>
          </cell>
          <cell r="EH49">
            <v>0</v>
          </cell>
        </row>
        <row r="51">
          <cell r="E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Q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Z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F51">
            <v>0</v>
          </cell>
          <cell r="AH51">
            <v>0</v>
          </cell>
          <cell r="AI51">
            <v>0</v>
          </cell>
          <cell r="AJ51">
            <v>0</v>
          </cell>
          <cell r="AM51">
            <v>0</v>
          </cell>
          <cell r="AN51">
            <v>0</v>
          </cell>
          <cell r="AO51">
            <v>0</v>
          </cell>
          <cell r="AQ51">
            <v>0</v>
          </cell>
          <cell r="AR51">
            <v>0</v>
          </cell>
          <cell r="AS51">
            <v>0</v>
          </cell>
          <cell r="AU51">
            <v>0</v>
          </cell>
          <cell r="AV51">
            <v>0</v>
          </cell>
          <cell r="AW51">
            <v>0</v>
          </cell>
          <cell r="AZ51">
            <v>0</v>
          </cell>
          <cell r="BA51">
            <v>0</v>
          </cell>
          <cell r="BB51">
            <v>0</v>
          </cell>
          <cell r="BD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J51">
            <v>0</v>
          </cell>
          <cell r="BL51">
            <v>0</v>
          </cell>
          <cell r="BM51">
            <v>0</v>
          </cell>
          <cell r="BN51">
            <v>0</v>
          </cell>
          <cell r="BP51">
            <v>0</v>
          </cell>
          <cell r="BQ51">
            <v>0</v>
          </cell>
          <cell r="BR51">
            <v>0</v>
          </cell>
          <cell r="BU51">
            <v>0</v>
          </cell>
          <cell r="BV51">
            <v>0</v>
          </cell>
          <cell r="BW51">
            <v>0</v>
          </cell>
          <cell r="BY51">
            <v>0</v>
          </cell>
          <cell r="BZ51">
            <v>0</v>
          </cell>
          <cell r="CA51">
            <v>0</v>
          </cell>
          <cell r="CC51">
            <v>0</v>
          </cell>
          <cell r="CD51">
            <v>0</v>
          </cell>
          <cell r="CE51">
            <v>0</v>
          </cell>
          <cell r="CG51">
            <v>0</v>
          </cell>
          <cell r="CH51">
            <v>0</v>
          </cell>
          <cell r="CI51">
            <v>0</v>
          </cell>
          <cell r="CL51">
            <v>0</v>
          </cell>
          <cell r="CM51">
            <v>0</v>
          </cell>
          <cell r="CN51">
            <v>0</v>
          </cell>
          <cell r="CP51">
            <v>0</v>
          </cell>
          <cell r="CQ51">
            <v>0</v>
          </cell>
          <cell r="CR51">
            <v>0</v>
          </cell>
          <cell r="CT51">
            <v>0</v>
          </cell>
          <cell r="CU51">
            <v>0</v>
          </cell>
          <cell r="CV51">
            <v>0</v>
          </cell>
          <cell r="CX51">
            <v>0</v>
          </cell>
          <cell r="CY51">
            <v>0</v>
          </cell>
          <cell r="CZ51">
            <v>0</v>
          </cell>
          <cell r="DC51">
            <v>0</v>
          </cell>
          <cell r="DD51">
            <v>0</v>
          </cell>
          <cell r="DE51">
            <v>0</v>
          </cell>
          <cell r="DG51">
            <v>0</v>
          </cell>
          <cell r="DH51">
            <v>0</v>
          </cell>
          <cell r="DI51">
            <v>0</v>
          </cell>
          <cell r="DK51">
            <v>0</v>
          </cell>
          <cell r="DL51">
            <v>0</v>
          </cell>
          <cell r="DM51">
            <v>0</v>
          </cell>
          <cell r="DO51">
            <v>0</v>
          </cell>
          <cell r="DP51">
            <v>0</v>
          </cell>
          <cell r="DQ51">
            <v>0</v>
          </cell>
          <cell r="DT51">
            <v>0</v>
          </cell>
          <cell r="DU51">
            <v>0</v>
          </cell>
          <cell r="DV51">
            <v>0</v>
          </cell>
          <cell r="DX51">
            <v>0</v>
          </cell>
          <cell r="DY51">
            <v>0</v>
          </cell>
          <cell r="DZ51">
            <v>0</v>
          </cell>
          <cell r="EB51">
            <v>0</v>
          </cell>
          <cell r="EC51">
            <v>0</v>
          </cell>
          <cell r="ED51">
            <v>0</v>
          </cell>
          <cell r="EF51">
            <v>0</v>
          </cell>
          <cell r="EG51">
            <v>0</v>
          </cell>
          <cell r="EH51">
            <v>0</v>
          </cell>
        </row>
        <row r="62">
          <cell r="E62">
            <v>416666.67</v>
          </cell>
          <cell r="F62">
            <v>416666.67</v>
          </cell>
          <cell r="G62">
            <v>416666.67</v>
          </cell>
          <cell r="I62">
            <v>416666.67</v>
          </cell>
          <cell r="J62">
            <v>416666.67</v>
          </cell>
          <cell r="K62">
            <v>416666.67</v>
          </cell>
          <cell r="M62">
            <v>416666.67</v>
          </cell>
          <cell r="N62">
            <v>416666.67</v>
          </cell>
          <cell r="O62">
            <v>416666.67</v>
          </cell>
          <cell r="Q62">
            <v>416666.67</v>
          </cell>
          <cell r="R62">
            <v>416666.67</v>
          </cell>
          <cell r="S62">
            <v>416666.67</v>
          </cell>
          <cell r="U62">
            <v>5000000.04</v>
          </cell>
          <cell r="V62">
            <v>-83333.33</v>
          </cell>
          <cell r="W62">
            <v>-83333.33</v>
          </cell>
          <cell r="X62">
            <v>-83333.33</v>
          </cell>
          <cell r="Z62">
            <v>-83333.33</v>
          </cell>
          <cell r="AA62">
            <v>-83333.33</v>
          </cell>
          <cell r="AB62">
            <v>-83333.33</v>
          </cell>
          <cell r="AD62">
            <v>-83333.33</v>
          </cell>
          <cell r="AE62">
            <v>-83333.33</v>
          </cell>
          <cell r="AF62">
            <v>-83333.33</v>
          </cell>
          <cell r="AH62">
            <v>-83333.33</v>
          </cell>
          <cell r="AI62">
            <v>-83333.33</v>
          </cell>
          <cell r="AJ62">
            <v>-83333.33</v>
          </cell>
          <cell r="AM62">
            <v>-5000</v>
          </cell>
          <cell r="AN62">
            <v>-5000</v>
          </cell>
          <cell r="AO62">
            <v>-5000</v>
          </cell>
          <cell r="AQ62">
            <v>-5000</v>
          </cell>
          <cell r="AR62">
            <v>-5000</v>
          </cell>
          <cell r="AS62">
            <v>-5000</v>
          </cell>
          <cell r="AU62">
            <v>-5000</v>
          </cell>
          <cell r="AV62">
            <v>-5000</v>
          </cell>
          <cell r="AW62">
            <v>-5000</v>
          </cell>
          <cell r="AY62">
            <v>-5000</v>
          </cell>
          <cell r="AZ62">
            <v>-5000</v>
          </cell>
          <cell r="BA62">
            <v>-5000</v>
          </cell>
          <cell r="BD62">
            <v>-87231.28</v>
          </cell>
          <cell r="BE62">
            <v>-87231.28</v>
          </cell>
          <cell r="BF62">
            <v>-87231.28</v>
          </cell>
          <cell r="BH62">
            <v>-87231.28</v>
          </cell>
          <cell r="BI62">
            <v>-87231.28</v>
          </cell>
          <cell r="BJ62">
            <v>-87231.28</v>
          </cell>
          <cell r="BL62">
            <v>-87231.28</v>
          </cell>
          <cell r="BM62">
            <v>-87231.28</v>
          </cell>
          <cell r="BN62">
            <v>-87231.28</v>
          </cell>
          <cell r="BP62">
            <v>-87231.28</v>
          </cell>
          <cell r="BQ62">
            <v>-87231.28</v>
          </cell>
          <cell r="BR62">
            <v>-87231.28</v>
          </cell>
          <cell r="BU62">
            <v>0</v>
          </cell>
          <cell r="BV62">
            <v>0</v>
          </cell>
          <cell r="BW62">
            <v>0</v>
          </cell>
          <cell r="BY62">
            <v>0</v>
          </cell>
          <cell r="BZ62">
            <v>0</v>
          </cell>
          <cell r="CA62">
            <v>0</v>
          </cell>
          <cell r="CC62">
            <v>0</v>
          </cell>
          <cell r="CD62">
            <v>0</v>
          </cell>
          <cell r="CE62">
            <v>0</v>
          </cell>
          <cell r="CG62">
            <v>0</v>
          </cell>
          <cell r="CH62">
            <v>0</v>
          </cell>
          <cell r="CI62">
            <v>0</v>
          </cell>
          <cell r="CL62">
            <v>-20691.7</v>
          </cell>
          <cell r="CM62">
            <v>-20691.7</v>
          </cell>
          <cell r="CN62">
            <v>-20691.7</v>
          </cell>
          <cell r="CP62">
            <v>-20691.7</v>
          </cell>
          <cell r="CQ62">
            <v>-20691.7</v>
          </cell>
          <cell r="CR62">
            <v>-20691.7</v>
          </cell>
          <cell r="CT62">
            <v>-20691.7</v>
          </cell>
          <cell r="CU62">
            <v>-20691.7</v>
          </cell>
          <cell r="CV62">
            <v>-20691.7</v>
          </cell>
          <cell r="CX62">
            <v>-20691.7</v>
          </cell>
          <cell r="CY62">
            <v>-20691.7</v>
          </cell>
          <cell r="CZ62">
            <v>-20691.7</v>
          </cell>
          <cell r="DC62">
            <v>0</v>
          </cell>
          <cell r="DD62">
            <v>0</v>
          </cell>
          <cell r="DE62">
            <v>0</v>
          </cell>
          <cell r="DG62">
            <v>0</v>
          </cell>
          <cell r="DH62">
            <v>0</v>
          </cell>
          <cell r="DI62">
            <v>0</v>
          </cell>
          <cell r="DK62">
            <v>0</v>
          </cell>
          <cell r="DL62">
            <v>0</v>
          </cell>
          <cell r="DM62">
            <v>0</v>
          </cell>
          <cell r="DO62">
            <v>0</v>
          </cell>
          <cell r="DP62">
            <v>0</v>
          </cell>
          <cell r="DQ62">
            <v>0</v>
          </cell>
          <cell r="DT62">
            <v>-25125</v>
          </cell>
          <cell r="DU62">
            <v>-25125</v>
          </cell>
          <cell r="DV62">
            <v>-25125</v>
          </cell>
          <cell r="DX62">
            <v>-25125</v>
          </cell>
          <cell r="DY62">
            <v>-25125</v>
          </cell>
          <cell r="DZ62">
            <v>-25125</v>
          </cell>
          <cell r="EB62">
            <v>-25125</v>
          </cell>
          <cell r="EC62">
            <v>-25125</v>
          </cell>
          <cell r="ED62">
            <v>-25125</v>
          </cell>
          <cell r="EF62">
            <v>-25125</v>
          </cell>
          <cell r="EG62">
            <v>-25125</v>
          </cell>
          <cell r="EH62">
            <v>-25125</v>
          </cell>
        </row>
        <row r="64">
          <cell r="E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Q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Z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F64">
            <v>0</v>
          </cell>
          <cell r="AH64">
            <v>0</v>
          </cell>
          <cell r="AI64">
            <v>0</v>
          </cell>
          <cell r="AJ64">
            <v>0</v>
          </cell>
          <cell r="AM64">
            <v>0</v>
          </cell>
          <cell r="AN64">
            <v>0</v>
          </cell>
          <cell r="AO64">
            <v>0</v>
          </cell>
          <cell r="AQ64">
            <v>0</v>
          </cell>
          <cell r="AR64">
            <v>0</v>
          </cell>
          <cell r="AS64">
            <v>0</v>
          </cell>
          <cell r="AU64">
            <v>0</v>
          </cell>
          <cell r="AV64">
            <v>0</v>
          </cell>
          <cell r="AW64">
            <v>0</v>
          </cell>
          <cell r="AZ64">
            <v>0</v>
          </cell>
          <cell r="BA64">
            <v>0</v>
          </cell>
          <cell r="BB64">
            <v>0</v>
          </cell>
          <cell r="BD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J64">
            <v>0</v>
          </cell>
          <cell r="BL64">
            <v>0</v>
          </cell>
          <cell r="BM64">
            <v>0</v>
          </cell>
          <cell r="BN64">
            <v>0</v>
          </cell>
          <cell r="BP64">
            <v>0</v>
          </cell>
          <cell r="BQ64">
            <v>0</v>
          </cell>
          <cell r="BR64">
            <v>0</v>
          </cell>
          <cell r="BU64">
            <v>0</v>
          </cell>
          <cell r="BV64">
            <v>0</v>
          </cell>
          <cell r="BW64">
            <v>0</v>
          </cell>
          <cell r="BY64">
            <v>0</v>
          </cell>
          <cell r="BZ64">
            <v>0</v>
          </cell>
          <cell r="CA64">
            <v>0</v>
          </cell>
          <cell r="CC64">
            <v>0</v>
          </cell>
          <cell r="CD64">
            <v>0</v>
          </cell>
          <cell r="CE64">
            <v>0</v>
          </cell>
          <cell r="CG64">
            <v>0</v>
          </cell>
          <cell r="CH64">
            <v>0</v>
          </cell>
          <cell r="CI64">
            <v>0</v>
          </cell>
          <cell r="CL64">
            <v>0</v>
          </cell>
          <cell r="CM64">
            <v>0</v>
          </cell>
          <cell r="CN64">
            <v>0</v>
          </cell>
          <cell r="CP64">
            <v>0</v>
          </cell>
          <cell r="CQ64">
            <v>0</v>
          </cell>
          <cell r="CR64">
            <v>0</v>
          </cell>
          <cell r="CT64">
            <v>0</v>
          </cell>
          <cell r="CU64">
            <v>0</v>
          </cell>
          <cell r="CV64">
            <v>0</v>
          </cell>
          <cell r="CX64">
            <v>0</v>
          </cell>
          <cell r="CY64">
            <v>0</v>
          </cell>
          <cell r="CZ64">
            <v>0</v>
          </cell>
          <cell r="DC64">
            <v>0</v>
          </cell>
          <cell r="DD64">
            <v>0</v>
          </cell>
          <cell r="DE64">
            <v>0</v>
          </cell>
          <cell r="DG64">
            <v>0</v>
          </cell>
          <cell r="DH64">
            <v>0</v>
          </cell>
          <cell r="DI64">
            <v>0</v>
          </cell>
          <cell r="DK64">
            <v>0</v>
          </cell>
          <cell r="DL64">
            <v>0</v>
          </cell>
          <cell r="DM64">
            <v>0</v>
          </cell>
          <cell r="DO64">
            <v>0</v>
          </cell>
          <cell r="DP64">
            <v>0</v>
          </cell>
          <cell r="DQ64">
            <v>0</v>
          </cell>
          <cell r="DT64">
            <v>0</v>
          </cell>
          <cell r="DU64">
            <v>0</v>
          </cell>
          <cell r="DV64">
            <v>0</v>
          </cell>
          <cell r="DX64">
            <v>0</v>
          </cell>
          <cell r="DY64">
            <v>0</v>
          </cell>
          <cell r="DZ64">
            <v>0</v>
          </cell>
          <cell r="EB64">
            <v>0</v>
          </cell>
          <cell r="EC64">
            <v>0</v>
          </cell>
          <cell r="ED64">
            <v>0</v>
          </cell>
          <cell r="EF64">
            <v>0</v>
          </cell>
          <cell r="EG64">
            <v>0</v>
          </cell>
          <cell r="EH64">
            <v>0</v>
          </cell>
        </row>
        <row r="75">
          <cell r="E75">
            <v>3333333.33</v>
          </cell>
          <cell r="F75">
            <v>3333333.33</v>
          </cell>
          <cell r="G75">
            <v>3333333.33</v>
          </cell>
          <cell r="I75">
            <v>3333333.33</v>
          </cell>
          <cell r="J75">
            <v>3333333.33</v>
          </cell>
          <cell r="K75">
            <v>3333333.33</v>
          </cell>
          <cell r="M75">
            <v>3333333.33</v>
          </cell>
          <cell r="N75">
            <v>3333333.33</v>
          </cell>
          <cell r="O75">
            <v>3333333.33</v>
          </cell>
          <cell r="Q75">
            <v>3333333.33</v>
          </cell>
          <cell r="R75">
            <v>3333333.33</v>
          </cell>
          <cell r="S75">
            <v>3333333.33</v>
          </cell>
          <cell r="U75">
            <v>39999999.960000001</v>
          </cell>
          <cell r="V75">
            <v>-2291666.66666666</v>
          </cell>
          <cell r="W75">
            <v>-2291666.66666666</v>
          </cell>
          <cell r="X75">
            <v>-2291666.66666666</v>
          </cell>
          <cell r="Z75">
            <v>-2291666.66666666</v>
          </cell>
          <cell r="AA75">
            <v>-2291666.66666666</v>
          </cell>
          <cell r="AB75">
            <v>-2291666.66666666</v>
          </cell>
          <cell r="AD75">
            <v>-2291666.66666666</v>
          </cell>
          <cell r="AE75">
            <v>-2291666.66666666</v>
          </cell>
          <cell r="AF75">
            <v>-2291666.66666666</v>
          </cell>
          <cell r="AH75">
            <v>-2291666.66666666</v>
          </cell>
          <cell r="AI75">
            <v>-2291666.66666666</v>
          </cell>
          <cell r="AJ75">
            <v>-2291666.66666666</v>
          </cell>
          <cell r="AM75">
            <v>0</v>
          </cell>
          <cell r="AN75">
            <v>0</v>
          </cell>
          <cell r="AO75">
            <v>0</v>
          </cell>
          <cell r="AQ75">
            <v>0</v>
          </cell>
          <cell r="AR75">
            <v>0</v>
          </cell>
          <cell r="AS75">
            <v>0</v>
          </cell>
          <cell r="AU75">
            <v>0</v>
          </cell>
          <cell r="AV75">
            <v>0</v>
          </cell>
          <cell r="AW75">
            <v>0</v>
          </cell>
          <cell r="AZ75">
            <v>0</v>
          </cell>
          <cell r="BA75">
            <v>0</v>
          </cell>
          <cell r="BB75">
            <v>0</v>
          </cell>
          <cell r="BD75">
            <v>-697850.26</v>
          </cell>
          <cell r="BE75">
            <v>-697850.26</v>
          </cell>
          <cell r="BF75">
            <v>-697850.26</v>
          </cell>
          <cell r="BH75">
            <v>-697850.26</v>
          </cell>
          <cell r="BI75">
            <v>-697850.26</v>
          </cell>
          <cell r="BJ75">
            <v>-697850.26</v>
          </cell>
          <cell r="BL75">
            <v>-697850.26</v>
          </cell>
          <cell r="BM75">
            <v>-697850.26</v>
          </cell>
          <cell r="BN75">
            <v>-697850.26</v>
          </cell>
          <cell r="BP75">
            <v>-697850.26</v>
          </cell>
          <cell r="BQ75">
            <v>-697850.26</v>
          </cell>
          <cell r="BR75">
            <v>-697850.26</v>
          </cell>
          <cell r="BU75">
            <v>0</v>
          </cell>
          <cell r="BV75">
            <v>0</v>
          </cell>
          <cell r="BW75">
            <v>0</v>
          </cell>
          <cell r="BY75">
            <v>0</v>
          </cell>
          <cell r="BZ75">
            <v>0</v>
          </cell>
          <cell r="CA75">
            <v>0</v>
          </cell>
          <cell r="CC75">
            <v>0</v>
          </cell>
          <cell r="CD75">
            <v>0</v>
          </cell>
          <cell r="CE75">
            <v>0</v>
          </cell>
          <cell r="CG75">
            <v>0</v>
          </cell>
          <cell r="CH75">
            <v>0</v>
          </cell>
          <cell r="CI75">
            <v>0</v>
          </cell>
          <cell r="CL75">
            <v>-165533.59</v>
          </cell>
          <cell r="CM75">
            <v>-165533.59</v>
          </cell>
          <cell r="CN75">
            <v>-165533.59</v>
          </cell>
          <cell r="CP75">
            <v>-165533.59</v>
          </cell>
          <cell r="CQ75">
            <v>-165533.59</v>
          </cell>
          <cell r="CR75">
            <v>-165533.59</v>
          </cell>
          <cell r="CT75">
            <v>-165533.59</v>
          </cell>
          <cell r="CU75">
            <v>-165533.59</v>
          </cell>
          <cell r="CV75">
            <v>-165533.59</v>
          </cell>
          <cell r="CX75">
            <v>-165533.59</v>
          </cell>
          <cell r="CY75">
            <v>-165533.59</v>
          </cell>
          <cell r="CZ75">
            <v>-165533.59</v>
          </cell>
          <cell r="DC75">
            <v>0</v>
          </cell>
          <cell r="DD75">
            <v>0</v>
          </cell>
          <cell r="DE75">
            <v>0</v>
          </cell>
          <cell r="DG75">
            <v>0</v>
          </cell>
          <cell r="DH75">
            <v>0</v>
          </cell>
          <cell r="DI75">
            <v>0</v>
          </cell>
          <cell r="DK75">
            <v>0</v>
          </cell>
          <cell r="DL75">
            <v>0</v>
          </cell>
          <cell r="DM75">
            <v>0</v>
          </cell>
          <cell r="DO75">
            <v>0</v>
          </cell>
          <cell r="DP75">
            <v>0</v>
          </cell>
          <cell r="DQ75">
            <v>0</v>
          </cell>
          <cell r="DT75">
            <v>0</v>
          </cell>
          <cell r="DU75">
            <v>0</v>
          </cell>
          <cell r="DV75">
            <v>0</v>
          </cell>
          <cell r="DX75">
            <v>0</v>
          </cell>
          <cell r="DY75">
            <v>0</v>
          </cell>
          <cell r="DZ75">
            <v>0</v>
          </cell>
          <cell r="EB75">
            <v>0</v>
          </cell>
          <cell r="EC75">
            <v>0</v>
          </cell>
          <cell r="ED75">
            <v>0</v>
          </cell>
          <cell r="EF75">
            <v>0</v>
          </cell>
          <cell r="EG75">
            <v>0</v>
          </cell>
          <cell r="EH75">
            <v>0</v>
          </cell>
        </row>
        <row r="81">
          <cell r="E81">
            <v>24705224.993333321</v>
          </cell>
          <cell r="F81">
            <v>26455224.993333321</v>
          </cell>
          <cell r="G81">
            <v>28315224.993333321</v>
          </cell>
          <cell r="I81">
            <v>26757279.32</v>
          </cell>
          <cell r="J81">
            <v>25987996.32</v>
          </cell>
          <cell r="K81">
            <v>26479040.32</v>
          </cell>
          <cell r="M81">
            <v>18699999.986666668</v>
          </cell>
          <cell r="N81">
            <v>18699999.986666668</v>
          </cell>
          <cell r="O81">
            <v>18699999.986666668</v>
          </cell>
          <cell r="Q81">
            <v>19070977.986666668</v>
          </cell>
          <cell r="R81">
            <v>18134365.986666668</v>
          </cell>
          <cell r="S81">
            <v>18134365.986666668</v>
          </cell>
          <cell r="AM81">
            <v>-320625</v>
          </cell>
          <cell r="AN81">
            <v>-339200</v>
          </cell>
          <cell r="AO81">
            <v>-213014.53999999998</v>
          </cell>
          <cell r="CL81">
            <v>-912526.07</v>
          </cell>
          <cell r="CM81">
            <v>-1771717.1900000002</v>
          </cell>
          <cell r="CN81">
            <v>-1420687.9300000002</v>
          </cell>
          <cell r="DC81">
            <v>-2016666.67</v>
          </cell>
          <cell r="DD81">
            <v>-1678287.47</v>
          </cell>
          <cell r="DE81">
            <v>-1610611.63</v>
          </cell>
          <cell r="DT81">
            <v>-357066.29000000004</v>
          </cell>
          <cell r="DU81">
            <v>-357066.29000000004</v>
          </cell>
          <cell r="DV81">
            <v>-367066.29000000004</v>
          </cell>
          <cell r="EK81">
            <v>0</v>
          </cell>
          <cell r="EL81">
            <v>0</v>
          </cell>
          <cell r="EM81">
            <v>0</v>
          </cell>
        </row>
        <row r="82">
          <cell r="E82">
            <v>1958966</v>
          </cell>
          <cell r="F82">
            <v>1958966</v>
          </cell>
          <cell r="G82">
            <v>1958966</v>
          </cell>
          <cell r="I82">
            <v>1758966</v>
          </cell>
          <cell r="J82">
            <v>1758966</v>
          </cell>
          <cell r="K82">
            <v>1758966</v>
          </cell>
          <cell r="M82">
            <v>864366</v>
          </cell>
          <cell r="N82">
            <v>864366</v>
          </cell>
          <cell r="O82">
            <v>864366</v>
          </cell>
          <cell r="Q82">
            <v>450000</v>
          </cell>
          <cell r="R82">
            <v>450000</v>
          </cell>
          <cell r="S82">
            <v>450000</v>
          </cell>
        </row>
        <row r="85">
          <cell r="V85">
            <v>-15749153.326666661</v>
          </cell>
          <cell r="W85">
            <v>-11985315.326666661</v>
          </cell>
          <cell r="X85">
            <v>-16526628.726666661</v>
          </cell>
          <cell r="Z85">
            <v>-16470273.326666661</v>
          </cell>
          <cell r="AA85">
            <v>-12970273.326666661</v>
          </cell>
          <cell r="AB85">
            <v>-11970273.326666661</v>
          </cell>
          <cell r="AD85">
            <v>-9835553.3266666606</v>
          </cell>
          <cell r="AE85">
            <v>-7200833.3266666606</v>
          </cell>
          <cell r="AF85">
            <v>-7200833.3266666606</v>
          </cell>
          <cell r="AH85">
            <v>-7200833.3266666606</v>
          </cell>
          <cell r="AI85">
            <v>-7200833.3266666606</v>
          </cell>
          <cell r="AJ85">
            <v>-7200833.3266666606</v>
          </cell>
          <cell r="AQ85">
            <v>-103973</v>
          </cell>
          <cell r="AR85">
            <v>-25000</v>
          </cell>
          <cell r="AS85">
            <v>-25000</v>
          </cell>
          <cell r="AU85">
            <v>-25000</v>
          </cell>
          <cell r="AV85">
            <v>-25000</v>
          </cell>
          <cell r="AW85">
            <v>-25000</v>
          </cell>
          <cell r="AY85">
            <v>-25000</v>
          </cell>
          <cell r="AZ85">
            <v>-25000</v>
          </cell>
          <cell r="BA85">
            <v>-11484</v>
          </cell>
          <cell r="BD85">
            <v>-3820022.5900000008</v>
          </cell>
          <cell r="BE85">
            <v>-7442167.9299999997</v>
          </cell>
          <cell r="BF85">
            <v>-5962312.0499999998</v>
          </cell>
          <cell r="BH85">
            <v>-5962312.0499999998</v>
          </cell>
          <cell r="BI85">
            <v>-5962312.0499999998</v>
          </cell>
          <cell r="BJ85">
            <v>-5962312.0499999998</v>
          </cell>
          <cell r="BL85">
            <v>-5718064.459999999</v>
          </cell>
          <cell r="BM85">
            <v>-5718064.459999999</v>
          </cell>
          <cell r="BN85">
            <v>-3912376.92</v>
          </cell>
          <cell r="BP85">
            <v>-4003313.64</v>
          </cell>
          <cell r="BQ85">
            <v>-2475766.8300000005</v>
          </cell>
          <cell r="BR85">
            <v>-2475766.8300000005</v>
          </cell>
          <cell r="BU85">
            <v>0</v>
          </cell>
          <cell r="BV85">
            <v>0</v>
          </cell>
          <cell r="BW85">
            <v>0</v>
          </cell>
          <cell r="BY85">
            <v>0</v>
          </cell>
          <cell r="BZ85">
            <v>0</v>
          </cell>
          <cell r="CA85">
            <v>0</v>
          </cell>
          <cell r="CC85">
            <v>0</v>
          </cell>
          <cell r="CD85">
            <v>0</v>
          </cell>
          <cell r="CE85">
            <v>0</v>
          </cell>
          <cell r="CG85">
            <v>0</v>
          </cell>
          <cell r="CH85">
            <v>0</v>
          </cell>
          <cell r="CI85">
            <v>0</v>
          </cell>
          <cell r="CP85">
            <v>-1420687.9300000002</v>
          </cell>
          <cell r="CQ85">
            <v>-1420687.9300000002</v>
          </cell>
          <cell r="CR85">
            <v>-1420687.9300000002</v>
          </cell>
          <cell r="CT85">
            <v>-1362751.1700000002</v>
          </cell>
          <cell r="CU85">
            <v>-1362751.1700000002</v>
          </cell>
          <cell r="CV85">
            <v>-934433</v>
          </cell>
          <cell r="CX85">
            <v>-956003.65</v>
          </cell>
          <cell r="CY85">
            <v>-593661.86</v>
          </cell>
          <cell r="CZ85">
            <v>-593661.86</v>
          </cell>
          <cell r="DG85">
            <v>-1610611.63</v>
          </cell>
          <cell r="DH85">
            <v>-1610611.63</v>
          </cell>
          <cell r="DI85">
            <v>-1642935.79</v>
          </cell>
          <cell r="DK85">
            <v>-976269.12</v>
          </cell>
          <cell r="DL85">
            <v>-976269.12</v>
          </cell>
          <cell r="DM85">
            <v>-976269.12</v>
          </cell>
          <cell r="DO85">
            <v>-907522.87</v>
          </cell>
          <cell r="DP85">
            <v>-846972.48</v>
          </cell>
          <cell r="DQ85">
            <v>-846972.48</v>
          </cell>
          <cell r="DX85">
            <v>-308582.38</v>
          </cell>
          <cell r="DY85">
            <v>-298582.34999999998</v>
          </cell>
          <cell r="DZ85">
            <v>-298582.34999999998</v>
          </cell>
          <cell r="EB85">
            <v>-288582.34999999998</v>
          </cell>
          <cell r="EC85">
            <v>-288582.34999999998</v>
          </cell>
          <cell r="ED85">
            <v>-336131.35</v>
          </cell>
          <cell r="EF85">
            <v>-288582.34999999998</v>
          </cell>
          <cell r="EG85">
            <v>-288582.34999999998</v>
          </cell>
          <cell r="EH85">
            <v>-336131.35</v>
          </cell>
          <cell r="EO85">
            <v>0</v>
          </cell>
          <cell r="EP85">
            <v>0</v>
          </cell>
          <cell r="EQ85">
            <v>0</v>
          </cell>
          <cell r="ES85">
            <v>0</v>
          </cell>
          <cell r="ET85">
            <v>0</v>
          </cell>
          <cell r="EU85">
            <v>0</v>
          </cell>
          <cell r="EW85">
            <v>0</v>
          </cell>
          <cell r="EX85">
            <v>0</v>
          </cell>
          <cell r="EY85">
            <v>0</v>
          </cell>
        </row>
        <row r="86">
          <cell r="V86">
            <v>-220000</v>
          </cell>
          <cell r="W86">
            <v>-220000</v>
          </cell>
          <cell r="X86">
            <v>-220000</v>
          </cell>
          <cell r="Z86">
            <v>-120000</v>
          </cell>
          <cell r="AA86">
            <v>-120000</v>
          </cell>
          <cell r="AB86">
            <v>-120000</v>
          </cell>
          <cell r="AD86">
            <v>0</v>
          </cell>
          <cell r="AE86">
            <v>0</v>
          </cell>
          <cell r="AF86">
            <v>0</v>
          </cell>
          <cell r="AH86">
            <v>0</v>
          </cell>
          <cell r="AI86">
            <v>0</v>
          </cell>
          <cell r="AJ86">
            <v>0</v>
          </cell>
          <cell r="AM86">
            <v>0</v>
          </cell>
          <cell r="AN86">
            <v>0</v>
          </cell>
          <cell r="AO86">
            <v>0</v>
          </cell>
          <cell r="AQ86">
            <v>0</v>
          </cell>
          <cell r="AR86">
            <v>0</v>
          </cell>
          <cell r="AS86">
            <v>0</v>
          </cell>
          <cell r="AU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A86">
            <v>0</v>
          </cell>
          <cell r="BD86">
            <v>-410119.47</v>
          </cell>
          <cell r="BE86">
            <v>-410119.47</v>
          </cell>
          <cell r="BF86">
            <v>-410119.47</v>
          </cell>
          <cell r="BH86">
            <v>-368248.44999999995</v>
          </cell>
          <cell r="BI86">
            <v>-368248.44999999995</v>
          </cell>
          <cell r="BJ86">
            <v>-368248.44999999995</v>
          </cell>
          <cell r="BL86">
            <v>-180959.4</v>
          </cell>
          <cell r="BM86">
            <v>-180959.4</v>
          </cell>
          <cell r="BN86">
            <v>-180959.4</v>
          </cell>
          <cell r="BP86">
            <v>-94209.78</v>
          </cell>
          <cell r="BQ86">
            <v>-94209.78</v>
          </cell>
          <cell r="BR86">
            <v>-94209.78</v>
          </cell>
          <cell r="BU86">
            <v>0</v>
          </cell>
          <cell r="BV86">
            <v>0</v>
          </cell>
          <cell r="BW86">
            <v>0</v>
          </cell>
          <cell r="BY86">
            <v>0</v>
          </cell>
          <cell r="BZ86">
            <v>0</v>
          </cell>
          <cell r="CA86">
            <v>0</v>
          </cell>
          <cell r="CC86">
            <v>0</v>
          </cell>
          <cell r="CD86">
            <v>0</v>
          </cell>
          <cell r="CE86">
            <v>0</v>
          </cell>
          <cell r="CG86">
            <v>0</v>
          </cell>
          <cell r="CH86">
            <v>0</v>
          </cell>
          <cell r="CI86">
            <v>0</v>
          </cell>
          <cell r="CL86">
            <v>-97282.420000000013</v>
          </cell>
          <cell r="CM86">
            <v>-97282.420000000013</v>
          </cell>
          <cell r="CN86">
            <v>-97282.420000000013</v>
          </cell>
          <cell r="CP86">
            <v>-87350.399999999994</v>
          </cell>
          <cell r="CQ86">
            <v>-87350.399999999994</v>
          </cell>
          <cell r="CR86">
            <v>-87350.399999999994</v>
          </cell>
          <cell r="CT86">
            <v>-42924.490000000005</v>
          </cell>
          <cell r="CU86">
            <v>-42924.490000000005</v>
          </cell>
          <cell r="CV86">
            <v>-42924.490000000005</v>
          </cell>
          <cell r="CX86">
            <v>-22347.040000000001</v>
          </cell>
          <cell r="CY86">
            <v>-22347.040000000001</v>
          </cell>
          <cell r="CZ86">
            <v>-22347.040000000001</v>
          </cell>
          <cell r="DC86">
            <v>0</v>
          </cell>
          <cell r="DD86">
            <v>0</v>
          </cell>
          <cell r="DE86">
            <v>0</v>
          </cell>
          <cell r="DG86">
            <v>0</v>
          </cell>
          <cell r="DH86">
            <v>0</v>
          </cell>
          <cell r="DI86">
            <v>0</v>
          </cell>
          <cell r="DK86">
            <v>0</v>
          </cell>
          <cell r="DL86">
            <v>0</v>
          </cell>
          <cell r="DM86">
            <v>0</v>
          </cell>
          <cell r="DO86">
            <v>0</v>
          </cell>
          <cell r="DP86">
            <v>0</v>
          </cell>
          <cell r="DQ86">
            <v>0</v>
          </cell>
          <cell r="DT86">
            <v>-146059</v>
          </cell>
          <cell r="DU86">
            <v>-146059</v>
          </cell>
          <cell r="DV86">
            <v>-193608</v>
          </cell>
          <cell r="DX86">
            <v>-119977</v>
          </cell>
          <cell r="DY86">
            <v>-119977</v>
          </cell>
          <cell r="DZ86">
            <v>-167526</v>
          </cell>
          <cell r="EB86">
            <v>0</v>
          </cell>
          <cell r="EC86">
            <v>0</v>
          </cell>
          <cell r="ED86">
            <v>0</v>
          </cell>
          <cell r="EF86">
            <v>0</v>
          </cell>
          <cell r="EG86">
            <v>0</v>
          </cell>
          <cell r="EH86">
            <v>0</v>
          </cell>
          <cell r="EK86">
            <v>0</v>
          </cell>
          <cell r="EL86">
            <v>0</v>
          </cell>
          <cell r="EM86">
            <v>0</v>
          </cell>
          <cell r="EO86">
            <v>0</v>
          </cell>
          <cell r="EP86">
            <v>0</v>
          </cell>
          <cell r="EQ86">
            <v>0</v>
          </cell>
          <cell r="ES86">
            <v>0</v>
          </cell>
          <cell r="ET86">
            <v>0</v>
          </cell>
          <cell r="EU86">
            <v>0</v>
          </cell>
          <cell r="EW86">
            <v>0</v>
          </cell>
          <cell r="EX86">
            <v>0</v>
          </cell>
          <cell r="EY86">
            <v>0</v>
          </cell>
        </row>
      </sheetData>
      <sheetData sheetId="14">
        <row r="289">
          <cell r="E289">
            <v>620875.11</v>
          </cell>
          <cell r="F289">
            <v>646475.11</v>
          </cell>
          <cell r="G289">
            <v>620875.11</v>
          </cell>
          <cell r="H289">
            <v>595275.11</v>
          </cell>
          <cell r="I289">
            <v>620875.11</v>
          </cell>
          <cell r="J289">
            <v>562450.11</v>
          </cell>
          <cell r="K289">
            <v>679300.11</v>
          </cell>
          <cell r="L289">
            <v>620875.11</v>
          </cell>
          <cell r="M289">
            <v>620875.11</v>
          </cell>
          <cell r="N289">
            <v>620875.11</v>
          </cell>
          <cell r="O289">
            <v>620875.11</v>
          </cell>
          <cell r="P289">
            <v>620875.11</v>
          </cell>
        </row>
        <row r="290">
          <cell r="E290">
            <v>22500</v>
          </cell>
          <cell r="F290">
            <v>22500</v>
          </cell>
          <cell r="G290">
            <v>22500</v>
          </cell>
          <cell r="H290">
            <v>22500</v>
          </cell>
          <cell r="I290">
            <v>22500</v>
          </cell>
          <cell r="J290">
            <v>22500</v>
          </cell>
          <cell r="K290">
            <v>22500</v>
          </cell>
          <cell r="L290">
            <v>22500</v>
          </cell>
          <cell r="M290">
            <v>22500</v>
          </cell>
          <cell r="N290">
            <v>22500</v>
          </cell>
          <cell r="O290">
            <v>22500</v>
          </cell>
          <cell r="P290">
            <v>22500</v>
          </cell>
        </row>
        <row r="291">
          <cell r="E291">
            <v>356250.66</v>
          </cell>
          <cell r="F291">
            <v>356250.66</v>
          </cell>
          <cell r="G291">
            <v>356250.66</v>
          </cell>
          <cell r="H291">
            <v>756250.65999999992</v>
          </cell>
          <cell r="I291">
            <v>756250.65999999992</v>
          </cell>
          <cell r="J291">
            <v>756250.65999999992</v>
          </cell>
          <cell r="K291">
            <v>756250.65999999992</v>
          </cell>
          <cell r="L291">
            <v>756250.65999999992</v>
          </cell>
          <cell r="M291">
            <v>756250.65999999992</v>
          </cell>
          <cell r="N291">
            <v>756250.65999999992</v>
          </cell>
          <cell r="O291">
            <v>756250.65999999992</v>
          </cell>
          <cell r="P291">
            <v>756250.65999999992</v>
          </cell>
        </row>
        <row r="307"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</row>
        <row r="308">
          <cell r="E308">
            <v>375459.71</v>
          </cell>
          <cell r="F308">
            <v>350059.71</v>
          </cell>
          <cell r="G308">
            <v>444979.71</v>
          </cell>
          <cell r="H308">
            <v>375459.71</v>
          </cell>
          <cell r="I308">
            <v>305939.71000000002</v>
          </cell>
          <cell r="J308">
            <v>375459.71</v>
          </cell>
          <cell r="K308">
            <v>375459.71</v>
          </cell>
          <cell r="L308">
            <v>375459.71</v>
          </cell>
          <cell r="M308">
            <v>400859.71</v>
          </cell>
          <cell r="N308">
            <v>375459.71</v>
          </cell>
          <cell r="O308">
            <v>375459.71</v>
          </cell>
          <cell r="P308">
            <v>375459.71</v>
          </cell>
        </row>
        <row r="309"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</row>
        <row r="310">
          <cell r="E310">
            <v>47174.559999999998</v>
          </cell>
          <cell r="F310">
            <v>47174.559999999998</v>
          </cell>
          <cell r="G310">
            <v>47174.559999999998</v>
          </cell>
          <cell r="H310">
            <v>47174.559999999998</v>
          </cell>
          <cell r="I310">
            <v>47174.559999999998</v>
          </cell>
          <cell r="J310">
            <v>47174.559999999998</v>
          </cell>
          <cell r="K310">
            <v>47174.559999999998</v>
          </cell>
          <cell r="L310">
            <v>47174.559999999998</v>
          </cell>
          <cell r="M310">
            <v>47174.559999999998</v>
          </cell>
          <cell r="N310">
            <v>47174.559999999998</v>
          </cell>
          <cell r="O310">
            <v>47174.559999999998</v>
          </cell>
          <cell r="P310">
            <v>47174.559999999998</v>
          </cell>
        </row>
        <row r="317"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</row>
        <row r="331">
          <cell r="E331">
            <v>120000</v>
          </cell>
          <cell r="F331">
            <v>120000</v>
          </cell>
          <cell r="G331">
            <v>120000</v>
          </cell>
          <cell r="H331">
            <v>120000</v>
          </cell>
          <cell r="I331">
            <v>120000</v>
          </cell>
          <cell r="J331">
            <v>120000</v>
          </cell>
          <cell r="K331">
            <v>120000</v>
          </cell>
          <cell r="L331">
            <v>120000</v>
          </cell>
          <cell r="M331">
            <v>120000</v>
          </cell>
          <cell r="N331">
            <v>120000</v>
          </cell>
          <cell r="O331">
            <v>120000</v>
          </cell>
          <cell r="P331">
            <v>120000</v>
          </cell>
        </row>
        <row r="333">
          <cell r="E333">
            <v>588291.74555555172</v>
          </cell>
          <cell r="F333">
            <v>874549.88555555232</v>
          </cell>
          <cell r="G333">
            <v>1366229.9755555512</v>
          </cell>
          <cell r="H333">
            <v>788210.79555555596</v>
          </cell>
          <cell r="I333">
            <v>950292.55555555539</v>
          </cell>
          <cell r="J333">
            <v>1474496.2955555557</v>
          </cell>
          <cell r="K333">
            <v>546969.37555555534</v>
          </cell>
          <cell r="L333">
            <v>546969.37555555534</v>
          </cell>
          <cell r="M333">
            <v>446969.37555555999</v>
          </cell>
          <cell r="N333">
            <v>2506651.5066666701</v>
          </cell>
          <cell r="O333">
            <v>2460485.5566666699</v>
          </cell>
          <cell r="P333">
            <v>2960485.5566666666</v>
          </cell>
        </row>
        <row r="334"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</row>
        <row r="335">
          <cell r="E335">
            <v>28041.716666666645</v>
          </cell>
          <cell r="F335">
            <v>53944.946666666685</v>
          </cell>
          <cell r="G335">
            <v>81476.376666666678</v>
          </cell>
          <cell r="H335">
            <v>80125.276666666643</v>
          </cell>
          <cell r="I335">
            <v>68738.476666666655</v>
          </cell>
          <cell r="J335">
            <v>76006.826666666631</v>
          </cell>
          <cell r="K335">
            <v>-52379.043333333364</v>
          </cell>
          <cell r="L335">
            <v>-52379.043333333364</v>
          </cell>
          <cell r="M335">
            <v>-52379.043333333364</v>
          </cell>
          <cell r="N335">
            <v>265510.21999999997</v>
          </cell>
          <cell r="O335">
            <v>251646.64</v>
          </cell>
          <cell r="P335">
            <v>251646.64</v>
          </cell>
        </row>
        <row r="336"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</row>
        <row r="337">
          <cell r="E337">
            <v>233333.33</v>
          </cell>
          <cell r="F337">
            <v>233333.33</v>
          </cell>
          <cell r="G337">
            <v>233333.33</v>
          </cell>
          <cell r="H337">
            <v>233333.33</v>
          </cell>
          <cell r="I337">
            <v>233333.33</v>
          </cell>
          <cell r="J337">
            <v>233333.33</v>
          </cell>
          <cell r="K337">
            <v>233333.33</v>
          </cell>
          <cell r="L337">
            <v>233333.33</v>
          </cell>
          <cell r="M337">
            <v>233333.34</v>
          </cell>
          <cell r="N337">
            <v>233333.34</v>
          </cell>
          <cell r="O337">
            <v>233333.34</v>
          </cell>
          <cell r="P337">
            <v>233333.34</v>
          </cell>
        </row>
        <row r="338">
          <cell r="E338">
            <v>342224.63</v>
          </cell>
          <cell r="F338">
            <v>674541.02</v>
          </cell>
          <cell r="G338">
            <v>538770.55000000005</v>
          </cell>
          <cell r="H338">
            <v>534929.06000000006</v>
          </cell>
          <cell r="I338">
            <v>534929.06000000006</v>
          </cell>
          <cell r="J338">
            <v>534929.06000000006</v>
          </cell>
          <cell r="K338">
            <v>495337.42</v>
          </cell>
          <cell r="L338">
            <v>495337.42</v>
          </cell>
          <cell r="M338">
            <v>329673.28000000003</v>
          </cell>
          <cell r="N338">
            <v>330057.43</v>
          </cell>
          <cell r="O338">
            <v>189911.53</v>
          </cell>
          <cell r="P338">
            <v>189911.53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&amp; Index"/>
      <sheetName val="Turnover"/>
      <sheetName val="Sheet6"/>
      <sheetName val="Actual &amp; Assumptions"/>
      <sheetName val="Financial Statements"/>
      <sheetName val="Loans"/>
      <sheetName val="RE &amp; Dividends"/>
      <sheetName val="Rev ASSUMP "/>
      <sheetName val="IS Assumption"/>
      <sheetName val="Sheet1"/>
      <sheetName val="Sheet2"/>
      <sheetName val="Sheet3"/>
      <sheetName val="Sheet4"/>
      <sheetName val="Budget 2021"/>
      <sheetName val="QH IS MTD"/>
      <sheetName val="QH IS YTD"/>
      <sheetName val="QH IS Qarters"/>
      <sheetName val="GP"/>
      <sheetName val="Governmental dues plan"/>
      <sheetName val="NDT Payments"/>
      <sheetName val="Ratio Analysis"/>
      <sheetName val="Checker"/>
      <sheetName val="CM %"/>
      <sheetName val="Pro LIst"/>
      <sheetName val="ZIS 01 - 06.2020"/>
      <sheetName val="Bud 2015"/>
      <sheetName val="BB TO 2021 old"/>
      <sheetName val="Signed Budget "/>
      <sheetName val="Sheet5"/>
      <sheetName val="Sheet7"/>
      <sheetName val="Sheet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4">
          <cell r="R14">
            <v>85541937.028284758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&amp; Index"/>
      <sheetName val="Turnover"/>
      <sheetName val="Sheet6"/>
      <sheetName val="Actual &amp; Assumptions"/>
      <sheetName val="Financial Statements"/>
      <sheetName val="Loans"/>
      <sheetName val="RE &amp; Dividends"/>
      <sheetName val="Rev ASSUMP "/>
      <sheetName val="CM %"/>
      <sheetName val="IS Assumption"/>
      <sheetName val="Sheet1"/>
      <sheetName val="Sheet2"/>
      <sheetName val="Sheet3"/>
      <sheetName val="Sheet4"/>
      <sheetName val=" GB 2019 &amp; 2020 Proj. "/>
      <sheetName val="Pro LIst"/>
      <sheetName val="QH IS MTD"/>
      <sheetName val="QH IS YTD"/>
      <sheetName val="QH IS Qarters"/>
      <sheetName val="GP"/>
      <sheetName val="Governmental dues plan"/>
      <sheetName val="NDT Payments"/>
      <sheetName val="Ratio Analysis"/>
      <sheetName val="Checker"/>
      <sheetName val="ZIS 01 - 06.2020"/>
      <sheetName val="Bud 2015"/>
      <sheetName val="BB TO 2021 old"/>
      <sheetName val="Signed Budget "/>
      <sheetName val="Sheet5"/>
      <sheetName val="Sheet7"/>
      <sheetName val="Sheet9"/>
    </sheetNames>
    <sheetDataSet>
      <sheetData sheetId="0"/>
      <sheetData sheetId="1">
        <row r="4">
          <cell r="AP4" t="str">
            <v>2021 P</v>
          </cell>
        </row>
      </sheetData>
      <sheetData sheetId="2"/>
      <sheetData sheetId="3"/>
      <sheetData sheetId="4">
        <row r="5">
          <cell r="AP5">
            <v>0</v>
          </cell>
        </row>
      </sheetData>
      <sheetData sheetId="5">
        <row r="6">
          <cell r="AP6">
            <v>20000</v>
          </cell>
        </row>
        <row r="9">
          <cell r="AO9">
            <v>0</v>
          </cell>
          <cell r="AP9">
            <v>-1600</v>
          </cell>
          <cell r="AQ9">
            <v>-1600</v>
          </cell>
          <cell r="AR9">
            <v>-1600</v>
          </cell>
          <cell r="AS9">
            <v>-1600</v>
          </cell>
          <cell r="AT9">
            <v>-1600</v>
          </cell>
          <cell r="AU9">
            <v>-1600</v>
          </cell>
          <cell r="AV9">
            <v>-1600</v>
          </cell>
          <cell r="AW9">
            <v>-1600</v>
          </cell>
          <cell r="AX9">
            <v>-1600</v>
          </cell>
          <cell r="AY9">
            <v>-1600</v>
          </cell>
          <cell r="AZ9">
            <v>-1600</v>
          </cell>
          <cell r="BA9">
            <v>-2000</v>
          </cell>
          <cell r="BB9">
            <v>-2000</v>
          </cell>
          <cell r="BC9">
            <v>-2000</v>
          </cell>
          <cell r="BD9">
            <v>-2000</v>
          </cell>
        </row>
        <row r="10">
          <cell r="AO10">
            <v>-3000</v>
          </cell>
          <cell r="AP10">
            <v>-12000</v>
          </cell>
          <cell r="AQ10">
            <v>-12000</v>
          </cell>
          <cell r="AR10">
            <v>-12000</v>
          </cell>
          <cell r="AS10">
            <v>-12000</v>
          </cell>
          <cell r="AT10">
            <v>-9600</v>
          </cell>
          <cell r="AU10">
            <v>-7200</v>
          </cell>
          <cell r="AV10">
            <v>-4800</v>
          </cell>
          <cell r="AW10">
            <v>-2400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</row>
      </sheetData>
      <sheetData sheetId="6">
        <row r="34">
          <cell r="AP34">
            <v>-16720.066175134325</v>
          </cell>
        </row>
      </sheetData>
      <sheetData sheetId="7">
        <row r="22">
          <cell r="IA22">
            <v>-5866</v>
          </cell>
        </row>
      </sheetData>
      <sheetData sheetId="8"/>
      <sheetData sheetId="9">
        <row r="4">
          <cell r="Y4">
            <v>99184607.079999983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&amp; Index"/>
      <sheetName val="Turnover"/>
      <sheetName val="Sheet6"/>
      <sheetName val="Actual &amp; Assumptions"/>
      <sheetName val="Financial Statements"/>
      <sheetName val="Loans"/>
      <sheetName val="RE &amp; Dividends"/>
      <sheetName val="Rev ASSUMP "/>
      <sheetName val="IS Assumption"/>
      <sheetName val="Sheet1"/>
      <sheetName val="Sheet2"/>
      <sheetName val="Sheet3"/>
      <sheetName val="Sheet4"/>
      <sheetName val="Budget 2022"/>
      <sheetName val="Budget Forms"/>
      <sheetName val="COGS-Budget 2022"/>
      <sheetName val="QH IS MTD"/>
      <sheetName val="QH IS YTD"/>
      <sheetName val="QH IS Qarters"/>
      <sheetName val="GP"/>
      <sheetName val="Governmental dues plan"/>
      <sheetName val="NDT Payments"/>
      <sheetName val="Ratio Analysis"/>
      <sheetName val="Checker"/>
      <sheetName val="Pro LIst"/>
      <sheetName val="CM %"/>
      <sheetName val="ZIS 01 - 06.2020"/>
      <sheetName val="Bud 2015"/>
      <sheetName val="BB TO 2021 old"/>
      <sheetName val="Signed Budget "/>
      <sheetName val="Sheet5"/>
      <sheetName val="Sheet7"/>
      <sheetName val="Sheet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7">
          <cell r="E7">
            <v>8838558.3333333321</v>
          </cell>
          <cell r="F7">
            <v>10588558.333333332</v>
          </cell>
          <cell r="G7">
            <v>11448558.333333332</v>
          </cell>
          <cell r="I7">
            <v>11557279.333333332</v>
          </cell>
          <cell r="J7">
            <v>10787996.333333332</v>
          </cell>
          <cell r="K7">
            <v>11279040.333333332</v>
          </cell>
          <cell r="M7">
            <v>3500000</v>
          </cell>
          <cell r="N7">
            <v>3500000</v>
          </cell>
          <cell r="O7">
            <v>3500000</v>
          </cell>
          <cell r="Q7">
            <v>2436612</v>
          </cell>
          <cell r="R7">
            <v>1500000</v>
          </cell>
          <cell r="S7">
            <v>1500000</v>
          </cell>
          <cell r="V7">
            <v>-8728320</v>
          </cell>
          <cell r="W7">
            <v>-4964482</v>
          </cell>
          <cell r="X7">
            <v>-10325795.4</v>
          </cell>
          <cell r="Z7">
            <v>-8769440</v>
          </cell>
          <cell r="AA7">
            <v>-5769440</v>
          </cell>
          <cell r="AB7">
            <v>-4769440</v>
          </cell>
          <cell r="AD7">
            <v>-2134720</v>
          </cell>
          <cell r="AE7">
            <v>0</v>
          </cell>
          <cell r="AF7">
            <v>0</v>
          </cell>
          <cell r="AH7">
            <v>0</v>
          </cell>
          <cell r="AI7">
            <v>0</v>
          </cell>
          <cell r="AJ7">
            <v>0</v>
          </cell>
          <cell r="AM7">
            <v>-315625</v>
          </cell>
          <cell r="AN7">
            <v>-334200</v>
          </cell>
          <cell r="AO7">
            <v>-208014.53999999998</v>
          </cell>
          <cell r="AQ7">
            <v>-98973</v>
          </cell>
          <cell r="AR7">
            <v>-20000</v>
          </cell>
          <cell r="AS7">
            <v>-20000</v>
          </cell>
          <cell r="AU7">
            <v>-20000</v>
          </cell>
          <cell r="AV7">
            <v>-20000</v>
          </cell>
          <cell r="AW7">
            <v>-20000</v>
          </cell>
          <cell r="AY7">
            <v>-20000</v>
          </cell>
          <cell r="AZ7">
            <v>-20000</v>
          </cell>
          <cell r="BA7">
            <v>-6484</v>
          </cell>
          <cell r="BD7">
            <v>-390796.14</v>
          </cell>
          <cell r="BE7">
            <v>-3251650.28</v>
          </cell>
          <cell r="BF7">
            <v>-1771794.4</v>
          </cell>
          <cell r="BH7">
            <v>-1771794.4</v>
          </cell>
          <cell r="BI7">
            <v>-1771794.4</v>
          </cell>
          <cell r="BJ7">
            <v>-1771794.4</v>
          </cell>
          <cell r="BL7">
            <v>-1527546.81</v>
          </cell>
          <cell r="BM7">
            <v>-1527546.81</v>
          </cell>
          <cell r="BN7">
            <v>-1527546.81</v>
          </cell>
          <cell r="BP7">
            <v>-1527546.81</v>
          </cell>
          <cell r="BQ7">
            <v>0</v>
          </cell>
          <cell r="BR7">
            <v>0</v>
          </cell>
          <cell r="BU7">
            <v>0</v>
          </cell>
          <cell r="BV7">
            <v>0</v>
          </cell>
          <cell r="BW7">
            <v>0</v>
          </cell>
          <cell r="BY7">
            <v>0</v>
          </cell>
          <cell r="BZ7">
            <v>0</v>
          </cell>
          <cell r="CA7">
            <v>0</v>
          </cell>
          <cell r="CC7">
            <v>0</v>
          </cell>
          <cell r="CD7">
            <v>0</v>
          </cell>
          <cell r="CE7">
            <v>0</v>
          </cell>
          <cell r="CG7">
            <v>0</v>
          </cell>
          <cell r="CH7">
            <v>0</v>
          </cell>
          <cell r="CI7">
            <v>0</v>
          </cell>
          <cell r="CL7">
            <v>-92698.81</v>
          </cell>
          <cell r="CM7">
            <v>-771307.81</v>
          </cell>
          <cell r="CN7">
            <v>-420278.55000000005</v>
          </cell>
          <cell r="CP7">
            <v>-420278.55000000005</v>
          </cell>
          <cell r="CQ7">
            <v>-420278.55000000005</v>
          </cell>
          <cell r="CR7">
            <v>-420278.55000000005</v>
          </cell>
          <cell r="CT7">
            <v>-362341.79000000004</v>
          </cell>
          <cell r="CU7">
            <v>-362341.79000000004</v>
          </cell>
          <cell r="CV7">
            <v>-362341.79000000004</v>
          </cell>
          <cell r="CX7">
            <v>-362341.79000000004</v>
          </cell>
          <cell r="CY7">
            <v>0</v>
          </cell>
          <cell r="CZ7">
            <v>0</v>
          </cell>
          <cell r="DC7">
            <v>-1266666.67</v>
          </cell>
          <cell r="DD7">
            <v>-928287.47</v>
          </cell>
          <cell r="DE7">
            <v>-860611.63</v>
          </cell>
          <cell r="DG7">
            <v>-860611.63</v>
          </cell>
          <cell r="DH7">
            <v>-860611.63</v>
          </cell>
          <cell r="DI7">
            <v>-892935.79</v>
          </cell>
          <cell r="DK7">
            <v>-226269.12</v>
          </cell>
          <cell r="DL7">
            <v>-226269.12</v>
          </cell>
          <cell r="DM7">
            <v>-226269.12</v>
          </cell>
          <cell r="DO7">
            <v>-157522.87</v>
          </cell>
          <cell r="DP7">
            <v>-96972.479999999996</v>
          </cell>
          <cell r="DQ7">
            <v>-96972.479999999996</v>
          </cell>
          <cell r="DT7">
            <v>-281941.30000000005</v>
          </cell>
          <cell r="DU7">
            <v>-281941.30000000005</v>
          </cell>
          <cell r="DV7">
            <v>-281941.30000000005</v>
          </cell>
          <cell r="DX7">
            <v>-223457.35</v>
          </cell>
          <cell r="DY7">
            <v>-223457.35</v>
          </cell>
          <cell r="DZ7">
            <v>-223457.35</v>
          </cell>
          <cell r="EB7">
            <v>-223457.35</v>
          </cell>
          <cell r="EC7">
            <v>-223457.35</v>
          </cell>
          <cell r="ED7">
            <v>-223457.35</v>
          </cell>
          <cell r="EF7">
            <v>-223457.35</v>
          </cell>
          <cell r="EG7">
            <v>-223457.35</v>
          </cell>
          <cell r="EH7">
            <v>-223457.35</v>
          </cell>
        </row>
        <row r="17">
          <cell r="E17">
            <v>8916666.663333321</v>
          </cell>
          <cell r="F17">
            <v>8916666.663333321</v>
          </cell>
          <cell r="G17">
            <v>9916666.663333321</v>
          </cell>
          <cell r="I17">
            <v>9249999.9900000002</v>
          </cell>
          <cell r="J17">
            <v>9249999.9900000002</v>
          </cell>
          <cell r="K17">
            <v>9249999.9900000002</v>
          </cell>
          <cell r="M17">
            <v>9249999.9900000002</v>
          </cell>
          <cell r="N17">
            <v>9249999.9900000002</v>
          </cell>
          <cell r="O17">
            <v>9249999.9900000002</v>
          </cell>
          <cell r="Q17">
            <v>9249999.9900000002</v>
          </cell>
          <cell r="R17">
            <v>9249999.9900000002</v>
          </cell>
          <cell r="S17">
            <v>9249999.9900000002</v>
          </cell>
          <cell r="V17">
            <v>-4533333.33</v>
          </cell>
          <cell r="W17">
            <v>-4533333.33</v>
          </cell>
          <cell r="X17">
            <v>-3713333.33</v>
          </cell>
          <cell r="Z17">
            <v>-5213333.33</v>
          </cell>
          <cell r="AA17">
            <v>-4713333.33</v>
          </cell>
          <cell r="AB17">
            <v>-4713333.33</v>
          </cell>
          <cell r="AD17">
            <v>-5213333.33</v>
          </cell>
          <cell r="AE17">
            <v>-4713333.33</v>
          </cell>
          <cell r="AF17">
            <v>-4713333.33</v>
          </cell>
          <cell r="AH17">
            <v>-4713333.33</v>
          </cell>
          <cell r="AI17">
            <v>-4713333.33</v>
          </cell>
          <cell r="AJ17">
            <v>-4713333.33</v>
          </cell>
          <cell r="AM17">
            <v>0</v>
          </cell>
          <cell r="AN17">
            <v>0</v>
          </cell>
          <cell r="AO17">
            <v>0</v>
          </cell>
          <cell r="AQ17">
            <v>0</v>
          </cell>
          <cell r="AR17">
            <v>0</v>
          </cell>
          <cell r="AS17">
            <v>0</v>
          </cell>
          <cell r="AU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A17">
            <v>0</v>
          </cell>
          <cell r="BD17">
            <v>-1805687.54</v>
          </cell>
          <cell r="BE17">
            <v>-2566978.7399999998</v>
          </cell>
          <cell r="BF17">
            <v>-2566978.7399999998</v>
          </cell>
          <cell r="BH17">
            <v>-2566978.7399999998</v>
          </cell>
          <cell r="BI17">
            <v>-2566978.7399999998</v>
          </cell>
          <cell r="BJ17">
            <v>-2566978.7399999998</v>
          </cell>
          <cell r="BL17">
            <v>-2566978.7399999998</v>
          </cell>
          <cell r="BM17">
            <v>-2566978.7399999998</v>
          </cell>
          <cell r="BN17">
            <v>-761291.2</v>
          </cell>
          <cell r="BP17">
            <v>-761291.2</v>
          </cell>
          <cell r="BQ17">
            <v>-761291.2</v>
          </cell>
          <cell r="BR17">
            <v>-761291.2</v>
          </cell>
          <cell r="BU17">
            <v>0</v>
          </cell>
          <cell r="BV17">
            <v>0</v>
          </cell>
          <cell r="BW17">
            <v>0</v>
          </cell>
          <cell r="BY17">
            <v>0</v>
          </cell>
          <cell r="BZ17">
            <v>0</v>
          </cell>
          <cell r="CA17">
            <v>0</v>
          </cell>
          <cell r="CC17">
            <v>0</v>
          </cell>
          <cell r="CD17">
            <v>0</v>
          </cell>
          <cell r="CE17">
            <v>0</v>
          </cell>
          <cell r="CG17">
            <v>0</v>
          </cell>
          <cell r="CH17">
            <v>0</v>
          </cell>
          <cell r="CI17">
            <v>0</v>
          </cell>
          <cell r="CL17">
            <v>-428318.17</v>
          </cell>
          <cell r="CM17">
            <v>-608900.29</v>
          </cell>
          <cell r="CN17">
            <v>-608900.29</v>
          </cell>
          <cell r="CP17">
            <v>-608900.29</v>
          </cell>
          <cell r="CQ17">
            <v>-608900.29</v>
          </cell>
          <cell r="CR17">
            <v>-608900.29</v>
          </cell>
          <cell r="CT17">
            <v>-608900.29</v>
          </cell>
          <cell r="CU17">
            <v>-608900.29</v>
          </cell>
          <cell r="CV17">
            <v>-180582.12</v>
          </cell>
          <cell r="CX17">
            <v>-180582.12</v>
          </cell>
          <cell r="CY17">
            <v>-180582.12</v>
          </cell>
          <cell r="CZ17">
            <v>-180582.12</v>
          </cell>
          <cell r="DC17">
            <v>-750000</v>
          </cell>
          <cell r="DD17">
            <v>-750000</v>
          </cell>
          <cell r="DE17">
            <v>-750000</v>
          </cell>
          <cell r="DG17">
            <v>-750000</v>
          </cell>
          <cell r="DH17">
            <v>-750000</v>
          </cell>
          <cell r="DI17">
            <v>-750000</v>
          </cell>
          <cell r="DK17">
            <v>-750000</v>
          </cell>
          <cell r="DL17">
            <v>-750000</v>
          </cell>
          <cell r="DM17">
            <v>-750000</v>
          </cell>
          <cell r="DO17">
            <v>-750000</v>
          </cell>
          <cell r="DP17">
            <v>-750000</v>
          </cell>
          <cell r="DQ17">
            <v>-750000</v>
          </cell>
          <cell r="DT17">
            <v>-19999.989999999998</v>
          </cell>
          <cell r="DU17">
            <v>-19999.989999999998</v>
          </cell>
          <cell r="DV17">
            <v>-29999.989999999998</v>
          </cell>
          <cell r="DX17">
            <v>-30000.030000000002</v>
          </cell>
          <cell r="DY17">
            <v>-20000</v>
          </cell>
          <cell r="DZ17">
            <v>-20000</v>
          </cell>
          <cell r="EB17">
            <v>-10000</v>
          </cell>
          <cell r="EC17">
            <v>-10000</v>
          </cell>
          <cell r="ED17">
            <v>-10000</v>
          </cell>
          <cell r="EF17">
            <v>-10000</v>
          </cell>
          <cell r="EG17">
            <v>-10000</v>
          </cell>
          <cell r="EH17">
            <v>-10000</v>
          </cell>
        </row>
        <row r="24">
          <cell r="E24">
            <v>1958966</v>
          </cell>
          <cell r="F24">
            <v>1958966</v>
          </cell>
          <cell r="G24">
            <v>1958966</v>
          </cell>
          <cell r="I24">
            <v>1758966</v>
          </cell>
          <cell r="J24">
            <v>1758966</v>
          </cell>
          <cell r="K24">
            <v>1758966</v>
          </cell>
          <cell r="M24">
            <v>864366</v>
          </cell>
          <cell r="N24">
            <v>864366</v>
          </cell>
          <cell r="O24">
            <v>864366</v>
          </cell>
          <cell r="Q24">
            <v>450000</v>
          </cell>
          <cell r="R24">
            <v>450000</v>
          </cell>
          <cell r="S24">
            <v>450000</v>
          </cell>
          <cell r="V24">
            <v>-220000</v>
          </cell>
          <cell r="W24">
            <v>-220000</v>
          </cell>
          <cell r="X24">
            <v>-220000</v>
          </cell>
          <cell r="Z24">
            <v>-120000</v>
          </cell>
          <cell r="AA24">
            <v>-120000</v>
          </cell>
          <cell r="AB24">
            <v>-120000</v>
          </cell>
          <cell r="AD24">
            <v>0</v>
          </cell>
          <cell r="AE24">
            <v>0</v>
          </cell>
          <cell r="AF24">
            <v>0</v>
          </cell>
          <cell r="AH24">
            <v>0</v>
          </cell>
          <cell r="AI24">
            <v>0</v>
          </cell>
          <cell r="AJ24">
            <v>0</v>
          </cell>
          <cell r="AM24">
            <v>0</v>
          </cell>
          <cell r="AN24">
            <v>0</v>
          </cell>
          <cell r="AO24">
            <v>0</v>
          </cell>
          <cell r="AQ24">
            <v>0</v>
          </cell>
          <cell r="AR24">
            <v>0</v>
          </cell>
          <cell r="AS24">
            <v>0</v>
          </cell>
          <cell r="AU24">
            <v>0</v>
          </cell>
          <cell r="AV24">
            <v>0</v>
          </cell>
          <cell r="AW24">
            <v>0</v>
          </cell>
          <cell r="AZ24">
            <v>0</v>
          </cell>
          <cell r="BA24">
            <v>0</v>
          </cell>
          <cell r="BB24">
            <v>0</v>
          </cell>
          <cell r="BD24">
            <v>-410119.47</v>
          </cell>
          <cell r="BE24">
            <v>-410119.47</v>
          </cell>
          <cell r="BF24">
            <v>-410119.47</v>
          </cell>
          <cell r="BH24">
            <v>-368248.44999999995</v>
          </cell>
          <cell r="BI24">
            <v>-368248.44999999995</v>
          </cell>
          <cell r="BJ24">
            <v>-368248.44999999995</v>
          </cell>
          <cell r="BL24">
            <v>-180959.4</v>
          </cell>
          <cell r="BM24">
            <v>-180959.4</v>
          </cell>
          <cell r="BN24">
            <v>-180959.4</v>
          </cell>
          <cell r="BP24">
            <v>-94209.78</v>
          </cell>
          <cell r="BQ24">
            <v>-94209.78</v>
          </cell>
          <cell r="BR24">
            <v>-94209.78</v>
          </cell>
          <cell r="BU24">
            <v>0</v>
          </cell>
          <cell r="BV24">
            <v>0</v>
          </cell>
          <cell r="BW24">
            <v>0</v>
          </cell>
          <cell r="BY24">
            <v>0</v>
          </cell>
          <cell r="BZ24">
            <v>0</v>
          </cell>
          <cell r="CA24">
            <v>0</v>
          </cell>
          <cell r="CC24">
            <v>0</v>
          </cell>
          <cell r="CD24">
            <v>0</v>
          </cell>
          <cell r="CE24">
            <v>0</v>
          </cell>
          <cell r="CG24">
            <v>0</v>
          </cell>
          <cell r="CH24">
            <v>0</v>
          </cell>
          <cell r="CI24">
            <v>0</v>
          </cell>
          <cell r="CL24">
            <v>-97282.420000000013</v>
          </cell>
          <cell r="CM24">
            <v>-97282.420000000013</v>
          </cell>
          <cell r="CN24">
            <v>-97282.420000000013</v>
          </cell>
          <cell r="CP24">
            <v>-87350.399999999994</v>
          </cell>
          <cell r="CQ24">
            <v>-87350.399999999994</v>
          </cell>
          <cell r="CR24">
            <v>-87350.399999999994</v>
          </cell>
          <cell r="CT24">
            <v>-42924.490000000005</v>
          </cell>
          <cell r="CU24">
            <v>-42924.490000000005</v>
          </cell>
          <cell r="CV24">
            <v>-42924.490000000005</v>
          </cell>
          <cell r="CX24">
            <v>-22347.040000000001</v>
          </cell>
          <cell r="CY24">
            <v>-22347.040000000001</v>
          </cell>
          <cell r="CZ24">
            <v>-22347.040000000001</v>
          </cell>
          <cell r="DC24">
            <v>0</v>
          </cell>
          <cell r="DD24">
            <v>0</v>
          </cell>
          <cell r="DE24">
            <v>0</v>
          </cell>
          <cell r="DG24">
            <v>0</v>
          </cell>
          <cell r="DH24">
            <v>0</v>
          </cell>
          <cell r="DI24">
            <v>0</v>
          </cell>
          <cell r="DK24">
            <v>0</v>
          </cell>
          <cell r="DL24">
            <v>0</v>
          </cell>
          <cell r="DM24">
            <v>0</v>
          </cell>
          <cell r="DO24">
            <v>0</v>
          </cell>
          <cell r="DP24">
            <v>0</v>
          </cell>
          <cell r="DQ24">
            <v>0</v>
          </cell>
          <cell r="DT24">
            <v>-146059</v>
          </cell>
          <cell r="DU24">
            <v>-146059</v>
          </cell>
          <cell r="DV24">
            <v>-193608</v>
          </cell>
          <cell r="DX24">
            <v>-119977</v>
          </cell>
          <cell r="DY24">
            <v>-119977</v>
          </cell>
          <cell r="DZ24">
            <v>-167526</v>
          </cell>
          <cell r="EB24">
            <v>0</v>
          </cell>
          <cell r="EC24">
            <v>0</v>
          </cell>
          <cell r="ED24">
            <v>0</v>
          </cell>
          <cell r="EF24">
            <v>0</v>
          </cell>
          <cell r="EG24">
            <v>0</v>
          </cell>
          <cell r="EH24">
            <v>0</v>
          </cell>
        </row>
        <row r="30">
          <cell r="E30">
            <v>2033333.3266666669</v>
          </cell>
          <cell r="F30">
            <v>2033333.3266666669</v>
          </cell>
          <cell r="G30">
            <v>2033333.3266666669</v>
          </cell>
          <cell r="I30">
            <v>2033333.3266666669</v>
          </cell>
          <cell r="J30">
            <v>2033333.3266666669</v>
          </cell>
          <cell r="K30">
            <v>2033333.3266666669</v>
          </cell>
          <cell r="M30">
            <v>2033333.3266666669</v>
          </cell>
          <cell r="N30">
            <v>2033333.3266666669</v>
          </cell>
          <cell r="O30">
            <v>2033333.3266666669</v>
          </cell>
          <cell r="Q30">
            <v>2467699.3266666671</v>
          </cell>
          <cell r="R30">
            <v>2467699.3266666671</v>
          </cell>
          <cell r="S30">
            <v>2467699.3266666671</v>
          </cell>
          <cell r="V30">
            <v>0</v>
          </cell>
          <cell r="W30">
            <v>0</v>
          </cell>
          <cell r="X30">
            <v>0</v>
          </cell>
          <cell r="Z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F30">
            <v>0</v>
          </cell>
          <cell r="AH30">
            <v>0</v>
          </cell>
          <cell r="AI30">
            <v>0</v>
          </cell>
          <cell r="AJ30">
            <v>0</v>
          </cell>
          <cell r="AM30">
            <v>0</v>
          </cell>
          <cell r="AN30">
            <v>0</v>
          </cell>
          <cell r="AO30">
            <v>0</v>
          </cell>
          <cell r="AQ30">
            <v>0</v>
          </cell>
          <cell r="AR30">
            <v>0</v>
          </cell>
          <cell r="AS30">
            <v>0</v>
          </cell>
          <cell r="AU30">
            <v>0</v>
          </cell>
          <cell r="AV30">
            <v>0</v>
          </cell>
          <cell r="AW30">
            <v>0</v>
          </cell>
          <cell r="AZ30">
            <v>0</v>
          </cell>
          <cell r="BA30">
            <v>0</v>
          </cell>
          <cell r="BB30">
            <v>0</v>
          </cell>
          <cell r="BD30">
            <v>-751226.09</v>
          </cell>
          <cell r="BE30">
            <v>-751226.09</v>
          </cell>
          <cell r="BF30">
            <v>-751226.09</v>
          </cell>
          <cell r="BH30">
            <v>-751226.09</v>
          </cell>
          <cell r="BI30">
            <v>-751226.09</v>
          </cell>
          <cell r="BJ30">
            <v>-751226.09</v>
          </cell>
          <cell r="BL30">
            <v>-751226.09</v>
          </cell>
          <cell r="BM30">
            <v>-751226.09</v>
          </cell>
          <cell r="BN30">
            <v>-751226.09</v>
          </cell>
          <cell r="BP30">
            <v>-842162.81</v>
          </cell>
          <cell r="BQ30">
            <v>-842162.81</v>
          </cell>
          <cell r="BR30">
            <v>-842162.81</v>
          </cell>
          <cell r="BU30">
            <v>0</v>
          </cell>
          <cell r="BV30">
            <v>0</v>
          </cell>
          <cell r="BW30">
            <v>0</v>
          </cell>
          <cell r="BY30">
            <v>0</v>
          </cell>
          <cell r="BZ30">
            <v>0</v>
          </cell>
          <cell r="CA30">
            <v>0</v>
          </cell>
          <cell r="CC30">
            <v>0</v>
          </cell>
          <cell r="CD30">
            <v>0</v>
          </cell>
          <cell r="CE30">
            <v>0</v>
          </cell>
          <cell r="CG30">
            <v>0</v>
          </cell>
          <cell r="CH30">
            <v>0</v>
          </cell>
          <cell r="CI30">
            <v>0</v>
          </cell>
          <cell r="CL30">
            <v>-184592.09999999998</v>
          </cell>
          <cell r="CM30">
            <v>-184592.09999999998</v>
          </cell>
          <cell r="CN30">
            <v>-184592.09999999998</v>
          </cell>
          <cell r="CP30">
            <v>-184592.09999999998</v>
          </cell>
          <cell r="CQ30">
            <v>-184592.09999999998</v>
          </cell>
          <cell r="CR30">
            <v>-184592.09999999998</v>
          </cell>
          <cell r="CT30">
            <v>-184592.09999999998</v>
          </cell>
          <cell r="CU30">
            <v>-184592.09999999998</v>
          </cell>
          <cell r="CV30">
            <v>-184592.09999999998</v>
          </cell>
          <cell r="CX30">
            <v>-206162.75</v>
          </cell>
          <cell r="CY30">
            <v>-206162.75</v>
          </cell>
          <cell r="CZ30">
            <v>-206162.75</v>
          </cell>
          <cell r="DC30">
            <v>0</v>
          </cell>
          <cell r="DD30">
            <v>0</v>
          </cell>
          <cell r="DE30">
            <v>0</v>
          </cell>
          <cell r="DG30">
            <v>0</v>
          </cell>
          <cell r="DH30">
            <v>0</v>
          </cell>
          <cell r="DI30">
            <v>0</v>
          </cell>
          <cell r="DK30">
            <v>0</v>
          </cell>
          <cell r="DL30">
            <v>0</v>
          </cell>
          <cell r="DM30">
            <v>0</v>
          </cell>
          <cell r="DO30">
            <v>0</v>
          </cell>
          <cell r="DP30">
            <v>0</v>
          </cell>
          <cell r="DQ30">
            <v>0</v>
          </cell>
          <cell r="DT30">
            <v>-30000</v>
          </cell>
          <cell r="DU30">
            <v>-30000</v>
          </cell>
          <cell r="DV30">
            <v>-30000</v>
          </cell>
          <cell r="DX30">
            <v>-30000</v>
          </cell>
          <cell r="DY30">
            <v>-30000</v>
          </cell>
          <cell r="DZ30">
            <v>-30000</v>
          </cell>
          <cell r="EB30">
            <v>-30000</v>
          </cell>
          <cell r="EC30">
            <v>-30000</v>
          </cell>
          <cell r="ED30">
            <v>-77549</v>
          </cell>
          <cell r="EF30">
            <v>-30000</v>
          </cell>
          <cell r="EG30">
            <v>-30000</v>
          </cell>
          <cell r="EH30">
            <v>-77549</v>
          </cell>
        </row>
        <row r="37">
          <cell r="E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Q37">
            <v>0</v>
          </cell>
          <cell r="R37">
            <v>0</v>
          </cell>
          <cell r="S37">
            <v>0</v>
          </cell>
          <cell r="V37">
            <v>0</v>
          </cell>
          <cell r="W37">
            <v>0</v>
          </cell>
          <cell r="X37">
            <v>0</v>
          </cell>
          <cell r="Z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F37">
            <v>0</v>
          </cell>
          <cell r="AH37">
            <v>0</v>
          </cell>
          <cell r="AI37">
            <v>0</v>
          </cell>
          <cell r="AJ37">
            <v>0</v>
          </cell>
          <cell r="AM37">
            <v>0</v>
          </cell>
          <cell r="AN37">
            <v>0</v>
          </cell>
          <cell r="AO37">
            <v>0</v>
          </cell>
          <cell r="AQ37">
            <v>0</v>
          </cell>
          <cell r="AR37">
            <v>0</v>
          </cell>
          <cell r="AS37">
            <v>0</v>
          </cell>
          <cell r="AU37">
            <v>0</v>
          </cell>
          <cell r="AV37">
            <v>0</v>
          </cell>
          <cell r="AW37">
            <v>0</v>
          </cell>
          <cell r="AZ37">
            <v>0</v>
          </cell>
          <cell r="BA37">
            <v>0</v>
          </cell>
          <cell r="BB37">
            <v>0</v>
          </cell>
          <cell r="BD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J37">
            <v>0</v>
          </cell>
          <cell r="BL37">
            <v>0</v>
          </cell>
          <cell r="BM37">
            <v>0</v>
          </cell>
          <cell r="BN37">
            <v>0</v>
          </cell>
          <cell r="BP37">
            <v>0</v>
          </cell>
          <cell r="BQ37">
            <v>0</v>
          </cell>
          <cell r="BR37">
            <v>0</v>
          </cell>
          <cell r="BU37">
            <v>0</v>
          </cell>
          <cell r="BV37">
            <v>0</v>
          </cell>
          <cell r="BW37">
            <v>0</v>
          </cell>
          <cell r="BY37">
            <v>0</v>
          </cell>
          <cell r="BZ37">
            <v>0</v>
          </cell>
          <cell r="CA37">
            <v>0</v>
          </cell>
          <cell r="CC37">
            <v>0</v>
          </cell>
          <cell r="CD37">
            <v>0</v>
          </cell>
          <cell r="CE37">
            <v>0</v>
          </cell>
          <cell r="CG37">
            <v>0</v>
          </cell>
          <cell r="CH37">
            <v>0</v>
          </cell>
          <cell r="CI37">
            <v>0</v>
          </cell>
          <cell r="CL37">
            <v>0</v>
          </cell>
          <cell r="CM37">
            <v>0</v>
          </cell>
          <cell r="CN37">
            <v>0</v>
          </cell>
          <cell r="CP37">
            <v>0</v>
          </cell>
          <cell r="CQ37">
            <v>0</v>
          </cell>
          <cell r="CR37">
            <v>0</v>
          </cell>
          <cell r="CT37">
            <v>0</v>
          </cell>
          <cell r="CU37">
            <v>0</v>
          </cell>
          <cell r="CV37">
            <v>0</v>
          </cell>
          <cell r="CX37">
            <v>0</v>
          </cell>
          <cell r="CY37">
            <v>0</v>
          </cell>
          <cell r="CZ37">
            <v>0</v>
          </cell>
          <cell r="DC37">
            <v>0</v>
          </cell>
          <cell r="DD37">
            <v>0</v>
          </cell>
          <cell r="DE37">
            <v>0</v>
          </cell>
          <cell r="DG37">
            <v>0</v>
          </cell>
          <cell r="DH37">
            <v>0</v>
          </cell>
          <cell r="DI37">
            <v>0</v>
          </cell>
          <cell r="DK37">
            <v>0</v>
          </cell>
          <cell r="DL37">
            <v>0</v>
          </cell>
          <cell r="DM37">
            <v>0</v>
          </cell>
          <cell r="DO37">
            <v>0</v>
          </cell>
          <cell r="DP37">
            <v>0</v>
          </cell>
          <cell r="DQ37">
            <v>0</v>
          </cell>
          <cell r="DT37">
            <v>0</v>
          </cell>
          <cell r="DU37">
            <v>0</v>
          </cell>
          <cell r="DV37">
            <v>0</v>
          </cell>
          <cell r="DX37">
            <v>0</v>
          </cell>
          <cell r="DY37">
            <v>0</v>
          </cell>
          <cell r="DZ37">
            <v>0</v>
          </cell>
          <cell r="EB37">
            <v>0</v>
          </cell>
          <cell r="EC37">
            <v>0</v>
          </cell>
          <cell r="ED37">
            <v>0</v>
          </cell>
          <cell r="EF37">
            <v>0</v>
          </cell>
          <cell r="EG37">
            <v>0</v>
          </cell>
          <cell r="EH37">
            <v>0</v>
          </cell>
        </row>
        <row r="48">
          <cell r="E48">
            <v>500000</v>
          </cell>
          <cell r="F48">
            <v>500000</v>
          </cell>
          <cell r="G48">
            <v>500000</v>
          </cell>
          <cell r="I48">
            <v>500000</v>
          </cell>
          <cell r="J48">
            <v>500000</v>
          </cell>
          <cell r="K48">
            <v>500000</v>
          </cell>
          <cell r="M48">
            <v>500000</v>
          </cell>
          <cell r="N48">
            <v>500000</v>
          </cell>
          <cell r="O48">
            <v>500000</v>
          </cell>
          <cell r="Q48">
            <v>500000</v>
          </cell>
          <cell r="R48">
            <v>500000</v>
          </cell>
          <cell r="S48">
            <v>500000</v>
          </cell>
          <cell r="V48">
            <v>-112500</v>
          </cell>
          <cell r="W48">
            <v>-112500</v>
          </cell>
          <cell r="X48">
            <v>-112500</v>
          </cell>
          <cell r="Z48">
            <v>-112500</v>
          </cell>
          <cell r="AA48">
            <v>-112500</v>
          </cell>
          <cell r="AB48">
            <v>-112500</v>
          </cell>
          <cell r="AD48">
            <v>-112500</v>
          </cell>
          <cell r="AE48">
            <v>-112500</v>
          </cell>
          <cell r="AF48">
            <v>-112500</v>
          </cell>
          <cell r="AH48">
            <v>-112500</v>
          </cell>
          <cell r="AI48">
            <v>-112500</v>
          </cell>
          <cell r="AJ48">
            <v>-112500</v>
          </cell>
          <cell r="AM48">
            <v>0</v>
          </cell>
          <cell r="AN48">
            <v>0</v>
          </cell>
          <cell r="AO48">
            <v>0</v>
          </cell>
          <cell r="AQ48">
            <v>0</v>
          </cell>
          <cell r="AR48">
            <v>0</v>
          </cell>
          <cell r="AS48">
            <v>0</v>
          </cell>
          <cell r="AU48">
            <v>0</v>
          </cell>
          <cell r="AV48">
            <v>0</v>
          </cell>
          <cell r="AW48">
            <v>0</v>
          </cell>
          <cell r="AZ48">
            <v>0</v>
          </cell>
          <cell r="BA48">
            <v>0</v>
          </cell>
          <cell r="BB48">
            <v>0</v>
          </cell>
          <cell r="BD48">
            <v>-87231.28</v>
          </cell>
          <cell r="BE48">
            <v>-87231.28</v>
          </cell>
          <cell r="BF48">
            <v>-87231.28</v>
          </cell>
          <cell r="BH48">
            <v>-87231.28</v>
          </cell>
          <cell r="BI48">
            <v>-87231.28</v>
          </cell>
          <cell r="BJ48">
            <v>-87231.28</v>
          </cell>
          <cell r="BL48">
            <v>-87231.28</v>
          </cell>
          <cell r="BM48">
            <v>-87231.28</v>
          </cell>
          <cell r="BN48">
            <v>-87231.28</v>
          </cell>
          <cell r="BP48">
            <v>-87231.28</v>
          </cell>
          <cell r="BQ48">
            <v>-87231.28</v>
          </cell>
          <cell r="BR48">
            <v>-87231.28</v>
          </cell>
          <cell r="BU48">
            <v>0</v>
          </cell>
          <cell r="BV48">
            <v>0</v>
          </cell>
          <cell r="BW48">
            <v>0</v>
          </cell>
          <cell r="BY48">
            <v>0</v>
          </cell>
          <cell r="BZ48">
            <v>0</v>
          </cell>
          <cell r="CA48">
            <v>0</v>
          </cell>
          <cell r="CC48">
            <v>0</v>
          </cell>
          <cell r="CD48">
            <v>0</v>
          </cell>
          <cell r="CE48">
            <v>0</v>
          </cell>
          <cell r="CG48">
            <v>0</v>
          </cell>
          <cell r="CH48">
            <v>0</v>
          </cell>
          <cell r="CI48">
            <v>0</v>
          </cell>
          <cell r="CL48">
            <v>-20691.7</v>
          </cell>
          <cell r="CM48">
            <v>-20691.7</v>
          </cell>
          <cell r="CN48">
            <v>-20691.7</v>
          </cell>
          <cell r="CP48">
            <v>-20691.7</v>
          </cell>
          <cell r="CQ48">
            <v>-20691.7</v>
          </cell>
          <cell r="CR48">
            <v>-20691.7</v>
          </cell>
          <cell r="CT48">
            <v>-20691.7</v>
          </cell>
          <cell r="CU48">
            <v>-20691.7</v>
          </cell>
          <cell r="CV48">
            <v>-20691.7</v>
          </cell>
          <cell r="CX48">
            <v>-20691.7</v>
          </cell>
          <cell r="CY48">
            <v>-20691.7</v>
          </cell>
          <cell r="CZ48">
            <v>-20691.7</v>
          </cell>
          <cell r="DC48">
            <v>0</v>
          </cell>
          <cell r="DD48">
            <v>0</v>
          </cell>
          <cell r="DE48">
            <v>0</v>
          </cell>
          <cell r="DG48">
            <v>0</v>
          </cell>
          <cell r="DH48">
            <v>0</v>
          </cell>
          <cell r="DI48">
            <v>0</v>
          </cell>
          <cell r="DK48">
            <v>0</v>
          </cell>
          <cell r="DL48">
            <v>0</v>
          </cell>
          <cell r="DM48">
            <v>0</v>
          </cell>
          <cell r="DO48">
            <v>0</v>
          </cell>
          <cell r="DP48">
            <v>0</v>
          </cell>
          <cell r="DQ48">
            <v>0</v>
          </cell>
          <cell r="DT48">
            <v>0</v>
          </cell>
          <cell r="DU48">
            <v>0</v>
          </cell>
          <cell r="DV48">
            <v>0</v>
          </cell>
          <cell r="DX48">
            <v>0</v>
          </cell>
          <cell r="DY48">
            <v>0</v>
          </cell>
          <cell r="DZ48">
            <v>0</v>
          </cell>
          <cell r="EB48">
            <v>0</v>
          </cell>
          <cell r="EC48">
            <v>0</v>
          </cell>
          <cell r="ED48">
            <v>0</v>
          </cell>
          <cell r="EF48">
            <v>0</v>
          </cell>
          <cell r="EG48">
            <v>0</v>
          </cell>
          <cell r="EH48">
            <v>0</v>
          </cell>
        </row>
        <row r="50">
          <cell r="E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Z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F50">
            <v>0</v>
          </cell>
          <cell r="AH50">
            <v>0</v>
          </cell>
          <cell r="AI50">
            <v>0</v>
          </cell>
          <cell r="AJ50">
            <v>0</v>
          </cell>
          <cell r="AM50">
            <v>0</v>
          </cell>
          <cell r="AN50">
            <v>0</v>
          </cell>
          <cell r="AO50">
            <v>0</v>
          </cell>
          <cell r="AQ50">
            <v>0</v>
          </cell>
          <cell r="AR50">
            <v>0</v>
          </cell>
          <cell r="AS50">
            <v>0</v>
          </cell>
          <cell r="AU50">
            <v>0</v>
          </cell>
          <cell r="AV50">
            <v>0</v>
          </cell>
          <cell r="AW50">
            <v>0</v>
          </cell>
          <cell r="AZ50">
            <v>0</v>
          </cell>
          <cell r="BA50">
            <v>0</v>
          </cell>
          <cell r="BB50">
            <v>0</v>
          </cell>
          <cell r="BD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J50">
            <v>0</v>
          </cell>
          <cell r="BL50">
            <v>0</v>
          </cell>
          <cell r="BM50">
            <v>0</v>
          </cell>
          <cell r="BN50">
            <v>0</v>
          </cell>
          <cell r="BP50">
            <v>0</v>
          </cell>
          <cell r="BQ50">
            <v>0</v>
          </cell>
          <cell r="BR50">
            <v>0</v>
          </cell>
          <cell r="BU50">
            <v>0</v>
          </cell>
          <cell r="BV50">
            <v>0</v>
          </cell>
          <cell r="BW50">
            <v>0</v>
          </cell>
          <cell r="BY50">
            <v>0</v>
          </cell>
          <cell r="BZ50">
            <v>0</v>
          </cell>
          <cell r="CA50">
            <v>0</v>
          </cell>
          <cell r="CC50">
            <v>0</v>
          </cell>
          <cell r="CD50">
            <v>0</v>
          </cell>
          <cell r="CE50">
            <v>0</v>
          </cell>
          <cell r="CG50">
            <v>0</v>
          </cell>
          <cell r="CH50">
            <v>0</v>
          </cell>
          <cell r="CI50">
            <v>0</v>
          </cell>
          <cell r="CL50">
            <v>0</v>
          </cell>
          <cell r="CM50">
            <v>0</v>
          </cell>
          <cell r="CN50">
            <v>0</v>
          </cell>
          <cell r="CP50">
            <v>0</v>
          </cell>
          <cell r="CQ50">
            <v>0</v>
          </cell>
          <cell r="CR50">
            <v>0</v>
          </cell>
          <cell r="CT50">
            <v>0</v>
          </cell>
          <cell r="CU50">
            <v>0</v>
          </cell>
          <cell r="CV50">
            <v>0</v>
          </cell>
          <cell r="CX50">
            <v>0</v>
          </cell>
          <cell r="CY50">
            <v>0</v>
          </cell>
          <cell r="CZ50">
            <v>0</v>
          </cell>
          <cell r="DC50">
            <v>0</v>
          </cell>
          <cell r="DD50">
            <v>0</v>
          </cell>
          <cell r="DE50">
            <v>0</v>
          </cell>
          <cell r="DG50">
            <v>0</v>
          </cell>
          <cell r="DH50">
            <v>0</v>
          </cell>
          <cell r="DI50">
            <v>0</v>
          </cell>
          <cell r="DK50">
            <v>0</v>
          </cell>
          <cell r="DL50">
            <v>0</v>
          </cell>
          <cell r="DM50">
            <v>0</v>
          </cell>
          <cell r="DO50">
            <v>0</v>
          </cell>
          <cell r="DP50">
            <v>0</v>
          </cell>
          <cell r="DQ50">
            <v>0</v>
          </cell>
          <cell r="DT50">
            <v>0</v>
          </cell>
          <cell r="DU50">
            <v>0</v>
          </cell>
          <cell r="DV50">
            <v>0</v>
          </cell>
          <cell r="DX50">
            <v>0</v>
          </cell>
          <cell r="DY50">
            <v>0</v>
          </cell>
          <cell r="DZ50">
            <v>0</v>
          </cell>
          <cell r="EB50">
            <v>0</v>
          </cell>
          <cell r="EC50">
            <v>0</v>
          </cell>
          <cell r="ED50">
            <v>0</v>
          </cell>
          <cell r="EF50">
            <v>0</v>
          </cell>
          <cell r="EG50">
            <v>0</v>
          </cell>
          <cell r="EH50">
            <v>0</v>
          </cell>
        </row>
        <row r="61">
          <cell r="E61">
            <v>416666.67</v>
          </cell>
          <cell r="F61">
            <v>416666.67</v>
          </cell>
          <cell r="G61">
            <v>416666.67</v>
          </cell>
          <cell r="I61">
            <v>416666.67</v>
          </cell>
          <cell r="J61">
            <v>416666.67</v>
          </cell>
          <cell r="K61">
            <v>416666.67</v>
          </cell>
          <cell r="M61">
            <v>416666.67</v>
          </cell>
          <cell r="N61">
            <v>416666.67</v>
          </cell>
          <cell r="O61">
            <v>416666.67</v>
          </cell>
          <cell r="Q61">
            <v>416666.67</v>
          </cell>
          <cell r="R61">
            <v>416666.67</v>
          </cell>
          <cell r="S61">
            <v>416666.67</v>
          </cell>
          <cell r="V61">
            <v>-83333.33</v>
          </cell>
          <cell r="W61">
            <v>-83333.33</v>
          </cell>
          <cell r="X61">
            <v>-83333.33</v>
          </cell>
          <cell r="Z61">
            <v>-83333.33</v>
          </cell>
          <cell r="AA61">
            <v>-83333.33</v>
          </cell>
          <cell r="AB61">
            <v>-83333.33</v>
          </cell>
          <cell r="AD61">
            <v>-83333.33</v>
          </cell>
          <cell r="AE61">
            <v>-83333.33</v>
          </cell>
          <cell r="AF61">
            <v>-83333.33</v>
          </cell>
          <cell r="AH61">
            <v>-83333.33</v>
          </cell>
          <cell r="AI61">
            <v>-83333.33</v>
          </cell>
          <cell r="AJ61">
            <v>-83333.33</v>
          </cell>
          <cell r="AM61">
            <v>-5000</v>
          </cell>
          <cell r="AN61">
            <v>-5000</v>
          </cell>
          <cell r="AO61">
            <v>-5000</v>
          </cell>
          <cell r="AQ61">
            <v>-5000</v>
          </cell>
          <cell r="AR61">
            <v>-5000</v>
          </cell>
          <cell r="AS61">
            <v>-5000</v>
          </cell>
          <cell r="AU61">
            <v>-5000</v>
          </cell>
          <cell r="AV61">
            <v>-5000</v>
          </cell>
          <cell r="AW61">
            <v>-5000</v>
          </cell>
          <cell r="AY61">
            <v>-5000</v>
          </cell>
          <cell r="AZ61">
            <v>-5000</v>
          </cell>
          <cell r="BA61">
            <v>-5000</v>
          </cell>
          <cell r="BD61">
            <v>-87231.28</v>
          </cell>
          <cell r="BE61">
            <v>-87231.28</v>
          </cell>
          <cell r="BF61">
            <v>-87231.28</v>
          </cell>
          <cell r="BH61">
            <v>-87231.28</v>
          </cell>
          <cell r="BI61">
            <v>-87231.28</v>
          </cell>
          <cell r="BJ61">
            <v>-87231.28</v>
          </cell>
          <cell r="BL61">
            <v>-87231.28</v>
          </cell>
          <cell r="BM61">
            <v>-87231.28</v>
          </cell>
          <cell r="BN61">
            <v>-87231.28</v>
          </cell>
          <cell r="BP61">
            <v>-87231.28</v>
          </cell>
          <cell r="BQ61">
            <v>-87231.28</v>
          </cell>
          <cell r="BR61">
            <v>-87231.28</v>
          </cell>
          <cell r="BU61">
            <v>0</v>
          </cell>
          <cell r="BV61">
            <v>0</v>
          </cell>
          <cell r="BW61">
            <v>0</v>
          </cell>
          <cell r="BY61">
            <v>0</v>
          </cell>
          <cell r="BZ61">
            <v>0</v>
          </cell>
          <cell r="CA61">
            <v>0</v>
          </cell>
          <cell r="CC61">
            <v>0</v>
          </cell>
          <cell r="CD61">
            <v>0</v>
          </cell>
          <cell r="CE61">
            <v>0</v>
          </cell>
          <cell r="CG61">
            <v>0</v>
          </cell>
          <cell r="CH61">
            <v>0</v>
          </cell>
          <cell r="CI61">
            <v>0</v>
          </cell>
          <cell r="CL61">
            <v>-20691.7</v>
          </cell>
          <cell r="CM61">
            <v>-20691.7</v>
          </cell>
          <cell r="CN61">
            <v>-20691.7</v>
          </cell>
          <cell r="CP61">
            <v>-20691.7</v>
          </cell>
          <cell r="CQ61">
            <v>-20691.7</v>
          </cell>
          <cell r="CR61">
            <v>-20691.7</v>
          </cell>
          <cell r="CT61">
            <v>-20691.7</v>
          </cell>
          <cell r="CU61">
            <v>-20691.7</v>
          </cell>
          <cell r="CV61">
            <v>-20691.7</v>
          </cell>
          <cell r="CX61">
            <v>-20691.7</v>
          </cell>
          <cell r="CY61">
            <v>-20691.7</v>
          </cell>
          <cell r="CZ61">
            <v>-20691.7</v>
          </cell>
          <cell r="DC61">
            <v>0</v>
          </cell>
          <cell r="DD61">
            <v>0</v>
          </cell>
          <cell r="DE61">
            <v>0</v>
          </cell>
          <cell r="DG61">
            <v>0</v>
          </cell>
          <cell r="DH61">
            <v>0</v>
          </cell>
          <cell r="DI61">
            <v>0</v>
          </cell>
          <cell r="DK61">
            <v>0</v>
          </cell>
          <cell r="DL61">
            <v>0</v>
          </cell>
          <cell r="DM61">
            <v>0</v>
          </cell>
          <cell r="DO61">
            <v>0</v>
          </cell>
          <cell r="DP61">
            <v>0</v>
          </cell>
          <cell r="DQ61">
            <v>0</v>
          </cell>
          <cell r="DT61">
            <v>-25125</v>
          </cell>
          <cell r="DU61">
            <v>-25125</v>
          </cell>
          <cell r="DV61">
            <v>-25125</v>
          </cell>
          <cell r="DX61">
            <v>-25125</v>
          </cell>
          <cell r="DY61">
            <v>-25125</v>
          </cell>
          <cell r="DZ61">
            <v>-25125</v>
          </cell>
          <cell r="EB61">
            <v>-25125</v>
          </cell>
          <cell r="EC61">
            <v>-25125</v>
          </cell>
          <cell r="ED61">
            <v>-25125</v>
          </cell>
          <cell r="EF61">
            <v>-25125</v>
          </cell>
          <cell r="EG61">
            <v>-25125</v>
          </cell>
          <cell r="EH61">
            <v>-25125</v>
          </cell>
        </row>
        <row r="63">
          <cell r="E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Q63">
            <v>0</v>
          </cell>
          <cell r="R63">
            <v>0</v>
          </cell>
          <cell r="S63">
            <v>0</v>
          </cell>
          <cell r="V63">
            <v>0</v>
          </cell>
          <cell r="W63">
            <v>0</v>
          </cell>
          <cell r="X63">
            <v>0</v>
          </cell>
          <cell r="Z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F63">
            <v>0</v>
          </cell>
          <cell r="AH63">
            <v>0</v>
          </cell>
          <cell r="AI63">
            <v>0</v>
          </cell>
          <cell r="AJ63">
            <v>0</v>
          </cell>
          <cell r="AM63">
            <v>0</v>
          </cell>
          <cell r="AN63">
            <v>0</v>
          </cell>
          <cell r="AO63">
            <v>0</v>
          </cell>
          <cell r="AQ63">
            <v>0</v>
          </cell>
          <cell r="AR63">
            <v>0</v>
          </cell>
          <cell r="AS63">
            <v>0</v>
          </cell>
          <cell r="AU63">
            <v>0</v>
          </cell>
          <cell r="AV63">
            <v>0</v>
          </cell>
          <cell r="AW63">
            <v>0</v>
          </cell>
          <cell r="AZ63">
            <v>0</v>
          </cell>
          <cell r="BA63">
            <v>0</v>
          </cell>
          <cell r="BB63">
            <v>0</v>
          </cell>
          <cell r="BD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J63">
            <v>0</v>
          </cell>
          <cell r="BL63">
            <v>0</v>
          </cell>
          <cell r="BM63">
            <v>0</v>
          </cell>
          <cell r="BN63">
            <v>0</v>
          </cell>
          <cell r="BP63">
            <v>0</v>
          </cell>
          <cell r="BQ63">
            <v>0</v>
          </cell>
          <cell r="BR63">
            <v>0</v>
          </cell>
          <cell r="BU63">
            <v>0</v>
          </cell>
          <cell r="BV63">
            <v>0</v>
          </cell>
          <cell r="BW63">
            <v>0</v>
          </cell>
          <cell r="BY63">
            <v>0</v>
          </cell>
          <cell r="BZ63">
            <v>0</v>
          </cell>
          <cell r="CA63">
            <v>0</v>
          </cell>
          <cell r="CC63">
            <v>0</v>
          </cell>
          <cell r="CD63">
            <v>0</v>
          </cell>
          <cell r="CE63">
            <v>0</v>
          </cell>
          <cell r="CG63">
            <v>0</v>
          </cell>
          <cell r="CH63">
            <v>0</v>
          </cell>
          <cell r="CI63">
            <v>0</v>
          </cell>
          <cell r="CL63">
            <v>0</v>
          </cell>
          <cell r="CM63">
            <v>0</v>
          </cell>
          <cell r="CN63">
            <v>0</v>
          </cell>
          <cell r="CP63">
            <v>0</v>
          </cell>
          <cell r="CQ63">
            <v>0</v>
          </cell>
          <cell r="CR63">
            <v>0</v>
          </cell>
          <cell r="CT63">
            <v>0</v>
          </cell>
          <cell r="CU63">
            <v>0</v>
          </cell>
          <cell r="CV63">
            <v>0</v>
          </cell>
          <cell r="CX63">
            <v>0</v>
          </cell>
          <cell r="CY63">
            <v>0</v>
          </cell>
          <cell r="CZ63">
            <v>0</v>
          </cell>
          <cell r="DC63">
            <v>0</v>
          </cell>
          <cell r="DD63">
            <v>0</v>
          </cell>
          <cell r="DE63">
            <v>0</v>
          </cell>
          <cell r="DG63">
            <v>0</v>
          </cell>
          <cell r="DH63">
            <v>0</v>
          </cell>
          <cell r="DI63">
            <v>0</v>
          </cell>
          <cell r="DK63">
            <v>0</v>
          </cell>
          <cell r="DL63">
            <v>0</v>
          </cell>
          <cell r="DM63">
            <v>0</v>
          </cell>
          <cell r="DO63">
            <v>0</v>
          </cell>
          <cell r="DP63">
            <v>0</v>
          </cell>
          <cell r="DQ63">
            <v>0</v>
          </cell>
          <cell r="DT63">
            <v>0</v>
          </cell>
          <cell r="DU63">
            <v>0</v>
          </cell>
          <cell r="DV63">
            <v>0</v>
          </cell>
          <cell r="DX63">
            <v>0</v>
          </cell>
          <cell r="DY63">
            <v>0</v>
          </cell>
          <cell r="DZ63">
            <v>0</v>
          </cell>
          <cell r="EB63">
            <v>0</v>
          </cell>
          <cell r="EC63">
            <v>0</v>
          </cell>
          <cell r="ED63">
            <v>0</v>
          </cell>
          <cell r="EF63">
            <v>0</v>
          </cell>
          <cell r="EG63">
            <v>0</v>
          </cell>
          <cell r="EH63">
            <v>0</v>
          </cell>
        </row>
        <row r="74">
          <cell r="E74">
            <v>3333333.33</v>
          </cell>
          <cell r="F74">
            <v>3333333.33</v>
          </cell>
          <cell r="G74">
            <v>3333333.33</v>
          </cell>
          <cell r="I74">
            <v>3333333.33</v>
          </cell>
          <cell r="J74">
            <v>3333333.33</v>
          </cell>
          <cell r="K74">
            <v>3333333.33</v>
          </cell>
          <cell r="M74">
            <v>3333333.33</v>
          </cell>
          <cell r="N74">
            <v>3333333.33</v>
          </cell>
          <cell r="O74">
            <v>3333333.33</v>
          </cell>
          <cell r="Q74">
            <v>3333333.33</v>
          </cell>
          <cell r="R74">
            <v>3333333.33</v>
          </cell>
          <cell r="S74">
            <v>3333333.33</v>
          </cell>
          <cell r="V74">
            <v>-2291666.66666666</v>
          </cell>
          <cell r="W74">
            <v>-2291666.66666666</v>
          </cell>
          <cell r="X74">
            <v>-2291666.66666666</v>
          </cell>
          <cell r="Z74">
            <v>-2291666.66666666</v>
          </cell>
          <cell r="AA74">
            <v>-2291666.66666666</v>
          </cell>
          <cell r="AB74">
            <v>-2291666.66666666</v>
          </cell>
          <cell r="AD74">
            <v>-2291666.66666666</v>
          </cell>
          <cell r="AE74">
            <v>-2291666.66666666</v>
          </cell>
          <cell r="AF74">
            <v>-2291666.66666666</v>
          </cell>
          <cell r="AH74">
            <v>-2291666.66666666</v>
          </cell>
          <cell r="AI74">
            <v>-2291666.66666666</v>
          </cell>
          <cell r="AJ74">
            <v>-2291666.66666666</v>
          </cell>
          <cell r="AM74">
            <v>0</v>
          </cell>
          <cell r="AN74">
            <v>0</v>
          </cell>
          <cell r="AO74">
            <v>0</v>
          </cell>
          <cell r="AQ74">
            <v>0</v>
          </cell>
          <cell r="AR74">
            <v>0</v>
          </cell>
          <cell r="AS74">
            <v>0</v>
          </cell>
          <cell r="AU74">
            <v>0</v>
          </cell>
          <cell r="AV74">
            <v>0</v>
          </cell>
          <cell r="AW74">
            <v>0</v>
          </cell>
          <cell r="AZ74">
            <v>0</v>
          </cell>
          <cell r="BA74">
            <v>0</v>
          </cell>
          <cell r="BB74">
            <v>0</v>
          </cell>
          <cell r="BD74">
            <v>-697850.26</v>
          </cell>
          <cell r="BE74">
            <v>-697850.26</v>
          </cell>
          <cell r="BF74">
            <v>-697850.26</v>
          </cell>
          <cell r="BH74">
            <v>-697850.26</v>
          </cell>
          <cell r="BI74">
            <v>-697850.26</v>
          </cell>
          <cell r="BJ74">
            <v>-697850.26</v>
          </cell>
          <cell r="BL74">
            <v>-697850.26</v>
          </cell>
          <cell r="BM74">
            <v>-697850.26</v>
          </cell>
          <cell r="BN74">
            <v>-697850.26</v>
          </cell>
          <cell r="BP74">
            <v>-697850.26</v>
          </cell>
          <cell r="BQ74">
            <v>-697850.26</v>
          </cell>
          <cell r="BR74">
            <v>-697850.26</v>
          </cell>
          <cell r="BU74">
            <v>0</v>
          </cell>
          <cell r="BV74">
            <v>0</v>
          </cell>
          <cell r="BW74">
            <v>0</v>
          </cell>
          <cell r="BY74">
            <v>0</v>
          </cell>
          <cell r="BZ74">
            <v>0</v>
          </cell>
          <cell r="CA74">
            <v>0</v>
          </cell>
          <cell r="CC74">
            <v>0</v>
          </cell>
          <cell r="CD74">
            <v>0</v>
          </cell>
          <cell r="CE74">
            <v>0</v>
          </cell>
          <cell r="CG74">
            <v>0</v>
          </cell>
          <cell r="CH74">
            <v>0</v>
          </cell>
          <cell r="CI74">
            <v>0</v>
          </cell>
          <cell r="CL74">
            <v>-165533.59</v>
          </cell>
          <cell r="CM74">
            <v>-165533.59</v>
          </cell>
          <cell r="CN74">
            <v>-165533.59</v>
          </cell>
          <cell r="CP74">
            <v>-165533.59</v>
          </cell>
          <cell r="CQ74">
            <v>-165533.59</v>
          </cell>
          <cell r="CR74">
            <v>-165533.59</v>
          </cell>
          <cell r="CT74">
            <v>-165533.59</v>
          </cell>
          <cell r="CU74">
            <v>-165533.59</v>
          </cell>
          <cell r="CV74">
            <v>-165533.59</v>
          </cell>
          <cell r="CX74">
            <v>-165533.59</v>
          </cell>
          <cell r="CY74">
            <v>-165533.59</v>
          </cell>
          <cell r="CZ74">
            <v>-165533.59</v>
          </cell>
          <cell r="DC74">
            <v>0</v>
          </cell>
          <cell r="DD74">
            <v>0</v>
          </cell>
          <cell r="DE74">
            <v>0</v>
          </cell>
          <cell r="DG74">
            <v>0</v>
          </cell>
          <cell r="DH74">
            <v>0</v>
          </cell>
          <cell r="DI74">
            <v>0</v>
          </cell>
          <cell r="DK74">
            <v>0</v>
          </cell>
          <cell r="DL74">
            <v>0</v>
          </cell>
          <cell r="DM74">
            <v>0</v>
          </cell>
          <cell r="DO74">
            <v>0</v>
          </cell>
          <cell r="DP74">
            <v>0</v>
          </cell>
          <cell r="DQ74">
            <v>0</v>
          </cell>
          <cell r="DT74">
            <v>0</v>
          </cell>
          <cell r="DU74">
            <v>0</v>
          </cell>
          <cell r="DV74">
            <v>0</v>
          </cell>
          <cell r="DX74">
            <v>0</v>
          </cell>
          <cell r="DY74">
            <v>0</v>
          </cell>
          <cell r="DZ74">
            <v>0</v>
          </cell>
          <cell r="EB74">
            <v>0</v>
          </cell>
          <cell r="EC74">
            <v>0</v>
          </cell>
          <cell r="ED74">
            <v>0</v>
          </cell>
          <cell r="EF74">
            <v>0</v>
          </cell>
          <cell r="EG74">
            <v>0</v>
          </cell>
          <cell r="EH74">
            <v>0</v>
          </cell>
        </row>
        <row r="80">
          <cell r="E80">
            <v>24038558.323333323</v>
          </cell>
          <cell r="F80">
            <v>25788558.323333323</v>
          </cell>
          <cell r="G80">
            <v>27648558.323333323</v>
          </cell>
          <cell r="I80">
            <v>27090612.649999999</v>
          </cell>
          <cell r="J80">
            <v>26321329.649999999</v>
          </cell>
          <cell r="K80">
            <v>26812373.649999999</v>
          </cell>
          <cell r="M80">
            <v>19033333.316666666</v>
          </cell>
          <cell r="N80">
            <v>19033333.316666666</v>
          </cell>
          <cell r="O80">
            <v>19033333.316666666</v>
          </cell>
          <cell r="Q80">
            <v>18404311.316666666</v>
          </cell>
          <cell r="R80">
            <v>17467699.316666666</v>
          </cell>
          <cell r="S80">
            <v>17467699.316666666</v>
          </cell>
          <cell r="AM80">
            <v>-320625</v>
          </cell>
          <cell r="AN80">
            <v>-339200</v>
          </cell>
          <cell r="AO80">
            <v>-213014.53999999998</v>
          </cell>
          <cell r="CL80">
            <v>-912526.07</v>
          </cell>
          <cell r="CM80">
            <v>-1771717.1900000002</v>
          </cell>
          <cell r="CN80">
            <v>-1420687.9300000002</v>
          </cell>
          <cell r="DC80">
            <v>-2016666.67</v>
          </cell>
          <cell r="DD80">
            <v>-1678287.47</v>
          </cell>
          <cell r="DE80">
            <v>-1610611.63</v>
          </cell>
          <cell r="DT80">
            <v>-357066.29000000004</v>
          </cell>
          <cell r="DU80">
            <v>-357066.29000000004</v>
          </cell>
          <cell r="DV80">
            <v>-367066.29000000004</v>
          </cell>
          <cell r="EK80">
            <v>0</v>
          </cell>
          <cell r="EL80">
            <v>0</v>
          </cell>
          <cell r="EM80">
            <v>0</v>
          </cell>
        </row>
        <row r="81">
          <cell r="E81">
            <v>1958966</v>
          </cell>
          <cell r="F81">
            <v>1958966</v>
          </cell>
          <cell r="G81">
            <v>1958966</v>
          </cell>
          <cell r="I81">
            <v>1758966</v>
          </cell>
          <cell r="J81">
            <v>1758966</v>
          </cell>
          <cell r="K81">
            <v>1758966</v>
          </cell>
          <cell r="M81">
            <v>864366</v>
          </cell>
          <cell r="N81">
            <v>864366</v>
          </cell>
          <cell r="O81">
            <v>864366</v>
          </cell>
          <cell r="Q81">
            <v>450000</v>
          </cell>
          <cell r="R81">
            <v>450000</v>
          </cell>
          <cell r="S81">
            <v>450000</v>
          </cell>
        </row>
        <row r="84">
          <cell r="V84">
            <v>-15749153.326666661</v>
          </cell>
          <cell r="W84">
            <v>-11985315.326666661</v>
          </cell>
          <cell r="X84">
            <v>-16526628.726666661</v>
          </cell>
          <cell r="Z84">
            <v>-16470273.326666661</v>
          </cell>
          <cell r="AA84">
            <v>-12970273.326666661</v>
          </cell>
          <cell r="AB84">
            <v>-11970273.326666661</v>
          </cell>
          <cell r="AD84">
            <v>-9835553.3266666606</v>
          </cell>
          <cell r="AE84">
            <v>-7200833.3266666606</v>
          </cell>
          <cell r="AF84">
            <v>-7200833.3266666606</v>
          </cell>
          <cell r="AH84">
            <v>-7200833.3266666606</v>
          </cell>
          <cell r="AI84">
            <v>-7200833.3266666606</v>
          </cell>
          <cell r="AJ84">
            <v>-7200833.3266666606</v>
          </cell>
          <cell r="AQ84">
            <v>-103973</v>
          </cell>
          <cell r="AR84">
            <v>-25000</v>
          </cell>
          <cell r="AS84">
            <v>-25000</v>
          </cell>
          <cell r="AU84">
            <v>-25000</v>
          </cell>
          <cell r="AV84">
            <v>-25000</v>
          </cell>
          <cell r="AW84">
            <v>-25000</v>
          </cell>
          <cell r="AY84">
            <v>-25000</v>
          </cell>
          <cell r="AZ84">
            <v>-25000</v>
          </cell>
          <cell r="BA84">
            <v>-11484</v>
          </cell>
          <cell r="BD84">
            <v>-3820022.5900000008</v>
          </cell>
          <cell r="BE84">
            <v>-7442167.9299999997</v>
          </cell>
          <cell r="BF84">
            <v>-5962312.0499999998</v>
          </cell>
          <cell r="BH84">
            <v>-5962312.0499999998</v>
          </cell>
          <cell r="BI84">
            <v>-5962312.0499999998</v>
          </cell>
          <cell r="BJ84">
            <v>-5962312.0499999998</v>
          </cell>
          <cell r="BL84">
            <v>-5718064.459999999</v>
          </cell>
          <cell r="BM84">
            <v>-5718064.459999999</v>
          </cell>
          <cell r="BN84">
            <v>-3912376.92</v>
          </cell>
          <cell r="BP84">
            <v>-4003313.64</v>
          </cell>
          <cell r="BQ84">
            <v>-2475766.8300000005</v>
          </cell>
          <cell r="BR84">
            <v>-2475766.8300000005</v>
          </cell>
          <cell r="BU84">
            <v>0</v>
          </cell>
          <cell r="BV84">
            <v>0</v>
          </cell>
          <cell r="BW84">
            <v>0</v>
          </cell>
          <cell r="BY84">
            <v>0</v>
          </cell>
          <cell r="BZ84">
            <v>0</v>
          </cell>
          <cell r="CA84">
            <v>0</v>
          </cell>
          <cell r="CC84">
            <v>0</v>
          </cell>
          <cell r="CD84">
            <v>0</v>
          </cell>
          <cell r="CE84">
            <v>0</v>
          </cell>
          <cell r="CG84">
            <v>0</v>
          </cell>
          <cell r="CH84">
            <v>0</v>
          </cell>
          <cell r="CI84">
            <v>0</v>
          </cell>
          <cell r="CP84">
            <v>-1420687.9300000002</v>
          </cell>
          <cell r="CQ84">
            <v>-1420687.9300000002</v>
          </cell>
          <cell r="CR84">
            <v>-1420687.9300000002</v>
          </cell>
          <cell r="CT84">
            <v>-1362751.1700000002</v>
          </cell>
          <cell r="CU84">
            <v>-1362751.1700000002</v>
          </cell>
          <cell r="CV84">
            <v>-934433</v>
          </cell>
          <cell r="CX84">
            <v>-956003.65</v>
          </cell>
          <cell r="CY84">
            <v>-593661.86</v>
          </cell>
          <cell r="CZ84">
            <v>-593661.86</v>
          </cell>
          <cell r="DG84">
            <v>-1610611.63</v>
          </cell>
          <cell r="DH84">
            <v>-1610611.63</v>
          </cell>
          <cell r="DI84">
            <v>-1642935.79</v>
          </cell>
          <cell r="DK84">
            <v>-976269.12</v>
          </cell>
          <cell r="DL84">
            <v>-976269.12</v>
          </cell>
          <cell r="DM84">
            <v>-976269.12</v>
          </cell>
          <cell r="DO84">
            <v>-907522.87</v>
          </cell>
          <cell r="DP84">
            <v>-846972.48</v>
          </cell>
          <cell r="DQ84">
            <v>-846972.48</v>
          </cell>
          <cell r="DX84">
            <v>-308582.38</v>
          </cell>
          <cell r="DY84">
            <v>-298582.34999999998</v>
          </cell>
          <cell r="DZ84">
            <v>-298582.34999999998</v>
          </cell>
          <cell r="EB84">
            <v>-288582.34999999998</v>
          </cell>
          <cell r="EC84">
            <v>-288582.34999999998</v>
          </cell>
          <cell r="ED84">
            <v>-336131.35</v>
          </cell>
          <cell r="EF84">
            <v>-288582.34999999998</v>
          </cell>
          <cell r="EG84">
            <v>-288582.34999999998</v>
          </cell>
          <cell r="EH84">
            <v>-336131.35</v>
          </cell>
          <cell r="EO84">
            <v>0</v>
          </cell>
          <cell r="EP84">
            <v>0</v>
          </cell>
          <cell r="EQ84">
            <v>0</v>
          </cell>
          <cell r="ES84">
            <v>0</v>
          </cell>
          <cell r="ET84">
            <v>0</v>
          </cell>
          <cell r="EU84">
            <v>0</v>
          </cell>
          <cell r="EW84">
            <v>0</v>
          </cell>
          <cell r="EX84">
            <v>0</v>
          </cell>
          <cell r="EY84">
            <v>0</v>
          </cell>
        </row>
        <row r="85">
          <cell r="V85">
            <v>-220000</v>
          </cell>
          <cell r="W85">
            <v>-220000</v>
          </cell>
          <cell r="X85">
            <v>-220000</v>
          </cell>
          <cell r="Z85">
            <v>-120000</v>
          </cell>
          <cell r="AA85">
            <v>-120000</v>
          </cell>
          <cell r="AB85">
            <v>-120000</v>
          </cell>
          <cell r="AD85">
            <v>0</v>
          </cell>
          <cell r="AE85">
            <v>0</v>
          </cell>
          <cell r="AF85">
            <v>0</v>
          </cell>
          <cell r="AH85">
            <v>0</v>
          </cell>
          <cell r="AI85">
            <v>0</v>
          </cell>
          <cell r="AJ85">
            <v>0</v>
          </cell>
          <cell r="AM85">
            <v>0</v>
          </cell>
          <cell r="AN85">
            <v>0</v>
          </cell>
          <cell r="AO85">
            <v>0</v>
          </cell>
          <cell r="AQ85">
            <v>0</v>
          </cell>
          <cell r="AR85">
            <v>0</v>
          </cell>
          <cell r="AS85">
            <v>0</v>
          </cell>
          <cell r="AU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A85">
            <v>0</v>
          </cell>
          <cell r="BD85">
            <v>-410119.47</v>
          </cell>
          <cell r="BE85">
            <v>-410119.47</v>
          </cell>
          <cell r="BF85">
            <v>-410119.47</v>
          </cell>
          <cell r="BH85">
            <v>-368248.44999999995</v>
          </cell>
          <cell r="BI85">
            <v>-368248.44999999995</v>
          </cell>
          <cell r="BJ85">
            <v>-368248.44999999995</v>
          </cell>
          <cell r="BL85">
            <v>-180959.4</v>
          </cell>
          <cell r="BM85">
            <v>-180959.4</v>
          </cell>
          <cell r="BN85">
            <v>-180959.4</v>
          </cell>
          <cell r="BP85">
            <v>-94209.78</v>
          </cell>
          <cell r="BQ85">
            <v>-94209.78</v>
          </cell>
          <cell r="BR85">
            <v>-94209.78</v>
          </cell>
          <cell r="BU85">
            <v>0</v>
          </cell>
          <cell r="BV85">
            <v>0</v>
          </cell>
          <cell r="BW85">
            <v>0</v>
          </cell>
          <cell r="BY85">
            <v>0</v>
          </cell>
          <cell r="BZ85">
            <v>0</v>
          </cell>
          <cell r="CA85">
            <v>0</v>
          </cell>
          <cell r="CC85">
            <v>0</v>
          </cell>
          <cell r="CD85">
            <v>0</v>
          </cell>
          <cell r="CE85">
            <v>0</v>
          </cell>
          <cell r="CG85">
            <v>0</v>
          </cell>
          <cell r="CH85">
            <v>0</v>
          </cell>
          <cell r="CI85">
            <v>0</v>
          </cell>
          <cell r="CL85">
            <v>-97282.420000000013</v>
          </cell>
          <cell r="CM85">
            <v>-97282.420000000013</v>
          </cell>
          <cell r="CN85">
            <v>-97282.420000000013</v>
          </cell>
          <cell r="CP85">
            <v>-87350.399999999994</v>
          </cell>
          <cell r="CQ85">
            <v>-87350.399999999994</v>
          </cell>
          <cell r="CR85">
            <v>-87350.399999999994</v>
          </cell>
          <cell r="CT85">
            <v>-42924.490000000005</v>
          </cell>
          <cell r="CU85">
            <v>-42924.490000000005</v>
          </cell>
          <cell r="CV85">
            <v>-42924.490000000005</v>
          </cell>
          <cell r="CX85">
            <v>-22347.040000000001</v>
          </cell>
          <cell r="CY85">
            <v>-22347.040000000001</v>
          </cell>
          <cell r="CZ85">
            <v>-22347.040000000001</v>
          </cell>
          <cell r="DC85">
            <v>0</v>
          </cell>
          <cell r="DD85">
            <v>0</v>
          </cell>
          <cell r="DE85">
            <v>0</v>
          </cell>
          <cell r="DG85">
            <v>0</v>
          </cell>
          <cell r="DH85">
            <v>0</v>
          </cell>
          <cell r="DI85">
            <v>0</v>
          </cell>
          <cell r="DK85">
            <v>0</v>
          </cell>
          <cell r="DL85">
            <v>0</v>
          </cell>
          <cell r="DM85">
            <v>0</v>
          </cell>
          <cell r="DO85">
            <v>0</v>
          </cell>
          <cell r="DP85">
            <v>0</v>
          </cell>
          <cell r="DQ85">
            <v>0</v>
          </cell>
          <cell r="DT85">
            <v>-146059</v>
          </cell>
          <cell r="DU85">
            <v>-146059</v>
          </cell>
          <cell r="DV85">
            <v>-193608</v>
          </cell>
          <cell r="DX85">
            <v>-119977</v>
          </cell>
          <cell r="DY85">
            <v>-119977</v>
          </cell>
          <cell r="DZ85">
            <v>-167526</v>
          </cell>
          <cell r="EB85">
            <v>0</v>
          </cell>
          <cell r="EC85">
            <v>0</v>
          </cell>
          <cell r="ED85">
            <v>0</v>
          </cell>
          <cell r="EF85">
            <v>0</v>
          </cell>
          <cell r="EG85">
            <v>0</v>
          </cell>
          <cell r="EH85">
            <v>0</v>
          </cell>
          <cell r="EK85">
            <v>0</v>
          </cell>
          <cell r="EL85">
            <v>0</v>
          </cell>
          <cell r="EM85">
            <v>0</v>
          </cell>
          <cell r="EO85">
            <v>0</v>
          </cell>
          <cell r="EP85">
            <v>0</v>
          </cell>
          <cell r="EQ85">
            <v>0</v>
          </cell>
          <cell r="ES85">
            <v>0</v>
          </cell>
          <cell r="ET85">
            <v>0</v>
          </cell>
          <cell r="EU85">
            <v>0</v>
          </cell>
          <cell r="EW85">
            <v>0</v>
          </cell>
          <cell r="EX85">
            <v>0</v>
          </cell>
          <cell r="EY85">
            <v>0</v>
          </cell>
        </row>
      </sheetData>
      <sheetData sheetId="14">
        <row r="289">
          <cell r="E289">
            <v>620875.11</v>
          </cell>
          <cell r="F289">
            <v>646475.11</v>
          </cell>
          <cell r="G289">
            <v>620875.11</v>
          </cell>
          <cell r="H289">
            <v>595275.11</v>
          </cell>
          <cell r="I289">
            <v>620875.11</v>
          </cell>
          <cell r="J289">
            <v>562450.11</v>
          </cell>
          <cell r="K289">
            <v>679300.11</v>
          </cell>
          <cell r="L289">
            <v>620875.11</v>
          </cell>
          <cell r="M289">
            <v>620875.11</v>
          </cell>
          <cell r="N289">
            <v>620875.11</v>
          </cell>
          <cell r="O289">
            <v>620875.11</v>
          </cell>
          <cell r="P289">
            <v>620875.11</v>
          </cell>
        </row>
        <row r="290">
          <cell r="E290">
            <v>22500</v>
          </cell>
          <cell r="F290">
            <v>22500</v>
          </cell>
          <cell r="G290">
            <v>22500</v>
          </cell>
          <cell r="H290">
            <v>22500</v>
          </cell>
          <cell r="I290">
            <v>22500</v>
          </cell>
          <cell r="J290">
            <v>22500</v>
          </cell>
          <cell r="K290">
            <v>22500</v>
          </cell>
          <cell r="L290">
            <v>22500</v>
          </cell>
          <cell r="M290">
            <v>22500</v>
          </cell>
          <cell r="N290">
            <v>22500</v>
          </cell>
          <cell r="O290">
            <v>22500</v>
          </cell>
          <cell r="P290">
            <v>22500</v>
          </cell>
        </row>
        <row r="291">
          <cell r="E291">
            <v>356250.66</v>
          </cell>
          <cell r="F291">
            <v>356250.66</v>
          </cell>
          <cell r="G291">
            <v>356250.66</v>
          </cell>
          <cell r="H291">
            <v>356250.66</v>
          </cell>
          <cell r="I291">
            <v>356250.66</v>
          </cell>
          <cell r="J291">
            <v>356250.66</v>
          </cell>
          <cell r="K291">
            <v>356250.66</v>
          </cell>
          <cell r="L291">
            <v>356250.66</v>
          </cell>
          <cell r="M291">
            <v>356250.66</v>
          </cell>
          <cell r="N291">
            <v>356250.66</v>
          </cell>
          <cell r="O291">
            <v>356250.66</v>
          </cell>
          <cell r="P291">
            <v>356250.66</v>
          </cell>
        </row>
        <row r="307"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</row>
        <row r="308">
          <cell r="E308">
            <v>375459.71</v>
          </cell>
          <cell r="F308">
            <v>350059.71</v>
          </cell>
          <cell r="G308">
            <v>444979.71</v>
          </cell>
          <cell r="H308">
            <v>375459.71</v>
          </cell>
          <cell r="I308">
            <v>305939.71000000002</v>
          </cell>
          <cell r="J308">
            <v>375459.71</v>
          </cell>
          <cell r="K308">
            <v>375459.71</v>
          </cell>
          <cell r="L308">
            <v>375459.71</v>
          </cell>
          <cell r="M308">
            <v>400859.71</v>
          </cell>
          <cell r="N308">
            <v>375459.71</v>
          </cell>
          <cell r="O308">
            <v>375459.71</v>
          </cell>
          <cell r="P308">
            <v>375459.71</v>
          </cell>
        </row>
        <row r="309"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</row>
        <row r="310">
          <cell r="E310">
            <v>47174.559999999998</v>
          </cell>
          <cell r="F310">
            <v>47174.559999999998</v>
          </cell>
          <cell r="G310">
            <v>47174.559999999998</v>
          </cell>
          <cell r="H310">
            <v>47174.559999999998</v>
          </cell>
          <cell r="I310">
            <v>47174.559999999998</v>
          </cell>
          <cell r="J310">
            <v>47174.559999999998</v>
          </cell>
          <cell r="K310">
            <v>47174.559999999998</v>
          </cell>
          <cell r="L310">
            <v>47174.559999999998</v>
          </cell>
          <cell r="M310">
            <v>47174.559999999998</v>
          </cell>
          <cell r="N310">
            <v>47174.559999999998</v>
          </cell>
          <cell r="O310">
            <v>47174.559999999998</v>
          </cell>
          <cell r="P310">
            <v>47174.559999999998</v>
          </cell>
        </row>
        <row r="317"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</row>
        <row r="331">
          <cell r="E331">
            <v>120000</v>
          </cell>
          <cell r="F331">
            <v>120000</v>
          </cell>
          <cell r="G331">
            <v>120000</v>
          </cell>
          <cell r="H331">
            <v>120000</v>
          </cell>
          <cell r="I331">
            <v>120000</v>
          </cell>
          <cell r="J331">
            <v>120000</v>
          </cell>
          <cell r="K331">
            <v>120000</v>
          </cell>
          <cell r="L331">
            <v>120000</v>
          </cell>
          <cell r="M331">
            <v>120000</v>
          </cell>
          <cell r="N331">
            <v>120000</v>
          </cell>
          <cell r="O331">
            <v>120000</v>
          </cell>
          <cell r="P331">
            <v>120000</v>
          </cell>
        </row>
        <row r="333">
          <cell r="E333">
            <v>1203384.44</v>
          </cell>
          <cell r="F333">
            <v>1289642.58</v>
          </cell>
          <cell r="G333">
            <v>1381322.67</v>
          </cell>
          <cell r="H333">
            <v>1376823.49</v>
          </cell>
          <cell r="I333">
            <v>1338905.25</v>
          </cell>
          <cell r="J333">
            <v>1363108.99</v>
          </cell>
          <cell r="K333">
            <v>935582.07</v>
          </cell>
          <cell r="L333">
            <v>935582.07</v>
          </cell>
          <cell r="M333">
            <v>935582.07</v>
          </cell>
          <cell r="N333">
            <v>884153.09</v>
          </cell>
        </row>
        <row r="335">
          <cell r="E335">
            <v>361375.05</v>
          </cell>
          <cell r="F335">
            <v>387278.28</v>
          </cell>
          <cell r="G335">
            <v>414809.71</v>
          </cell>
          <cell r="H335">
            <v>413458.61</v>
          </cell>
          <cell r="I335">
            <v>402071.81</v>
          </cell>
          <cell r="J335">
            <v>409340.15999999997</v>
          </cell>
          <cell r="K335">
            <v>280954.28999999998</v>
          </cell>
          <cell r="L335">
            <v>280954.28999999998</v>
          </cell>
          <cell r="M335">
            <v>280954.28999999998</v>
          </cell>
          <cell r="N335">
            <v>265510.21999999997</v>
          </cell>
          <cell r="O335">
            <v>251646.64</v>
          </cell>
          <cell r="P335">
            <v>251646.64</v>
          </cell>
        </row>
        <row r="337">
          <cell r="E337">
            <v>233333.33</v>
          </cell>
          <cell r="F337">
            <v>233333.33</v>
          </cell>
          <cell r="G337">
            <v>233333.33</v>
          </cell>
          <cell r="H337">
            <v>233333.33</v>
          </cell>
          <cell r="I337">
            <v>233333.33</v>
          </cell>
          <cell r="J337">
            <v>233333.33</v>
          </cell>
          <cell r="K337">
            <v>233333.33</v>
          </cell>
          <cell r="L337">
            <v>233333.33</v>
          </cell>
          <cell r="M337">
            <v>233333.34</v>
          </cell>
          <cell r="N337">
            <v>233333.34</v>
          </cell>
          <cell r="O337">
            <v>233333.34</v>
          </cell>
          <cell r="P337">
            <v>233333.34</v>
          </cell>
        </row>
        <row r="338">
          <cell r="E338">
            <v>342224.63</v>
          </cell>
          <cell r="F338">
            <v>674541.02</v>
          </cell>
          <cell r="G338">
            <v>538770.55000000005</v>
          </cell>
          <cell r="H338">
            <v>534929.06000000006</v>
          </cell>
          <cell r="I338">
            <v>534929.06000000006</v>
          </cell>
          <cell r="J338">
            <v>534929.06000000006</v>
          </cell>
          <cell r="K338">
            <v>495337.42</v>
          </cell>
          <cell r="L338">
            <v>495337.42</v>
          </cell>
          <cell r="M338">
            <v>329673.28000000003</v>
          </cell>
          <cell r="N338">
            <v>330057.43</v>
          </cell>
          <cell r="O338">
            <v>189911.53</v>
          </cell>
          <cell r="P338">
            <v>189911.53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&amp; Index"/>
      <sheetName val="Turnover"/>
      <sheetName val="Sheet6"/>
      <sheetName val="Actual &amp; Assumptions"/>
      <sheetName val="Financial Statements"/>
      <sheetName val="Loans"/>
      <sheetName val="RE &amp; Dividends"/>
      <sheetName val="CM %"/>
      <sheetName val="Rev ASSUMP "/>
      <sheetName val="IS Assumption"/>
      <sheetName val="Sheet1"/>
      <sheetName val="Sheet2"/>
      <sheetName val="Sheet3"/>
      <sheetName val="Sheet4"/>
      <sheetName val="Budget 2021"/>
      <sheetName val="Pro LIst"/>
      <sheetName val="QH IS MTD"/>
      <sheetName val="QH IS YTD"/>
      <sheetName val="QH IS Qarters"/>
      <sheetName val="GP"/>
      <sheetName val="Governmental dues plan"/>
      <sheetName val="NDT Payments"/>
      <sheetName val="Ratio Analysis"/>
      <sheetName val="Checker"/>
      <sheetName val="ZIS 01 - 06.2020"/>
      <sheetName val="Bud 2015"/>
      <sheetName val="BB TO 2021 old"/>
      <sheetName val="Signed Budget "/>
      <sheetName val="Sheet5"/>
      <sheetName val="Sheet7"/>
      <sheetName val="Sheet9"/>
    </sheetNames>
    <sheetDataSet>
      <sheetData sheetId="0"/>
      <sheetData sheetId="1">
        <row r="4">
          <cell r="AU4" t="str">
            <v>2022 P</v>
          </cell>
        </row>
      </sheetData>
      <sheetData sheetId="2"/>
      <sheetData sheetId="3">
        <row r="4">
          <cell r="AU4" t="str">
            <v>2022 P</v>
          </cell>
        </row>
        <row r="180">
          <cell r="AU180">
            <v>0</v>
          </cell>
        </row>
      </sheetData>
      <sheetData sheetId="4">
        <row r="5">
          <cell r="AU5">
            <v>0</v>
          </cell>
        </row>
      </sheetData>
      <sheetData sheetId="5">
        <row r="6">
          <cell r="AU6">
            <v>0</v>
          </cell>
        </row>
      </sheetData>
      <sheetData sheetId="6">
        <row r="34">
          <cell r="AU34">
            <v>-97469.11548072545</v>
          </cell>
        </row>
      </sheetData>
      <sheetData sheetId="7"/>
      <sheetData sheetId="8"/>
      <sheetData sheetId="9">
        <row r="103">
          <cell r="E103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&amp; Index"/>
      <sheetName val="Turnover"/>
      <sheetName val="Sheet6"/>
      <sheetName val="Actual &amp; Assumptions"/>
      <sheetName val="Financial Statements"/>
      <sheetName val="Loans"/>
      <sheetName val="RE &amp; Dividends"/>
      <sheetName val="Rev ASSUMP "/>
      <sheetName val="IS Assumption"/>
      <sheetName val="Sheet1"/>
      <sheetName val="Sheet2"/>
      <sheetName val="Sheet3"/>
      <sheetName val="Sheet4"/>
      <sheetName val="Budget 2022"/>
      <sheetName val="Budget Forms"/>
      <sheetName val="COGS-Budget 2022"/>
      <sheetName val="QH IS MTD"/>
      <sheetName val="QH IS YTD"/>
      <sheetName val="QH IS Qarters"/>
      <sheetName val="GP"/>
      <sheetName val="Governmental dues plan"/>
      <sheetName val="NDT Payments"/>
      <sheetName val="Ratio Analysis"/>
      <sheetName val="Checker"/>
      <sheetName val="Pro LIst"/>
      <sheetName val="CM %"/>
      <sheetName val="ZIS 01 - 06.2020"/>
      <sheetName val="Bud 2015"/>
      <sheetName val="BB TO 2021 old"/>
      <sheetName val="Signed Budget "/>
      <sheetName val="Sheet5"/>
      <sheetName val="Sheet7"/>
      <sheetName val="Sheet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5">
          <cell r="U5">
            <v>291236594.85999995</v>
          </cell>
          <cell r="AL5">
            <v>-132531637.31999993</v>
          </cell>
          <cell r="BC5">
            <v>-1163296.54</v>
          </cell>
          <cell r="BT5">
            <v>-62575403.159999996</v>
          </cell>
          <cell r="CK5">
            <v>0</v>
          </cell>
          <cell r="DB5">
            <v>-14919970.74</v>
          </cell>
        </row>
        <row r="7">
          <cell r="E7">
            <v>8838558.3333333321</v>
          </cell>
          <cell r="F7">
            <v>10588558.333333332</v>
          </cell>
          <cell r="G7">
            <v>11448558.333333332</v>
          </cell>
          <cell r="I7">
            <v>11557279.333333332</v>
          </cell>
          <cell r="J7">
            <v>10787996.333333332</v>
          </cell>
          <cell r="K7">
            <v>11279040.333333332</v>
          </cell>
          <cell r="M7">
            <v>3500000</v>
          </cell>
          <cell r="N7">
            <v>3500000</v>
          </cell>
          <cell r="O7">
            <v>3500000</v>
          </cell>
          <cell r="Q7">
            <v>2436612</v>
          </cell>
          <cell r="R7">
            <v>1500000</v>
          </cell>
          <cell r="S7">
            <v>1500000</v>
          </cell>
          <cell r="V7">
            <v>-8728320</v>
          </cell>
          <cell r="W7">
            <v>-4964482</v>
          </cell>
          <cell r="X7">
            <v>-10325795.4</v>
          </cell>
          <cell r="Z7">
            <v>-8769440</v>
          </cell>
          <cell r="AA7">
            <v>-5769440</v>
          </cell>
          <cell r="AB7">
            <v>-4769440</v>
          </cell>
          <cell r="AD7">
            <v>-2134720</v>
          </cell>
          <cell r="AE7">
            <v>0</v>
          </cell>
          <cell r="AF7">
            <v>0</v>
          </cell>
          <cell r="AH7">
            <v>0</v>
          </cell>
          <cell r="AI7">
            <v>0</v>
          </cell>
          <cell r="AJ7">
            <v>0</v>
          </cell>
          <cell r="AM7">
            <v>-315625</v>
          </cell>
          <cell r="AN7">
            <v>-334200</v>
          </cell>
          <cell r="AO7">
            <v>-208014.53999999998</v>
          </cell>
          <cell r="AQ7">
            <v>-98973</v>
          </cell>
          <cell r="AR7">
            <v>-20000</v>
          </cell>
          <cell r="AS7">
            <v>-20000</v>
          </cell>
          <cell r="AU7">
            <v>-20000</v>
          </cell>
          <cell r="AV7">
            <v>-20000</v>
          </cell>
          <cell r="AW7">
            <v>-20000</v>
          </cell>
          <cell r="AY7">
            <v>-20000</v>
          </cell>
          <cell r="AZ7">
            <v>-20000</v>
          </cell>
          <cell r="BA7">
            <v>-6484</v>
          </cell>
          <cell r="BD7">
            <v>-390796.14</v>
          </cell>
          <cell r="BE7">
            <v>-3251650.28</v>
          </cell>
          <cell r="BF7">
            <v>-1771794.4</v>
          </cell>
          <cell r="BH7">
            <v>-1771794.4</v>
          </cell>
          <cell r="BI7">
            <v>-1771794.4</v>
          </cell>
          <cell r="BJ7">
            <v>-1771794.4</v>
          </cell>
          <cell r="BL7">
            <v>-1527546.81</v>
          </cell>
          <cell r="BM7">
            <v>-1527546.81</v>
          </cell>
          <cell r="BN7">
            <v>-1527546.81</v>
          </cell>
          <cell r="BP7">
            <v>-1527546.81</v>
          </cell>
          <cell r="BQ7">
            <v>0</v>
          </cell>
          <cell r="BR7">
            <v>0</v>
          </cell>
          <cell r="BU7">
            <v>0</v>
          </cell>
          <cell r="BV7">
            <v>0</v>
          </cell>
          <cell r="BW7">
            <v>0</v>
          </cell>
          <cell r="BY7">
            <v>0</v>
          </cell>
          <cell r="BZ7">
            <v>0</v>
          </cell>
          <cell r="CA7">
            <v>0</v>
          </cell>
          <cell r="CC7">
            <v>0</v>
          </cell>
          <cell r="CD7">
            <v>0</v>
          </cell>
          <cell r="CE7">
            <v>0</v>
          </cell>
          <cell r="CG7">
            <v>0</v>
          </cell>
          <cell r="CH7">
            <v>0</v>
          </cell>
          <cell r="CI7">
            <v>0</v>
          </cell>
          <cell r="CL7">
            <v>-92698.81</v>
          </cell>
          <cell r="CM7">
            <v>-771307.81</v>
          </cell>
          <cell r="CN7">
            <v>-420278.55000000005</v>
          </cell>
          <cell r="CP7">
            <v>-420278.55000000005</v>
          </cell>
          <cell r="CQ7">
            <v>-420278.55000000005</v>
          </cell>
          <cell r="CR7">
            <v>-420278.55000000005</v>
          </cell>
          <cell r="CT7">
            <v>-362341.79000000004</v>
          </cell>
          <cell r="CU7">
            <v>-362341.79000000004</v>
          </cell>
          <cell r="CV7">
            <v>-362341.79000000004</v>
          </cell>
          <cell r="CX7">
            <v>-362341.79000000004</v>
          </cell>
          <cell r="CY7">
            <v>0</v>
          </cell>
          <cell r="CZ7">
            <v>0</v>
          </cell>
          <cell r="DC7">
            <v>-1266666.67</v>
          </cell>
          <cell r="DD7">
            <v>-928287.47</v>
          </cell>
          <cell r="DE7">
            <v>-860611.63</v>
          </cell>
          <cell r="DG7">
            <v>-860611.63</v>
          </cell>
          <cell r="DH7">
            <v>-860611.63</v>
          </cell>
          <cell r="DI7">
            <v>-892935.79</v>
          </cell>
          <cell r="DK7">
            <v>-226269.12</v>
          </cell>
          <cell r="DL7">
            <v>-226269.12</v>
          </cell>
          <cell r="DM7">
            <v>-226269.12</v>
          </cell>
          <cell r="DO7">
            <v>-157522.87</v>
          </cell>
          <cell r="DP7">
            <v>-96972.479999999996</v>
          </cell>
          <cell r="DQ7">
            <v>-96972.479999999996</v>
          </cell>
          <cell r="DT7">
            <v>-281941.30000000005</v>
          </cell>
          <cell r="DU7">
            <v>-281941.30000000005</v>
          </cell>
          <cell r="DV7">
            <v>-281941.30000000005</v>
          </cell>
          <cell r="DX7">
            <v>-223457.35</v>
          </cell>
          <cell r="DY7">
            <v>-223457.35</v>
          </cell>
          <cell r="DZ7">
            <v>-223457.35</v>
          </cell>
          <cell r="EB7">
            <v>-223457.35</v>
          </cell>
          <cell r="EC7">
            <v>-223457.35</v>
          </cell>
          <cell r="ED7">
            <v>-223457.35</v>
          </cell>
          <cell r="EF7">
            <v>-223457.35</v>
          </cell>
          <cell r="EG7">
            <v>-223457.35</v>
          </cell>
          <cell r="EH7">
            <v>-223457.35</v>
          </cell>
        </row>
        <row r="17">
          <cell r="E17">
            <v>9583333.3333333209</v>
          </cell>
          <cell r="F17">
            <v>9583333.3333333209</v>
          </cell>
          <cell r="G17">
            <v>10583333.333333321</v>
          </cell>
          <cell r="I17">
            <v>9916666.6600000001</v>
          </cell>
          <cell r="J17">
            <v>9916666.6600000001</v>
          </cell>
          <cell r="K17">
            <v>9916666.6600000001</v>
          </cell>
          <cell r="M17">
            <v>9916666.6600000001</v>
          </cell>
          <cell r="N17">
            <v>9916666.6600000001</v>
          </cell>
          <cell r="O17">
            <v>9916666.6600000001</v>
          </cell>
          <cell r="Q17">
            <v>9916666.6600000001</v>
          </cell>
          <cell r="R17">
            <v>9916666.6600000001</v>
          </cell>
          <cell r="S17">
            <v>9916666.6600000001</v>
          </cell>
          <cell r="V17">
            <v>-4533333.33</v>
          </cell>
          <cell r="W17">
            <v>-4533333.33</v>
          </cell>
          <cell r="X17">
            <v>-3713333.33</v>
          </cell>
          <cell r="Z17">
            <v>-5213333.33</v>
          </cell>
          <cell r="AA17">
            <v>-4713333.33</v>
          </cell>
          <cell r="AB17">
            <v>-4713333.33</v>
          </cell>
          <cell r="AD17">
            <v>-5213333.33</v>
          </cell>
          <cell r="AE17">
            <v>-4713333.33</v>
          </cell>
          <cell r="AF17">
            <v>-4713333.33</v>
          </cell>
          <cell r="AH17">
            <v>-4713333.33</v>
          </cell>
          <cell r="AI17">
            <v>-4713333.33</v>
          </cell>
          <cell r="AJ17">
            <v>-4713333.33</v>
          </cell>
          <cell r="AM17">
            <v>0</v>
          </cell>
          <cell r="AN17">
            <v>0</v>
          </cell>
          <cell r="AO17">
            <v>0</v>
          </cell>
          <cell r="AQ17">
            <v>0</v>
          </cell>
          <cell r="AR17">
            <v>0</v>
          </cell>
          <cell r="AS17">
            <v>0</v>
          </cell>
          <cell r="AU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A17">
            <v>0</v>
          </cell>
          <cell r="BD17">
            <v>-1805687.54</v>
          </cell>
          <cell r="BE17">
            <v>-2566978.7399999998</v>
          </cell>
          <cell r="BF17">
            <v>-2566978.7399999998</v>
          </cell>
          <cell r="BH17">
            <v>-2566978.7399999998</v>
          </cell>
          <cell r="BI17">
            <v>-2566978.7399999998</v>
          </cell>
          <cell r="BJ17">
            <v>-2566978.7399999998</v>
          </cell>
          <cell r="BL17">
            <v>-2566978.7399999998</v>
          </cell>
          <cell r="BM17">
            <v>-2566978.7399999998</v>
          </cell>
          <cell r="BN17">
            <v>-761291.2</v>
          </cell>
          <cell r="BP17">
            <v>-761291.2</v>
          </cell>
          <cell r="BQ17">
            <v>-761291.2</v>
          </cell>
          <cell r="BR17">
            <v>-761291.2</v>
          </cell>
          <cell r="BU17">
            <v>0</v>
          </cell>
          <cell r="BV17">
            <v>0</v>
          </cell>
          <cell r="BW17">
            <v>0</v>
          </cell>
          <cell r="BY17">
            <v>0</v>
          </cell>
          <cell r="BZ17">
            <v>0</v>
          </cell>
          <cell r="CA17">
            <v>0</v>
          </cell>
          <cell r="CC17">
            <v>0</v>
          </cell>
          <cell r="CD17">
            <v>0</v>
          </cell>
          <cell r="CE17">
            <v>0</v>
          </cell>
          <cell r="CG17">
            <v>0</v>
          </cell>
          <cell r="CH17">
            <v>0</v>
          </cell>
          <cell r="CI17">
            <v>0</v>
          </cell>
          <cell r="CL17">
            <v>-428318.17</v>
          </cell>
          <cell r="CM17">
            <v>-608900.29</v>
          </cell>
          <cell r="CN17">
            <v>-608900.29</v>
          </cell>
          <cell r="CP17">
            <v>-608900.29</v>
          </cell>
          <cell r="CQ17">
            <v>-608900.29</v>
          </cell>
          <cell r="CR17">
            <v>-608900.29</v>
          </cell>
          <cell r="CT17">
            <v>-608900.29</v>
          </cell>
          <cell r="CU17">
            <v>-608900.29</v>
          </cell>
          <cell r="CV17">
            <v>-180582.12</v>
          </cell>
          <cell r="CX17">
            <v>-180582.12</v>
          </cell>
          <cell r="CY17">
            <v>-180582.12</v>
          </cell>
          <cell r="CZ17">
            <v>-180582.12</v>
          </cell>
          <cell r="DC17">
            <v>-750000</v>
          </cell>
          <cell r="DD17">
            <v>-750000</v>
          </cell>
          <cell r="DE17">
            <v>-750000</v>
          </cell>
          <cell r="DG17">
            <v>-750000</v>
          </cell>
          <cell r="DH17">
            <v>-750000</v>
          </cell>
          <cell r="DI17">
            <v>-750000</v>
          </cell>
          <cell r="DK17">
            <v>-750000</v>
          </cell>
          <cell r="DL17">
            <v>-750000</v>
          </cell>
          <cell r="DM17">
            <v>-750000</v>
          </cell>
          <cell r="DO17">
            <v>-750000</v>
          </cell>
          <cell r="DP17">
            <v>-750000</v>
          </cell>
          <cell r="DQ17">
            <v>-750000</v>
          </cell>
          <cell r="DT17">
            <v>-19999.989999999998</v>
          </cell>
          <cell r="DU17">
            <v>-19999.989999999998</v>
          </cell>
          <cell r="DV17">
            <v>-29999.989999999998</v>
          </cell>
          <cell r="DX17">
            <v>-30000.030000000002</v>
          </cell>
          <cell r="DY17">
            <v>-20000</v>
          </cell>
          <cell r="DZ17">
            <v>-20000</v>
          </cell>
          <cell r="EB17">
            <v>-10000</v>
          </cell>
          <cell r="EC17">
            <v>-10000</v>
          </cell>
          <cell r="ED17">
            <v>-10000</v>
          </cell>
          <cell r="EF17">
            <v>-10000</v>
          </cell>
          <cell r="EG17">
            <v>-10000</v>
          </cell>
          <cell r="EH17">
            <v>-10000</v>
          </cell>
        </row>
        <row r="25">
          <cell r="E25">
            <v>1958966</v>
          </cell>
          <cell r="F25">
            <v>1958966</v>
          </cell>
          <cell r="G25">
            <v>1958966</v>
          </cell>
          <cell r="I25">
            <v>1758966</v>
          </cell>
          <cell r="J25">
            <v>1758966</v>
          </cell>
          <cell r="K25">
            <v>1758966</v>
          </cell>
          <cell r="M25">
            <v>864366</v>
          </cell>
          <cell r="N25">
            <v>864366</v>
          </cell>
          <cell r="O25">
            <v>864366</v>
          </cell>
          <cell r="Q25">
            <v>450000</v>
          </cell>
          <cell r="R25">
            <v>450000</v>
          </cell>
          <cell r="S25">
            <v>450000</v>
          </cell>
          <cell r="V25">
            <v>-220000</v>
          </cell>
          <cell r="W25">
            <v>-220000</v>
          </cell>
          <cell r="X25">
            <v>-220000</v>
          </cell>
          <cell r="Z25">
            <v>-120000</v>
          </cell>
          <cell r="AA25">
            <v>-120000</v>
          </cell>
          <cell r="AB25">
            <v>-120000</v>
          </cell>
          <cell r="AD25">
            <v>0</v>
          </cell>
          <cell r="AE25">
            <v>0</v>
          </cell>
          <cell r="AF25">
            <v>0</v>
          </cell>
          <cell r="AH25">
            <v>0</v>
          </cell>
          <cell r="AI25">
            <v>0</v>
          </cell>
          <cell r="AJ25">
            <v>0</v>
          </cell>
          <cell r="AM25">
            <v>0</v>
          </cell>
          <cell r="AN25">
            <v>0</v>
          </cell>
          <cell r="AO25">
            <v>0</v>
          </cell>
          <cell r="AQ25">
            <v>0</v>
          </cell>
          <cell r="AR25">
            <v>0</v>
          </cell>
          <cell r="AS25">
            <v>0</v>
          </cell>
          <cell r="AU25">
            <v>0</v>
          </cell>
          <cell r="AV25">
            <v>0</v>
          </cell>
          <cell r="AW25">
            <v>0</v>
          </cell>
          <cell r="AZ25">
            <v>0</v>
          </cell>
          <cell r="BA25">
            <v>0</v>
          </cell>
          <cell r="BB25">
            <v>0</v>
          </cell>
          <cell r="BD25">
            <v>-410119.47</v>
          </cell>
          <cell r="BE25">
            <v>-410119.47</v>
          </cell>
          <cell r="BF25">
            <v>-410119.47</v>
          </cell>
          <cell r="BH25">
            <v>-368248.44999999995</v>
          </cell>
          <cell r="BI25">
            <v>-368248.44999999995</v>
          </cell>
          <cell r="BJ25">
            <v>-368248.44999999995</v>
          </cell>
          <cell r="BL25">
            <v>-180959.4</v>
          </cell>
          <cell r="BM25">
            <v>-180959.4</v>
          </cell>
          <cell r="BN25">
            <v>-180959.4</v>
          </cell>
          <cell r="BP25">
            <v>-94209.78</v>
          </cell>
          <cell r="BQ25">
            <v>-94209.78</v>
          </cell>
          <cell r="BR25">
            <v>-94209.78</v>
          </cell>
          <cell r="BU25">
            <v>0</v>
          </cell>
          <cell r="BV25">
            <v>0</v>
          </cell>
          <cell r="BW25">
            <v>0</v>
          </cell>
          <cell r="BY25">
            <v>0</v>
          </cell>
          <cell r="BZ25">
            <v>0</v>
          </cell>
          <cell r="CA25">
            <v>0</v>
          </cell>
          <cell r="CC25">
            <v>0</v>
          </cell>
          <cell r="CD25">
            <v>0</v>
          </cell>
          <cell r="CE25">
            <v>0</v>
          </cell>
          <cell r="CG25">
            <v>0</v>
          </cell>
          <cell r="CH25">
            <v>0</v>
          </cell>
          <cell r="CI25">
            <v>0</v>
          </cell>
          <cell r="CL25">
            <v>-97282.420000000013</v>
          </cell>
          <cell r="CM25">
            <v>-97282.420000000013</v>
          </cell>
          <cell r="CN25">
            <v>-97282.420000000013</v>
          </cell>
          <cell r="CP25">
            <v>-87350.399999999994</v>
          </cell>
          <cell r="CQ25">
            <v>-87350.399999999994</v>
          </cell>
          <cell r="CR25">
            <v>-87350.399999999994</v>
          </cell>
          <cell r="CT25">
            <v>-42924.490000000005</v>
          </cell>
          <cell r="CU25">
            <v>-42924.490000000005</v>
          </cell>
          <cell r="CV25">
            <v>-42924.490000000005</v>
          </cell>
          <cell r="CX25">
            <v>-22347.040000000001</v>
          </cell>
          <cell r="CY25">
            <v>-22347.040000000001</v>
          </cell>
          <cell r="CZ25">
            <v>-22347.040000000001</v>
          </cell>
          <cell r="DC25">
            <v>0</v>
          </cell>
          <cell r="DD25">
            <v>0</v>
          </cell>
          <cell r="DE25">
            <v>0</v>
          </cell>
          <cell r="DG25">
            <v>0</v>
          </cell>
          <cell r="DH25">
            <v>0</v>
          </cell>
          <cell r="DI25">
            <v>0</v>
          </cell>
          <cell r="DK25">
            <v>0</v>
          </cell>
          <cell r="DL25">
            <v>0</v>
          </cell>
          <cell r="DM25">
            <v>0</v>
          </cell>
          <cell r="DO25">
            <v>0</v>
          </cell>
          <cell r="DP25">
            <v>0</v>
          </cell>
          <cell r="DQ25">
            <v>0</v>
          </cell>
          <cell r="DT25">
            <v>-146059</v>
          </cell>
          <cell r="DU25">
            <v>-146059</v>
          </cell>
          <cell r="DV25">
            <v>-193608</v>
          </cell>
          <cell r="DX25">
            <v>-119977</v>
          </cell>
          <cell r="DY25">
            <v>-119977</v>
          </cell>
          <cell r="DZ25">
            <v>-167526</v>
          </cell>
          <cell r="EB25">
            <v>0</v>
          </cell>
          <cell r="EC25">
            <v>0</v>
          </cell>
          <cell r="ED25">
            <v>0</v>
          </cell>
          <cell r="EF25">
            <v>0</v>
          </cell>
          <cell r="EG25">
            <v>0</v>
          </cell>
          <cell r="EH25">
            <v>0</v>
          </cell>
        </row>
        <row r="31">
          <cell r="E31">
            <v>2033333.3266666669</v>
          </cell>
          <cell r="F31">
            <v>2033333.3266666669</v>
          </cell>
          <cell r="G31">
            <v>2033333.3266666669</v>
          </cell>
          <cell r="I31">
            <v>2033333.3266666669</v>
          </cell>
          <cell r="J31">
            <v>2033333.3266666669</v>
          </cell>
          <cell r="K31">
            <v>2033333.3266666669</v>
          </cell>
          <cell r="M31">
            <v>2033333.3266666669</v>
          </cell>
          <cell r="N31">
            <v>2033333.3266666669</v>
          </cell>
          <cell r="O31">
            <v>2033333.3266666669</v>
          </cell>
          <cell r="Q31">
            <v>2467699.3266666671</v>
          </cell>
          <cell r="R31">
            <v>2467699.3266666671</v>
          </cell>
          <cell r="S31">
            <v>2467699.3266666671</v>
          </cell>
          <cell r="V31">
            <v>0</v>
          </cell>
          <cell r="W31">
            <v>0</v>
          </cell>
          <cell r="X31">
            <v>0</v>
          </cell>
          <cell r="Z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F31">
            <v>0</v>
          </cell>
          <cell r="AH31">
            <v>0</v>
          </cell>
          <cell r="AI31">
            <v>0</v>
          </cell>
          <cell r="AJ31">
            <v>0</v>
          </cell>
          <cell r="AM31">
            <v>0</v>
          </cell>
          <cell r="AN31">
            <v>0</v>
          </cell>
          <cell r="AO31">
            <v>0</v>
          </cell>
          <cell r="AQ31">
            <v>0</v>
          </cell>
          <cell r="AR31">
            <v>0</v>
          </cell>
          <cell r="AS31">
            <v>0</v>
          </cell>
          <cell r="AU31">
            <v>0</v>
          </cell>
          <cell r="AV31">
            <v>0</v>
          </cell>
          <cell r="AW31">
            <v>0</v>
          </cell>
          <cell r="AZ31">
            <v>0</v>
          </cell>
          <cell r="BA31">
            <v>0</v>
          </cell>
          <cell r="BB31">
            <v>0</v>
          </cell>
          <cell r="BD31">
            <v>-751226.09</v>
          </cell>
          <cell r="BE31">
            <v>-751226.09</v>
          </cell>
          <cell r="BF31">
            <v>-751226.09</v>
          </cell>
          <cell r="BH31">
            <v>-751226.09</v>
          </cell>
          <cell r="BI31">
            <v>-751226.09</v>
          </cell>
          <cell r="BJ31">
            <v>-751226.09</v>
          </cell>
          <cell r="BL31">
            <v>-751226.09</v>
          </cell>
          <cell r="BM31">
            <v>-751226.09</v>
          </cell>
          <cell r="BN31">
            <v>-751226.09</v>
          </cell>
          <cell r="BP31">
            <v>-842162.81</v>
          </cell>
          <cell r="BQ31">
            <v>-842162.81</v>
          </cell>
          <cell r="BR31">
            <v>-842162.81</v>
          </cell>
          <cell r="BU31">
            <v>0</v>
          </cell>
          <cell r="BV31">
            <v>0</v>
          </cell>
          <cell r="BW31">
            <v>0</v>
          </cell>
          <cell r="BY31">
            <v>0</v>
          </cell>
          <cell r="BZ31">
            <v>0</v>
          </cell>
          <cell r="CA31">
            <v>0</v>
          </cell>
          <cell r="CC31">
            <v>0</v>
          </cell>
          <cell r="CD31">
            <v>0</v>
          </cell>
          <cell r="CE31">
            <v>0</v>
          </cell>
          <cell r="CG31">
            <v>0</v>
          </cell>
          <cell r="CH31">
            <v>0</v>
          </cell>
          <cell r="CI31">
            <v>0</v>
          </cell>
          <cell r="CL31">
            <v>-184592.09999999998</v>
          </cell>
          <cell r="CM31">
            <v>-184592.09999999998</v>
          </cell>
          <cell r="CN31">
            <v>-184592.09999999998</v>
          </cell>
          <cell r="CP31">
            <v>-184592.09999999998</v>
          </cell>
          <cell r="CQ31">
            <v>-184592.09999999998</v>
          </cell>
          <cell r="CR31">
            <v>-184592.09999999998</v>
          </cell>
          <cell r="CT31">
            <v>-184592.09999999998</v>
          </cell>
          <cell r="CU31">
            <v>-184592.09999999998</v>
          </cell>
          <cell r="CV31">
            <v>-184592.09999999998</v>
          </cell>
          <cell r="CX31">
            <v>-206162.75</v>
          </cell>
          <cell r="CY31">
            <v>-206162.75</v>
          </cell>
          <cell r="CZ31">
            <v>-206162.75</v>
          </cell>
          <cell r="DC31">
            <v>0</v>
          </cell>
          <cell r="DD31">
            <v>0</v>
          </cell>
          <cell r="DE31">
            <v>0</v>
          </cell>
          <cell r="DG31">
            <v>0</v>
          </cell>
          <cell r="DH31">
            <v>0</v>
          </cell>
          <cell r="DI31">
            <v>0</v>
          </cell>
          <cell r="DK31">
            <v>0</v>
          </cell>
          <cell r="DL31">
            <v>0</v>
          </cell>
          <cell r="DM31">
            <v>0</v>
          </cell>
          <cell r="DO31">
            <v>0</v>
          </cell>
          <cell r="DP31">
            <v>0</v>
          </cell>
          <cell r="DQ31">
            <v>0</v>
          </cell>
          <cell r="DT31">
            <v>-30000</v>
          </cell>
          <cell r="DU31">
            <v>-30000</v>
          </cell>
          <cell r="DV31">
            <v>-30000</v>
          </cell>
          <cell r="DX31">
            <v>-30000</v>
          </cell>
          <cell r="DY31">
            <v>-30000</v>
          </cell>
          <cell r="DZ31">
            <v>-30000</v>
          </cell>
          <cell r="EB31">
            <v>-30000</v>
          </cell>
          <cell r="EC31">
            <v>-30000</v>
          </cell>
          <cell r="ED31">
            <v>-77549</v>
          </cell>
          <cell r="EF31">
            <v>-30000</v>
          </cell>
          <cell r="EG31">
            <v>-30000</v>
          </cell>
          <cell r="EH31">
            <v>-77549</v>
          </cell>
        </row>
        <row r="38">
          <cell r="E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Q38">
            <v>0</v>
          </cell>
          <cell r="R38">
            <v>0</v>
          </cell>
          <cell r="S38">
            <v>0</v>
          </cell>
          <cell r="V38">
            <v>0</v>
          </cell>
          <cell r="W38">
            <v>0</v>
          </cell>
          <cell r="X38">
            <v>0</v>
          </cell>
          <cell r="Z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F38">
            <v>0</v>
          </cell>
          <cell r="AH38">
            <v>0</v>
          </cell>
          <cell r="AI38">
            <v>0</v>
          </cell>
          <cell r="AJ38">
            <v>0</v>
          </cell>
          <cell r="AM38">
            <v>0</v>
          </cell>
          <cell r="AN38">
            <v>0</v>
          </cell>
          <cell r="AO38">
            <v>0</v>
          </cell>
          <cell r="AQ38">
            <v>0</v>
          </cell>
          <cell r="AR38">
            <v>0</v>
          </cell>
          <cell r="AS38">
            <v>0</v>
          </cell>
          <cell r="AU38">
            <v>0</v>
          </cell>
          <cell r="AV38">
            <v>0</v>
          </cell>
          <cell r="AW38">
            <v>0</v>
          </cell>
          <cell r="AZ38">
            <v>0</v>
          </cell>
          <cell r="BA38">
            <v>0</v>
          </cell>
          <cell r="BB38">
            <v>0</v>
          </cell>
          <cell r="BD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J38">
            <v>0</v>
          </cell>
          <cell r="BL38">
            <v>0</v>
          </cell>
          <cell r="BM38">
            <v>0</v>
          </cell>
          <cell r="BN38">
            <v>0</v>
          </cell>
          <cell r="BP38">
            <v>0</v>
          </cell>
          <cell r="BQ38">
            <v>0</v>
          </cell>
          <cell r="BR38">
            <v>0</v>
          </cell>
          <cell r="BU38">
            <v>0</v>
          </cell>
          <cell r="BV38">
            <v>0</v>
          </cell>
          <cell r="BW38">
            <v>0</v>
          </cell>
          <cell r="BY38">
            <v>0</v>
          </cell>
          <cell r="BZ38">
            <v>0</v>
          </cell>
          <cell r="CA38">
            <v>0</v>
          </cell>
          <cell r="CC38">
            <v>0</v>
          </cell>
          <cell r="CD38">
            <v>0</v>
          </cell>
          <cell r="CE38">
            <v>0</v>
          </cell>
          <cell r="CG38">
            <v>0</v>
          </cell>
          <cell r="CH38">
            <v>0</v>
          </cell>
          <cell r="CI38">
            <v>0</v>
          </cell>
          <cell r="CL38">
            <v>0</v>
          </cell>
          <cell r="CM38">
            <v>0</v>
          </cell>
          <cell r="CN38">
            <v>0</v>
          </cell>
          <cell r="CP38">
            <v>0</v>
          </cell>
          <cell r="CQ38">
            <v>0</v>
          </cell>
          <cell r="CR38">
            <v>0</v>
          </cell>
          <cell r="CT38">
            <v>0</v>
          </cell>
          <cell r="CU38">
            <v>0</v>
          </cell>
          <cell r="CV38">
            <v>0</v>
          </cell>
          <cell r="CX38">
            <v>0</v>
          </cell>
          <cell r="CY38">
            <v>0</v>
          </cell>
          <cell r="CZ38">
            <v>0</v>
          </cell>
          <cell r="DC38">
            <v>0</v>
          </cell>
          <cell r="DD38">
            <v>0</v>
          </cell>
          <cell r="DE38">
            <v>0</v>
          </cell>
          <cell r="DG38">
            <v>0</v>
          </cell>
          <cell r="DH38">
            <v>0</v>
          </cell>
          <cell r="DI38">
            <v>0</v>
          </cell>
          <cell r="DK38">
            <v>0</v>
          </cell>
          <cell r="DL38">
            <v>0</v>
          </cell>
          <cell r="DM38">
            <v>0</v>
          </cell>
          <cell r="DO38">
            <v>0</v>
          </cell>
          <cell r="DP38">
            <v>0</v>
          </cell>
          <cell r="DQ38">
            <v>0</v>
          </cell>
          <cell r="DT38">
            <v>0</v>
          </cell>
          <cell r="DU38">
            <v>0</v>
          </cell>
          <cell r="DV38">
            <v>0</v>
          </cell>
          <cell r="DX38">
            <v>0</v>
          </cell>
          <cell r="DY38">
            <v>0</v>
          </cell>
          <cell r="DZ38">
            <v>0</v>
          </cell>
          <cell r="EB38">
            <v>0</v>
          </cell>
          <cell r="EC38">
            <v>0</v>
          </cell>
          <cell r="ED38">
            <v>0</v>
          </cell>
          <cell r="EF38">
            <v>0</v>
          </cell>
          <cell r="EG38">
            <v>0</v>
          </cell>
          <cell r="EH38">
            <v>0</v>
          </cell>
        </row>
        <row r="49">
          <cell r="E49">
            <v>500000</v>
          </cell>
          <cell r="F49">
            <v>500000</v>
          </cell>
          <cell r="G49">
            <v>500000</v>
          </cell>
          <cell r="I49">
            <v>500000</v>
          </cell>
          <cell r="J49">
            <v>500000</v>
          </cell>
          <cell r="K49">
            <v>500000</v>
          </cell>
          <cell r="M49">
            <v>500000</v>
          </cell>
          <cell r="N49">
            <v>500000</v>
          </cell>
          <cell r="O49">
            <v>500000</v>
          </cell>
          <cell r="Q49">
            <v>500000</v>
          </cell>
          <cell r="R49">
            <v>500000</v>
          </cell>
          <cell r="S49">
            <v>500000</v>
          </cell>
          <cell r="V49">
            <v>-112500</v>
          </cell>
          <cell r="W49">
            <v>-112500</v>
          </cell>
          <cell r="X49">
            <v>-112500</v>
          </cell>
          <cell r="Z49">
            <v>-112500</v>
          </cell>
          <cell r="AA49">
            <v>-112500</v>
          </cell>
          <cell r="AB49">
            <v>-112500</v>
          </cell>
          <cell r="AD49">
            <v>-112500</v>
          </cell>
          <cell r="AE49">
            <v>-112500</v>
          </cell>
          <cell r="AF49">
            <v>-112500</v>
          </cell>
          <cell r="AH49">
            <v>-112500</v>
          </cell>
          <cell r="AI49">
            <v>-112500</v>
          </cell>
          <cell r="AJ49">
            <v>-112500</v>
          </cell>
          <cell r="AM49">
            <v>0</v>
          </cell>
          <cell r="AN49">
            <v>0</v>
          </cell>
          <cell r="AO49">
            <v>0</v>
          </cell>
          <cell r="AQ49">
            <v>0</v>
          </cell>
          <cell r="AR49">
            <v>0</v>
          </cell>
          <cell r="AS49">
            <v>0</v>
          </cell>
          <cell r="AU49">
            <v>0</v>
          </cell>
          <cell r="AV49">
            <v>0</v>
          </cell>
          <cell r="AW49">
            <v>0</v>
          </cell>
          <cell r="AZ49">
            <v>0</v>
          </cell>
          <cell r="BA49">
            <v>0</v>
          </cell>
          <cell r="BB49">
            <v>0</v>
          </cell>
          <cell r="BD49">
            <v>-87231.28</v>
          </cell>
          <cell r="BE49">
            <v>-87231.28</v>
          </cell>
          <cell r="BF49">
            <v>-87231.28</v>
          </cell>
          <cell r="BH49">
            <v>-87231.28</v>
          </cell>
          <cell r="BI49">
            <v>-87231.28</v>
          </cell>
          <cell r="BJ49">
            <v>-87231.28</v>
          </cell>
          <cell r="BL49">
            <v>-87231.28</v>
          </cell>
          <cell r="BM49">
            <v>-87231.28</v>
          </cell>
          <cell r="BN49">
            <v>-87231.28</v>
          </cell>
          <cell r="BP49">
            <v>-87231.28</v>
          </cell>
          <cell r="BQ49">
            <v>-87231.28</v>
          </cell>
          <cell r="BR49">
            <v>-87231.28</v>
          </cell>
          <cell r="BU49">
            <v>0</v>
          </cell>
          <cell r="BV49">
            <v>0</v>
          </cell>
          <cell r="BW49">
            <v>0</v>
          </cell>
          <cell r="BY49">
            <v>0</v>
          </cell>
          <cell r="BZ49">
            <v>0</v>
          </cell>
          <cell r="CA49">
            <v>0</v>
          </cell>
          <cell r="CC49">
            <v>0</v>
          </cell>
          <cell r="CD49">
            <v>0</v>
          </cell>
          <cell r="CE49">
            <v>0</v>
          </cell>
          <cell r="CG49">
            <v>0</v>
          </cell>
          <cell r="CH49">
            <v>0</v>
          </cell>
          <cell r="CI49">
            <v>0</v>
          </cell>
          <cell r="CL49">
            <v>-20691.7</v>
          </cell>
          <cell r="CM49">
            <v>-20691.7</v>
          </cell>
          <cell r="CN49">
            <v>-20691.7</v>
          </cell>
          <cell r="CP49">
            <v>-20691.7</v>
          </cell>
          <cell r="CQ49">
            <v>-20691.7</v>
          </cell>
          <cell r="CR49">
            <v>-20691.7</v>
          </cell>
          <cell r="CT49">
            <v>-20691.7</v>
          </cell>
          <cell r="CU49">
            <v>-20691.7</v>
          </cell>
          <cell r="CV49">
            <v>-20691.7</v>
          </cell>
          <cell r="CX49">
            <v>-20691.7</v>
          </cell>
          <cell r="CY49">
            <v>-20691.7</v>
          </cell>
          <cell r="CZ49">
            <v>-20691.7</v>
          </cell>
          <cell r="DC49">
            <v>0</v>
          </cell>
          <cell r="DD49">
            <v>0</v>
          </cell>
          <cell r="DE49">
            <v>0</v>
          </cell>
          <cell r="DG49">
            <v>0</v>
          </cell>
          <cell r="DH49">
            <v>0</v>
          </cell>
          <cell r="DI49">
            <v>0</v>
          </cell>
          <cell r="DK49">
            <v>0</v>
          </cell>
          <cell r="DL49">
            <v>0</v>
          </cell>
          <cell r="DM49">
            <v>0</v>
          </cell>
          <cell r="DO49">
            <v>0</v>
          </cell>
          <cell r="DP49">
            <v>0</v>
          </cell>
          <cell r="DQ49">
            <v>0</v>
          </cell>
          <cell r="DT49">
            <v>0</v>
          </cell>
          <cell r="DU49">
            <v>0</v>
          </cell>
          <cell r="DV49">
            <v>0</v>
          </cell>
          <cell r="DX49">
            <v>0</v>
          </cell>
          <cell r="DY49">
            <v>0</v>
          </cell>
          <cell r="DZ49">
            <v>0</v>
          </cell>
          <cell r="EB49">
            <v>0</v>
          </cell>
          <cell r="EC49">
            <v>0</v>
          </cell>
          <cell r="ED49">
            <v>0</v>
          </cell>
          <cell r="EF49">
            <v>0</v>
          </cell>
          <cell r="EG49">
            <v>0</v>
          </cell>
          <cell r="EH49">
            <v>0</v>
          </cell>
        </row>
        <row r="51">
          <cell r="E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Q51">
            <v>0</v>
          </cell>
          <cell r="R51">
            <v>0</v>
          </cell>
          <cell r="S51">
            <v>0</v>
          </cell>
          <cell r="V51">
            <v>0</v>
          </cell>
          <cell r="W51">
            <v>0</v>
          </cell>
          <cell r="X51">
            <v>0</v>
          </cell>
          <cell r="Z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F51">
            <v>0</v>
          </cell>
          <cell r="AH51">
            <v>0</v>
          </cell>
          <cell r="AI51">
            <v>0</v>
          </cell>
          <cell r="AJ51">
            <v>0</v>
          </cell>
          <cell r="AM51">
            <v>0</v>
          </cell>
          <cell r="AN51">
            <v>0</v>
          </cell>
          <cell r="AO51">
            <v>0</v>
          </cell>
          <cell r="AQ51">
            <v>0</v>
          </cell>
          <cell r="AR51">
            <v>0</v>
          </cell>
          <cell r="AS51">
            <v>0</v>
          </cell>
          <cell r="AU51">
            <v>0</v>
          </cell>
          <cell r="AV51">
            <v>0</v>
          </cell>
          <cell r="AW51">
            <v>0</v>
          </cell>
          <cell r="AZ51">
            <v>0</v>
          </cell>
          <cell r="BA51">
            <v>0</v>
          </cell>
          <cell r="BB51">
            <v>0</v>
          </cell>
          <cell r="BD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J51">
            <v>0</v>
          </cell>
          <cell r="BL51">
            <v>0</v>
          </cell>
          <cell r="BM51">
            <v>0</v>
          </cell>
          <cell r="BN51">
            <v>0</v>
          </cell>
          <cell r="BP51">
            <v>0</v>
          </cell>
          <cell r="BQ51">
            <v>0</v>
          </cell>
          <cell r="BR51">
            <v>0</v>
          </cell>
          <cell r="BU51">
            <v>0</v>
          </cell>
          <cell r="BV51">
            <v>0</v>
          </cell>
          <cell r="BW51">
            <v>0</v>
          </cell>
          <cell r="BY51">
            <v>0</v>
          </cell>
          <cell r="BZ51">
            <v>0</v>
          </cell>
          <cell r="CA51">
            <v>0</v>
          </cell>
          <cell r="CC51">
            <v>0</v>
          </cell>
          <cell r="CD51">
            <v>0</v>
          </cell>
          <cell r="CE51">
            <v>0</v>
          </cell>
          <cell r="CG51">
            <v>0</v>
          </cell>
          <cell r="CH51">
            <v>0</v>
          </cell>
          <cell r="CI51">
            <v>0</v>
          </cell>
          <cell r="CL51">
            <v>0</v>
          </cell>
          <cell r="CM51">
            <v>0</v>
          </cell>
          <cell r="CN51">
            <v>0</v>
          </cell>
          <cell r="CP51">
            <v>0</v>
          </cell>
          <cell r="CQ51">
            <v>0</v>
          </cell>
          <cell r="CR51">
            <v>0</v>
          </cell>
          <cell r="CT51">
            <v>0</v>
          </cell>
          <cell r="CU51">
            <v>0</v>
          </cell>
          <cell r="CV51">
            <v>0</v>
          </cell>
          <cell r="CX51">
            <v>0</v>
          </cell>
          <cell r="CY51">
            <v>0</v>
          </cell>
          <cell r="CZ51">
            <v>0</v>
          </cell>
          <cell r="DC51">
            <v>0</v>
          </cell>
          <cell r="DD51">
            <v>0</v>
          </cell>
          <cell r="DE51">
            <v>0</v>
          </cell>
          <cell r="DG51">
            <v>0</v>
          </cell>
          <cell r="DH51">
            <v>0</v>
          </cell>
          <cell r="DI51">
            <v>0</v>
          </cell>
          <cell r="DK51">
            <v>0</v>
          </cell>
          <cell r="DL51">
            <v>0</v>
          </cell>
          <cell r="DM51">
            <v>0</v>
          </cell>
          <cell r="DO51">
            <v>0</v>
          </cell>
          <cell r="DP51">
            <v>0</v>
          </cell>
          <cell r="DQ51">
            <v>0</v>
          </cell>
          <cell r="DT51">
            <v>0</v>
          </cell>
          <cell r="DU51">
            <v>0</v>
          </cell>
          <cell r="DV51">
            <v>0</v>
          </cell>
          <cell r="DX51">
            <v>0</v>
          </cell>
          <cell r="DY51">
            <v>0</v>
          </cell>
          <cell r="DZ51">
            <v>0</v>
          </cell>
          <cell r="EB51">
            <v>0</v>
          </cell>
          <cell r="EC51">
            <v>0</v>
          </cell>
          <cell r="ED51">
            <v>0</v>
          </cell>
          <cell r="EF51">
            <v>0</v>
          </cell>
          <cell r="EG51">
            <v>0</v>
          </cell>
          <cell r="EH51">
            <v>0</v>
          </cell>
        </row>
        <row r="62">
          <cell r="E62">
            <v>416666.67</v>
          </cell>
          <cell r="F62">
            <v>416666.67</v>
          </cell>
          <cell r="G62">
            <v>416666.67</v>
          </cell>
          <cell r="I62">
            <v>416666.67</v>
          </cell>
          <cell r="J62">
            <v>416666.67</v>
          </cell>
          <cell r="K62">
            <v>416666.67</v>
          </cell>
          <cell r="M62">
            <v>416666.67</v>
          </cell>
          <cell r="N62">
            <v>416666.67</v>
          </cell>
          <cell r="O62">
            <v>416666.67</v>
          </cell>
          <cell r="Q62">
            <v>416666.67</v>
          </cell>
          <cell r="R62">
            <v>416666.67</v>
          </cell>
          <cell r="S62">
            <v>416666.67</v>
          </cell>
          <cell r="V62">
            <v>-83333.33</v>
          </cell>
          <cell r="W62">
            <v>-83333.33</v>
          </cell>
          <cell r="X62">
            <v>-83333.33</v>
          </cell>
          <cell r="Z62">
            <v>-83333.33</v>
          </cell>
          <cell r="AA62">
            <v>-83333.33</v>
          </cell>
          <cell r="AB62">
            <v>-83333.33</v>
          </cell>
          <cell r="AD62">
            <v>-83333.33</v>
          </cell>
          <cell r="AE62">
            <v>-83333.33</v>
          </cell>
          <cell r="AF62">
            <v>-83333.33</v>
          </cell>
          <cell r="AH62">
            <v>-83333.33</v>
          </cell>
          <cell r="AI62">
            <v>-83333.33</v>
          </cell>
          <cell r="AJ62">
            <v>-83333.33</v>
          </cell>
          <cell r="AM62">
            <v>-5000</v>
          </cell>
          <cell r="AN62">
            <v>-5000</v>
          </cell>
          <cell r="AO62">
            <v>-5000</v>
          </cell>
          <cell r="AQ62">
            <v>-5000</v>
          </cell>
          <cell r="AR62">
            <v>-5000</v>
          </cell>
          <cell r="AS62">
            <v>-5000</v>
          </cell>
          <cell r="AU62">
            <v>-5000</v>
          </cell>
          <cell r="AV62">
            <v>-5000</v>
          </cell>
          <cell r="AW62">
            <v>-5000</v>
          </cell>
          <cell r="AY62">
            <v>-5000</v>
          </cell>
          <cell r="AZ62">
            <v>-5000</v>
          </cell>
          <cell r="BA62">
            <v>-5000</v>
          </cell>
          <cell r="BD62">
            <v>-87231.28</v>
          </cell>
          <cell r="BE62">
            <v>-87231.28</v>
          </cell>
          <cell r="BF62">
            <v>-87231.28</v>
          </cell>
          <cell r="BH62">
            <v>-87231.28</v>
          </cell>
          <cell r="BI62">
            <v>-87231.28</v>
          </cell>
          <cell r="BJ62">
            <v>-87231.28</v>
          </cell>
          <cell r="BL62">
            <v>-87231.28</v>
          </cell>
          <cell r="BM62">
            <v>-87231.28</v>
          </cell>
          <cell r="BN62">
            <v>-87231.28</v>
          </cell>
          <cell r="BP62">
            <v>-87231.28</v>
          </cell>
          <cell r="BQ62">
            <v>-87231.28</v>
          </cell>
          <cell r="BR62">
            <v>-87231.28</v>
          </cell>
          <cell r="BU62">
            <v>0</v>
          </cell>
          <cell r="BV62">
            <v>0</v>
          </cell>
          <cell r="BW62">
            <v>0</v>
          </cell>
          <cell r="BY62">
            <v>0</v>
          </cell>
          <cell r="BZ62">
            <v>0</v>
          </cell>
          <cell r="CA62">
            <v>0</v>
          </cell>
          <cell r="CC62">
            <v>0</v>
          </cell>
          <cell r="CD62">
            <v>0</v>
          </cell>
          <cell r="CE62">
            <v>0</v>
          </cell>
          <cell r="CG62">
            <v>0</v>
          </cell>
          <cell r="CH62">
            <v>0</v>
          </cell>
          <cell r="CI62">
            <v>0</v>
          </cell>
          <cell r="CL62">
            <v>-20691.7</v>
          </cell>
          <cell r="CM62">
            <v>-20691.7</v>
          </cell>
          <cell r="CN62">
            <v>-20691.7</v>
          </cell>
          <cell r="CP62">
            <v>-20691.7</v>
          </cell>
          <cell r="CQ62">
            <v>-20691.7</v>
          </cell>
          <cell r="CR62">
            <v>-20691.7</v>
          </cell>
          <cell r="CT62">
            <v>-20691.7</v>
          </cell>
          <cell r="CU62">
            <v>-20691.7</v>
          </cell>
          <cell r="CV62">
            <v>-20691.7</v>
          </cell>
          <cell r="CX62">
            <v>-20691.7</v>
          </cell>
          <cell r="CY62">
            <v>-20691.7</v>
          </cell>
          <cell r="CZ62">
            <v>-20691.7</v>
          </cell>
          <cell r="DC62">
            <v>0</v>
          </cell>
          <cell r="DD62">
            <v>0</v>
          </cell>
          <cell r="DE62">
            <v>0</v>
          </cell>
          <cell r="DG62">
            <v>0</v>
          </cell>
          <cell r="DH62">
            <v>0</v>
          </cell>
          <cell r="DI62">
            <v>0</v>
          </cell>
          <cell r="DK62">
            <v>0</v>
          </cell>
          <cell r="DL62">
            <v>0</v>
          </cell>
          <cell r="DM62">
            <v>0</v>
          </cell>
          <cell r="DO62">
            <v>0</v>
          </cell>
          <cell r="DP62">
            <v>0</v>
          </cell>
          <cell r="DQ62">
            <v>0</v>
          </cell>
          <cell r="DT62">
            <v>-25125</v>
          </cell>
          <cell r="DU62">
            <v>-25125</v>
          </cell>
          <cell r="DV62">
            <v>-25125</v>
          </cell>
          <cell r="DX62">
            <v>-25125</v>
          </cell>
          <cell r="DY62">
            <v>-25125</v>
          </cell>
          <cell r="DZ62">
            <v>-25125</v>
          </cell>
          <cell r="EB62">
            <v>-25125</v>
          </cell>
          <cell r="EC62">
            <v>-25125</v>
          </cell>
          <cell r="ED62">
            <v>-25125</v>
          </cell>
          <cell r="EF62">
            <v>-25125</v>
          </cell>
          <cell r="EG62">
            <v>-25125</v>
          </cell>
          <cell r="EH62">
            <v>-25125</v>
          </cell>
        </row>
        <row r="64">
          <cell r="E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Q64">
            <v>0</v>
          </cell>
          <cell r="R64">
            <v>0</v>
          </cell>
          <cell r="S64">
            <v>0</v>
          </cell>
          <cell r="V64">
            <v>0</v>
          </cell>
          <cell r="W64">
            <v>0</v>
          </cell>
          <cell r="X64">
            <v>0</v>
          </cell>
          <cell r="Z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F64">
            <v>0</v>
          </cell>
          <cell r="AH64">
            <v>0</v>
          </cell>
          <cell r="AI64">
            <v>0</v>
          </cell>
          <cell r="AJ64">
            <v>0</v>
          </cell>
          <cell r="AM64">
            <v>0</v>
          </cell>
          <cell r="AN64">
            <v>0</v>
          </cell>
          <cell r="AO64">
            <v>0</v>
          </cell>
          <cell r="AQ64">
            <v>0</v>
          </cell>
          <cell r="AR64">
            <v>0</v>
          </cell>
          <cell r="AS64">
            <v>0</v>
          </cell>
          <cell r="AU64">
            <v>0</v>
          </cell>
          <cell r="AV64">
            <v>0</v>
          </cell>
          <cell r="AW64">
            <v>0</v>
          </cell>
          <cell r="AZ64">
            <v>0</v>
          </cell>
          <cell r="BA64">
            <v>0</v>
          </cell>
          <cell r="BB64">
            <v>0</v>
          </cell>
          <cell r="BD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J64">
            <v>0</v>
          </cell>
          <cell r="BL64">
            <v>0</v>
          </cell>
          <cell r="BM64">
            <v>0</v>
          </cell>
          <cell r="BN64">
            <v>0</v>
          </cell>
          <cell r="BP64">
            <v>0</v>
          </cell>
          <cell r="BQ64">
            <v>0</v>
          </cell>
          <cell r="BR64">
            <v>0</v>
          </cell>
          <cell r="BU64">
            <v>0</v>
          </cell>
          <cell r="BV64">
            <v>0</v>
          </cell>
          <cell r="BW64">
            <v>0</v>
          </cell>
          <cell r="BY64">
            <v>0</v>
          </cell>
          <cell r="BZ64">
            <v>0</v>
          </cell>
          <cell r="CA64">
            <v>0</v>
          </cell>
          <cell r="CC64">
            <v>0</v>
          </cell>
          <cell r="CD64">
            <v>0</v>
          </cell>
          <cell r="CE64">
            <v>0</v>
          </cell>
          <cell r="CG64">
            <v>0</v>
          </cell>
          <cell r="CH64">
            <v>0</v>
          </cell>
          <cell r="CI64">
            <v>0</v>
          </cell>
          <cell r="CL64">
            <v>0</v>
          </cell>
          <cell r="CM64">
            <v>0</v>
          </cell>
          <cell r="CN64">
            <v>0</v>
          </cell>
          <cell r="CP64">
            <v>0</v>
          </cell>
          <cell r="CQ64">
            <v>0</v>
          </cell>
          <cell r="CR64">
            <v>0</v>
          </cell>
          <cell r="CT64">
            <v>0</v>
          </cell>
          <cell r="CU64">
            <v>0</v>
          </cell>
          <cell r="CV64">
            <v>0</v>
          </cell>
          <cell r="CX64">
            <v>0</v>
          </cell>
          <cell r="CY64">
            <v>0</v>
          </cell>
          <cell r="CZ64">
            <v>0</v>
          </cell>
          <cell r="DC64">
            <v>0</v>
          </cell>
          <cell r="DD64">
            <v>0</v>
          </cell>
          <cell r="DE64">
            <v>0</v>
          </cell>
          <cell r="DG64">
            <v>0</v>
          </cell>
          <cell r="DH64">
            <v>0</v>
          </cell>
          <cell r="DI64">
            <v>0</v>
          </cell>
          <cell r="DK64">
            <v>0</v>
          </cell>
          <cell r="DL64">
            <v>0</v>
          </cell>
          <cell r="DM64">
            <v>0</v>
          </cell>
          <cell r="DO64">
            <v>0</v>
          </cell>
          <cell r="DP64">
            <v>0</v>
          </cell>
          <cell r="DQ64">
            <v>0</v>
          </cell>
          <cell r="DT64">
            <v>0</v>
          </cell>
          <cell r="DU64">
            <v>0</v>
          </cell>
          <cell r="DV64">
            <v>0</v>
          </cell>
          <cell r="DX64">
            <v>0</v>
          </cell>
          <cell r="DY64">
            <v>0</v>
          </cell>
          <cell r="DZ64">
            <v>0</v>
          </cell>
          <cell r="EB64">
            <v>0</v>
          </cell>
          <cell r="EC64">
            <v>0</v>
          </cell>
          <cell r="ED64">
            <v>0</v>
          </cell>
          <cell r="EF64">
            <v>0</v>
          </cell>
          <cell r="EG64">
            <v>0</v>
          </cell>
          <cell r="EH64">
            <v>0</v>
          </cell>
        </row>
        <row r="75">
          <cell r="E75">
            <v>3333333.33</v>
          </cell>
          <cell r="F75">
            <v>3333333.33</v>
          </cell>
          <cell r="G75">
            <v>3333333.33</v>
          </cell>
          <cell r="I75">
            <v>3333333.33</v>
          </cell>
          <cell r="J75">
            <v>3333333.33</v>
          </cell>
          <cell r="K75">
            <v>3333333.33</v>
          </cell>
          <cell r="M75">
            <v>3333333.33</v>
          </cell>
          <cell r="N75">
            <v>3333333.33</v>
          </cell>
          <cell r="O75">
            <v>3333333.33</v>
          </cell>
          <cell r="Q75">
            <v>3333333.33</v>
          </cell>
          <cell r="R75">
            <v>3333333.33</v>
          </cell>
          <cell r="S75">
            <v>3333333.33</v>
          </cell>
          <cell r="V75">
            <v>-2291666.66666666</v>
          </cell>
          <cell r="W75">
            <v>-2291666.66666666</v>
          </cell>
          <cell r="X75">
            <v>-2291666.66666666</v>
          </cell>
          <cell r="Z75">
            <v>-2291666.66666666</v>
          </cell>
          <cell r="AA75">
            <v>-2291666.66666666</v>
          </cell>
          <cell r="AB75">
            <v>-2291666.66666666</v>
          </cell>
          <cell r="AD75">
            <v>-2291666.66666666</v>
          </cell>
          <cell r="AE75">
            <v>-2291666.66666666</v>
          </cell>
          <cell r="AF75">
            <v>-2291666.66666666</v>
          </cell>
          <cell r="AH75">
            <v>-2291666.66666666</v>
          </cell>
          <cell r="AI75">
            <v>-2291666.66666666</v>
          </cell>
          <cell r="AJ75">
            <v>-2291666.66666666</v>
          </cell>
          <cell r="AM75">
            <v>0</v>
          </cell>
          <cell r="AN75">
            <v>0</v>
          </cell>
          <cell r="AO75">
            <v>0</v>
          </cell>
          <cell r="AQ75">
            <v>0</v>
          </cell>
          <cell r="AR75">
            <v>0</v>
          </cell>
          <cell r="AS75">
            <v>0</v>
          </cell>
          <cell r="AU75">
            <v>0</v>
          </cell>
          <cell r="AV75">
            <v>0</v>
          </cell>
          <cell r="AW75">
            <v>0</v>
          </cell>
          <cell r="AZ75">
            <v>0</v>
          </cell>
          <cell r="BA75">
            <v>0</v>
          </cell>
          <cell r="BB75">
            <v>0</v>
          </cell>
          <cell r="BD75">
            <v>-697850.26</v>
          </cell>
          <cell r="BE75">
            <v>-697850.26</v>
          </cell>
          <cell r="BF75">
            <v>-697850.26</v>
          </cell>
          <cell r="BH75">
            <v>-697850.26</v>
          </cell>
          <cell r="BI75">
            <v>-697850.26</v>
          </cell>
          <cell r="BJ75">
            <v>-697850.26</v>
          </cell>
          <cell r="BL75">
            <v>-697850.26</v>
          </cell>
          <cell r="BM75">
            <v>-697850.26</v>
          </cell>
          <cell r="BN75">
            <v>-697850.26</v>
          </cell>
          <cell r="BP75">
            <v>-697850.26</v>
          </cell>
          <cell r="BQ75">
            <v>-697850.26</v>
          </cell>
          <cell r="BR75">
            <v>-697850.26</v>
          </cell>
          <cell r="BU75">
            <v>0</v>
          </cell>
          <cell r="BV75">
            <v>0</v>
          </cell>
          <cell r="BW75">
            <v>0</v>
          </cell>
          <cell r="BY75">
            <v>0</v>
          </cell>
          <cell r="BZ75">
            <v>0</v>
          </cell>
          <cell r="CA75">
            <v>0</v>
          </cell>
          <cell r="CC75">
            <v>0</v>
          </cell>
          <cell r="CD75">
            <v>0</v>
          </cell>
          <cell r="CE75">
            <v>0</v>
          </cell>
          <cell r="CG75">
            <v>0</v>
          </cell>
          <cell r="CH75">
            <v>0</v>
          </cell>
          <cell r="CI75">
            <v>0</v>
          </cell>
          <cell r="CL75">
            <v>-165533.59</v>
          </cell>
          <cell r="CM75">
            <v>-165533.59</v>
          </cell>
          <cell r="CN75">
            <v>-165533.59</v>
          </cell>
          <cell r="CP75">
            <v>-165533.59</v>
          </cell>
          <cell r="CQ75">
            <v>-165533.59</v>
          </cell>
          <cell r="CR75">
            <v>-165533.59</v>
          </cell>
          <cell r="CT75">
            <v>-165533.59</v>
          </cell>
          <cell r="CU75">
            <v>-165533.59</v>
          </cell>
          <cell r="CV75">
            <v>-165533.59</v>
          </cell>
          <cell r="CX75">
            <v>-165533.59</v>
          </cell>
          <cell r="CY75">
            <v>-165533.59</v>
          </cell>
          <cell r="CZ75">
            <v>-165533.59</v>
          </cell>
          <cell r="DC75">
            <v>0</v>
          </cell>
          <cell r="DD75">
            <v>0</v>
          </cell>
          <cell r="DE75">
            <v>0</v>
          </cell>
          <cell r="DG75">
            <v>0</v>
          </cell>
          <cell r="DH75">
            <v>0</v>
          </cell>
          <cell r="DI75">
            <v>0</v>
          </cell>
          <cell r="DK75">
            <v>0</v>
          </cell>
          <cell r="DL75">
            <v>0</v>
          </cell>
          <cell r="DM75">
            <v>0</v>
          </cell>
          <cell r="DO75">
            <v>0</v>
          </cell>
          <cell r="DP75">
            <v>0</v>
          </cell>
          <cell r="DQ75">
            <v>0</v>
          </cell>
          <cell r="DT75">
            <v>0</v>
          </cell>
          <cell r="DU75">
            <v>0</v>
          </cell>
          <cell r="DV75">
            <v>0</v>
          </cell>
          <cell r="DX75">
            <v>0</v>
          </cell>
          <cell r="DY75">
            <v>0</v>
          </cell>
          <cell r="DZ75">
            <v>0</v>
          </cell>
          <cell r="EB75">
            <v>0</v>
          </cell>
          <cell r="EC75">
            <v>0</v>
          </cell>
          <cell r="ED75">
            <v>0</v>
          </cell>
          <cell r="EF75">
            <v>0</v>
          </cell>
          <cell r="EG75">
            <v>0</v>
          </cell>
          <cell r="EH75">
            <v>0</v>
          </cell>
        </row>
        <row r="81">
          <cell r="E81">
            <v>24705224.993333321</v>
          </cell>
          <cell r="F81">
            <v>26455224.993333321</v>
          </cell>
          <cell r="G81">
            <v>28315224.993333321</v>
          </cell>
          <cell r="I81">
            <v>27757279.32</v>
          </cell>
          <cell r="J81">
            <v>26987996.32</v>
          </cell>
          <cell r="K81">
            <v>27479040.32</v>
          </cell>
          <cell r="M81">
            <v>19699999.986666668</v>
          </cell>
          <cell r="N81">
            <v>19699999.986666668</v>
          </cell>
          <cell r="O81">
            <v>19699999.986666668</v>
          </cell>
          <cell r="Q81">
            <v>19070977.986666668</v>
          </cell>
          <cell r="R81">
            <v>18134365.986666668</v>
          </cell>
          <cell r="S81">
            <v>18134365.986666668</v>
          </cell>
          <cell r="AM81">
            <v>-320625</v>
          </cell>
          <cell r="AN81">
            <v>-339200</v>
          </cell>
          <cell r="AO81">
            <v>-213014.53999999998</v>
          </cell>
          <cell r="CL81">
            <v>-912526.07</v>
          </cell>
          <cell r="CM81">
            <v>-1771717.1900000002</v>
          </cell>
          <cell r="CN81">
            <v>-1420687.9300000002</v>
          </cell>
          <cell r="DC81">
            <v>-2016666.67</v>
          </cell>
          <cell r="DD81">
            <v>-1678287.47</v>
          </cell>
          <cell r="DE81">
            <v>-1610611.63</v>
          </cell>
          <cell r="DT81">
            <v>-357066.29000000004</v>
          </cell>
          <cell r="DU81">
            <v>-357066.29000000004</v>
          </cell>
          <cell r="DV81">
            <v>-367066.29000000004</v>
          </cell>
          <cell r="EK81">
            <v>0</v>
          </cell>
          <cell r="EL81">
            <v>0</v>
          </cell>
          <cell r="EM81">
            <v>0</v>
          </cell>
        </row>
        <row r="82">
          <cell r="E82">
            <v>1958966</v>
          </cell>
          <cell r="F82">
            <v>1958966</v>
          </cell>
          <cell r="G82">
            <v>1958966</v>
          </cell>
          <cell r="I82">
            <v>1758966</v>
          </cell>
          <cell r="J82">
            <v>1758966</v>
          </cell>
          <cell r="K82">
            <v>1758966</v>
          </cell>
          <cell r="M82">
            <v>864366</v>
          </cell>
          <cell r="N82">
            <v>864366</v>
          </cell>
          <cell r="O82">
            <v>864366</v>
          </cell>
          <cell r="Q82">
            <v>450000</v>
          </cell>
          <cell r="R82">
            <v>450000</v>
          </cell>
          <cell r="S82">
            <v>450000</v>
          </cell>
        </row>
        <row r="85">
          <cell r="V85">
            <v>-15749153.326666661</v>
          </cell>
          <cell r="W85">
            <v>-11985315.326666661</v>
          </cell>
          <cell r="X85">
            <v>-16526628.726666661</v>
          </cell>
          <cell r="Z85">
            <v>-16470273.326666661</v>
          </cell>
          <cell r="AA85">
            <v>-12970273.326666661</v>
          </cell>
          <cell r="AB85">
            <v>-11970273.326666661</v>
          </cell>
          <cell r="AD85">
            <v>-9835553.3266666606</v>
          </cell>
          <cell r="AE85">
            <v>-7200833.3266666606</v>
          </cell>
          <cell r="AF85">
            <v>-7200833.3266666606</v>
          </cell>
          <cell r="AH85">
            <v>-7200833.3266666606</v>
          </cell>
          <cell r="AI85">
            <v>-7200833.3266666606</v>
          </cell>
          <cell r="AJ85">
            <v>-7200833.3266666606</v>
          </cell>
          <cell r="AQ85">
            <v>-103973</v>
          </cell>
          <cell r="AR85">
            <v>-25000</v>
          </cell>
          <cell r="AS85">
            <v>-25000</v>
          </cell>
          <cell r="AU85">
            <v>-25000</v>
          </cell>
          <cell r="AV85">
            <v>-25000</v>
          </cell>
          <cell r="AW85">
            <v>-25000</v>
          </cell>
          <cell r="AY85">
            <v>-25000</v>
          </cell>
          <cell r="AZ85">
            <v>-25000</v>
          </cell>
          <cell r="BA85">
            <v>-11484</v>
          </cell>
          <cell r="BD85">
            <v>-3820022.5900000008</v>
          </cell>
          <cell r="BE85">
            <v>-7442167.9299999997</v>
          </cell>
          <cell r="BF85">
            <v>-5962312.0499999998</v>
          </cell>
          <cell r="BH85">
            <v>-5962312.0499999998</v>
          </cell>
          <cell r="BI85">
            <v>-5962312.0499999998</v>
          </cell>
          <cell r="BJ85">
            <v>-5962312.0499999998</v>
          </cell>
          <cell r="BL85">
            <v>-5718064.459999999</v>
          </cell>
          <cell r="BM85">
            <v>-5718064.459999999</v>
          </cell>
          <cell r="BN85">
            <v>-3912376.92</v>
          </cell>
          <cell r="BP85">
            <v>-4003313.64</v>
          </cell>
          <cell r="BQ85">
            <v>-2475766.8300000005</v>
          </cell>
          <cell r="BR85">
            <v>-2475766.8300000005</v>
          </cell>
          <cell r="BU85">
            <v>0</v>
          </cell>
          <cell r="BV85">
            <v>0</v>
          </cell>
          <cell r="BW85">
            <v>0</v>
          </cell>
          <cell r="BY85">
            <v>0</v>
          </cell>
          <cell r="BZ85">
            <v>0</v>
          </cell>
          <cell r="CA85">
            <v>0</v>
          </cell>
          <cell r="CC85">
            <v>0</v>
          </cell>
          <cell r="CD85">
            <v>0</v>
          </cell>
          <cell r="CE85">
            <v>0</v>
          </cell>
          <cell r="CG85">
            <v>0</v>
          </cell>
          <cell r="CH85">
            <v>0</v>
          </cell>
          <cell r="CI85">
            <v>0</v>
          </cell>
          <cell r="CP85">
            <v>-1420687.9300000002</v>
          </cell>
          <cell r="CQ85">
            <v>-1420687.9300000002</v>
          </cell>
          <cell r="CR85">
            <v>-1420687.9300000002</v>
          </cell>
          <cell r="CT85">
            <v>-1362751.1700000002</v>
          </cell>
          <cell r="CU85">
            <v>-1362751.1700000002</v>
          </cell>
          <cell r="CV85">
            <v>-934433</v>
          </cell>
          <cell r="CX85">
            <v>-956003.65</v>
          </cell>
          <cell r="CY85">
            <v>-593661.86</v>
          </cell>
          <cell r="CZ85">
            <v>-593661.86</v>
          </cell>
          <cell r="DG85">
            <v>-1610611.63</v>
          </cell>
          <cell r="DH85">
            <v>-1610611.63</v>
          </cell>
          <cell r="DI85">
            <v>-1642935.79</v>
          </cell>
          <cell r="DK85">
            <v>-976269.12</v>
          </cell>
          <cell r="DL85">
            <v>-976269.12</v>
          </cell>
          <cell r="DM85">
            <v>-976269.12</v>
          </cell>
          <cell r="DO85">
            <v>-907522.87</v>
          </cell>
          <cell r="DP85">
            <v>-846972.48</v>
          </cell>
          <cell r="DQ85">
            <v>-846972.48</v>
          </cell>
          <cell r="DX85">
            <v>-308582.38</v>
          </cell>
          <cell r="DY85">
            <v>-298582.34999999998</v>
          </cell>
          <cell r="DZ85">
            <v>-298582.34999999998</v>
          </cell>
          <cell r="EB85">
            <v>-288582.34999999998</v>
          </cell>
          <cell r="EC85">
            <v>-288582.34999999998</v>
          </cell>
          <cell r="ED85">
            <v>-336131.35</v>
          </cell>
          <cell r="EF85">
            <v>-288582.34999999998</v>
          </cell>
          <cell r="EG85">
            <v>-288582.34999999998</v>
          </cell>
          <cell r="EH85">
            <v>-336131.35</v>
          </cell>
          <cell r="EO85">
            <v>0</v>
          </cell>
          <cell r="EP85">
            <v>0</v>
          </cell>
          <cell r="EQ85">
            <v>0</v>
          </cell>
          <cell r="ES85">
            <v>0</v>
          </cell>
          <cell r="ET85">
            <v>0</v>
          </cell>
          <cell r="EU85">
            <v>0</v>
          </cell>
          <cell r="EW85">
            <v>0</v>
          </cell>
          <cell r="EX85">
            <v>0</v>
          </cell>
          <cell r="EY85">
            <v>0</v>
          </cell>
        </row>
        <row r="86">
          <cell r="V86">
            <v>-220000</v>
          </cell>
          <cell r="W86">
            <v>-220000</v>
          </cell>
          <cell r="X86">
            <v>-220000</v>
          </cell>
          <cell r="Z86">
            <v>-120000</v>
          </cell>
          <cell r="AA86">
            <v>-120000</v>
          </cell>
          <cell r="AB86">
            <v>-120000</v>
          </cell>
          <cell r="AD86">
            <v>0</v>
          </cell>
          <cell r="AE86">
            <v>0</v>
          </cell>
          <cell r="AF86">
            <v>0</v>
          </cell>
          <cell r="AH86">
            <v>0</v>
          </cell>
          <cell r="AI86">
            <v>0</v>
          </cell>
          <cell r="AJ86">
            <v>0</v>
          </cell>
          <cell r="AM86">
            <v>0</v>
          </cell>
          <cell r="AN86">
            <v>0</v>
          </cell>
          <cell r="AO86">
            <v>0</v>
          </cell>
          <cell r="AQ86">
            <v>0</v>
          </cell>
          <cell r="AR86">
            <v>0</v>
          </cell>
          <cell r="AS86">
            <v>0</v>
          </cell>
          <cell r="AU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A86">
            <v>0</v>
          </cell>
          <cell r="BD86">
            <v>-410119.47</v>
          </cell>
          <cell r="BE86">
            <v>-410119.47</v>
          </cell>
          <cell r="BF86">
            <v>-410119.47</v>
          </cell>
          <cell r="BH86">
            <v>-368248.44999999995</v>
          </cell>
          <cell r="BI86">
            <v>-368248.44999999995</v>
          </cell>
          <cell r="BJ86">
            <v>-368248.44999999995</v>
          </cell>
          <cell r="BL86">
            <v>-180959.4</v>
          </cell>
          <cell r="BM86">
            <v>-180959.4</v>
          </cell>
          <cell r="BN86">
            <v>-180959.4</v>
          </cell>
          <cell r="BP86">
            <v>-94209.78</v>
          </cell>
          <cell r="BQ86">
            <v>-94209.78</v>
          </cell>
          <cell r="BR86">
            <v>-94209.78</v>
          </cell>
          <cell r="BU86">
            <v>0</v>
          </cell>
          <cell r="BV86">
            <v>0</v>
          </cell>
          <cell r="BW86">
            <v>0</v>
          </cell>
          <cell r="BY86">
            <v>0</v>
          </cell>
          <cell r="BZ86">
            <v>0</v>
          </cell>
          <cell r="CA86">
            <v>0</v>
          </cell>
          <cell r="CC86">
            <v>0</v>
          </cell>
          <cell r="CD86">
            <v>0</v>
          </cell>
          <cell r="CE86">
            <v>0</v>
          </cell>
          <cell r="CG86">
            <v>0</v>
          </cell>
          <cell r="CH86">
            <v>0</v>
          </cell>
          <cell r="CI86">
            <v>0</v>
          </cell>
          <cell r="CL86">
            <v>-97282.420000000013</v>
          </cell>
          <cell r="CM86">
            <v>-97282.420000000013</v>
          </cell>
          <cell r="CN86">
            <v>-97282.420000000013</v>
          </cell>
          <cell r="CP86">
            <v>-87350.399999999994</v>
          </cell>
          <cell r="CQ86">
            <v>-87350.399999999994</v>
          </cell>
          <cell r="CR86">
            <v>-87350.399999999994</v>
          </cell>
          <cell r="CT86">
            <v>-42924.490000000005</v>
          </cell>
          <cell r="CU86">
            <v>-42924.490000000005</v>
          </cell>
          <cell r="CV86">
            <v>-42924.490000000005</v>
          </cell>
          <cell r="CX86">
            <v>-22347.040000000001</v>
          </cell>
          <cell r="CY86">
            <v>-22347.040000000001</v>
          </cell>
          <cell r="CZ86">
            <v>-22347.040000000001</v>
          </cell>
          <cell r="DC86">
            <v>0</v>
          </cell>
          <cell r="DD86">
            <v>0</v>
          </cell>
          <cell r="DE86">
            <v>0</v>
          </cell>
          <cell r="DG86">
            <v>0</v>
          </cell>
          <cell r="DH86">
            <v>0</v>
          </cell>
          <cell r="DI86">
            <v>0</v>
          </cell>
          <cell r="DK86">
            <v>0</v>
          </cell>
          <cell r="DL86">
            <v>0</v>
          </cell>
          <cell r="DM86">
            <v>0</v>
          </cell>
          <cell r="DO86">
            <v>0</v>
          </cell>
          <cell r="DP86">
            <v>0</v>
          </cell>
          <cell r="DQ86">
            <v>0</v>
          </cell>
          <cell r="DT86">
            <v>-146059</v>
          </cell>
          <cell r="DU86">
            <v>-146059</v>
          </cell>
          <cell r="DV86">
            <v>-193608</v>
          </cell>
          <cell r="DX86">
            <v>-119977</v>
          </cell>
          <cell r="DY86">
            <v>-119977</v>
          </cell>
          <cell r="DZ86">
            <v>-167526</v>
          </cell>
          <cell r="EB86">
            <v>0</v>
          </cell>
          <cell r="EC86">
            <v>0</v>
          </cell>
          <cell r="ED86">
            <v>0</v>
          </cell>
          <cell r="EF86">
            <v>0</v>
          </cell>
          <cell r="EG86">
            <v>0</v>
          </cell>
          <cell r="EH86">
            <v>0</v>
          </cell>
          <cell r="EK86">
            <v>0</v>
          </cell>
          <cell r="EL86">
            <v>0</v>
          </cell>
          <cell r="EM86">
            <v>0</v>
          </cell>
          <cell r="EO86">
            <v>0</v>
          </cell>
          <cell r="EP86">
            <v>0</v>
          </cell>
          <cell r="EQ86">
            <v>0</v>
          </cell>
          <cell r="ES86">
            <v>0</v>
          </cell>
          <cell r="ET86">
            <v>0</v>
          </cell>
          <cell r="EU86">
            <v>0</v>
          </cell>
          <cell r="EW86">
            <v>0</v>
          </cell>
          <cell r="EX86">
            <v>0</v>
          </cell>
          <cell r="EY86">
            <v>0</v>
          </cell>
        </row>
      </sheetData>
      <sheetData sheetId="14">
        <row r="289">
          <cell r="E289">
            <v>620875.11</v>
          </cell>
          <cell r="F289">
            <v>646475.11</v>
          </cell>
          <cell r="G289">
            <v>620875.11</v>
          </cell>
          <cell r="H289">
            <v>595275.11</v>
          </cell>
          <cell r="I289">
            <v>620875.11</v>
          </cell>
          <cell r="J289">
            <v>562450.11</v>
          </cell>
          <cell r="K289">
            <v>679300.11</v>
          </cell>
          <cell r="L289">
            <v>620875.11</v>
          </cell>
          <cell r="M289">
            <v>620875.11</v>
          </cell>
          <cell r="N289">
            <v>620875.11</v>
          </cell>
          <cell r="O289">
            <v>620875.11</v>
          </cell>
          <cell r="P289">
            <v>620875.11</v>
          </cell>
        </row>
        <row r="290">
          <cell r="E290">
            <v>22500</v>
          </cell>
          <cell r="F290">
            <v>22500</v>
          </cell>
          <cell r="G290">
            <v>22500</v>
          </cell>
          <cell r="H290">
            <v>22500</v>
          </cell>
          <cell r="I290">
            <v>22500</v>
          </cell>
          <cell r="J290">
            <v>22500</v>
          </cell>
          <cell r="K290">
            <v>22500</v>
          </cell>
          <cell r="L290">
            <v>22500</v>
          </cell>
          <cell r="M290">
            <v>22500</v>
          </cell>
          <cell r="N290">
            <v>22500</v>
          </cell>
          <cell r="O290">
            <v>22500</v>
          </cell>
          <cell r="P290">
            <v>22500</v>
          </cell>
        </row>
        <row r="291">
          <cell r="E291">
            <v>356250.66</v>
          </cell>
          <cell r="F291">
            <v>356250.66</v>
          </cell>
          <cell r="G291">
            <v>356250.66</v>
          </cell>
          <cell r="H291">
            <v>756250.65999999992</v>
          </cell>
          <cell r="I291">
            <v>756250.65999999992</v>
          </cell>
          <cell r="J291">
            <v>756250.65999999992</v>
          </cell>
          <cell r="K291">
            <v>756250.65999999992</v>
          </cell>
          <cell r="L291">
            <v>756250.65999999992</v>
          </cell>
          <cell r="M291">
            <v>756250.65999999992</v>
          </cell>
          <cell r="N291">
            <v>756250.65999999992</v>
          </cell>
          <cell r="O291">
            <v>756250.65999999992</v>
          </cell>
          <cell r="P291">
            <v>756250.65999999992</v>
          </cell>
        </row>
        <row r="307"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</row>
        <row r="308">
          <cell r="E308">
            <v>375459.71</v>
          </cell>
          <cell r="F308">
            <v>350059.71</v>
          </cell>
          <cell r="G308">
            <v>444979.71</v>
          </cell>
          <cell r="H308">
            <v>375459.71</v>
          </cell>
          <cell r="I308">
            <v>305939.71000000002</v>
          </cell>
          <cell r="J308">
            <v>375459.71</v>
          </cell>
          <cell r="K308">
            <v>375459.71</v>
          </cell>
          <cell r="L308">
            <v>375459.71</v>
          </cell>
          <cell r="M308">
            <v>400859.71</v>
          </cell>
          <cell r="N308">
            <v>375459.71</v>
          </cell>
          <cell r="O308">
            <v>375459.71</v>
          </cell>
          <cell r="P308">
            <v>375459.71</v>
          </cell>
        </row>
        <row r="309"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</row>
        <row r="310">
          <cell r="E310">
            <v>47174.559999999998</v>
          </cell>
          <cell r="F310">
            <v>47174.559999999998</v>
          </cell>
          <cell r="G310">
            <v>47174.559999999998</v>
          </cell>
          <cell r="H310">
            <v>47174.559999999998</v>
          </cell>
          <cell r="I310">
            <v>47174.559999999998</v>
          </cell>
          <cell r="J310">
            <v>47174.559999999998</v>
          </cell>
          <cell r="K310">
            <v>47174.559999999998</v>
          </cell>
          <cell r="L310">
            <v>47174.559999999998</v>
          </cell>
          <cell r="M310">
            <v>47174.559999999998</v>
          </cell>
          <cell r="N310">
            <v>47174.559999999998</v>
          </cell>
          <cell r="O310">
            <v>47174.559999999998</v>
          </cell>
          <cell r="P310">
            <v>47174.559999999998</v>
          </cell>
        </row>
        <row r="317"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</row>
        <row r="331">
          <cell r="E331">
            <v>120000</v>
          </cell>
          <cell r="F331">
            <v>120000</v>
          </cell>
          <cell r="G331">
            <v>120000</v>
          </cell>
          <cell r="H331">
            <v>120000</v>
          </cell>
          <cell r="I331">
            <v>120000</v>
          </cell>
          <cell r="J331">
            <v>120000</v>
          </cell>
          <cell r="K331">
            <v>120000</v>
          </cell>
          <cell r="L331">
            <v>120000</v>
          </cell>
          <cell r="M331">
            <v>120000</v>
          </cell>
          <cell r="N331">
            <v>120000</v>
          </cell>
          <cell r="O331">
            <v>120000</v>
          </cell>
          <cell r="P331">
            <v>120000</v>
          </cell>
        </row>
        <row r="333">
          <cell r="E333">
            <v>1203384.44</v>
          </cell>
          <cell r="F333">
            <v>1289642.58</v>
          </cell>
          <cell r="G333">
            <v>1381322.67</v>
          </cell>
          <cell r="H333">
            <v>1376823.49</v>
          </cell>
          <cell r="I333">
            <v>1338905.25</v>
          </cell>
          <cell r="J333">
            <v>1863108.99</v>
          </cell>
          <cell r="K333">
            <v>935582.06999999983</v>
          </cell>
          <cell r="L333">
            <v>935582.06999999983</v>
          </cell>
          <cell r="M333">
            <v>1435582.0699999998</v>
          </cell>
          <cell r="N333">
            <v>2150819.7566666701</v>
          </cell>
          <cell r="O333">
            <v>2104653.8066666699</v>
          </cell>
          <cell r="P333">
            <v>2604653.8066666666</v>
          </cell>
        </row>
        <row r="334"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</row>
        <row r="335">
          <cell r="E335">
            <v>361375.05</v>
          </cell>
          <cell r="F335">
            <v>387278.28</v>
          </cell>
          <cell r="G335">
            <v>414809.71</v>
          </cell>
          <cell r="H335">
            <v>413458.61</v>
          </cell>
          <cell r="I335">
            <v>402071.81</v>
          </cell>
          <cell r="J335">
            <v>409340.15999999997</v>
          </cell>
          <cell r="K335">
            <v>280954.28999999998</v>
          </cell>
          <cell r="L335">
            <v>280954.28999999998</v>
          </cell>
          <cell r="M335">
            <v>280954.28999999998</v>
          </cell>
          <cell r="N335">
            <v>265510.21999999997</v>
          </cell>
          <cell r="O335">
            <v>251646.64</v>
          </cell>
          <cell r="P335">
            <v>251646.64</v>
          </cell>
        </row>
        <row r="336"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</row>
        <row r="337">
          <cell r="E337">
            <v>233333.33</v>
          </cell>
          <cell r="F337">
            <v>233333.33</v>
          </cell>
          <cell r="G337">
            <v>233333.33</v>
          </cell>
          <cell r="H337">
            <v>233333.33</v>
          </cell>
          <cell r="I337">
            <v>233333.33</v>
          </cell>
          <cell r="J337">
            <v>233333.33</v>
          </cell>
          <cell r="K337">
            <v>233333.33</v>
          </cell>
          <cell r="L337">
            <v>233333.33</v>
          </cell>
          <cell r="M337">
            <v>233333.34</v>
          </cell>
          <cell r="N337">
            <v>233333.34</v>
          </cell>
          <cell r="O337">
            <v>233333.34</v>
          </cell>
          <cell r="P337">
            <v>233333.34</v>
          </cell>
        </row>
        <row r="338">
          <cell r="E338">
            <v>342224.63</v>
          </cell>
          <cell r="F338">
            <v>674541.02</v>
          </cell>
          <cell r="G338">
            <v>538770.55000000005</v>
          </cell>
          <cell r="H338">
            <v>534929.06000000006</v>
          </cell>
          <cell r="I338">
            <v>534929.06000000006</v>
          </cell>
          <cell r="J338">
            <v>534929.06000000006</v>
          </cell>
          <cell r="K338">
            <v>495337.42</v>
          </cell>
          <cell r="L338">
            <v>495337.42</v>
          </cell>
          <cell r="M338">
            <v>329673.28000000003</v>
          </cell>
          <cell r="N338">
            <v>330057.43</v>
          </cell>
          <cell r="O338">
            <v>189911.53</v>
          </cell>
          <cell r="P338">
            <v>189911.53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J207"/>
  <sheetViews>
    <sheetView tabSelected="1" zoomScale="110" zoomScaleNormal="110" workbookViewId="0">
      <pane xSplit="2" ySplit="5" topLeftCell="EM6" activePane="bottomRight" state="frozen"/>
      <selection activeCell="C25" sqref="C25"/>
      <selection pane="topRight" activeCell="C25" sqref="C25"/>
      <selection pane="bottomLeft" activeCell="C25" sqref="C25"/>
      <selection pane="bottomRight" activeCell="A169" sqref="A169:A170"/>
    </sheetView>
  </sheetViews>
  <sheetFormatPr defaultColWidth="9.109375" defaultRowHeight="14.4" outlineLevelRow="1" outlineLevelCol="1"/>
  <cols>
    <col min="1" max="1" width="36.88671875" style="373" bestFit="1" customWidth="1"/>
    <col min="2" max="2" width="39.21875" style="373" bestFit="1" customWidth="1"/>
    <col min="3" max="3" width="14.77734375" style="373" hidden="1" customWidth="1" outlineLevel="1"/>
    <col min="4" max="4" width="5.33203125" style="374" hidden="1" customWidth="1" outlineLevel="1"/>
    <col min="5" max="5" width="15.33203125" style="373" hidden="1" customWidth="1" collapsed="1"/>
    <col min="6" max="6" width="5.109375" style="374" hidden="1" customWidth="1"/>
    <col min="7" max="8" width="15.33203125" style="373" hidden="1" customWidth="1" outlineLevel="1"/>
    <col min="9" max="9" width="4" style="374" hidden="1" customWidth="1" outlineLevel="1"/>
    <col min="10" max="11" width="15.33203125" style="373" hidden="1" customWidth="1" outlineLevel="1"/>
    <col min="12" max="12" width="4" style="374" hidden="1" customWidth="1" outlineLevel="1"/>
    <col min="13" max="14" width="15.33203125" style="373" hidden="1" customWidth="1" outlineLevel="1"/>
    <col min="15" max="15" width="4" style="374" hidden="1" customWidth="1" outlineLevel="1"/>
    <col min="16" max="16" width="0.21875" style="373" hidden="1" customWidth="1" collapsed="1"/>
    <col min="17" max="17" width="15.33203125" style="373" hidden="1" customWidth="1"/>
    <col min="18" max="18" width="5.6640625" style="374" hidden="1" customWidth="1"/>
    <col min="19" max="19" width="12.21875" style="373" hidden="1" customWidth="1" outlineLevel="1"/>
    <col min="20" max="20" width="15.33203125" style="373" hidden="1" customWidth="1" outlineLevel="1"/>
    <col min="21" max="21" width="5.21875" style="374" hidden="1" customWidth="1" outlineLevel="1"/>
    <col min="22" max="22" width="12.21875" style="373" hidden="1" customWidth="1" outlineLevel="1"/>
    <col min="23" max="23" width="15.33203125" style="373" hidden="1" customWidth="1" outlineLevel="1"/>
    <col min="24" max="24" width="5" style="374" hidden="1" customWidth="1" outlineLevel="1"/>
    <col min="25" max="26" width="15.33203125" style="373" hidden="1" customWidth="1" outlineLevel="1"/>
    <col min="27" max="27" width="5.21875" style="374" hidden="1" customWidth="1" outlineLevel="1"/>
    <col min="28" max="28" width="0.6640625" style="373" hidden="1" customWidth="1" collapsed="1"/>
    <col min="29" max="29" width="13" style="373" hidden="1" customWidth="1"/>
    <col min="30" max="30" width="5.77734375" style="401" hidden="1" customWidth="1"/>
    <col min="31" max="31" width="0.109375" style="373" hidden="1" customWidth="1"/>
    <col min="32" max="32" width="15.33203125" style="373" hidden="1" customWidth="1"/>
    <col min="33" max="33" width="4.6640625" style="374" hidden="1" customWidth="1"/>
    <col min="34" max="35" width="15.33203125" style="373" hidden="1" customWidth="1" outlineLevel="1"/>
    <col min="36" max="36" width="7.77734375" style="374" hidden="1" customWidth="1" outlineLevel="1"/>
    <col min="37" max="38" width="15.33203125" style="373" hidden="1" customWidth="1" outlineLevel="1"/>
    <col min="39" max="39" width="7" style="374" hidden="1" customWidth="1" outlineLevel="1"/>
    <col min="40" max="40" width="14.21875" style="373" hidden="1" customWidth="1" outlineLevel="1"/>
    <col min="41" max="41" width="15.33203125" style="373" hidden="1" customWidth="1" outlineLevel="1"/>
    <col min="42" max="42" width="5.77734375" style="374" hidden="1" customWidth="1" outlineLevel="1"/>
    <col min="43" max="43" width="0.21875" style="373" hidden="1" customWidth="1" collapsed="1"/>
    <col min="44" max="44" width="13.21875" style="373" hidden="1" customWidth="1"/>
    <col min="45" max="45" width="5.21875" style="374" hidden="1" customWidth="1"/>
    <col min="46" max="46" width="14.109375" style="373" hidden="1" customWidth="1"/>
    <col min="47" max="47" width="5.21875" style="374" hidden="1" customWidth="1"/>
    <col min="48" max="48" width="0.21875" style="373" hidden="1" customWidth="1"/>
    <col min="49" max="49" width="15.33203125" style="373" hidden="1" customWidth="1" outlineLevel="1"/>
    <col min="50" max="50" width="7.109375" style="374" hidden="1" customWidth="1" outlineLevel="1"/>
    <col min="51" max="51" width="0.33203125" style="373" hidden="1" customWidth="1" outlineLevel="1"/>
    <col min="52" max="52" width="15.33203125" style="373" hidden="1" customWidth="1" outlineLevel="1"/>
    <col min="53" max="53" width="7.88671875" style="374" hidden="1" customWidth="1" outlineLevel="1"/>
    <col min="54" max="54" width="0.21875" style="373" hidden="1" customWidth="1" outlineLevel="1"/>
    <col min="55" max="55" width="15.33203125" style="373" hidden="1" customWidth="1" outlineLevel="1"/>
    <col min="56" max="56" width="6.33203125" style="447" hidden="1" customWidth="1" collapsed="1"/>
    <col min="57" max="57" width="0.109375" style="373" hidden="1" customWidth="1"/>
    <col min="58" max="58" width="13.33203125" style="373" hidden="1" customWidth="1"/>
    <col min="59" max="59" width="7" style="374" hidden="1" customWidth="1"/>
    <col min="60" max="60" width="16.109375" style="373" hidden="1" customWidth="1"/>
    <col min="61" max="61" width="15.109375" style="373" hidden="1" customWidth="1"/>
    <col min="62" max="62" width="6.21875" style="374" hidden="1" customWidth="1"/>
    <col min="63" max="63" width="14.109375" style="373" hidden="1" customWidth="1"/>
    <col min="64" max="64" width="5.88671875" style="377" hidden="1" customWidth="1"/>
    <col min="65" max="65" width="15" style="373" hidden="1" customWidth="1"/>
    <col min="66" max="66" width="15.33203125" style="373" hidden="1" customWidth="1"/>
    <col min="67" max="67" width="6.21875" style="374" hidden="1" customWidth="1"/>
    <col min="68" max="68" width="15.33203125" style="373" hidden="1" customWidth="1"/>
    <col min="69" max="69" width="6.88671875" style="374" hidden="1" customWidth="1"/>
    <col min="70" max="70" width="15.33203125" style="373" hidden="1" customWidth="1"/>
    <col min="71" max="71" width="6.21875" style="374" hidden="1" customWidth="1"/>
    <col min="72" max="72" width="15.33203125" style="373" hidden="1" customWidth="1"/>
    <col min="73" max="73" width="5.21875" style="379" hidden="1" customWidth="1"/>
    <col min="74" max="74" width="15.33203125" style="373" hidden="1" customWidth="1"/>
    <col min="75" max="75" width="6.21875" style="379" hidden="1" customWidth="1"/>
    <col min="76" max="76" width="15.33203125" style="373" hidden="1" customWidth="1"/>
    <col min="77" max="77" width="6.109375" style="379" hidden="1" customWidth="1"/>
    <col min="78" max="78" width="15.33203125" style="373" hidden="1" customWidth="1"/>
    <col min="79" max="79" width="5.21875" style="379" hidden="1" customWidth="1"/>
    <col min="80" max="80" width="15.33203125" style="373" hidden="1" customWidth="1"/>
    <col min="81" max="81" width="5.21875" style="379" hidden="1" customWidth="1"/>
    <col min="82" max="82" width="15.33203125" style="373" hidden="1" customWidth="1"/>
    <col min="83" max="83" width="5.21875" style="379" hidden="1" customWidth="1"/>
    <col min="84" max="84" width="15.33203125" style="373" hidden="1" customWidth="1" outlineLevel="1"/>
    <col min="85" max="85" width="6.21875" style="379" hidden="1" customWidth="1" outlineLevel="1"/>
    <col min="86" max="86" width="15.33203125" style="373" hidden="1" customWidth="1" outlineLevel="1"/>
    <col min="87" max="87" width="6.21875" style="379" hidden="1" customWidth="1" outlineLevel="1"/>
    <col min="88" max="88" width="15.33203125" style="373" hidden="1" customWidth="1" outlineLevel="1"/>
    <col min="89" max="89" width="6.21875" style="379" hidden="1" customWidth="1" outlineLevel="1"/>
    <col min="90" max="90" width="15.33203125" style="373" hidden="1" customWidth="1" collapsed="1"/>
    <col min="91" max="91" width="6.21875" style="379" hidden="1" customWidth="1"/>
    <col min="92" max="92" width="15.33203125" style="373" hidden="1" customWidth="1"/>
    <col min="93" max="93" width="5.21875" style="379" hidden="1" customWidth="1"/>
    <col min="94" max="94" width="15.33203125" style="373" hidden="1" customWidth="1" outlineLevel="1"/>
    <col min="95" max="95" width="6.21875" style="379" hidden="1" customWidth="1" outlineLevel="1"/>
    <col min="96" max="96" width="15.33203125" style="373" hidden="1" customWidth="1" collapsed="1"/>
    <col min="97" max="97" width="5.21875" style="379" hidden="1" customWidth="1"/>
    <col min="98" max="98" width="15.33203125" style="373" hidden="1" customWidth="1"/>
    <col min="99" max="99" width="6.21875" style="379" hidden="1" customWidth="1"/>
    <col min="100" max="100" width="15.33203125" style="373" hidden="1" customWidth="1"/>
    <col min="101" max="101" width="6.21875" style="379" hidden="1" customWidth="1"/>
    <col min="102" max="102" width="15.33203125" style="373" hidden="1" customWidth="1"/>
    <col min="103" max="103" width="6.6640625" style="379" hidden="1" customWidth="1"/>
    <col min="104" max="104" width="16" style="373" hidden="1" customWidth="1"/>
    <col min="105" max="105" width="5" style="379" hidden="1" customWidth="1"/>
    <col min="106" max="106" width="16" style="373" hidden="1" customWidth="1" outlineLevel="1"/>
    <col min="107" max="107" width="5.6640625" style="379" hidden="1" customWidth="1" outlineLevel="1"/>
    <col min="108" max="108" width="16" style="373" hidden="1" customWidth="1" outlineLevel="1"/>
    <col min="109" max="109" width="5.6640625" style="379" hidden="1" customWidth="1" outlineLevel="1"/>
    <col min="110" max="110" width="16" style="373" hidden="1" customWidth="1" outlineLevel="1"/>
    <col min="111" max="111" width="5.21875" style="379" hidden="1" customWidth="1" outlineLevel="1"/>
    <col min="112" max="112" width="16" style="379" hidden="1" customWidth="1" collapsed="1"/>
    <col min="113" max="113" width="5.21875" style="379" hidden="1" customWidth="1"/>
    <col min="114" max="114" width="16" style="373" hidden="1" customWidth="1"/>
    <col min="115" max="115" width="5.6640625" style="379" hidden="1" customWidth="1"/>
    <col min="116" max="116" width="16" style="373" hidden="1" customWidth="1" outlineLevel="1"/>
    <col min="117" max="117" width="6.21875" style="379" hidden="1" customWidth="1" outlineLevel="1"/>
    <col min="118" max="118" width="16" style="373" hidden="1" customWidth="1" outlineLevel="1"/>
    <col min="119" max="119" width="5.21875" style="379" hidden="1" customWidth="1" outlineLevel="1"/>
    <col min="120" max="120" width="16" style="373" hidden="1" customWidth="1" outlineLevel="1"/>
    <col min="121" max="121" width="5.21875" style="379" hidden="1" customWidth="1" outlineLevel="1"/>
    <col min="122" max="122" width="16" style="379" hidden="1" customWidth="1" collapsed="1"/>
    <col min="123" max="123" width="5.21875" style="379" hidden="1" customWidth="1"/>
    <col min="124" max="124" width="15.33203125" style="373" hidden="1" customWidth="1"/>
    <col min="125" max="125" width="5.21875" style="379" hidden="1" customWidth="1"/>
    <col min="126" max="126" width="16.109375" style="373" hidden="1" customWidth="1" outlineLevel="1"/>
    <col min="127" max="127" width="6.33203125" style="379" hidden="1" customWidth="1" outlineLevel="1"/>
    <col min="128" max="128" width="16" style="373" hidden="1" customWidth="1" outlineLevel="1"/>
    <col min="129" max="129" width="6.21875" style="379" hidden="1" customWidth="1" outlineLevel="1"/>
    <col min="130" max="130" width="16" style="373" hidden="1" customWidth="1" outlineLevel="1"/>
    <col min="131" max="131" width="5.21875" style="379" hidden="1" customWidth="1" outlineLevel="1"/>
    <col min="132" max="132" width="16" style="379" hidden="1" customWidth="1" collapsed="1"/>
    <col min="133" max="133" width="5.21875" style="379" hidden="1" customWidth="1"/>
    <col min="134" max="134" width="15.33203125" style="373" hidden="1" customWidth="1"/>
    <col min="135" max="135" width="5.21875" style="379" hidden="1" customWidth="1"/>
    <col min="136" max="136" width="16" style="373" hidden="1" customWidth="1" outlineLevel="1"/>
    <col min="137" max="137" width="6" style="379" hidden="1" customWidth="1" outlineLevel="1"/>
    <col min="138" max="138" width="16" style="373" hidden="1" customWidth="1" outlineLevel="1"/>
    <col min="139" max="139" width="6" style="379" hidden="1" customWidth="1" outlineLevel="1"/>
    <col min="140" max="140" width="16" style="373" hidden="1" customWidth="1" outlineLevel="1"/>
    <col min="141" max="141" width="5.21875" style="379" hidden="1" customWidth="1" outlineLevel="1"/>
    <col min="142" max="142" width="16" style="379" hidden="1" customWidth="1" collapsed="1"/>
    <col min="143" max="143" width="5.109375" style="379" bestFit="1" customWidth="1"/>
    <col min="144" max="144" width="15.33203125" style="373" customWidth="1"/>
    <col min="145" max="145" width="6" style="379" bestFit="1" customWidth="1"/>
    <col min="146" max="146" width="11.88671875" style="379" hidden="1" customWidth="1"/>
    <col min="147" max="147" width="18.6640625" style="379" hidden="1" customWidth="1"/>
    <col min="148" max="148" width="20" style="379" hidden="1" customWidth="1"/>
    <col min="149" max="149" width="11.88671875" style="379" hidden="1" customWidth="1"/>
    <col min="150" max="150" width="16" style="373" hidden="1" customWidth="1" outlineLevel="1"/>
    <col min="151" max="151" width="6" style="379" hidden="1" customWidth="1" outlineLevel="1"/>
    <col min="152" max="152" width="16" style="373" hidden="1" customWidth="1" outlineLevel="1"/>
    <col min="153" max="153" width="6" style="379" hidden="1" customWidth="1" outlineLevel="1"/>
    <col min="154" max="154" width="16" style="373" hidden="1" customWidth="1" outlineLevel="1"/>
    <col min="155" max="155" width="5.21875" style="379" hidden="1" customWidth="1" outlineLevel="1"/>
    <col min="156" max="156" width="16" style="379" customWidth="1" collapsed="1"/>
    <col min="157" max="157" width="5.21875" style="379" customWidth="1"/>
    <col min="158" max="158" width="16" style="373" hidden="1" customWidth="1" outlineLevel="1"/>
    <col min="159" max="159" width="5" style="379" hidden="1" customWidth="1" outlineLevel="1"/>
    <col min="160" max="160" width="16" style="373" hidden="1" customWidth="1" outlineLevel="1"/>
    <col min="161" max="161" width="5" style="379" hidden="1" customWidth="1" outlineLevel="1"/>
    <col min="162" max="162" width="16" style="373" hidden="1" customWidth="1" outlineLevel="1"/>
    <col min="163" max="163" width="5" style="379" hidden="1" customWidth="1" outlineLevel="1"/>
    <col min="164" max="164" width="16" style="379" customWidth="1" collapsed="1"/>
    <col min="165" max="165" width="5.21875" style="379" bestFit="1" customWidth="1"/>
    <col min="166" max="166" width="15.33203125" style="373" hidden="1" customWidth="1"/>
    <col min="167" max="167" width="5.21875" style="379" hidden="1" customWidth="1"/>
    <col min="168" max="168" width="16" style="373" hidden="1" customWidth="1" outlineLevel="1"/>
    <col min="169" max="169" width="5" style="379" hidden="1" customWidth="1" outlineLevel="1"/>
    <col min="170" max="170" width="16" style="373" hidden="1" customWidth="1" outlineLevel="1"/>
    <col min="171" max="171" width="5" style="379" hidden="1" customWidth="1" outlineLevel="1"/>
    <col min="172" max="172" width="16" style="373" hidden="1" customWidth="1" outlineLevel="1"/>
    <col min="173" max="173" width="5" style="379" hidden="1" customWidth="1" outlineLevel="1"/>
    <col min="174" max="174" width="16" style="379" customWidth="1" collapsed="1"/>
    <col min="175" max="175" width="5.21875" style="379" customWidth="1"/>
    <col min="176" max="176" width="15.33203125" style="373" hidden="1" customWidth="1"/>
    <col min="177" max="177" width="5.21875" style="379" hidden="1" customWidth="1"/>
    <col min="178" max="178" width="16" style="373" hidden="1" customWidth="1" outlineLevel="1"/>
    <col min="179" max="179" width="5.21875" style="379" hidden="1" customWidth="1" outlineLevel="1"/>
    <col min="180" max="180" width="16" style="373" hidden="1" customWidth="1" outlineLevel="1"/>
    <col min="181" max="181" width="5.33203125" style="379" hidden="1" customWidth="1" outlineLevel="1"/>
    <col min="182" max="182" width="16" style="373" hidden="1" customWidth="1" outlineLevel="1"/>
    <col min="183" max="183" width="5.21875" style="379" hidden="1" customWidth="1" outlineLevel="1"/>
    <col min="184" max="184" width="16" style="379" customWidth="1" collapsed="1"/>
    <col min="185" max="185" width="5.21875" style="379" customWidth="1"/>
    <col min="186" max="186" width="16" style="373" customWidth="1"/>
    <col min="187" max="187" width="6.109375" style="379" customWidth="1"/>
    <col min="188" max="188" width="16" style="373" customWidth="1"/>
    <col min="189" max="189" width="5.21875" style="379" customWidth="1"/>
    <col min="190" max="190" width="16" style="373" customWidth="1"/>
    <col min="191" max="191" width="5.6640625" style="379" customWidth="1"/>
    <col min="192" max="192" width="16" style="373" customWidth="1"/>
    <col min="193" max="193" width="5.6640625" style="379" customWidth="1"/>
    <col min="194" max="194" width="16" style="373" customWidth="1"/>
    <col min="195" max="195" width="5.21875" style="379" bestFit="1" customWidth="1"/>
    <col min="196" max="196" width="0.77734375" style="379" customWidth="1"/>
    <col min="197" max="197" width="16" style="373" customWidth="1"/>
    <col min="198" max="198" width="1.109375" style="379" customWidth="1"/>
    <col min="199" max="199" width="17" style="379" customWidth="1"/>
    <col min="200" max="200" width="5.77734375" style="379" customWidth="1"/>
    <col min="201" max="201" width="9.33203125" style="379" customWidth="1"/>
    <col min="202" max="203" width="14.6640625" style="379" hidden="1" customWidth="1"/>
    <col min="204" max="204" width="15.88671875" style="379" hidden="1" customWidth="1"/>
    <col min="205" max="205" width="16" style="373" hidden="1" customWidth="1"/>
    <col min="206" max="206" width="5.21875" style="379" hidden="1" customWidth="1"/>
    <col min="207" max="207" width="16" style="373" hidden="1" customWidth="1"/>
    <col min="208" max="208" width="5.21875" style="379" hidden="1" customWidth="1"/>
    <col min="209" max="209" width="16" style="373" hidden="1" customWidth="1"/>
    <col min="210" max="210" width="5.21875" style="379" hidden="1" customWidth="1"/>
    <col min="211" max="211" width="11.88671875" style="373" hidden="1" customWidth="1"/>
    <col min="212" max="212" width="16" style="373" hidden="1" customWidth="1"/>
    <col min="213" max="213" width="5.21875" style="379" hidden="1" customWidth="1"/>
    <col min="214" max="214" width="16" style="373" hidden="1" customWidth="1"/>
    <col min="215" max="215" width="5.21875" style="379" hidden="1" customWidth="1"/>
    <col min="216" max="216" width="16" style="373" hidden="1" customWidth="1"/>
    <col min="217" max="217" width="5.21875" style="379" hidden="1" customWidth="1"/>
    <col min="218" max="218" width="0" style="373" hidden="1" customWidth="1"/>
    <col min="219" max="16384" width="9.109375" style="373"/>
  </cols>
  <sheetData>
    <row r="1" spans="1:218" ht="21">
      <c r="A1" s="372" t="s">
        <v>0</v>
      </c>
      <c r="T1" s="375"/>
      <c r="W1" s="375"/>
      <c r="Z1" s="375"/>
      <c r="BC1" s="376"/>
      <c r="BW1" s="378"/>
      <c r="BX1" s="455"/>
      <c r="BY1" s="455"/>
      <c r="BZ1" s="455"/>
      <c r="CA1" s="455"/>
      <c r="CB1" s="455"/>
      <c r="CF1" s="455"/>
      <c r="CG1" s="455"/>
      <c r="CH1" s="455"/>
      <c r="CI1" s="455"/>
      <c r="CJ1" s="455"/>
      <c r="CK1" s="455"/>
      <c r="CL1" s="455"/>
      <c r="CP1" s="455"/>
      <c r="CQ1" s="455"/>
      <c r="CT1" s="455"/>
      <c r="CU1" s="455"/>
      <c r="CV1" s="455"/>
      <c r="CW1" s="455"/>
      <c r="CX1" s="455"/>
      <c r="DF1" s="479"/>
      <c r="DL1" s="479"/>
      <c r="DN1" s="479"/>
      <c r="DP1" s="479"/>
      <c r="EA1" s="373"/>
      <c r="EB1" s="373"/>
      <c r="EC1" s="373"/>
      <c r="EE1" s="373"/>
      <c r="EF1" s="381"/>
      <c r="EL1" s="514"/>
      <c r="ET1" s="381"/>
      <c r="EZ1" s="514"/>
      <c r="FH1" s="514"/>
      <c r="FR1" s="514"/>
      <c r="GB1" s="514"/>
      <c r="GD1" s="378"/>
      <c r="GF1" s="455"/>
      <c r="GH1" s="455"/>
      <c r="GJ1" s="455"/>
      <c r="GL1" s="455"/>
      <c r="GO1" s="624">
        <v>12.221258333333333</v>
      </c>
      <c r="GP1" s="379" t="s">
        <v>741</v>
      </c>
      <c r="GW1" s="381"/>
      <c r="HD1" s="381"/>
      <c r="HJ1" s="373" t="s">
        <v>729</v>
      </c>
    </row>
    <row r="2" spans="1:218" ht="21.6" thickBot="1">
      <c r="A2" s="372" t="s">
        <v>744</v>
      </c>
      <c r="C2" s="378"/>
      <c r="E2" s="378"/>
      <c r="H2" s="379"/>
      <c r="K2" s="379"/>
      <c r="N2" s="379"/>
      <c r="Q2" s="379"/>
      <c r="Z2" s="378"/>
      <c r="AI2" s="378"/>
      <c r="BC2" s="380"/>
      <c r="BW2" s="378"/>
      <c r="BX2" s="455"/>
      <c r="BY2" s="455"/>
      <c r="BZ2" s="455"/>
      <c r="CA2" s="455"/>
      <c r="CB2" s="455"/>
      <c r="CF2" s="455"/>
      <c r="CG2" s="455"/>
      <c r="CH2" s="455"/>
      <c r="CI2" s="455"/>
      <c r="CJ2" s="455"/>
      <c r="CK2" s="455"/>
      <c r="CL2" s="455"/>
      <c r="CP2" s="455"/>
      <c r="CQ2" s="455"/>
      <c r="CT2" s="455"/>
      <c r="CU2" s="455"/>
      <c r="CV2" s="455"/>
      <c r="CW2" s="455"/>
      <c r="CX2" s="455"/>
      <c r="DF2" s="480"/>
      <c r="DH2" s="378"/>
      <c r="DL2" s="480"/>
      <c r="DN2" s="480"/>
      <c r="DP2" s="480"/>
      <c r="DR2" s="378"/>
      <c r="DS2" s="373"/>
      <c r="EA2" s="373"/>
      <c r="EB2" s="373"/>
      <c r="EC2" s="373"/>
      <c r="EE2" s="373"/>
      <c r="EF2" s="378"/>
      <c r="EH2" s="378"/>
      <c r="EJ2" s="378"/>
      <c r="EL2" s="455"/>
      <c r="EM2" s="514"/>
      <c r="EN2" s="455"/>
      <c r="ET2" s="378"/>
      <c r="EV2" s="378"/>
      <c r="EX2" s="378"/>
      <c r="EZ2" s="455"/>
      <c r="FA2" s="514"/>
      <c r="FB2" s="378"/>
      <c r="FD2" s="378"/>
      <c r="FF2" s="378"/>
      <c r="FH2" s="455"/>
      <c r="FI2" s="514"/>
      <c r="FL2" s="378"/>
      <c r="FN2" s="378"/>
      <c r="FP2" s="378"/>
      <c r="FR2" s="455"/>
      <c r="FS2" s="514"/>
      <c r="FV2" s="378"/>
      <c r="FX2" s="378"/>
      <c r="FZ2" s="378"/>
      <c r="GB2" s="455"/>
      <c r="GC2" s="514"/>
      <c r="GD2" s="381"/>
      <c r="GF2" s="378"/>
      <c r="GH2" s="378"/>
      <c r="GJ2" s="378"/>
      <c r="GL2" s="381"/>
      <c r="GO2" s="624">
        <v>45.588283333333329</v>
      </c>
      <c r="GQ2" s="379" t="s">
        <v>747</v>
      </c>
      <c r="GW2" s="381"/>
      <c r="HD2" s="381"/>
    </row>
    <row r="3" spans="1:218" ht="21.6" thickBot="1">
      <c r="A3" s="372"/>
      <c r="C3" s="376"/>
      <c r="E3" s="376"/>
      <c r="S3" s="638"/>
      <c r="T3" s="638"/>
      <c r="V3" s="638"/>
      <c r="W3" s="638"/>
      <c r="Y3" s="638"/>
      <c r="Z3" s="638"/>
      <c r="BK3" s="381">
        <f>+BK8-'IS Assumption'!R13</f>
        <v>0</v>
      </c>
      <c r="BW3" s="378"/>
      <c r="BX3" s="455"/>
      <c r="BY3" s="455"/>
      <c r="BZ3" s="455"/>
      <c r="CA3" s="455"/>
      <c r="CB3" s="455"/>
      <c r="CF3" s="455"/>
      <c r="CG3" s="455"/>
      <c r="CH3" s="455"/>
      <c r="CI3" s="455"/>
      <c r="CJ3" s="455"/>
      <c r="CK3" s="455"/>
      <c r="CL3" s="455"/>
      <c r="CP3" s="455"/>
      <c r="CQ3" s="455"/>
      <c r="CT3" s="455"/>
      <c r="CU3" s="455"/>
      <c r="CV3" s="455"/>
      <c r="CW3" s="455"/>
      <c r="CX3" s="455"/>
      <c r="DF3" s="481"/>
      <c r="DL3" s="481"/>
      <c r="DN3" s="481"/>
      <c r="DP3" s="481"/>
      <c r="DV3" s="381"/>
      <c r="DX3" s="381"/>
      <c r="DZ3" s="381"/>
      <c r="EF3" s="379"/>
      <c r="EH3" s="381"/>
      <c r="EJ3" s="381"/>
      <c r="EL3" s="511"/>
      <c r="EM3" s="514"/>
      <c r="EN3" s="515"/>
      <c r="ET3" s="379"/>
      <c r="EV3" s="381"/>
      <c r="EX3" s="381"/>
      <c r="EZ3" s="523"/>
      <c r="FA3" s="514"/>
      <c r="FB3" s="381"/>
      <c r="FD3" s="381"/>
      <c r="FF3" s="381"/>
      <c r="FH3" s="523"/>
      <c r="FI3" s="514"/>
      <c r="FL3" s="381"/>
      <c r="FN3" s="381"/>
      <c r="FP3" s="381"/>
      <c r="FR3" s="554"/>
      <c r="FS3" s="514"/>
      <c r="FV3" s="381"/>
      <c r="FX3" s="381"/>
      <c r="FZ3" s="381"/>
      <c r="GB3" s="556"/>
      <c r="GC3" s="556"/>
      <c r="GD3" s="558" t="s">
        <v>580</v>
      </c>
      <c r="GE3" s="557"/>
      <c r="GF3" s="620" t="s">
        <v>738</v>
      </c>
      <c r="GG3" s="574"/>
      <c r="GH3" s="630" t="s">
        <v>745</v>
      </c>
      <c r="GI3" s="574"/>
      <c r="GJ3" s="631" t="s">
        <v>748</v>
      </c>
      <c r="GK3" s="574"/>
      <c r="GL3" s="575" t="s">
        <v>739</v>
      </c>
      <c r="GM3" s="576"/>
      <c r="GO3" s="621" t="s">
        <v>740</v>
      </c>
      <c r="GQ3" s="621" t="s">
        <v>746</v>
      </c>
      <c r="GW3" s="381"/>
      <c r="GX3" s="381"/>
      <c r="GY3" s="381"/>
      <c r="GZ3" s="381"/>
      <c r="HA3" s="381"/>
      <c r="HB3" s="381"/>
      <c r="HC3" s="381"/>
      <c r="HD3" s="381"/>
      <c r="HE3" s="381"/>
      <c r="HF3" s="381"/>
      <c r="HG3" s="381"/>
      <c r="HH3" s="381"/>
      <c r="HI3" s="381"/>
    </row>
    <row r="4" spans="1:218" ht="22.2" thickTop="1" thickBot="1">
      <c r="A4" s="372"/>
      <c r="C4" s="471" t="s">
        <v>179</v>
      </c>
      <c r="E4" s="382" t="s">
        <v>165</v>
      </c>
      <c r="G4" s="633" t="s">
        <v>3</v>
      </c>
      <c r="H4" s="634"/>
      <c r="J4" s="633" t="s">
        <v>4</v>
      </c>
      <c r="K4" s="634"/>
      <c r="M4" s="633" t="s">
        <v>5</v>
      </c>
      <c r="N4" s="634"/>
      <c r="P4" s="635" t="s">
        <v>166</v>
      </c>
      <c r="Q4" s="636"/>
      <c r="S4" s="633" t="s">
        <v>167</v>
      </c>
      <c r="T4" s="634"/>
      <c r="V4" s="633" t="s">
        <v>168</v>
      </c>
      <c r="W4" s="634"/>
      <c r="Y4" s="633" t="s">
        <v>169</v>
      </c>
      <c r="Z4" s="634"/>
      <c r="AB4" s="635" t="s">
        <v>171</v>
      </c>
      <c r="AC4" s="636"/>
      <c r="AE4" s="633" t="s">
        <v>170</v>
      </c>
      <c r="AF4" s="634"/>
      <c r="AH4" s="633" t="s">
        <v>172</v>
      </c>
      <c r="AI4" s="634"/>
      <c r="AK4" s="633" t="s">
        <v>173</v>
      </c>
      <c r="AL4" s="634"/>
      <c r="AN4" s="637">
        <v>44440</v>
      </c>
      <c r="AO4" s="634"/>
      <c r="AQ4" s="635" t="s">
        <v>175</v>
      </c>
      <c r="AR4" s="636"/>
      <c r="AT4" s="383" t="s">
        <v>178</v>
      </c>
      <c r="AV4" s="637">
        <v>44470</v>
      </c>
      <c r="AW4" s="634"/>
      <c r="AY4" s="637">
        <v>44501</v>
      </c>
      <c r="AZ4" s="634"/>
      <c r="BB4" s="637">
        <v>44561</v>
      </c>
      <c r="BC4" s="634"/>
      <c r="BE4" s="635" t="s">
        <v>176</v>
      </c>
      <c r="BF4" s="636"/>
      <c r="BH4" s="384"/>
      <c r="BI4" s="471" t="s">
        <v>177</v>
      </c>
      <c r="BK4" s="382" t="s">
        <v>254</v>
      </c>
      <c r="BN4" s="444">
        <v>44562</v>
      </c>
      <c r="BP4" s="444">
        <v>44620</v>
      </c>
      <c r="BR4" s="444">
        <v>44621</v>
      </c>
      <c r="BT4" s="454" t="s">
        <v>630</v>
      </c>
      <c r="BV4" s="444">
        <v>44652</v>
      </c>
      <c r="BX4" s="444">
        <v>44682</v>
      </c>
      <c r="BZ4" s="444">
        <v>44734</v>
      </c>
      <c r="CB4" s="454" t="s">
        <v>631</v>
      </c>
      <c r="CD4" s="471" t="s">
        <v>634</v>
      </c>
      <c r="CF4" s="444">
        <v>44773</v>
      </c>
      <c r="CH4" s="444">
        <v>44804</v>
      </c>
      <c r="CJ4" s="444">
        <v>44834</v>
      </c>
      <c r="CL4" s="454" t="s">
        <v>632</v>
      </c>
      <c r="CN4" s="471" t="s">
        <v>635</v>
      </c>
      <c r="CP4" s="444" t="s">
        <v>637</v>
      </c>
      <c r="CR4" s="471" t="s">
        <v>640</v>
      </c>
      <c r="CT4" s="444" t="s">
        <v>639</v>
      </c>
      <c r="CV4" s="444" t="s">
        <v>638</v>
      </c>
      <c r="CX4" s="454" t="s">
        <v>633</v>
      </c>
      <c r="CZ4" s="471" t="s">
        <v>636</v>
      </c>
      <c r="DB4" s="476">
        <v>44927</v>
      </c>
      <c r="DD4" s="476">
        <v>44958</v>
      </c>
      <c r="DF4" s="476">
        <v>44986</v>
      </c>
      <c r="DH4" s="454" t="s">
        <v>641</v>
      </c>
      <c r="DJ4" s="454" t="s">
        <v>641</v>
      </c>
      <c r="DL4" s="476">
        <v>45017</v>
      </c>
      <c r="DN4" s="476">
        <v>45047</v>
      </c>
      <c r="DP4" s="476">
        <v>45078</v>
      </c>
      <c r="DR4" s="454" t="s">
        <v>643</v>
      </c>
      <c r="DT4" s="471" t="s">
        <v>644</v>
      </c>
      <c r="DV4" s="476">
        <v>45108</v>
      </c>
      <c r="DX4" s="476">
        <v>45139</v>
      </c>
      <c r="DZ4" s="476">
        <v>45170</v>
      </c>
      <c r="EB4" s="454" t="s">
        <v>645</v>
      </c>
      <c r="ED4" s="471" t="s">
        <v>646</v>
      </c>
      <c r="EF4" s="476">
        <v>45200</v>
      </c>
      <c r="EH4" s="476">
        <v>45231</v>
      </c>
      <c r="EJ4" s="476">
        <v>45261</v>
      </c>
      <c r="EL4" s="454" t="s">
        <v>647</v>
      </c>
      <c r="EN4" s="471" t="s">
        <v>648</v>
      </c>
      <c r="ET4" s="476">
        <v>45292</v>
      </c>
      <c r="EV4" s="476">
        <v>45323</v>
      </c>
      <c r="EX4" s="476">
        <v>45352</v>
      </c>
      <c r="EZ4" s="454" t="s">
        <v>721</v>
      </c>
      <c r="FB4" s="476">
        <v>45383</v>
      </c>
      <c r="FD4" s="476">
        <v>45413</v>
      </c>
      <c r="FF4" s="476">
        <v>45444</v>
      </c>
      <c r="FH4" s="454" t="s">
        <v>732</v>
      </c>
      <c r="FJ4" s="471" t="s">
        <v>733</v>
      </c>
      <c r="FL4" s="476">
        <v>45474</v>
      </c>
      <c r="FN4" s="476">
        <v>45505</v>
      </c>
      <c r="FP4" s="476">
        <v>45536</v>
      </c>
      <c r="FR4" s="454" t="s">
        <v>734</v>
      </c>
      <c r="FT4" s="471" t="s">
        <v>735</v>
      </c>
      <c r="FV4" s="476">
        <v>45566</v>
      </c>
      <c r="FX4" s="476">
        <v>45597</v>
      </c>
      <c r="FZ4" s="476">
        <v>45627</v>
      </c>
      <c r="GB4" s="454" t="s">
        <v>736</v>
      </c>
      <c r="GD4" s="471" t="s">
        <v>737</v>
      </c>
      <c r="GF4" s="471" t="s">
        <v>737</v>
      </c>
      <c r="GG4" s="562"/>
      <c r="GH4" s="471" t="s">
        <v>737</v>
      </c>
      <c r="GI4" s="562"/>
      <c r="GJ4" s="471" t="s">
        <v>737</v>
      </c>
      <c r="GK4" s="562"/>
      <c r="GL4" s="471" t="s">
        <v>737</v>
      </c>
      <c r="GM4" s="563"/>
      <c r="GO4" s="471" t="s">
        <v>737</v>
      </c>
      <c r="GQ4" s="471" t="s">
        <v>737</v>
      </c>
      <c r="GW4" s="542" t="s">
        <v>722</v>
      </c>
      <c r="GX4" s="543"/>
      <c r="GY4" s="544" t="s">
        <v>722</v>
      </c>
      <c r="GZ4" s="543"/>
      <c r="HA4" s="544" t="s">
        <v>722</v>
      </c>
      <c r="HB4" s="545"/>
      <c r="HD4" s="542" t="s">
        <v>722</v>
      </c>
      <c r="HE4" s="543"/>
      <c r="HF4" s="544" t="s">
        <v>722</v>
      </c>
      <c r="HG4" s="543"/>
      <c r="HH4" s="544" t="s">
        <v>722</v>
      </c>
      <c r="HI4" s="545"/>
    </row>
    <row r="5" spans="1:218" s="385" customFormat="1" ht="21.15" customHeight="1">
      <c r="A5" s="410" t="s">
        <v>6</v>
      </c>
      <c r="B5" s="409" t="s">
        <v>7</v>
      </c>
      <c r="C5" s="3" t="s">
        <v>9</v>
      </c>
      <c r="D5" s="4"/>
      <c r="E5" s="3" t="s">
        <v>9</v>
      </c>
      <c r="F5" s="4"/>
      <c r="G5" s="3" t="s">
        <v>8</v>
      </c>
      <c r="H5" s="3" t="s">
        <v>9</v>
      </c>
      <c r="I5" s="4"/>
      <c r="J5" s="3" t="s">
        <v>8</v>
      </c>
      <c r="K5" s="3" t="s">
        <v>9</v>
      </c>
      <c r="L5" s="4"/>
      <c r="M5" s="3" t="s">
        <v>8</v>
      </c>
      <c r="N5" s="3" t="s">
        <v>9</v>
      </c>
      <c r="O5" s="4"/>
      <c r="P5" s="3" t="s">
        <v>8</v>
      </c>
      <c r="Q5" s="3" t="s">
        <v>9</v>
      </c>
      <c r="R5" s="4"/>
      <c r="S5" s="3" t="s">
        <v>8</v>
      </c>
      <c r="T5" s="3" t="s">
        <v>9</v>
      </c>
      <c r="U5" s="4"/>
      <c r="V5" s="3" t="s">
        <v>8</v>
      </c>
      <c r="W5" s="3" t="s">
        <v>9</v>
      </c>
      <c r="X5" s="4"/>
      <c r="Y5" s="3" t="s">
        <v>8</v>
      </c>
      <c r="Z5" s="3" t="s">
        <v>9</v>
      </c>
      <c r="AA5" s="4"/>
      <c r="AB5" s="3" t="s">
        <v>8</v>
      </c>
      <c r="AC5" s="3" t="s">
        <v>9</v>
      </c>
      <c r="AD5" s="402"/>
      <c r="AE5" s="3" t="s">
        <v>8</v>
      </c>
      <c r="AF5" s="3" t="s">
        <v>9</v>
      </c>
      <c r="AG5" s="4"/>
      <c r="AH5" s="3" t="s">
        <v>8</v>
      </c>
      <c r="AI5" s="3" t="s">
        <v>9</v>
      </c>
      <c r="AJ5" s="4"/>
      <c r="AK5" s="3" t="s">
        <v>8</v>
      </c>
      <c r="AL5" s="3" t="s">
        <v>9</v>
      </c>
      <c r="AM5" s="4"/>
      <c r="AN5" s="3" t="s">
        <v>8</v>
      </c>
      <c r="AO5" s="3" t="s">
        <v>9</v>
      </c>
      <c r="AP5" s="4"/>
      <c r="AQ5" s="3" t="s">
        <v>8</v>
      </c>
      <c r="AR5" s="3" t="s">
        <v>9</v>
      </c>
      <c r="AS5" s="4"/>
      <c r="AT5" s="3" t="s">
        <v>9</v>
      </c>
      <c r="AU5" s="4"/>
      <c r="AV5" s="3" t="s">
        <v>8</v>
      </c>
      <c r="AW5" s="3" t="s">
        <v>9</v>
      </c>
      <c r="AX5" s="4"/>
      <c r="AY5" s="3" t="s">
        <v>8</v>
      </c>
      <c r="AZ5" s="3" t="s">
        <v>9</v>
      </c>
      <c r="BA5" s="4"/>
      <c r="BB5" s="3" t="s">
        <v>8</v>
      </c>
      <c r="BC5" s="3" t="s">
        <v>9</v>
      </c>
      <c r="BD5" s="448"/>
      <c r="BE5" s="3" t="s">
        <v>8</v>
      </c>
      <c r="BF5" s="3" t="s">
        <v>9</v>
      </c>
      <c r="BG5" s="4"/>
      <c r="BH5" s="3" t="s">
        <v>8</v>
      </c>
      <c r="BI5" s="3" t="s">
        <v>9</v>
      </c>
      <c r="BJ5" s="4"/>
      <c r="BK5" s="3" t="s">
        <v>255</v>
      </c>
      <c r="BL5" s="282"/>
      <c r="BN5" s="3" t="s">
        <v>9</v>
      </c>
      <c r="BO5" s="4"/>
      <c r="BP5" s="3" t="s">
        <v>9</v>
      </c>
      <c r="BQ5" s="4"/>
      <c r="BR5" s="3" t="s">
        <v>9</v>
      </c>
      <c r="BS5" s="4"/>
      <c r="BT5" s="3" t="s">
        <v>9</v>
      </c>
      <c r="BU5" s="7"/>
      <c r="BV5" s="3" t="s">
        <v>9</v>
      </c>
      <c r="BW5" s="7"/>
      <c r="BX5" s="3" t="s">
        <v>9</v>
      </c>
      <c r="BY5" s="7"/>
      <c r="BZ5" s="3" t="s">
        <v>9</v>
      </c>
      <c r="CA5" s="7"/>
      <c r="CB5" s="3" t="s">
        <v>9</v>
      </c>
      <c r="CC5" s="7"/>
      <c r="CD5" s="3" t="s">
        <v>9</v>
      </c>
      <c r="CE5" s="7"/>
      <c r="CF5" s="3" t="s">
        <v>9</v>
      </c>
      <c r="CG5" s="7"/>
      <c r="CH5" s="3" t="s">
        <v>9</v>
      </c>
      <c r="CI5" s="7"/>
      <c r="CJ5" s="3" t="s">
        <v>9</v>
      </c>
      <c r="CK5" s="7"/>
      <c r="CL5" s="3" t="s">
        <v>9</v>
      </c>
      <c r="CM5" s="7"/>
      <c r="CN5" s="3" t="s">
        <v>9</v>
      </c>
      <c r="CO5" s="7"/>
      <c r="CP5" s="3" t="s">
        <v>9</v>
      </c>
      <c r="CQ5" s="7"/>
      <c r="CR5" s="3" t="s">
        <v>9</v>
      </c>
      <c r="CS5" s="7"/>
      <c r="CT5" s="3" t="s">
        <v>9</v>
      </c>
      <c r="CU5" s="7"/>
      <c r="CV5" s="3" t="s">
        <v>9</v>
      </c>
      <c r="CW5" s="7"/>
      <c r="CX5" s="3" t="s">
        <v>9</v>
      </c>
      <c r="CY5" s="7"/>
      <c r="CZ5" s="3" t="s">
        <v>9</v>
      </c>
      <c r="DA5" s="7"/>
      <c r="DB5" s="3" t="s">
        <v>9</v>
      </c>
      <c r="DC5" s="7"/>
      <c r="DD5" s="3" t="s">
        <v>9</v>
      </c>
      <c r="DE5" s="7"/>
      <c r="DF5" s="3" t="s">
        <v>9</v>
      </c>
      <c r="DG5" s="7"/>
      <c r="DH5" s="3" t="s">
        <v>9</v>
      </c>
      <c r="DI5" s="7"/>
      <c r="DJ5" s="3" t="s">
        <v>255</v>
      </c>
      <c r="DK5" s="7"/>
      <c r="DL5" s="3" t="s">
        <v>9</v>
      </c>
      <c r="DM5" s="7"/>
      <c r="DN5" s="3" t="s">
        <v>9</v>
      </c>
      <c r="DO5" s="7"/>
      <c r="DP5" s="3" t="s">
        <v>642</v>
      </c>
      <c r="DQ5" s="7"/>
      <c r="DR5" s="3" t="s">
        <v>9</v>
      </c>
      <c r="DS5" s="7"/>
      <c r="DT5" s="3" t="s">
        <v>9</v>
      </c>
      <c r="DU5" s="7"/>
      <c r="DV5" s="3" t="s">
        <v>9</v>
      </c>
      <c r="DW5" s="7"/>
      <c r="DX5" s="3" t="s">
        <v>9</v>
      </c>
      <c r="DY5" s="7"/>
      <c r="DZ5" s="3" t="s">
        <v>9</v>
      </c>
      <c r="EA5" s="7"/>
      <c r="EB5" s="3" t="s">
        <v>9</v>
      </c>
      <c r="EC5" s="7"/>
      <c r="ED5" s="3" t="s">
        <v>9</v>
      </c>
      <c r="EE5" s="7"/>
      <c r="EF5" s="3" t="s">
        <v>9</v>
      </c>
      <c r="EG5" s="7"/>
      <c r="EH5" s="3" t="s">
        <v>9</v>
      </c>
      <c r="EI5" s="7"/>
      <c r="EJ5" s="3" t="s">
        <v>9</v>
      </c>
      <c r="EK5" s="7"/>
      <c r="EL5" s="3" t="s">
        <v>9</v>
      </c>
      <c r="EM5" s="7"/>
      <c r="EN5" s="3" t="s">
        <v>9</v>
      </c>
      <c r="EO5" s="7"/>
      <c r="ER5" s="385" t="s">
        <v>715</v>
      </c>
      <c r="ET5" s="3" t="s">
        <v>9</v>
      </c>
      <c r="EU5" s="7"/>
      <c r="EV5" s="3" t="s">
        <v>9</v>
      </c>
      <c r="EW5" s="7"/>
      <c r="EX5" s="3" t="s">
        <v>9</v>
      </c>
      <c r="EY5" s="7"/>
      <c r="EZ5" s="3" t="s">
        <v>9</v>
      </c>
      <c r="FA5" s="7"/>
      <c r="FB5" s="3" t="s">
        <v>9</v>
      </c>
      <c r="FC5" s="7"/>
      <c r="FD5" s="3" t="s">
        <v>9</v>
      </c>
      <c r="FE5" s="7"/>
      <c r="FF5" s="3" t="s">
        <v>9</v>
      </c>
      <c r="FG5" s="7"/>
      <c r="FH5" s="3" t="s">
        <v>9</v>
      </c>
      <c r="FI5" s="7"/>
      <c r="FJ5" s="3" t="s">
        <v>9</v>
      </c>
      <c r="FK5" s="7"/>
      <c r="FL5" s="3" t="s">
        <v>9</v>
      </c>
      <c r="FM5" s="7"/>
      <c r="FN5" s="3" t="s">
        <v>9</v>
      </c>
      <c r="FO5" s="7"/>
      <c r="FP5" s="3" t="s">
        <v>9</v>
      </c>
      <c r="FQ5" s="7"/>
      <c r="FR5" s="3" t="s">
        <v>9</v>
      </c>
      <c r="FS5" s="7"/>
      <c r="FT5" s="3" t="s">
        <v>9</v>
      </c>
      <c r="FU5" s="7"/>
      <c r="FV5" s="3" t="s">
        <v>9</v>
      </c>
      <c r="FW5" s="7"/>
      <c r="FX5" s="3" t="s">
        <v>9</v>
      </c>
      <c r="FY5" s="7"/>
      <c r="FZ5" s="3" t="s">
        <v>9</v>
      </c>
      <c r="GA5" s="7"/>
      <c r="GB5" s="3" t="s">
        <v>9</v>
      </c>
      <c r="GC5" s="7"/>
      <c r="GD5" s="3" t="s">
        <v>9</v>
      </c>
      <c r="GE5" s="7"/>
      <c r="GF5" s="564" t="s">
        <v>9</v>
      </c>
      <c r="GG5" s="525"/>
      <c r="GH5" s="3" t="s">
        <v>9</v>
      </c>
      <c r="GI5" s="525"/>
      <c r="GJ5" s="3" t="s">
        <v>9</v>
      </c>
      <c r="GK5" s="525"/>
      <c r="GL5" s="3" t="s">
        <v>9</v>
      </c>
      <c r="GM5" s="565"/>
      <c r="GN5" s="379"/>
      <c r="GO5" s="585" t="s">
        <v>9</v>
      </c>
      <c r="GP5" s="379"/>
      <c r="GQ5" s="585" t="s">
        <v>9</v>
      </c>
      <c r="GR5" s="379"/>
      <c r="GS5" s="379"/>
      <c r="GT5" s="7"/>
      <c r="GU5" s="7"/>
      <c r="GV5" s="7"/>
      <c r="GW5" s="524" t="s">
        <v>730</v>
      </c>
      <c r="GX5" s="525"/>
      <c r="GY5" s="3" t="s">
        <v>731</v>
      </c>
      <c r="GZ5" s="525"/>
      <c r="HA5" s="3" t="s">
        <v>731</v>
      </c>
      <c r="HB5" s="526"/>
      <c r="HD5" s="524" t="s">
        <v>730</v>
      </c>
      <c r="HE5" s="525"/>
      <c r="HF5" s="3" t="s">
        <v>731</v>
      </c>
      <c r="HG5" s="525"/>
      <c r="HH5" s="3" t="s">
        <v>731</v>
      </c>
      <c r="HI5" s="526"/>
    </row>
    <row r="6" spans="1:218" ht="15" customHeight="1" outlineLevel="1">
      <c r="A6" s="386" t="s">
        <v>10</v>
      </c>
      <c r="B6" s="386" t="s">
        <v>11</v>
      </c>
      <c r="C6" s="375">
        <v>50341874.409999996</v>
      </c>
      <c r="D6" s="4"/>
      <c r="E6" s="375">
        <v>11543120.24</v>
      </c>
      <c r="F6" s="4"/>
      <c r="G6" s="375">
        <v>3497370.25</v>
      </c>
      <c r="H6" s="375">
        <v>2938217.13</v>
      </c>
      <c r="I6" s="4"/>
      <c r="J6" s="375">
        <v>3185557</v>
      </c>
      <c r="K6" s="375">
        <v>3601467.29</v>
      </c>
      <c r="L6" s="4"/>
      <c r="M6" s="375">
        <v>2253193.75</v>
      </c>
      <c r="N6" s="375">
        <v>3597964.56</v>
      </c>
      <c r="O6" s="4"/>
      <c r="P6" s="375">
        <f>+G6+J6+M6</f>
        <v>8936121</v>
      </c>
      <c r="Q6" s="375">
        <f t="shared" ref="P6:Q8" si="0">+H6+K6+N6</f>
        <v>10137648.98</v>
      </c>
      <c r="R6" s="4"/>
      <c r="S6" s="380">
        <v>3514849.09</v>
      </c>
      <c r="T6" s="380">
        <v>3514849.09</v>
      </c>
      <c r="U6" s="4"/>
      <c r="V6" s="375">
        <v>3579117.02</v>
      </c>
      <c r="W6" s="380">
        <v>3579117.02</v>
      </c>
      <c r="X6" s="4"/>
      <c r="Y6" s="375">
        <v>3065366.78</v>
      </c>
      <c r="Z6" s="380">
        <v>3065366.78</v>
      </c>
      <c r="AA6" s="4"/>
      <c r="AB6" s="387">
        <f>+T6+V6+Y6</f>
        <v>10159332.889999999</v>
      </c>
      <c r="AC6" s="375">
        <f>+T6+W6+Z6</f>
        <v>10159332.889999999</v>
      </c>
      <c r="AD6" s="402"/>
      <c r="AE6" s="375">
        <f>+Q6+AB6</f>
        <v>20296981.869999997</v>
      </c>
      <c r="AF6" s="375">
        <f>+AC6+Q6</f>
        <v>20296981.869999997</v>
      </c>
      <c r="AG6" s="4"/>
      <c r="AH6" s="388">
        <v>2190201.7200000002</v>
      </c>
      <c r="AI6" s="388">
        <v>2190201.7200000002</v>
      </c>
      <c r="AJ6" s="4"/>
      <c r="AK6" s="375">
        <v>2719611.88</v>
      </c>
      <c r="AL6" s="375">
        <v>2719611.88</v>
      </c>
      <c r="AM6" s="4"/>
      <c r="AN6" s="375">
        <v>2414392.0099999998</v>
      </c>
      <c r="AO6" s="375">
        <v>2414392.0099999998</v>
      </c>
      <c r="AP6" s="4"/>
      <c r="AQ6" s="375">
        <f>AN6+AK6+AH6</f>
        <v>7324205.6099999994</v>
      </c>
      <c r="AR6" s="375">
        <f>AO6+AL6+AI6</f>
        <v>7324205.6099999994</v>
      </c>
      <c r="AS6" s="4"/>
      <c r="AT6" s="375">
        <f>+AF6+AR6</f>
        <v>27621187.479999997</v>
      </c>
      <c r="AU6" s="4"/>
      <c r="AV6" s="375">
        <v>1750000</v>
      </c>
      <c r="AW6" s="375">
        <v>2009426.66</v>
      </c>
      <c r="AX6" s="4"/>
      <c r="AY6" s="375">
        <v>1750000</v>
      </c>
      <c r="AZ6" s="375">
        <v>2146864.21</v>
      </c>
      <c r="BA6" s="4"/>
      <c r="BB6" s="375">
        <v>2811570.25</v>
      </c>
      <c r="BC6" s="375">
        <v>280770.02</v>
      </c>
      <c r="BD6" s="448"/>
      <c r="BE6" s="375">
        <f>BB6+AY6+AV6</f>
        <v>6311570.25</v>
      </c>
      <c r="BF6" s="375">
        <f>BC6+AZ6+AW6</f>
        <v>4437060.8899999997</v>
      </c>
      <c r="BG6" s="4"/>
      <c r="BH6" s="375">
        <f>Q6+AB6+AQ6+BE6</f>
        <v>33932757.729999997</v>
      </c>
      <c r="BI6" s="388">
        <f>Q6+AC6+AR6+BF6</f>
        <v>32058248.369999997</v>
      </c>
      <c r="BJ6" s="4"/>
      <c r="BK6" s="375">
        <v>15096894</v>
      </c>
      <c r="BL6" s="282"/>
      <c r="BN6" s="375">
        <v>907954.15</v>
      </c>
      <c r="BO6" s="4"/>
      <c r="BP6" s="375">
        <v>936361.21</v>
      </c>
      <c r="BQ6" s="4"/>
      <c r="BR6" s="375">
        <v>3817332.59</v>
      </c>
      <c r="BS6" s="4"/>
      <c r="BT6" s="375">
        <f>SUM(BN6:BS6)</f>
        <v>5661647.9499999993</v>
      </c>
      <c r="BU6" s="7"/>
      <c r="BV6" s="375">
        <v>2310190.21</v>
      </c>
      <c r="BW6" s="7"/>
      <c r="BX6" s="375">
        <v>3589563.23</v>
      </c>
      <c r="BY6" s="7"/>
      <c r="BZ6" s="375">
        <v>2014159.69</v>
      </c>
      <c r="CA6" s="7"/>
      <c r="CB6" s="375">
        <f>+BV6+BX6+BZ6</f>
        <v>7913913.129999999</v>
      </c>
      <c r="CC6" s="7"/>
      <c r="CD6" s="375">
        <f>BT6+CB6</f>
        <v>13575561.079999998</v>
      </c>
      <c r="CE6" s="7"/>
      <c r="CF6" s="375">
        <v>1961077.35</v>
      </c>
      <c r="CG6" s="7"/>
      <c r="CH6" s="375">
        <v>958964.69</v>
      </c>
      <c r="CI6" s="7"/>
      <c r="CJ6" s="375">
        <v>2189482.63</v>
      </c>
      <c r="CK6" s="7"/>
      <c r="CL6" s="375">
        <f>+CF6+CH6+CJ6</f>
        <v>5109524.67</v>
      </c>
      <c r="CM6" s="7"/>
      <c r="CN6" s="375">
        <f>+CL6+CD6</f>
        <v>18685085.75</v>
      </c>
      <c r="CO6" s="7"/>
      <c r="CP6" s="472">
        <v>1981890.6</v>
      </c>
      <c r="CQ6" s="7"/>
      <c r="CR6" s="375">
        <f>+CN6+CP6</f>
        <v>20666976.350000001</v>
      </c>
      <c r="CS6" s="7"/>
      <c r="CT6" s="375">
        <v>2596175.85</v>
      </c>
      <c r="CU6" s="7"/>
      <c r="CV6" s="375">
        <v>4558146.4000000004</v>
      </c>
      <c r="CW6" s="7"/>
      <c r="CX6" s="375">
        <f>+CV6+CT6+CP6</f>
        <v>9136212.8499999996</v>
      </c>
      <c r="CY6" s="7"/>
      <c r="CZ6" s="375">
        <f>+CD6+CL6+CX6</f>
        <v>27821298.600000001</v>
      </c>
      <c r="DA6" s="7"/>
      <c r="DB6" s="375">
        <v>3147527.21</v>
      </c>
      <c r="DC6" s="7"/>
      <c r="DD6" s="375">
        <v>2064286</v>
      </c>
      <c r="DE6" s="7"/>
      <c r="DF6" s="72">
        <v>2808379.73</v>
      </c>
      <c r="DG6" s="7"/>
      <c r="DH6" s="375">
        <f>+DB6+DD6+DF6</f>
        <v>8020192.9399999995</v>
      </c>
      <c r="DI6" s="7"/>
      <c r="DJ6" s="375">
        <v>8873400</v>
      </c>
      <c r="DK6" s="7"/>
      <c r="DL6" s="72">
        <v>2293920.66</v>
      </c>
      <c r="DM6" s="7"/>
      <c r="DN6" s="72">
        <v>1681876</v>
      </c>
      <c r="DO6" s="7"/>
      <c r="DP6" s="72">
        <v>1423275</v>
      </c>
      <c r="DQ6" s="7"/>
      <c r="DR6" s="375">
        <f>+DL6+DN6+DP6</f>
        <v>5399071.6600000001</v>
      </c>
      <c r="DS6" s="7"/>
      <c r="DT6" s="375">
        <f>+DR6+DH6</f>
        <v>13419264.6</v>
      </c>
      <c r="DU6" s="7"/>
      <c r="DV6" s="375">
        <v>1373275</v>
      </c>
      <c r="DW6" s="7"/>
      <c r="DX6" s="375">
        <v>1372275</v>
      </c>
      <c r="DY6" s="7"/>
      <c r="DZ6" s="375">
        <v>1698150</v>
      </c>
      <c r="EA6" s="7"/>
      <c r="EB6" s="375">
        <f>+DV6+DX6+DZ6</f>
        <v>4443700</v>
      </c>
      <c r="EC6" s="7"/>
      <c r="ED6" s="375">
        <f>+EB6+DT6</f>
        <v>17862964.600000001</v>
      </c>
      <c r="EE6" s="7"/>
      <c r="EF6" s="375">
        <v>1461875</v>
      </c>
      <c r="EG6" s="7"/>
      <c r="EH6" s="375">
        <v>1378891</v>
      </c>
      <c r="EI6" s="7"/>
      <c r="EJ6" s="375">
        <v>3241684.14</v>
      </c>
      <c r="EK6" s="7"/>
      <c r="EL6" s="375">
        <f>+EF6+EH6+EJ6</f>
        <v>6082450.1400000006</v>
      </c>
      <c r="EM6" s="7"/>
      <c r="EN6" s="375">
        <f>+EL6+ED6</f>
        <v>23945414.740000002</v>
      </c>
      <c r="EO6" s="7"/>
      <c r="EP6" s="373"/>
      <c r="EQ6" s="373"/>
      <c r="ER6" s="373"/>
      <c r="ES6" s="373"/>
      <c r="ET6" s="375">
        <v>1421964</v>
      </c>
      <c r="EU6" s="7"/>
      <c r="EV6" s="375">
        <v>5061922</v>
      </c>
      <c r="EW6" s="7"/>
      <c r="EX6" s="375">
        <v>1367601</v>
      </c>
      <c r="EY6" s="7"/>
      <c r="EZ6" s="375">
        <f>+ET6+EV6+EX6</f>
        <v>7851487</v>
      </c>
      <c r="FA6" s="7"/>
      <c r="FB6" s="375">
        <v>1487475</v>
      </c>
      <c r="FC6" s="7"/>
      <c r="FD6" s="375">
        <v>6238050.1699999999</v>
      </c>
      <c r="FE6" s="7"/>
      <c r="FF6" s="375">
        <v>1483614</v>
      </c>
      <c r="FG6" s="7"/>
      <c r="FH6" s="375">
        <f>+FB6+FD6+FF6</f>
        <v>9209139.1699999999</v>
      </c>
      <c r="FI6" s="7"/>
      <c r="FJ6" s="375">
        <f>EZ6+FH6</f>
        <v>17060626.170000002</v>
      </c>
      <c r="FK6" s="7"/>
      <c r="FL6" s="375">
        <v>1603629.6</v>
      </c>
      <c r="FM6" s="7"/>
      <c r="FN6" s="375">
        <v>1509674.1</v>
      </c>
      <c r="FO6" s="7"/>
      <c r="FP6" s="375">
        <v>1534885</v>
      </c>
      <c r="FQ6" s="7"/>
      <c r="FR6" s="375">
        <f>+FL6+FN6+FP6</f>
        <v>4648188.7</v>
      </c>
      <c r="FS6" s="7"/>
      <c r="FT6" s="375">
        <f>FJ6+FR6</f>
        <v>21708814.870000001</v>
      </c>
      <c r="FU6" s="7"/>
      <c r="FV6" s="375">
        <v>1529588.5</v>
      </c>
      <c r="FW6" s="7"/>
      <c r="FX6" s="375">
        <v>1511719</v>
      </c>
      <c r="FY6" s="7"/>
      <c r="FZ6" s="375">
        <v>1476954</v>
      </c>
      <c r="GA6" s="7"/>
      <c r="GB6" s="375">
        <f>+FV6+FX6+FZ6</f>
        <v>4518261.5</v>
      </c>
      <c r="GC6" s="7"/>
      <c r="GD6" s="375">
        <f>FT6+GB6</f>
        <v>26227076.370000001</v>
      </c>
      <c r="GE6" s="7"/>
      <c r="GF6" s="566">
        <f>+GO6*$GO$1</f>
        <v>0</v>
      </c>
      <c r="GG6" s="525"/>
      <c r="GH6" s="528">
        <f>+GQ6*$GO$2</f>
        <v>4.5588283333333325E-6</v>
      </c>
      <c r="GI6" s="525"/>
      <c r="GJ6" s="528"/>
      <c r="GK6" s="525"/>
      <c r="GL6" s="528">
        <f>+GD6+GF6+GH6-GJ6</f>
        <v>26227076.370004561</v>
      </c>
      <c r="GM6" s="565"/>
      <c r="GO6" s="586"/>
      <c r="GQ6" s="586">
        <v>9.9999999999999995E-8</v>
      </c>
      <c r="GT6" s="7"/>
      <c r="GU6" s="550">
        <f>+GB8+FR8</f>
        <v>634885539.08999991</v>
      </c>
      <c r="GV6" s="7"/>
      <c r="GW6" s="527">
        <v>37841872.050204553</v>
      </c>
      <c r="GX6" s="525"/>
      <c r="GY6" s="528">
        <f>+GW6</f>
        <v>37841872.050204553</v>
      </c>
      <c r="GZ6" s="525"/>
      <c r="HA6" s="528">
        <f>+GY6</f>
        <v>37841872.050204553</v>
      </c>
      <c r="HB6" s="526"/>
      <c r="HD6" s="527">
        <v>37841872.050204553</v>
      </c>
      <c r="HE6" s="525"/>
      <c r="HF6" s="528">
        <v>37841872.050204553</v>
      </c>
      <c r="HG6" s="525"/>
      <c r="HH6" s="528">
        <v>37841872.050204553</v>
      </c>
      <c r="HI6" s="526"/>
    </row>
    <row r="7" spans="1:218" ht="15" customHeight="1" outlineLevel="1">
      <c r="A7" s="386" t="s">
        <v>10</v>
      </c>
      <c r="B7" s="386" t="s">
        <v>12</v>
      </c>
      <c r="C7" s="375">
        <v>71720129.510000005</v>
      </c>
      <c r="D7" s="4"/>
      <c r="E7" s="375">
        <v>29033111.859999999</v>
      </c>
      <c r="F7" s="4"/>
      <c r="G7" s="375">
        <v>4107546.67</v>
      </c>
      <c r="H7" s="375">
        <v>6408777.9000000004</v>
      </c>
      <c r="I7" s="4"/>
      <c r="J7" s="375">
        <v>6046525.6699999999</v>
      </c>
      <c r="K7" s="375">
        <v>3663733.72</v>
      </c>
      <c r="L7" s="4"/>
      <c r="M7" s="375">
        <v>16818132.07</v>
      </c>
      <c r="N7" s="375">
        <f>18812683.87-2755538+100771</f>
        <v>16157916.870000001</v>
      </c>
      <c r="O7" s="4"/>
      <c r="P7" s="375">
        <f t="shared" si="0"/>
        <v>26972204.41</v>
      </c>
      <c r="Q7" s="375">
        <f t="shared" si="0"/>
        <v>26230428.490000002</v>
      </c>
      <c r="R7" s="4"/>
      <c r="S7" s="380">
        <v>6911265.3300000001</v>
      </c>
      <c r="T7" s="380">
        <v>6911265.3300000001</v>
      </c>
      <c r="U7" s="4"/>
      <c r="V7" s="375">
        <v>7691439.8399999999</v>
      </c>
      <c r="W7" s="380">
        <v>7691439.8399999999</v>
      </c>
      <c r="X7" s="4"/>
      <c r="Y7" s="375">
        <v>12325299.300000001</v>
      </c>
      <c r="Z7" s="375">
        <f>16440869.3-4115571</f>
        <v>12325298.300000001</v>
      </c>
      <c r="AA7" s="4"/>
      <c r="AB7" s="375">
        <f>+T7+V7+Y7</f>
        <v>26928004.469999999</v>
      </c>
      <c r="AC7" s="375">
        <f>+T7+W7+Z7</f>
        <v>26928003.469999999</v>
      </c>
      <c r="AD7" s="402"/>
      <c r="AE7" s="375">
        <f>+Q7+AB7</f>
        <v>53158432.960000001</v>
      </c>
      <c r="AF7" s="375">
        <f>+AC7+Q7</f>
        <v>53158431.960000001</v>
      </c>
      <c r="AG7" s="4"/>
      <c r="AH7" s="375">
        <v>3763710.57</v>
      </c>
      <c r="AI7" s="375">
        <v>3763710.57</v>
      </c>
      <c r="AJ7" s="4"/>
      <c r="AK7" s="375">
        <v>4247424.6500000004</v>
      </c>
      <c r="AL7" s="375">
        <v>4247424.6500000004</v>
      </c>
      <c r="AM7" s="4"/>
      <c r="AN7" s="375">
        <v>11287301.359999999</v>
      </c>
      <c r="AO7" s="375">
        <v>11287301.359999999</v>
      </c>
      <c r="AP7" s="4"/>
      <c r="AQ7" s="375">
        <f>AN7+AK7+AH7</f>
        <v>19298436.579999998</v>
      </c>
      <c r="AR7" s="375">
        <f>AO7+AL7+AI7</f>
        <v>19298436.579999998</v>
      </c>
      <c r="AS7" s="4"/>
      <c r="AT7" s="375">
        <f>+AF7+AR7</f>
        <v>72456868.539999992</v>
      </c>
      <c r="AU7" s="4"/>
      <c r="AV7" s="375">
        <v>5512801.5999999996</v>
      </c>
      <c r="AW7" s="375">
        <v>1216716.43</v>
      </c>
      <c r="AX7" s="4"/>
      <c r="AY7" s="375">
        <v>9422500</v>
      </c>
      <c r="AZ7" s="375">
        <v>2901905.48</v>
      </c>
      <c r="BA7" s="4"/>
      <c r="BB7" s="375">
        <v>26480657.456666671</v>
      </c>
      <c r="BC7" s="375">
        <v>22843984.649999999</v>
      </c>
      <c r="BD7" s="448"/>
      <c r="BE7" s="375">
        <f>BB7+AY7+AV7</f>
        <v>41415959.056666672</v>
      </c>
      <c r="BF7" s="375">
        <f>BC7+AZ7+AW7</f>
        <v>26962606.559999999</v>
      </c>
      <c r="BG7" s="4"/>
      <c r="BH7" s="375">
        <f>Q7+AB7+AQ7+BE7</f>
        <v>113872828.59666666</v>
      </c>
      <c r="BI7" s="388">
        <f>Q7+AC7+AR7+BF7</f>
        <v>99419475.099999994</v>
      </c>
      <c r="BJ7" s="4"/>
      <c r="BK7" s="375">
        <v>270139700.86000001</v>
      </c>
      <c r="BL7" s="282"/>
      <c r="BN7" s="375">
        <v>12591062.25</v>
      </c>
      <c r="BO7" s="4"/>
      <c r="BP7" s="375">
        <v>8316895.7599999998</v>
      </c>
      <c r="BQ7" s="4"/>
      <c r="BR7" s="446">
        <f>18826679.53+8819216</f>
        <v>27645895.530000001</v>
      </c>
      <c r="BS7" s="4"/>
      <c r="BT7" s="375">
        <f>SUM(BN7:BS7)</f>
        <v>48553853.539999999</v>
      </c>
      <c r="BU7" s="7"/>
      <c r="BV7" s="375">
        <v>1379292.93</v>
      </c>
      <c r="BW7" s="7"/>
      <c r="BX7" s="375">
        <v>13097925.619999999</v>
      </c>
      <c r="BY7" s="7"/>
      <c r="BZ7" s="446">
        <f>8457657.48-4492643.95+6717400+1169424</f>
        <v>11851837.530000001</v>
      </c>
      <c r="CA7" s="7"/>
      <c r="CB7" s="375">
        <f>+BV7+BX7+BZ7</f>
        <v>26329056.079999998</v>
      </c>
      <c r="CC7" s="7"/>
      <c r="CD7" s="375">
        <f>BT7+CB7</f>
        <v>74882909.620000005</v>
      </c>
      <c r="CE7" s="7"/>
      <c r="CF7" s="375">
        <v>3089816.95</v>
      </c>
      <c r="CG7" s="7"/>
      <c r="CH7" s="375">
        <v>36121245.210000001</v>
      </c>
      <c r="CI7" s="7"/>
      <c r="CJ7" s="375">
        <f>25741248.11+231556</f>
        <v>25972804.109999999</v>
      </c>
      <c r="CK7" s="7"/>
      <c r="CL7" s="375">
        <f>+CF7+CH7+CJ7</f>
        <v>65183866.270000003</v>
      </c>
      <c r="CM7" s="7"/>
      <c r="CN7" s="375">
        <f>+CL7+CD7</f>
        <v>140066775.89000002</v>
      </c>
      <c r="CO7" s="7"/>
      <c r="CP7" s="472">
        <v>17608204.609999999</v>
      </c>
      <c r="CQ7" s="7"/>
      <c r="CR7" s="375">
        <f>+CN7+CP7</f>
        <v>157674980.5</v>
      </c>
      <c r="CS7" s="7"/>
      <c r="CT7" s="375">
        <v>13068435.619999999</v>
      </c>
      <c r="CU7" s="7"/>
      <c r="CV7" s="375">
        <v>58012816.93</v>
      </c>
      <c r="CW7" s="7"/>
      <c r="CX7" s="375">
        <f>+CV7+CT7+CP7</f>
        <v>88689457.159999996</v>
      </c>
      <c r="CY7" s="7"/>
      <c r="CZ7" s="375">
        <f>+CD7+CL7+CX7</f>
        <v>228756233.05000001</v>
      </c>
      <c r="DA7" s="7"/>
      <c r="DB7" s="375">
        <v>16048781.26</v>
      </c>
      <c r="DC7" s="7"/>
      <c r="DD7" s="375">
        <v>23902924.190000001</v>
      </c>
      <c r="DE7" s="7"/>
      <c r="DF7" s="72">
        <f>17933825.16+10277993</f>
        <v>28211818.16</v>
      </c>
      <c r="DG7" s="7"/>
      <c r="DH7" s="375">
        <f>+DB7+DD7+DF7</f>
        <v>68163523.609999999</v>
      </c>
      <c r="DI7" s="7"/>
      <c r="DJ7" s="375">
        <v>43720688.986666664</v>
      </c>
      <c r="DK7" s="7"/>
      <c r="DL7" s="72">
        <v>6380062.2300000004</v>
      </c>
      <c r="DM7" s="7"/>
      <c r="DN7" s="72">
        <f>17160660.34-1681876</f>
        <v>15478784.34</v>
      </c>
      <c r="DO7" s="7"/>
      <c r="DP7" s="72">
        <v>82482228.230000004</v>
      </c>
      <c r="DQ7" s="7"/>
      <c r="DR7" s="375">
        <f>+DL7+DN7+DP7</f>
        <v>104341074.80000001</v>
      </c>
      <c r="DS7" s="7"/>
      <c r="DT7" s="375">
        <f>+DR7+DH7</f>
        <v>172504598.41000003</v>
      </c>
      <c r="DU7" s="7"/>
      <c r="DV7" s="375">
        <v>44144027.68</v>
      </c>
      <c r="DW7" s="7"/>
      <c r="DX7" s="375">
        <v>24480188.32</v>
      </c>
      <c r="DY7" s="7"/>
      <c r="DZ7" s="375">
        <v>120645239.45999999</v>
      </c>
      <c r="EA7" s="7"/>
      <c r="EB7" s="375">
        <f>+DV7+DX7+DZ7</f>
        <v>189269455.45999998</v>
      </c>
      <c r="EC7" s="7"/>
      <c r="ED7" s="375">
        <f>+EB7+DT7</f>
        <v>361774053.87</v>
      </c>
      <c r="EE7" s="7"/>
      <c r="EF7" s="375">
        <v>13314808.32</v>
      </c>
      <c r="EG7" s="7"/>
      <c r="EH7" s="375">
        <v>11369766.01</v>
      </c>
      <c r="EI7" s="7"/>
      <c r="EJ7" s="375">
        <v>152921352.47</v>
      </c>
      <c r="EK7" s="7"/>
      <c r="EL7" s="375">
        <f>+EF7+EH7+EJ7</f>
        <v>177605926.80000001</v>
      </c>
      <c r="EM7" s="7"/>
      <c r="EN7" s="375">
        <f>+EL7+ED7</f>
        <v>539379980.67000008</v>
      </c>
      <c r="EO7" s="7"/>
      <c r="EP7" s="373"/>
      <c r="EQ7" s="373"/>
      <c r="ER7" s="373"/>
      <c r="ES7" s="373"/>
      <c r="ET7" s="375">
        <v>5953955.3300000001</v>
      </c>
      <c r="EU7" s="7"/>
      <c r="EV7" s="375">
        <v>1032497.83</v>
      </c>
      <c r="EW7" s="7"/>
      <c r="EX7" s="375">
        <f>242919491.62-16000000</f>
        <v>226919491.62</v>
      </c>
      <c r="EY7" s="7"/>
      <c r="EZ7" s="375">
        <f>+ET7+EV7+EX7</f>
        <v>233905944.78</v>
      </c>
      <c r="FA7" s="7"/>
      <c r="FB7" s="375">
        <v>7574478.6500000004</v>
      </c>
      <c r="FC7" s="7"/>
      <c r="FD7" s="375">
        <v>99015678.269999996</v>
      </c>
      <c r="FE7" s="7"/>
      <c r="FF7" s="375">
        <v>159198212.78</v>
      </c>
      <c r="FG7" s="7"/>
      <c r="FH7" s="375">
        <f>+FB7+FD7+FF7</f>
        <v>265788369.69999999</v>
      </c>
      <c r="FI7" s="7"/>
      <c r="FJ7" s="375">
        <f>EZ7+FH7</f>
        <v>499694314.48000002</v>
      </c>
      <c r="FK7" s="7"/>
      <c r="FL7" s="375">
        <v>9330684</v>
      </c>
      <c r="FM7" s="7"/>
      <c r="FN7" s="375">
        <v>3268350.89</v>
      </c>
      <c r="FO7" s="7"/>
      <c r="FP7" s="375">
        <v>275107671.10000002</v>
      </c>
      <c r="FQ7" s="7"/>
      <c r="FR7" s="375">
        <f>+FL7+FN7+FP7</f>
        <v>287706705.99000001</v>
      </c>
      <c r="FS7" s="7"/>
      <c r="FT7" s="375">
        <f>FJ7+FR7</f>
        <v>787401020.47000003</v>
      </c>
      <c r="FU7" s="7"/>
      <c r="FV7" s="375">
        <v>26220351.449999999</v>
      </c>
      <c r="FW7" s="7"/>
      <c r="FX7" s="375">
        <v>24159605.170000002</v>
      </c>
      <c r="FY7" s="7"/>
      <c r="FZ7" s="375">
        <v>287632426.27999997</v>
      </c>
      <c r="GA7" s="7"/>
      <c r="GB7" s="375">
        <f>+FV7+FX7+FZ7</f>
        <v>338012382.89999998</v>
      </c>
      <c r="GC7" s="7"/>
      <c r="GD7" s="375">
        <f>FT7+GB7</f>
        <v>1125413403.3699999</v>
      </c>
      <c r="GE7" s="7"/>
      <c r="GF7" s="566">
        <f>+GO7*$GO$1</f>
        <v>12886284.705021167</v>
      </c>
      <c r="GG7" s="525"/>
      <c r="GH7" s="528">
        <f>+GQ7*$GO$2</f>
        <v>0</v>
      </c>
      <c r="GI7" s="525"/>
      <c r="GJ7" s="528">
        <v>5691172.6500001</v>
      </c>
      <c r="GK7" s="525"/>
      <c r="GL7" s="528">
        <f>+GD7+GF7+GH7-GJ7</f>
        <v>1132608515.4250209</v>
      </c>
      <c r="GM7" s="565"/>
      <c r="GO7" s="586">
        <f>+'KSA IS'!C7</f>
        <v>1054415.54</v>
      </c>
      <c r="GQ7" s="586"/>
      <c r="GT7" s="7"/>
      <c r="GU7" s="7"/>
      <c r="GV7" s="7"/>
      <c r="GW7" s="527">
        <f>1127358274.19022-65000000+87735713+14479581+20295000-1025507-37569933</f>
        <v>1146273128.1902201</v>
      </c>
      <c r="GX7" s="525"/>
      <c r="GY7" s="528">
        <v>862358274.19022012</v>
      </c>
      <c r="GZ7" s="525"/>
      <c r="HA7" s="528">
        <f>+GY7-198000000+25735713</f>
        <v>690093987.19022012</v>
      </c>
      <c r="HB7" s="526"/>
      <c r="HD7" s="527">
        <v>1150093987.1902201</v>
      </c>
      <c r="HE7" s="525"/>
      <c r="HF7" s="528">
        <v>862358274.19022012</v>
      </c>
      <c r="HG7" s="525"/>
      <c r="HH7" s="528">
        <v>690093987.19022012</v>
      </c>
      <c r="HI7" s="526"/>
    </row>
    <row r="8" spans="1:218">
      <c r="A8" s="386" t="s">
        <v>10</v>
      </c>
      <c r="B8" s="386"/>
      <c r="C8" s="389">
        <f>SUM(C6:C7)</f>
        <v>122062003.92</v>
      </c>
      <c r="D8" s="4"/>
      <c r="E8" s="389">
        <f>SUM(E6:E7)</f>
        <v>40576232.100000001</v>
      </c>
      <c r="F8" s="4"/>
      <c r="G8" s="389">
        <f>SUM(G6:G7)</f>
        <v>7604916.9199999999</v>
      </c>
      <c r="H8" s="389">
        <f>SUM(H6:H7)</f>
        <v>9346995.0300000012</v>
      </c>
      <c r="I8" s="4"/>
      <c r="J8" s="389">
        <f>SUM(J6:J7)</f>
        <v>9232082.6699999999</v>
      </c>
      <c r="K8" s="389">
        <f>SUM(K6:K7)</f>
        <v>7265201.0099999998</v>
      </c>
      <c r="L8" s="4"/>
      <c r="M8" s="389">
        <f>SUM(M6:M7)</f>
        <v>19071325.82</v>
      </c>
      <c r="N8" s="389">
        <f>SUM(N6:N7)</f>
        <v>19755881.43</v>
      </c>
      <c r="O8" s="4"/>
      <c r="P8" s="389">
        <f t="shared" si="0"/>
        <v>35908325.409999996</v>
      </c>
      <c r="Q8" s="389">
        <f t="shared" si="0"/>
        <v>36368077.469999999</v>
      </c>
      <c r="R8" s="4"/>
      <c r="S8" s="389">
        <f>SUM(S6:S7)</f>
        <v>10426114.42</v>
      </c>
      <c r="T8" s="389">
        <f>SUM(T6:T7)</f>
        <v>10426114.42</v>
      </c>
      <c r="U8" s="4"/>
      <c r="V8" s="389">
        <f>SUM(V6:V7)</f>
        <v>11270556.859999999</v>
      </c>
      <c r="W8" s="389">
        <f>SUM(W6:W7)</f>
        <v>11270556.859999999</v>
      </c>
      <c r="X8" s="4"/>
      <c r="Y8" s="389">
        <f>SUM(Y6:Y7)</f>
        <v>15390666.08</v>
      </c>
      <c r="Z8" s="389">
        <f>SUM(Z6:Z7)</f>
        <v>15390665.08</v>
      </c>
      <c r="AA8" s="4"/>
      <c r="AB8" s="389">
        <f>SUM(AB6:AB7)</f>
        <v>37087337.359999999</v>
      </c>
      <c r="AC8" s="389">
        <f>SUM(AC6:AC7)</f>
        <v>37087336.359999999</v>
      </c>
      <c r="AD8" s="402"/>
      <c r="AE8" s="389">
        <f>SUM(AE6:AE7)</f>
        <v>73455414.829999998</v>
      </c>
      <c r="AF8" s="389">
        <f>SUM(AF6:AF7)</f>
        <v>73455413.829999998</v>
      </c>
      <c r="AG8" s="4"/>
      <c r="AH8" s="389">
        <f>SUM(AH6:AH7)</f>
        <v>5953912.29</v>
      </c>
      <c r="AI8" s="389">
        <f>SUM(AI6:AI7)</f>
        <v>5953912.29</v>
      </c>
      <c r="AJ8" s="4"/>
      <c r="AK8" s="389">
        <f>SUM(AK6:AK7)</f>
        <v>6967036.5300000003</v>
      </c>
      <c r="AL8" s="389">
        <f>SUM(AL6:AL7)</f>
        <v>6967036.5300000003</v>
      </c>
      <c r="AM8" s="4"/>
      <c r="AN8" s="389">
        <f>SUM(AN6:AN7)</f>
        <v>13701693.369999999</v>
      </c>
      <c r="AO8" s="389">
        <f>SUM(AO6:AO7)</f>
        <v>13701693.369999999</v>
      </c>
      <c r="AP8" s="4"/>
      <c r="AQ8" s="389">
        <f>SUM(AQ6:AQ7)</f>
        <v>26622642.189999998</v>
      </c>
      <c r="AR8" s="389">
        <f>SUM(AR6:AR7)</f>
        <v>26622642.189999998</v>
      </c>
      <c r="AS8" s="4"/>
      <c r="AT8" s="389">
        <f>SUM(AT6:AT7)</f>
        <v>100078056.01999998</v>
      </c>
      <c r="AU8" s="4"/>
      <c r="AV8" s="389">
        <f>SUM(AV6:AV7)</f>
        <v>7262801.5999999996</v>
      </c>
      <c r="AW8" s="389">
        <f>SUM(AW6:AW7)</f>
        <v>3226143.09</v>
      </c>
      <c r="AX8" s="4"/>
      <c r="AY8" s="389">
        <f>SUM(AY6:AY7)</f>
        <v>11172500</v>
      </c>
      <c r="AZ8" s="389">
        <f>SUM(AZ6:AZ7)</f>
        <v>5048769.6899999995</v>
      </c>
      <c r="BA8" s="4"/>
      <c r="BB8" s="389">
        <f>SUM(BB6:BB7)</f>
        <v>29292227.706666671</v>
      </c>
      <c r="BC8" s="389">
        <f>SUM(BC6:BC7)</f>
        <v>23124754.669999998</v>
      </c>
      <c r="BD8" s="448"/>
      <c r="BE8" s="389">
        <f>SUM(BE6:BE7)</f>
        <v>47727529.306666672</v>
      </c>
      <c r="BF8" s="389">
        <f>SUM(BF6:BF7)</f>
        <v>31399667.449999999</v>
      </c>
      <c r="BG8" s="4"/>
      <c r="BH8" s="389">
        <f>SUM(BH6:BH7)</f>
        <v>147805586.32666665</v>
      </c>
      <c r="BI8" s="389">
        <f>SUM(BI6:BI7)</f>
        <v>131477723.47</v>
      </c>
      <c r="BJ8" s="4"/>
      <c r="BK8" s="389">
        <f>+BK7+BK6</f>
        <v>285236594.86000001</v>
      </c>
      <c r="BL8" s="282"/>
      <c r="BN8" s="389">
        <f>SUM(BN6:BN7)</f>
        <v>13499016.4</v>
      </c>
      <c r="BO8" s="4"/>
      <c r="BP8" s="389">
        <f>SUM(BP6:BP7)</f>
        <v>9253256.9699999988</v>
      </c>
      <c r="BQ8" s="4"/>
      <c r="BR8" s="389">
        <f>SUM(BR6:BR7)</f>
        <v>31463228.120000001</v>
      </c>
      <c r="BS8" s="4"/>
      <c r="BT8" s="389">
        <f>SUM(BT6:BT7)</f>
        <v>54215501.489999995</v>
      </c>
      <c r="BU8" s="7"/>
      <c r="BV8" s="389">
        <f>SUM(BV6:BV7)</f>
        <v>3689483.1399999997</v>
      </c>
      <c r="BW8" s="7"/>
      <c r="BX8" s="389">
        <f>SUM(BX6:BX7)</f>
        <v>16687488.85</v>
      </c>
      <c r="BY8" s="7"/>
      <c r="BZ8" s="389">
        <f>SUM(BZ6:BZ7)</f>
        <v>13865997.220000001</v>
      </c>
      <c r="CA8" s="7"/>
      <c r="CB8" s="389">
        <f>SUM(CB6:CB7)</f>
        <v>34242969.209999993</v>
      </c>
      <c r="CC8" s="7"/>
      <c r="CD8" s="389">
        <f>SUM(CD6:CD7)</f>
        <v>88458470.700000003</v>
      </c>
      <c r="CE8" s="7"/>
      <c r="CF8" s="389">
        <f>SUM(CF6:CF7)</f>
        <v>5050894.3000000007</v>
      </c>
      <c r="CG8" s="7"/>
      <c r="CH8" s="389">
        <f>SUM(CH6:CH7)</f>
        <v>37080209.899999999</v>
      </c>
      <c r="CI8" s="7"/>
      <c r="CJ8" s="389">
        <f>SUM(CJ6:CJ7)</f>
        <v>28162286.739999998</v>
      </c>
      <c r="CK8" s="7"/>
      <c r="CL8" s="389">
        <f>SUM(CL6:CL7)</f>
        <v>70293390.939999998</v>
      </c>
      <c r="CM8" s="7"/>
      <c r="CN8" s="389">
        <f>SUM(CN6:CN7)</f>
        <v>158751861.64000002</v>
      </c>
      <c r="CO8" s="7"/>
      <c r="CP8" s="389">
        <f>SUM(CP6:CP7)</f>
        <v>19590095.210000001</v>
      </c>
      <c r="CQ8" s="7"/>
      <c r="CR8" s="389">
        <f>SUM(CR6:CR7)</f>
        <v>178341956.84999999</v>
      </c>
      <c r="CS8" s="7"/>
      <c r="CT8" s="389">
        <f t="shared" ref="CT8" si="1">SUM(CT6:CT7)</f>
        <v>15664611.469999999</v>
      </c>
      <c r="CU8" s="7"/>
      <c r="CV8" s="389">
        <f t="shared" ref="CV8" si="2">SUM(CV6:CV7)</f>
        <v>62570963.329999998</v>
      </c>
      <c r="CW8" s="7"/>
      <c r="CX8" s="389">
        <f>SUM(CX6:CX7)</f>
        <v>97825670.00999999</v>
      </c>
      <c r="CY8" s="7"/>
      <c r="CZ8" s="389">
        <f>SUM(CZ6:CZ7)</f>
        <v>256577531.65000001</v>
      </c>
      <c r="DA8" s="7"/>
      <c r="DB8" s="389">
        <f>SUM(DB6:DB7)</f>
        <v>19196308.469999999</v>
      </c>
      <c r="DC8" s="7"/>
      <c r="DD8" s="389">
        <f>SUM(DD6:DD7)</f>
        <v>25967210.190000001</v>
      </c>
      <c r="DE8" s="7"/>
      <c r="DF8" s="389">
        <f>SUM(DF6:DF7)</f>
        <v>31020197.890000001</v>
      </c>
      <c r="DG8" s="7"/>
      <c r="DH8" s="389">
        <f>SUM(DH6:DH7)</f>
        <v>76183716.549999997</v>
      </c>
      <c r="DI8" s="7"/>
      <c r="DJ8" s="389">
        <f>SUM(DJ6:DJ7)</f>
        <v>52594088.986666664</v>
      </c>
      <c r="DK8" s="7"/>
      <c r="DL8" s="389">
        <f>SUM(DL6:DL7)</f>
        <v>8673982.8900000006</v>
      </c>
      <c r="DM8" s="7"/>
      <c r="DN8" s="389">
        <f>SUM(DN6:DN7)</f>
        <v>17160660.34</v>
      </c>
      <c r="DO8" s="7"/>
      <c r="DP8" s="389">
        <f>SUM(DP6:DP7)</f>
        <v>83905503.230000004</v>
      </c>
      <c r="DQ8" s="7"/>
      <c r="DR8" s="389">
        <f>SUM(DR6:DR7)</f>
        <v>109740146.46000001</v>
      </c>
      <c r="DS8" s="7"/>
      <c r="DT8" s="389">
        <f>SUM(DT6:DT7)</f>
        <v>185923863.01000002</v>
      </c>
      <c r="DU8" s="7"/>
      <c r="DV8" s="389">
        <f>SUM(DV6:DV7)</f>
        <v>45517302.68</v>
      </c>
      <c r="DW8" s="7"/>
      <c r="DX8" s="389">
        <f>SUM(DX6:DX7)</f>
        <v>25852463.32</v>
      </c>
      <c r="DY8" s="7"/>
      <c r="DZ8" s="389">
        <f>SUM(DZ6:DZ7)</f>
        <v>122343389.45999999</v>
      </c>
      <c r="EA8" s="7"/>
      <c r="EB8" s="389">
        <f>SUM(EB6:EB7)</f>
        <v>193713155.45999998</v>
      </c>
      <c r="EC8" s="7"/>
      <c r="ED8" s="389">
        <f>SUM(ED6:ED7)</f>
        <v>379637018.47000003</v>
      </c>
      <c r="EE8" s="7"/>
      <c r="EF8" s="389">
        <f>SUM(EF6:EF7)</f>
        <v>14776683.32</v>
      </c>
      <c r="EG8" s="7"/>
      <c r="EH8" s="389">
        <f>SUM(EH6:EH7)</f>
        <v>12748657.01</v>
      </c>
      <c r="EI8" s="7"/>
      <c r="EJ8" s="389">
        <f>SUM(EJ6:EJ7)</f>
        <v>156163036.60999998</v>
      </c>
      <c r="EK8" s="7"/>
      <c r="EL8" s="389">
        <f>SUM(EL6:EL7)</f>
        <v>183688376.94</v>
      </c>
      <c r="EM8" s="7"/>
      <c r="EN8" s="389">
        <f>SUM(EN6:EN7)</f>
        <v>563325395.41000009</v>
      </c>
      <c r="EO8" s="7"/>
      <c r="EP8" s="381"/>
      <c r="EQ8" s="397" t="s">
        <v>716</v>
      </c>
      <c r="ER8" s="455">
        <v>-13000000</v>
      </c>
      <c r="ES8" s="373"/>
      <c r="ET8" s="389">
        <f>SUM(ET6:ET7)</f>
        <v>7375919.3300000001</v>
      </c>
      <c r="EU8" s="7"/>
      <c r="EV8" s="389">
        <f>SUM(EV6:EV7)</f>
        <v>6094419.8300000001</v>
      </c>
      <c r="EW8" s="7"/>
      <c r="EX8" s="389">
        <f>SUM(EX6:EX7)</f>
        <v>228287092.62</v>
      </c>
      <c r="EY8" s="7"/>
      <c r="EZ8" s="389">
        <f>SUM(EZ6:EZ7)</f>
        <v>241757431.78</v>
      </c>
      <c r="FA8" s="7"/>
      <c r="FB8" s="389">
        <f>SUM(FB6:FB7)</f>
        <v>9061953.6500000004</v>
      </c>
      <c r="FC8" s="7"/>
      <c r="FD8" s="389">
        <f t="shared" ref="FD8" si="3">SUM(FD6:FD7)</f>
        <v>105253728.44</v>
      </c>
      <c r="FE8" s="7"/>
      <c r="FF8" s="389">
        <f t="shared" ref="FF8" si="4">SUM(FF6:FF7)</f>
        <v>160681826.78</v>
      </c>
      <c r="FG8" s="7"/>
      <c r="FH8" s="389">
        <f>SUM(FH6:FH7)</f>
        <v>274997508.87</v>
      </c>
      <c r="FI8" s="7"/>
      <c r="FJ8" s="389">
        <f>SUM(FJ6:FJ7)</f>
        <v>516754940.65000004</v>
      </c>
      <c r="FK8" s="7"/>
      <c r="FL8" s="389">
        <f>SUM(FL6:FL7)</f>
        <v>10934313.6</v>
      </c>
      <c r="FM8" s="7"/>
      <c r="FN8" s="389">
        <f t="shared" ref="FN8" si="5">SUM(FN6:FN7)</f>
        <v>4778024.99</v>
      </c>
      <c r="FO8" s="7"/>
      <c r="FP8" s="389">
        <f t="shared" ref="FP8" si="6">SUM(FP6:FP7)</f>
        <v>276642556.10000002</v>
      </c>
      <c r="FQ8" s="7"/>
      <c r="FR8" s="389">
        <f>SUM(FR6:FR7)</f>
        <v>292354894.69</v>
      </c>
      <c r="FS8" s="7"/>
      <c r="FT8" s="389">
        <f>SUM(FT6:FT7)</f>
        <v>809109835.34000003</v>
      </c>
      <c r="FU8" s="7"/>
      <c r="FV8" s="389">
        <f>SUM(FV6:FV7)</f>
        <v>27749939.949999999</v>
      </c>
      <c r="FW8" s="7"/>
      <c r="FX8" s="389">
        <f t="shared" ref="FX8" si="7">SUM(FX6:FX7)</f>
        <v>25671324.170000002</v>
      </c>
      <c r="FY8" s="7"/>
      <c r="FZ8" s="389">
        <f t="shared" ref="FZ8" si="8">SUM(FZ6:FZ7)</f>
        <v>289109380.27999997</v>
      </c>
      <c r="GA8" s="7"/>
      <c r="GB8" s="389">
        <f>SUM(GB6:GB7)</f>
        <v>342530644.39999998</v>
      </c>
      <c r="GC8" s="7"/>
      <c r="GD8" s="389">
        <f>SUM(GD6:GD7)</f>
        <v>1151640479.7399998</v>
      </c>
      <c r="GE8" s="7"/>
      <c r="GF8" s="567">
        <f t="shared" ref="GF8:GH8" si="9">SUM(GF6:GF7)</f>
        <v>12886284.705021167</v>
      </c>
      <c r="GG8" s="525"/>
      <c r="GH8" s="530">
        <f t="shared" si="9"/>
        <v>4.5588283333333325E-6</v>
      </c>
      <c r="GI8" s="525"/>
      <c r="GJ8" s="530">
        <f t="shared" ref="GJ8" si="10">SUM(GJ6:GJ7)</f>
        <v>5691172.6500001</v>
      </c>
      <c r="GK8" s="525"/>
      <c r="GL8" s="530">
        <f>SUM(GL6:GL7)</f>
        <v>1158835591.7950256</v>
      </c>
      <c r="GM8" s="565"/>
      <c r="GN8" s="378"/>
      <c r="GO8" s="587">
        <f t="shared" ref="GO8" si="11">SUM(GO6:GO7)</f>
        <v>1054415.54</v>
      </c>
      <c r="GP8" s="378"/>
      <c r="GQ8" s="587">
        <f t="shared" ref="GQ8" si="12">SUM(GQ6:GQ7)</f>
        <v>9.9999999999999995E-8</v>
      </c>
      <c r="GT8" s="7">
        <f>+FR8/GU6</f>
        <v>0.46048441284241698</v>
      </c>
      <c r="GU8" s="7">
        <f>+GB8/GU6</f>
        <v>0.53951558715758308</v>
      </c>
      <c r="GV8" s="7"/>
      <c r="GW8" s="529">
        <f>SUM(GW6:GW7)</f>
        <v>1184115000.2404246</v>
      </c>
      <c r="GX8" s="525"/>
      <c r="GY8" s="530">
        <f>SUM(GY6:GY7)</f>
        <v>900200146.24042463</v>
      </c>
      <c r="GZ8" s="525"/>
      <c r="HA8" s="530">
        <f>SUM(HA6:HA7)</f>
        <v>727935859.24042463</v>
      </c>
      <c r="HB8" s="526"/>
      <c r="HC8" s="376"/>
      <c r="HD8" s="529">
        <v>1187935859.2404246</v>
      </c>
      <c r="HE8" s="525"/>
      <c r="HF8" s="530">
        <v>900200146.24042463</v>
      </c>
      <c r="HG8" s="525"/>
      <c r="HH8" s="530">
        <v>727935859.24042463</v>
      </c>
      <c r="HI8" s="526"/>
    </row>
    <row r="9" spans="1:218" outlineLevel="1">
      <c r="A9" s="386" t="s">
        <v>13</v>
      </c>
      <c r="B9" s="386" t="s">
        <v>14</v>
      </c>
      <c r="C9" s="375">
        <v>-26212704.23</v>
      </c>
      <c r="D9" s="4"/>
      <c r="E9" s="375">
        <v>-5592358.4199999999</v>
      </c>
      <c r="F9" s="4"/>
      <c r="G9" s="375">
        <v>-2008056.93</v>
      </c>
      <c r="H9" s="375">
        <v>-1634974.79</v>
      </c>
      <c r="I9" s="4"/>
      <c r="J9" s="375">
        <v>-2008056.93</v>
      </c>
      <c r="K9" s="375">
        <v>-1419078.24</v>
      </c>
      <c r="L9" s="4"/>
      <c r="M9" s="375">
        <v>-2008056.93</v>
      </c>
      <c r="N9" s="375">
        <v>-1481394.2</v>
      </c>
      <c r="O9" s="4"/>
      <c r="P9" s="375">
        <f t="shared" ref="P9:Q70" si="13">+G9+J9+M9</f>
        <v>-6024170.79</v>
      </c>
      <c r="Q9" s="375">
        <f t="shared" si="13"/>
        <v>-4535447.2300000004</v>
      </c>
      <c r="R9" s="7">
        <f>+Q9/Q$8</f>
        <v>-0.12470956799245952</v>
      </c>
      <c r="S9" s="375">
        <v>-1479955.29</v>
      </c>
      <c r="T9" s="375">
        <v>-1479955.29</v>
      </c>
      <c r="U9" s="4"/>
      <c r="V9" s="375">
        <v>-1561478.46</v>
      </c>
      <c r="W9" s="375">
        <v>-1558598.46</v>
      </c>
      <c r="X9" s="4"/>
      <c r="Y9" s="375">
        <v>-1899684.99</v>
      </c>
      <c r="Z9" s="375">
        <f>-1898154.99-4410</f>
        <v>-1902564.99</v>
      </c>
      <c r="AA9" s="4"/>
      <c r="AB9" s="375">
        <f t="shared" ref="AB9:AB17" si="14">+T9+V9+Y9</f>
        <v>-4941118.74</v>
      </c>
      <c r="AC9" s="375">
        <f t="shared" ref="AC9:AC17" si="15">+T9+W9+Z9</f>
        <v>-4941118.74</v>
      </c>
      <c r="AD9" s="7">
        <f>+AC9/AC$8</f>
        <v>-0.13322926974419147</v>
      </c>
      <c r="AE9" s="375">
        <f t="shared" ref="AE9:AE17" si="16">+Q9+AB9</f>
        <v>-9476565.9700000007</v>
      </c>
      <c r="AF9" s="375">
        <f t="shared" ref="AF9:AF17" si="17">+AC9+Q9</f>
        <v>-9476565.9700000007</v>
      </c>
      <c r="AG9" s="4"/>
      <c r="AH9" s="375">
        <v>-1758112.12</v>
      </c>
      <c r="AI9" s="375">
        <v>-1758112.12</v>
      </c>
      <c r="AJ9" s="4"/>
      <c r="AK9" s="375">
        <v>-1407572.04</v>
      </c>
      <c r="AL9" s="375">
        <v>-1407572.04</v>
      </c>
      <c r="AM9" s="4"/>
      <c r="AN9" s="375">
        <v>-1822651.9</v>
      </c>
      <c r="AO9" s="375">
        <v>-1822651.9</v>
      </c>
      <c r="AP9" s="4"/>
      <c r="AQ9" s="375">
        <f>AN9+AK9+AH9</f>
        <v>-4988336.0600000005</v>
      </c>
      <c r="AR9" s="375">
        <f>AO9+AL9+AI9</f>
        <v>-4988336.0600000005</v>
      </c>
      <c r="AS9" s="7">
        <f>+AR9/AR$8</f>
        <v>-0.18737193793160473</v>
      </c>
      <c r="AT9" s="375">
        <f t="shared" ref="AT9:AT17" si="18">+AF9+AR9</f>
        <v>-14464902.030000001</v>
      </c>
      <c r="AU9" s="4"/>
      <c r="AV9" s="375">
        <v>-1768178.4779185597</v>
      </c>
      <c r="AW9" s="375">
        <v>-1847289.03</v>
      </c>
      <c r="AX9" s="4"/>
      <c r="AY9" s="375">
        <v>-1796366.9635052863</v>
      </c>
      <c r="AZ9" s="375">
        <v>-1940504.34</v>
      </c>
      <c r="BA9" s="4"/>
      <c r="BB9" s="375">
        <v>-1787763.7135659351</v>
      </c>
      <c r="BC9" s="375">
        <v>-1769980.99</v>
      </c>
      <c r="BD9" s="448"/>
      <c r="BE9" s="375">
        <f>BB9+AY9+AV9</f>
        <v>-5352309.1549897809</v>
      </c>
      <c r="BF9" s="375">
        <f>BC9+AZ9+AW9</f>
        <v>-5557774.3600000003</v>
      </c>
      <c r="BG9" s="7">
        <f>+BF9/BF$8</f>
        <v>-0.17700105801598229</v>
      </c>
      <c r="BH9" s="375">
        <f t="shared" ref="BH9:BH17" si="19">Q9+AB9+AQ9+BE9</f>
        <v>-19817211.18498978</v>
      </c>
      <c r="BI9" s="388">
        <f t="shared" ref="BI9:BI17" si="20">Q9+AC9+AR9+BF9</f>
        <v>-20022676.390000001</v>
      </c>
      <c r="BJ9" s="7">
        <f>+BI9/BI$8</f>
        <v>-0.1522894971220633</v>
      </c>
      <c r="BK9" s="375">
        <v>-25030161.264000002</v>
      </c>
      <c r="BL9" s="282"/>
      <c r="BN9" s="375">
        <v>-1925561.81</v>
      </c>
      <c r="BO9" s="4"/>
      <c r="BP9" s="375">
        <v>-2079951.74</v>
      </c>
      <c r="BQ9" s="4"/>
      <c r="BR9" s="375">
        <v>-1729637.29</v>
      </c>
      <c r="BS9" s="4"/>
      <c r="BT9" s="375">
        <f t="shared" ref="BT9:BT17" si="21">SUM(BN9:BS9)</f>
        <v>-5735150.8399999999</v>
      </c>
      <c r="BU9" s="7">
        <f>+BT9/BT$8</f>
        <v>-0.10578433625773698</v>
      </c>
      <c r="BV9" s="375">
        <v>-1885403.29</v>
      </c>
      <c r="BW9" s="7"/>
      <c r="BX9" s="375">
        <v>-1745982.02</v>
      </c>
      <c r="BY9" s="7"/>
      <c r="BZ9" s="375">
        <f>-1772789.47+562304</f>
        <v>-1210485.47</v>
      </c>
      <c r="CA9" s="7"/>
      <c r="CB9" s="375">
        <f t="shared" ref="CB9:CB17" si="22">+BV9+BX9+BZ9</f>
        <v>-4841870.78</v>
      </c>
      <c r="CC9" s="7">
        <f>+CB9/CB$8</f>
        <v>-0.14139751580263157</v>
      </c>
      <c r="CD9" s="375">
        <f t="shared" ref="CD9:CD17" si="23">BT9+CB9</f>
        <v>-10577021.620000001</v>
      </c>
      <c r="CE9" s="7">
        <f>+CD9/CD$8</f>
        <v>-0.11957047794632517</v>
      </c>
      <c r="CF9" s="375">
        <v>-2342553.7200000002</v>
      </c>
      <c r="CG9" s="7">
        <f>+CF9/CF$8</f>
        <v>-0.46378989162374668</v>
      </c>
      <c r="CH9" s="375">
        <v>-1979395.84</v>
      </c>
      <c r="CI9" s="7">
        <f>+CH9/CH$8</f>
        <v>-5.3381462654557413E-2</v>
      </c>
      <c r="CJ9" s="375">
        <f>-1775777.1+538556</f>
        <v>-1237221.1000000001</v>
      </c>
      <c r="CK9" s="7">
        <f>+CJ9/CJ$8</f>
        <v>-4.3931840884310243E-2</v>
      </c>
      <c r="CL9" s="375">
        <f t="shared" ref="CL9:CL16" si="24">+CF9+CH9+CJ9</f>
        <v>-5559170.6600000001</v>
      </c>
      <c r="CM9" s="7">
        <f>+CL9/CL$8</f>
        <v>-7.9085253757997187E-2</v>
      </c>
      <c r="CN9" s="375">
        <f t="shared" ref="CN9:CN17" si="25">+CL9+CD9</f>
        <v>-16136192.280000001</v>
      </c>
      <c r="CO9" s="7">
        <f>+CN9/CN$8</f>
        <v>-0.10164411373387154</v>
      </c>
      <c r="CP9" s="472">
        <v>-2455369.66</v>
      </c>
      <c r="CQ9" s="7">
        <f t="shared" ref="CQ9:CQ40" si="26">+CP9/CP$8</f>
        <v>-0.12533730100232626</v>
      </c>
      <c r="CR9" s="375">
        <f t="shared" ref="CR9:CR16" si="27">+CN9+CP9</f>
        <v>-18591561.940000001</v>
      </c>
      <c r="CS9" s="7">
        <f>+CR9/CR$8</f>
        <v>-0.10424670822490194</v>
      </c>
      <c r="CT9" s="375">
        <v>-2065193.98</v>
      </c>
      <c r="CU9" s="7">
        <f t="shared" ref="CU9:CU12" si="28">+CT9/CT$8</f>
        <v>-0.13183818723848631</v>
      </c>
      <c r="CV9" s="375">
        <v>-2041696.95</v>
      </c>
      <c r="CW9" s="7">
        <f>+CV9/CV$8</f>
        <v>-3.2630102548238969E-2</v>
      </c>
      <c r="CX9" s="375">
        <f t="shared" ref="CX9:CX17" si="29">+CV9+CT9+CP9</f>
        <v>-6562260.5899999999</v>
      </c>
      <c r="CY9" s="7">
        <f t="shared" ref="CY9:CY40" si="30">+CX9/CX$8</f>
        <v>-6.7081171939115655E-2</v>
      </c>
      <c r="CZ9" s="375">
        <f t="shared" ref="CZ9:CZ17" si="31">+CD9+CL9+CX9</f>
        <v>-22698452.870000001</v>
      </c>
      <c r="DA9" s="7">
        <f>+CZ9/CZ$8</f>
        <v>-8.8466253159544733E-2</v>
      </c>
      <c r="DB9" s="375">
        <v>-2138549.52</v>
      </c>
      <c r="DC9" s="7">
        <f>+DB9/DB$8</f>
        <v>-0.11140420687353125</v>
      </c>
      <c r="DD9" s="375">
        <v>-2523809.52</v>
      </c>
      <c r="DE9" s="7">
        <f>+DD9/DD$8</f>
        <v>-9.7192170492459054E-2</v>
      </c>
      <c r="DF9" s="72">
        <v>-2561879.86</v>
      </c>
      <c r="DG9" s="7">
        <f>+DF9/DF$8</f>
        <v>-8.2587476362485576E-2</v>
      </c>
      <c r="DH9" s="375">
        <f t="shared" ref="DH9:DH16" si="32">+DB9+DD9+DF9</f>
        <v>-7224238.9000000004</v>
      </c>
      <c r="DI9" s="7">
        <f t="shared" ref="DI9:DI40" si="33">+DH9/DH$8</f>
        <v>-9.4826548600561819E-2</v>
      </c>
      <c r="DJ9" s="375">
        <v>-4203030</v>
      </c>
      <c r="DK9" s="7">
        <f>+DJ9/DJ$8</f>
        <v>-7.9914493833433006E-2</v>
      </c>
      <c r="DL9" s="72">
        <v>-2785270.68</v>
      </c>
      <c r="DM9" s="7">
        <f>+DL9/DL$8</f>
        <v>-0.32110631474856416</v>
      </c>
      <c r="DN9" s="72">
        <v>-2817791.91</v>
      </c>
      <c r="DO9" s="7">
        <f>+DN9/DN$8</f>
        <v>-0.16420066909849462</v>
      </c>
      <c r="DP9" s="72">
        <v>-3210443.77</v>
      </c>
      <c r="DQ9" s="7">
        <f>+DP9/DP$8</f>
        <v>-3.8262612658428362E-2</v>
      </c>
      <c r="DR9" s="375">
        <f t="shared" ref="DR9" si="34">+DL9+DN9+DP9</f>
        <v>-8813506.3599999994</v>
      </c>
      <c r="DS9" s="7">
        <f t="shared" ref="DS9:DS40" si="35">+DR9/DR$8</f>
        <v>-8.0312507722162543E-2</v>
      </c>
      <c r="DT9" s="375">
        <f t="shared" ref="DT9:DT17" si="36">+DR9+DH9</f>
        <v>-16037745.26</v>
      </c>
      <c r="DU9" s="7">
        <f>+DT9/DT$8</f>
        <v>-8.6259746330342765E-2</v>
      </c>
      <c r="DV9" s="375">
        <v>-2899592.17</v>
      </c>
      <c r="DW9" s="7">
        <f>+DV9/DV$8</f>
        <v>-6.3703075518006511E-2</v>
      </c>
      <c r="DX9" s="375">
        <v>-2833937.65</v>
      </c>
      <c r="DY9" s="7">
        <f>+DX9/DX$8</f>
        <v>-0.10961963720523325</v>
      </c>
      <c r="DZ9" s="375">
        <v>-2481601.7200000002</v>
      </c>
      <c r="EA9" s="7">
        <f>+DZ9/DZ$8</f>
        <v>-2.0283905251875962E-2</v>
      </c>
      <c r="EB9" s="375">
        <f>+DV9+DX9+DZ9</f>
        <v>-8215131.540000001</v>
      </c>
      <c r="EC9" s="7">
        <f t="shared" ref="EC9:EC72" si="37">+EB9/EB$8</f>
        <v>-4.2408743590449396E-2</v>
      </c>
      <c r="ED9" s="375">
        <f t="shared" ref="ED9:ED17" si="38">+EB9+DT9</f>
        <v>-24252876.800000001</v>
      </c>
      <c r="EE9" s="7">
        <f>+ED9/ED$8</f>
        <v>-6.3884383292606983E-2</v>
      </c>
      <c r="EF9" s="375">
        <v>-2588250.5699999998</v>
      </c>
      <c r="EG9" s="7">
        <f>+EF9/EF$8</f>
        <v>-0.17515774778071103</v>
      </c>
      <c r="EH9" s="375">
        <v>-1946197.27</v>
      </c>
      <c r="EI9" s="7">
        <f>+EH9/EH$8</f>
        <v>-0.15265900309918212</v>
      </c>
      <c r="EJ9" s="375">
        <v>-2152359.36</v>
      </c>
      <c r="EK9" s="7">
        <f>+EJ9/EJ$8</f>
        <v>-1.3782770921490729E-2</v>
      </c>
      <c r="EL9" s="375">
        <f>+EF9+EH9+EJ9</f>
        <v>-6686807.1999999993</v>
      </c>
      <c r="EM9" s="7">
        <f t="shared" ref="EM9:EM72" si="39">+EL9/EL$8</f>
        <v>-3.6402995722392271E-2</v>
      </c>
      <c r="EN9" s="375">
        <f t="shared" ref="EN9:EN17" si="40">+EL9+ED9</f>
        <v>-30939684</v>
      </c>
      <c r="EO9" s="7">
        <f>+EN9/EN$8</f>
        <v>-5.492328989975935E-2</v>
      </c>
      <c r="EP9" s="373"/>
      <c r="EQ9" s="373"/>
      <c r="ER9" s="378"/>
      <c r="ES9" s="373"/>
      <c r="ET9" s="375">
        <v>-2748406.05</v>
      </c>
      <c r="EU9" s="7">
        <f>+ET9/ET$8</f>
        <v>-0.37261877835640589</v>
      </c>
      <c r="EV9" s="375">
        <v>-2645446.9300000002</v>
      </c>
      <c r="EW9" s="7">
        <f>+EV9/EV$8</f>
        <v>-0.43407691032010837</v>
      </c>
      <c r="EX9" s="375">
        <v>-2573707.7999999998</v>
      </c>
      <c r="EY9" s="7">
        <f>+EX9/EX$8</f>
        <v>-1.1273996135577049E-2</v>
      </c>
      <c r="EZ9" s="375">
        <f t="shared" ref="EZ9" si="41">+ET9+EV9+EX9</f>
        <v>-7967560.7800000003</v>
      </c>
      <c r="FA9" s="7">
        <f t="shared" ref="FA9:FA72" si="42">+EZ9/EZ$8</f>
        <v>-3.2956839098334335E-2</v>
      </c>
      <c r="FB9" s="375">
        <v>-2702181.57</v>
      </c>
      <c r="FC9" s="7">
        <f>+FB9/FB$8</f>
        <v>-0.29818973638206586</v>
      </c>
      <c r="FD9" s="375">
        <v>-3184820.84</v>
      </c>
      <c r="FE9" s="7">
        <f t="shared" ref="FE9" si="43">+FD9/FD$8</f>
        <v>-3.0258508531747743E-2</v>
      </c>
      <c r="FF9" s="375">
        <v>-2825397.25</v>
      </c>
      <c r="FG9" s="7">
        <f t="shared" ref="FG9:FG72" si="44">+FF9/FF$8</f>
        <v>-1.7583800897835424E-2</v>
      </c>
      <c r="FH9" s="375">
        <f t="shared" ref="FH9" si="45">+FB9+FD9+FF9</f>
        <v>-8712399.6600000001</v>
      </c>
      <c r="FI9" s="7">
        <f t="shared" ref="FI9:FI72" si="46">+FH9/FH$8</f>
        <v>-3.1681740303031711E-2</v>
      </c>
      <c r="FJ9" s="375">
        <f t="shared" ref="FJ9" si="47">EZ9+FH9</f>
        <v>-16679960.440000001</v>
      </c>
      <c r="FK9" s="7">
        <f>+FJ9/FJ$8</f>
        <v>-3.2278279563266718E-2</v>
      </c>
      <c r="FL9" s="375">
        <v>-3521866.25</v>
      </c>
      <c r="FM9" s="7">
        <f>+FL9/FL$8</f>
        <v>-0.32209303471961881</v>
      </c>
      <c r="FN9" s="375">
        <v>-3259175.25</v>
      </c>
      <c r="FO9" s="7">
        <f t="shared" ref="FO9:FO72" si="48">+FN9/FN$8</f>
        <v>-0.68211766510664484</v>
      </c>
      <c r="FP9" s="375">
        <v>-3277947.25</v>
      </c>
      <c r="FQ9" s="7">
        <f t="shared" ref="FQ9:FQ72" si="49">+FP9/FP$8</f>
        <v>-1.1849034711836223E-2</v>
      </c>
      <c r="FR9" s="375">
        <f t="shared" ref="FR9" si="50">+FL9+FN9+FP9</f>
        <v>-10058988.75</v>
      </c>
      <c r="FS9" s="7">
        <f t="shared" ref="FS9:FS72" si="51">+FR9/FR$8</f>
        <v>-3.4406773865257499E-2</v>
      </c>
      <c r="FT9" s="375">
        <f t="shared" ref="FT9" si="52">FJ9+FR9</f>
        <v>-26738949.190000001</v>
      </c>
      <c r="FU9" s="7">
        <f>+FT9/FT$8</f>
        <v>-3.3047366404542464E-2</v>
      </c>
      <c r="FV9" s="375">
        <v>-3671542.87</v>
      </c>
      <c r="FW9" s="7">
        <f>+FV9/FV$8</f>
        <v>-0.13230813748121284</v>
      </c>
      <c r="FX9" s="375">
        <v>-3262146.09</v>
      </c>
      <c r="FY9" s="7">
        <f t="shared" ref="FY9:FY72" si="53">+FX9/FX$8</f>
        <v>-0.12707354199563284</v>
      </c>
      <c r="FZ9" s="375">
        <f>-5760570.27</f>
        <v>-5760570.2699999996</v>
      </c>
      <c r="GA9" s="7">
        <f t="shared" ref="GA9:GA72" si="54">+FZ9/FZ$8</f>
        <v>-1.9925227830452738E-2</v>
      </c>
      <c r="GB9" s="375">
        <f t="shared" ref="GB9" si="55">+FV9+FX9+FZ9</f>
        <v>-12694259.23</v>
      </c>
      <c r="GC9" s="7">
        <f t="shared" ref="GC9:GC72" si="56">+GB9/GB$8</f>
        <v>-3.7060214721039431E-2</v>
      </c>
      <c r="GD9" s="375">
        <f>FT9+GB9</f>
        <v>-39433208.420000002</v>
      </c>
      <c r="GE9" s="7">
        <f>+GD9/GD$8</f>
        <v>-3.4240901664816997E-2</v>
      </c>
      <c r="GF9" s="566">
        <f t="shared" ref="GF9:GF17" si="57">+GO9*$GO$1</f>
        <v>-1795699.4289995835</v>
      </c>
      <c r="GG9" s="525">
        <f t="shared" ref="GG9:GG72" si="58">+GF9/GF$8</f>
        <v>-0.13934966284734385</v>
      </c>
      <c r="GH9" s="528">
        <f t="shared" ref="GH9:GH17" si="59">+GQ9*$GO$2</f>
        <v>0</v>
      </c>
      <c r="GI9" s="525">
        <f t="shared" ref="GI9:GI72" si="60">+GH9/GH$8</f>
        <v>0</v>
      </c>
      <c r="GJ9" s="528"/>
      <c r="GK9" s="525">
        <f t="shared" ref="GK9:GK72" si="61">+GJ9/GJ$8</f>
        <v>0</v>
      </c>
      <c r="GL9" s="528">
        <f t="shared" ref="GL9:GL17" si="62">+GD9+GF9+GH9-GJ9</f>
        <v>-41228907.848999582</v>
      </c>
      <c r="GM9" s="565">
        <f>+GL9/GL$8</f>
        <v>-3.5577875016020506E-2</v>
      </c>
      <c r="GN9" s="378"/>
      <c r="GO9" s="586">
        <f>-'KSA IS'!B32-'KSA IS'!B33</f>
        <v>-146932.45000000001</v>
      </c>
      <c r="GP9" s="378"/>
      <c r="GQ9" s="586"/>
      <c r="GS9" s="514"/>
      <c r="GT9" s="551">
        <f>+GV9*GT$8</f>
        <v>-16511044.740439244</v>
      </c>
      <c r="GU9" s="551">
        <f>+GV9*GU$8</f>
        <v>-19344772.047195461</v>
      </c>
      <c r="GV9" s="550">
        <f t="shared" ref="GV9:GV40" si="63">+GW9-FJ9</f>
        <v>-35855816.787634701</v>
      </c>
      <c r="GW9" s="527">
        <f>-60535777.2276347+5000000+3000000</f>
        <v>-52535777.227634698</v>
      </c>
      <c r="GX9" s="525">
        <f>+GW9/GW$8</f>
        <v>-4.4367124153454479E-2</v>
      </c>
      <c r="GY9" s="528">
        <f>+GW9</f>
        <v>-52535777.227634698</v>
      </c>
      <c r="GZ9" s="525">
        <f>+GY9/GY$8</f>
        <v>-5.8360107412828051E-2</v>
      </c>
      <c r="HA9" s="528">
        <f>+GY9</f>
        <v>-52535777.227634698</v>
      </c>
      <c r="HB9" s="526">
        <f>+HA9/HA$8</f>
        <v>-7.2170887806590436E-2</v>
      </c>
      <c r="HD9" s="527">
        <v>-52535777.227634698</v>
      </c>
      <c r="HE9" s="525">
        <v>-4.4224422403770586E-2</v>
      </c>
      <c r="HF9" s="528">
        <v>-52535777.227634698</v>
      </c>
      <c r="HG9" s="525">
        <v>-5.8360107412828051E-2</v>
      </c>
      <c r="HH9" s="528">
        <v>-52535777.227634698</v>
      </c>
      <c r="HI9" s="526">
        <v>-7.2170887806590436E-2</v>
      </c>
      <c r="HJ9" s="373" t="s">
        <v>723</v>
      </c>
    </row>
    <row r="10" spans="1:218" ht="15" customHeight="1" outlineLevel="1">
      <c r="A10" s="386" t="s">
        <v>13</v>
      </c>
      <c r="B10" s="386" t="s">
        <v>15</v>
      </c>
      <c r="C10" s="375">
        <v>-42780023.68</v>
      </c>
      <c r="D10" s="4"/>
      <c r="E10" s="375">
        <v>-19764762.039999999</v>
      </c>
      <c r="F10" s="4"/>
      <c r="G10" s="375">
        <v>-2864166.67</v>
      </c>
      <c r="H10" s="375">
        <v>-1889926.66</v>
      </c>
      <c r="I10" s="4"/>
      <c r="J10" s="375">
        <v>-7211166.6699999999</v>
      </c>
      <c r="K10" s="375">
        <v>-3771915.9</v>
      </c>
      <c r="L10" s="4"/>
      <c r="M10" s="375">
        <v>-8299666.6699999999</v>
      </c>
      <c r="N10" s="375">
        <f>-8221963.4-100771</f>
        <v>-8322734.4000000004</v>
      </c>
      <c r="O10" s="4"/>
      <c r="P10" s="375">
        <f t="shared" si="13"/>
        <v>-18375000.009999998</v>
      </c>
      <c r="Q10" s="375">
        <f t="shared" si="13"/>
        <v>-13984576.960000001</v>
      </c>
      <c r="R10" s="7">
        <f t="shared" ref="R10:R73" si="64">+Q10/Q$8</f>
        <v>-0.38452890372156373</v>
      </c>
      <c r="S10" s="375">
        <v>-1711700</v>
      </c>
      <c r="T10" s="375">
        <v>-1711700</v>
      </c>
      <c r="U10" s="4"/>
      <c r="V10" s="375">
        <v>-6044617.6399999997</v>
      </c>
      <c r="W10" s="375">
        <v>-6037970.0199999996</v>
      </c>
      <c r="X10" s="4"/>
      <c r="Y10" s="375">
        <v>-2413667.08</v>
      </c>
      <c r="Z10" s="375">
        <f>-2410967.08-9347.62</f>
        <v>-2420314.7000000002</v>
      </c>
      <c r="AA10" s="4"/>
      <c r="AB10" s="375">
        <f t="shared" si="14"/>
        <v>-10169984.719999999</v>
      </c>
      <c r="AC10" s="375">
        <f t="shared" si="15"/>
        <v>-10169984.719999999</v>
      </c>
      <c r="AD10" s="7">
        <f t="shared" ref="AD10:AD73" si="65">+AC10/AC$8</f>
        <v>-0.27421717810310814</v>
      </c>
      <c r="AE10" s="375">
        <f t="shared" si="16"/>
        <v>-24154561.68</v>
      </c>
      <c r="AF10" s="375">
        <f t="shared" si="17"/>
        <v>-24154561.68</v>
      </c>
      <c r="AG10" s="4"/>
      <c r="AH10" s="375">
        <v>-4578271.4800000004</v>
      </c>
      <c r="AI10" s="375">
        <v>-4578271.4800000004</v>
      </c>
      <c r="AJ10" s="4"/>
      <c r="AK10" s="375">
        <v>-2213540.42</v>
      </c>
      <c r="AL10" s="375">
        <v>-2213540.42</v>
      </c>
      <c r="AM10" s="4"/>
      <c r="AN10" s="375">
        <v>2038019.85</v>
      </c>
      <c r="AO10" s="375">
        <v>2038019.85</v>
      </c>
      <c r="AP10" s="4"/>
      <c r="AQ10" s="375">
        <f t="shared" ref="AQ10:AQ17" si="66">AN10+AK10+AH10</f>
        <v>-4753792.0500000007</v>
      </c>
      <c r="AR10" s="375">
        <f t="shared" ref="AR10:AR17" si="67">AO10+AL10+AI10</f>
        <v>-4753792.0500000007</v>
      </c>
      <c r="AS10" s="7">
        <f t="shared" ref="AS10:AS73" si="68">+AR10/AR$8</f>
        <v>-0.17856199306114032</v>
      </c>
      <c r="AT10" s="375">
        <f t="shared" si="18"/>
        <v>-28908353.73</v>
      </c>
      <c r="AU10" s="4"/>
      <c r="AV10" s="375">
        <v>-6770824.7683189949</v>
      </c>
      <c r="AW10" s="375">
        <v>-7444048.0199999996</v>
      </c>
      <c r="AX10" s="4"/>
      <c r="AY10" s="375">
        <v>-3000772.7292781565</v>
      </c>
      <c r="AZ10" s="375">
        <v>-2769189.27</v>
      </c>
      <c r="BA10" s="4"/>
      <c r="BB10" s="375">
        <v>-3645518.4533310346</v>
      </c>
      <c r="BC10" s="375">
        <v>-2017959.12</v>
      </c>
      <c r="BD10" s="448"/>
      <c r="BE10" s="375">
        <f t="shared" ref="BE10:BE17" si="69">BB10+AY10+AV10</f>
        <v>-13417115.950928185</v>
      </c>
      <c r="BF10" s="375">
        <f t="shared" ref="BF10:BF17" si="70">BC10+AZ10+AW10</f>
        <v>-12231196.41</v>
      </c>
      <c r="BG10" s="7">
        <f t="shared" ref="BG10:BG73" si="71">+BF10/BF$8</f>
        <v>-0.38953267353791671</v>
      </c>
      <c r="BH10" s="375">
        <f t="shared" si="19"/>
        <v>-42325469.680928186</v>
      </c>
      <c r="BI10" s="388">
        <f t="shared" si="20"/>
        <v>-41139550.140000001</v>
      </c>
      <c r="BJ10" s="7">
        <f t="shared" ref="BJ10:BJ73" si="72">+BI10/BI$8</f>
        <v>-0.31290129654083221</v>
      </c>
      <c r="BK10" s="375">
        <v>-133694933.8599999</v>
      </c>
      <c r="BL10" s="282"/>
      <c r="BN10" s="375">
        <v>-9501726.7400000002</v>
      </c>
      <c r="BO10" s="4"/>
      <c r="BP10" s="375">
        <v>-6105801.3600000003</v>
      </c>
      <c r="BQ10" s="4"/>
      <c r="BR10" s="375">
        <v>-14373028.380000001</v>
      </c>
      <c r="BS10" s="4"/>
      <c r="BT10" s="375">
        <f t="shared" si="21"/>
        <v>-29980556.480000004</v>
      </c>
      <c r="BU10" s="7">
        <f t="shared" ref="BU10:BU73" si="73">+BT10/BT$8</f>
        <v>-0.5529886408139173</v>
      </c>
      <c r="BV10" s="375">
        <v>-375291.7</v>
      </c>
      <c r="BW10" s="7"/>
      <c r="BX10" s="375">
        <v>-4748795.78</v>
      </c>
      <c r="BY10" s="7"/>
      <c r="BZ10" s="375">
        <f>-10171516.4+6629051-2000000-947233</f>
        <v>-6489698.4000000004</v>
      </c>
      <c r="CA10" s="7"/>
      <c r="CB10" s="375">
        <f t="shared" si="22"/>
        <v>-11613785.880000001</v>
      </c>
      <c r="CC10" s="7">
        <f t="shared" ref="CC10:CC18" si="74">+CB10/CB$8</f>
        <v>-0.33915826074476102</v>
      </c>
      <c r="CD10" s="375">
        <f>BT10+CB10</f>
        <v>-41594342.360000007</v>
      </c>
      <c r="CE10" s="7">
        <f t="shared" ref="CE10:CE73" si="75">+CD10/CD$8</f>
        <v>-0.47021322017948936</v>
      </c>
      <c r="CF10" s="375">
        <v>-1648830.98</v>
      </c>
      <c r="CG10" s="7">
        <f>+CF10/CF$8</f>
        <v>-0.32644337459209943</v>
      </c>
      <c r="CH10" s="375">
        <v>-22879473.140000001</v>
      </c>
      <c r="CI10" s="7">
        <f t="shared" ref="CG10:CM73" si="76">+CH10/CH$8</f>
        <v>-0.61702652713408723</v>
      </c>
      <c r="CJ10" s="375">
        <f>-15097094.29+1078170.96</f>
        <v>-14018923.329999998</v>
      </c>
      <c r="CK10" s="7">
        <f>+CJ10/CJ$8</f>
        <v>-0.49779066094403379</v>
      </c>
      <c r="CL10" s="375">
        <f t="shared" si="24"/>
        <v>-38547227.450000003</v>
      </c>
      <c r="CM10" s="7">
        <f>+CL10/CL$8</f>
        <v>-0.54837626887145874</v>
      </c>
      <c r="CN10" s="375">
        <f>+CL10+CD10</f>
        <v>-80141569.810000002</v>
      </c>
      <c r="CO10" s="7">
        <f t="shared" ref="CO10:CO28" si="77">+CN10/CN$8</f>
        <v>-0.50482286621454697</v>
      </c>
      <c r="CP10" s="472">
        <v>-11208411.18</v>
      </c>
      <c r="CQ10" s="7">
        <f t="shared" si="26"/>
        <v>-0.57214684563036378</v>
      </c>
      <c r="CR10" s="375">
        <f t="shared" si="27"/>
        <v>-91349980.99000001</v>
      </c>
      <c r="CS10" s="7">
        <f t="shared" ref="CS10:CS28" si="78">+CR10/CR$8</f>
        <v>-0.51221811515073112</v>
      </c>
      <c r="CT10" s="375">
        <v>-6549777.5999999996</v>
      </c>
      <c r="CU10" s="7">
        <f t="shared" ref="CU10:CU25" si="79">+CT10/CT$8</f>
        <v>-0.41812576153221376</v>
      </c>
      <c r="CV10" s="375">
        <f>-47461840.77+6664169.96</f>
        <v>-40797670.810000002</v>
      </c>
      <c r="CW10" s="7">
        <f t="shared" ref="CW10:CW73" si="80">+CV10/CV$8</f>
        <v>-0.65202241804769101</v>
      </c>
      <c r="CX10" s="375">
        <f t="shared" si="29"/>
        <v>-58555859.590000004</v>
      </c>
      <c r="CY10" s="7">
        <f t="shared" si="30"/>
        <v>-0.59857356033456532</v>
      </c>
      <c r="CZ10" s="375">
        <f t="shared" si="31"/>
        <v>-138697429.40000001</v>
      </c>
      <c r="DA10" s="7">
        <f t="shared" ref="DA10:DA73" si="81">+CZ10/CZ$8</f>
        <v>-0.54056732289871179</v>
      </c>
      <c r="DB10" s="375">
        <v>-3293518.45</v>
      </c>
      <c r="DC10" s="7">
        <f>+DB10/DB$8</f>
        <v>-0.1715704066303744</v>
      </c>
      <c r="DD10" s="375">
        <v>-9955025.6600000001</v>
      </c>
      <c r="DE10" s="7">
        <f t="shared" ref="DE10:DE28" si="82">+DD10/DD$8</f>
        <v>-0.3833690869045952</v>
      </c>
      <c r="DF10" s="72">
        <f>-10127002.2+1312759.72</f>
        <v>-8814242.4799999986</v>
      </c>
      <c r="DG10" s="7">
        <f>+DF10/DF$8</f>
        <v>-0.28414526919705602</v>
      </c>
      <c r="DH10" s="375">
        <f>+DB10+DD10+DF10</f>
        <v>-22062786.589999996</v>
      </c>
      <c r="DI10" s="7">
        <f t="shared" si="33"/>
        <v>-0.28959976736656068</v>
      </c>
      <c r="DJ10" s="375">
        <v>-14558997.777000001</v>
      </c>
      <c r="DK10" s="7">
        <f>+DJ10/DJ$8</f>
        <v>-0.27681813788410536</v>
      </c>
      <c r="DL10" s="72">
        <v>-941088.02</v>
      </c>
      <c r="DM10" s="7">
        <f>+DL10/DL$8</f>
        <v>-0.10849548955012983</v>
      </c>
      <c r="DN10" s="72">
        <v>-4929099.63</v>
      </c>
      <c r="DO10" s="7">
        <f>+DN10/DN$8</f>
        <v>-0.28723251508630465</v>
      </c>
      <c r="DP10" s="72">
        <f>-41954379.79+1115000+2500000+500000</f>
        <v>-37839379.789999999</v>
      </c>
      <c r="DQ10" s="7">
        <f>+DP10/DP$8</f>
        <v>-0.45097613783777074</v>
      </c>
      <c r="DR10" s="375">
        <f>+DL10+DN10+DP10</f>
        <v>-43709567.439999998</v>
      </c>
      <c r="DS10" s="7">
        <f t="shared" si="35"/>
        <v>-0.39830061148981627</v>
      </c>
      <c r="DT10" s="375">
        <f t="shared" si="36"/>
        <v>-65772354.029999994</v>
      </c>
      <c r="DU10" s="7">
        <f t="shared" ref="DU10:DU73" si="83">+DT10/DT$8</f>
        <v>-0.35375961409785461</v>
      </c>
      <c r="DV10" s="375">
        <v>-31325034.760000002</v>
      </c>
      <c r="DW10" s="7">
        <f>+DV10/DV$8</f>
        <v>-0.68820059440306014</v>
      </c>
      <c r="DX10" s="375">
        <v>-3469391.88</v>
      </c>
      <c r="DY10" s="7">
        <f t="shared" ref="DY10:DY28" si="84">+DX10/DX$8</f>
        <v>-0.13419966357000906</v>
      </c>
      <c r="DZ10" s="375">
        <v>-70493819.950000003</v>
      </c>
      <c r="EA10" s="7">
        <f>+DZ10/DZ$8</f>
        <v>-0.57619639492698427</v>
      </c>
      <c r="EB10" s="375">
        <f>+DV10+DX10+DZ10</f>
        <v>-105288246.59</v>
      </c>
      <c r="EC10" s="7">
        <f t="shared" si="37"/>
        <v>-0.54352656813615885</v>
      </c>
      <c r="ED10" s="375">
        <f t="shared" si="38"/>
        <v>-171060600.62</v>
      </c>
      <c r="EE10" s="7">
        <f t="shared" ref="EE10:EE73" si="85">+ED10/ED$8</f>
        <v>-0.45058988533152672</v>
      </c>
      <c r="EF10" s="375">
        <v>-9264317.5199999996</v>
      </c>
      <c r="EG10" s="7">
        <f>+EF10/EF$8</f>
        <v>-0.62695513731832475</v>
      </c>
      <c r="EH10" s="375">
        <v>942298.16</v>
      </c>
      <c r="EI10" s="7">
        <f t="shared" ref="EI10:EI28" si="86">+EH10/EH$8</f>
        <v>7.3913523539057085E-2</v>
      </c>
      <c r="EJ10" s="375">
        <v>-72644091.950000003</v>
      </c>
      <c r="EK10" s="7">
        <f>+EJ10/EJ$8</f>
        <v>-0.46518109231841231</v>
      </c>
      <c r="EL10" s="375">
        <f>+EF10+EH10+EJ10</f>
        <v>-80966111.310000002</v>
      </c>
      <c r="EM10" s="7">
        <f t="shared" si="39"/>
        <v>-0.44077971975574037</v>
      </c>
      <c r="EN10" s="375">
        <f t="shared" si="40"/>
        <v>-252026711.93000001</v>
      </c>
      <c r="EO10" s="7">
        <f>+EN10/EN$8</f>
        <v>-0.44739099991501297</v>
      </c>
      <c r="EP10" s="373"/>
      <c r="EQ10" s="373"/>
      <c r="ER10" s="373"/>
      <c r="ES10" s="373"/>
      <c r="ET10" s="375">
        <v>-2653448.17</v>
      </c>
      <c r="EU10" s="7">
        <f>+ET10/ET$8</f>
        <v>-0.35974473842300009</v>
      </c>
      <c r="EV10" s="375">
        <v>-1562011.51</v>
      </c>
      <c r="EW10" s="7">
        <f t="shared" ref="EW10:EW28" si="87">+EV10/EV$8</f>
        <v>-0.25630192103125921</v>
      </c>
      <c r="EX10" s="375">
        <v>-123997869.58</v>
      </c>
      <c r="EY10" s="7">
        <f>+EX10/EX$8</f>
        <v>-0.54316636195636003</v>
      </c>
      <c r="EZ10" s="375">
        <f>+ET10+EV10+EX10</f>
        <v>-128213329.25999999</v>
      </c>
      <c r="FA10" s="7">
        <f t="shared" si="42"/>
        <v>-0.53033872967625872</v>
      </c>
      <c r="FB10" s="375">
        <v>-6093982.8399999999</v>
      </c>
      <c r="FC10" s="7">
        <f>+FB10/FB$8</f>
        <v>-0.67248002752695601</v>
      </c>
      <c r="FD10" s="375">
        <v>-69571289.590000004</v>
      </c>
      <c r="FE10" s="7">
        <f t="shared" ref="FE10:FE25" si="88">+FD10/FD$8</f>
        <v>-0.66098646215330215</v>
      </c>
      <c r="FF10" s="375">
        <v>-90514743.849999994</v>
      </c>
      <c r="FG10" s="7">
        <f t="shared" si="44"/>
        <v>-0.56331662182263864</v>
      </c>
      <c r="FH10" s="375">
        <f>+FB10+FD10+FF10</f>
        <v>-166180016.28</v>
      </c>
      <c r="FI10" s="7">
        <f t="shared" si="46"/>
        <v>-0.6042964424036239</v>
      </c>
      <c r="FJ10" s="375">
        <f>EZ10+FH10</f>
        <v>-294393345.53999996</v>
      </c>
      <c r="FK10" s="7">
        <f t="shared" ref="FK10:FK73" si="89">+FJ10/FJ$8</f>
        <v>-0.5696962377750997</v>
      </c>
      <c r="FL10" s="375">
        <v>3645761.56</v>
      </c>
      <c r="FM10" s="7">
        <f>+FL10/FL$8</f>
        <v>0.33342390691995522</v>
      </c>
      <c r="FN10" s="375">
        <v>-4454292.8499999996</v>
      </c>
      <c r="FO10" s="7">
        <f t="shared" si="48"/>
        <v>-0.93224561598619837</v>
      </c>
      <c r="FP10" s="375">
        <v>-162360093.68000001</v>
      </c>
      <c r="FQ10" s="7">
        <f t="shared" si="49"/>
        <v>-0.58689485800337426</v>
      </c>
      <c r="FR10" s="375">
        <f>+FL10+FN10+FP10</f>
        <v>-163168624.97</v>
      </c>
      <c r="FS10" s="7">
        <f t="shared" si="51"/>
        <v>-0.55811832787344529</v>
      </c>
      <c r="FT10" s="375">
        <f>FJ10+FR10</f>
        <v>-457561970.50999999</v>
      </c>
      <c r="FU10" s="7">
        <f t="shared" ref="FU10:FU73" si="90">+FT10/FT$8</f>
        <v>-0.5655128024957522</v>
      </c>
      <c r="FV10" s="375">
        <v>-5774703.1799999997</v>
      </c>
      <c r="FW10" s="7">
        <f>+FV10/FV$8</f>
        <v>-0.20809786220816667</v>
      </c>
      <c r="FX10" s="375">
        <v>-24624499.550000001</v>
      </c>
      <c r="FY10" s="7">
        <f t="shared" si="53"/>
        <v>-0.959222024813845</v>
      </c>
      <c r="FZ10" s="375">
        <v>-164889369.06</v>
      </c>
      <c r="GA10" s="7">
        <f t="shared" si="54"/>
        <v>-0.57033559028872072</v>
      </c>
      <c r="GB10" s="375">
        <f>+FV10+FX10+FZ10</f>
        <v>-195288571.78999999</v>
      </c>
      <c r="GC10" s="7">
        <f t="shared" si="56"/>
        <v>-0.57013459958328916</v>
      </c>
      <c r="GD10" s="375">
        <f>FT10+GB10</f>
        <v>-652850542.29999995</v>
      </c>
      <c r="GE10" s="7">
        <f t="shared" ref="GE10:GE73" si="91">+GD10/GD$8</f>
        <v>-0.56688745644594818</v>
      </c>
      <c r="GF10" s="566">
        <f t="shared" si="57"/>
        <v>-301461.77930833335</v>
      </c>
      <c r="GG10" s="525">
        <f t="shared" si="58"/>
        <v>-2.3394002709785557E-2</v>
      </c>
      <c r="GH10" s="528">
        <f t="shared" si="59"/>
        <v>0</v>
      </c>
      <c r="GI10" s="525">
        <f t="shared" si="60"/>
        <v>0</v>
      </c>
      <c r="GJ10" s="528">
        <v>-5691172.6500001</v>
      </c>
      <c r="GK10" s="525">
        <f t="shared" si="61"/>
        <v>-1</v>
      </c>
      <c r="GL10" s="528">
        <f t="shared" si="62"/>
        <v>-647460831.42930818</v>
      </c>
      <c r="GM10" s="565">
        <f t="shared" ref="GM10:GM73" si="92">+GL10/GL$8</f>
        <v>-0.55871672911460835</v>
      </c>
      <c r="GO10" s="586">
        <f>-'KSA IS'!D42</f>
        <v>-24667</v>
      </c>
      <c r="GQ10" s="586"/>
      <c r="GT10" s="551">
        <f t="shared" ref="GT10:GT20" si="93">+GV10*GT$8</f>
        <v>-162590603.52090859</v>
      </c>
      <c r="GU10" s="551">
        <f t="shared" ref="GU10:GU73" si="94">+GV10*GU$8</f>
        <v>-190495405.44363144</v>
      </c>
      <c r="GV10" s="550">
        <f t="shared" si="63"/>
        <v>-353086008.96454</v>
      </c>
      <c r="GW10" s="527">
        <f>-672479354.50454+25000000</f>
        <v>-647479354.50453997</v>
      </c>
      <c r="GX10" s="525">
        <f>+GW10/GW$8</f>
        <v>-0.54680445258532717</v>
      </c>
      <c r="GY10" s="528">
        <f>-GY8*0.55</f>
        <v>-495110080.43223357</v>
      </c>
      <c r="GZ10" s="525">
        <f>+GY10/GY$8</f>
        <v>-0.55000000000000004</v>
      </c>
      <c r="HA10" s="528">
        <v>-388284574</v>
      </c>
      <c r="HB10" s="526">
        <f>+HA10/HA$8</f>
        <v>-0.53340492719394428</v>
      </c>
      <c r="HD10" s="527">
        <v>-645784573.86224973</v>
      </c>
      <c r="HE10" s="525">
        <v>-0.54361905892391305</v>
      </c>
      <c r="HF10" s="528">
        <v>-495110080.43223357</v>
      </c>
      <c r="HG10" s="525">
        <v>-0.55000000000000004</v>
      </c>
      <c r="HH10" s="528">
        <v>-388284574</v>
      </c>
      <c r="HI10" s="526">
        <v>-0.53340492719394428</v>
      </c>
      <c r="HJ10" s="373" t="s">
        <v>723</v>
      </c>
    </row>
    <row r="11" spans="1:218" outlineLevel="1">
      <c r="A11" s="386" t="s">
        <v>13</v>
      </c>
      <c r="B11" s="386" t="s">
        <v>16</v>
      </c>
      <c r="C11" s="375">
        <v>-59550.55</v>
      </c>
      <c r="D11" s="4"/>
      <c r="E11" s="375">
        <v>-430</v>
      </c>
      <c r="F11" s="4"/>
      <c r="G11" s="375">
        <v>-145.19</v>
      </c>
      <c r="H11" s="375">
        <v>-6600</v>
      </c>
      <c r="I11" s="4"/>
      <c r="J11" s="375">
        <v>-145.19</v>
      </c>
      <c r="K11" s="375"/>
      <c r="L11" s="4"/>
      <c r="M11" s="375">
        <v>-145.19</v>
      </c>
      <c r="N11" s="375">
        <v>-537.73</v>
      </c>
      <c r="O11" s="4"/>
      <c r="P11" s="375">
        <f t="shared" si="13"/>
        <v>-435.57</v>
      </c>
      <c r="Q11" s="375">
        <f t="shared" si="13"/>
        <v>-7137.73</v>
      </c>
      <c r="R11" s="7">
        <f t="shared" si="64"/>
        <v>-1.9626360524247971E-4</v>
      </c>
      <c r="S11" s="375">
        <v>-69</v>
      </c>
      <c r="T11" s="375">
        <v>-69</v>
      </c>
      <c r="U11" s="4"/>
      <c r="V11" s="375">
        <v>-400</v>
      </c>
      <c r="W11" s="375">
        <v>-400</v>
      </c>
      <c r="X11" s="4"/>
      <c r="Y11" s="375">
        <v>-5818.95</v>
      </c>
      <c r="Z11" s="375">
        <v>-5818.95</v>
      </c>
      <c r="AA11" s="4"/>
      <c r="AB11" s="375">
        <f t="shared" si="14"/>
        <v>-6287.95</v>
      </c>
      <c r="AC11" s="375">
        <f t="shared" si="15"/>
        <v>-6287.95</v>
      </c>
      <c r="AD11" s="7">
        <f t="shared" si="65"/>
        <v>-1.6954439485661677E-4</v>
      </c>
      <c r="AE11" s="375">
        <f t="shared" si="16"/>
        <v>-13425.68</v>
      </c>
      <c r="AF11" s="375">
        <f t="shared" si="17"/>
        <v>-13425.68</v>
      </c>
      <c r="AG11" s="4"/>
      <c r="AH11" s="375"/>
      <c r="AI11" s="375"/>
      <c r="AJ11" s="4"/>
      <c r="AK11" s="375">
        <v>-8595</v>
      </c>
      <c r="AL11" s="375">
        <v>-8595</v>
      </c>
      <c r="AM11" s="4"/>
      <c r="AN11" s="375"/>
      <c r="AO11" s="375"/>
      <c r="AP11" s="4"/>
      <c r="AQ11" s="375">
        <f t="shared" si="66"/>
        <v>-8595</v>
      </c>
      <c r="AR11" s="375">
        <f t="shared" si="67"/>
        <v>-8595</v>
      </c>
      <c r="AS11" s="7">
        <f t="shared" si="68"/>
        <v>-3.2284549139260325E-4</v>
      </c>
      <c r="AT11" s="375">
        <f t="shared" si="18"/>
        <v>-22020.68</v>
      </c>
      <c r="AU11" s="4"/>
      <c r="AV11" s="375">
        <v>-84.430868639214808</v>
      </c>
      <c r="AW11" s="375">
        <v>-3320</v>
      </c>
      <c r="AX11" s="4"/>
      <c r="AY11" s="375">
        <v>-85.302030628934418</v>
      </c>
      <c r="AZ11" s="375"/>
      <c r="BA11" s="4"/>
      <c r="BB11" s="375">
        <v>-145.65573523140381</v>
      </c>
      <c r="BC11" s="375">
        <v>-100</v>
      </c>
      <c r="BD11" s="448"/>
      <c r="BE11" s="375">
        <f t="shared" si="69"/>
        <v>-315.38863449955301</v>
      </c>
      <c r="BF11" s="375">
        <f t="shared" si="70"/>
        <v>-3420</v>
      </c>
      <c r="BG11" s="7">
        <f t="shared" si="71"/>
        <v>-1.0891835098081588E-4</v>
      </c>
      <c r="BH11" s="375">
        <f t="shared" si="19"/>
        <v>-22336.068634499552</v>
      </c>
      <c r="BI11" s="388">
        <f t="shared" si="20"/>
        <v>-25440.68</v>
      </c>
      <c r="BJ11" s="7">
        <f t="shared" si="72"/>
        <v>-1.9349802634668328E-4</v>
      </c>
      <c r="BK11" s="375">
        <v>0</v>
      </c>
      <c r="BL11" s="282"/>
      <c r="BN11" s="375">
        <v>0</v>
      </c>
      <c r="BO11" s="4"/>
      <c r="BP11" s="375">
        <v>-33.14</v>
      </c>
      <c r="BQ11" s="4"/>
      <c r="BR11" s="375">
        <v>-34</v>
      </c>
      <c r="BS11" s="4"/>
      <c r="BT11" s="375">
        <f t="shared" si="21"/>
        <v>-67.14</v>
      </c>
      <c r="BU11" s="7">
        <f t="shared" si="73"/>
        <v>-1.2383912009443262E-6</v>
      </c>
      <c r="BV11" s="375">
        <v>-1103.1400000000001</v>
      </c>
      <c r="BW11" s="7"/>
      <c r="BX11" s="375">
        <v>-33.14</v>
      </c>
      <c r="BY11" s="7"/>
      <c r="BZ11" s="375">
        <v>-419.44</v>
      </c>
      <c r="CA11" s="7"/>
      <c r="CB11" s="375">
        <f t="shared" si="22"/>
        <v>-1555.7200000000003</v>
      </c>
      <c r="CC11" s="7">
        <f t="shared" si="74"/>
        <v>-4.5431807927032289E-5</v>
      </c>
      <c r="CD11" s="375">
        <f t="shared" si="23"/>
        <v>-1622.8600000000004</v>
      </c>
      <c r="CE11" s="7">
        <f t="shared" si="75"/>
        <v>-1.8346010135126611E-5</v>
      </c>
      <c r="CF11" s="375">
        <v>-33.14</v>
      </c>
      <c r="CG11" s="7">
        <f t="shared" si="76"/>
        <v>-6.561214318026809E-6</v>
      </c>
      <c r="CH11" s="375">
        <v>-1833.14</v>
      </c>
      <c r="CI11" s="7">
        <f t="shared" si="76"/>
        <v>-4.9437152727660266E-5</v>
      </c>
      <c r="CJ11" s="375">
        <v>-33.14</v>
      </c>
      <c r="CK11" s="7">
        <f t="shared" si="76"/>
        <v>-1.1767510325406198E-6</v>
      </c>
      <c r="CL11" s="375">
        <f t="shared" si="24"/>
        <v>-1899.4200000000003</v>
      </c>
      <c r="CM11" s="7">
        <f t="shared" si="76"/>
        <v>-2.7021317005766293E-5</v>
      </c>
      <c r="CN11" s="375">
        <f t="shared" si="25"/>
        <v>-3522.2800000000007</v>
      </c>
      <c r="CO11" s="7">
        <f t="shared" si="77"/>
        <v>-2.218733036332789E-5</v>
      </c>
      <c r="CP11" s="472">
        <v>-33.14</v>
      </c>
      <c r="CQ11" s="7">
        <f t="shared" si="26"/>
        <v>-1.6916712065331509E-6</v>
      </c>
      <c r="CR11" s="375">
        <f t="shared" si="27"/>
        <v>-3555.4200000000005</v>
      </c>
      <c r="CS11" s="7">
        <f t="shared" si="78"/>
        <v>-1.9935970552293513E-5</v>
      </c>
      <c r="CT11" s="375">
        <v>-321.14</v>
      </c>
      <c r="CU11" s="7">
        <f t="shared" si="28"/>
        <v>-2.0500987248552549E-5</v>
      </c>
      <c r="CV11" s="375">
        <v>-33.14</v>
      </c>
      <c r="CW11" s="7">
        <f>+CV11/CV$8</f>
        <v>-5.2963864125312009E-7</v>
      </c>
      <c r="CX11" s="375">
        <f t="shared" si="29"/>
        <v>-387.41999999999996</v>
      </c>
      <c r="CY11" s="7">
        <f t="shared" si="30"/>
        <v>-3.9603102126506969E-6</v>
      </c>
      <c r="CZ11" s="375">
        <f t="shared" si="31"/>
        <v>-3909.7000000000007</v>
      </c>
      <c r="DA11" s="7">
        <f t="shared" si="81"/>
        <v>-1.5237889205876615E-5</v>
      </c>
      <c r="DB11" s="375">
        <v>-33.14</v>
      </c>
      <c r="DC11" s="7">
        <f t="shared" ref="DC11:DC28" si="95">+DB11/DB$8</f>
        <v>-1.7263735916617099E-6</v>
      </c>
      <c r="DD11" s="375">
        <v>-100.78</v>
      </c>
      <c r="DE11" s="7">
        <f t="shared" si="82"/>
        <v>-3.8810484169304598E-6</v>
      </c>
      <c r="DF11" s="72">
        <v>-33.14</v>
      </c>
      <c r="DG11" s="7">
        <f t="shared" ref="DG11:DG28" si="96">+DF11/DF$8</f>
        <v>-1.0683361891344789E-6</v>
      </c>
      <c r="DH11" s="375">
        <f t="shared" si="32"/>
        <v>-167.06</v>
      </c>
      <c r="DI11" s="7">
        <f t="shared" si="33"/>
        <v>-2.1928570508942966E-6</v>
      </c>
      <c r="DJ11" s="375">
        <v>0</v>
      </c>
      <c r="DK11" s="7">
        <f t="shared" ref="DK11:DK28" si="97">+DJ11/DJ$8</f>
        <v>0</v>
      </c>
      <c r="DL11" s="72">
        <v>-66.959999999999994</v>
      </c>
      <c r="DM11" s="7">
        <f t="shared" ref="DM11:DM28" si="98">+DL11/DL$8</f>
        <v>-7.7196370858877713E-6</v>
      </c>
      <c r="DN11" s="72">
        <v>-33.14</v>
      </c>
      <c r="DO11" s="7">
        <f t="shared" ref="DO11:DO28" si="99">+DN11/DN$8</f>
        <v>-1.9311611175447342E-6</v>
      </c>
      <c r="DP11" s="72">
        <v>-26127.46</v>
      </c>
      <c r="DQ11" s="7">
        <f t="shared" ref="DQ11:DQ28" si="100">+DP11/DP$8</f>
        <v>-3.1139149393312086E-4</v>
      </c>
      <c r="DR11" s="375">
        <f t="shared" ref="DR11:DR16" si="101">+DL11+DN11+DP11</f>
        <v>-26227.559999999998</v>
      </c>
      <c r="DS11" s="7">
        <f t="shared" si="35"/>
        <v>-2.3899694729822394E-4</v>
      </c>
      <c r="DT11" s="375">
        <f t="shared" si="36"/>
        <v>-26394.62</v>
      </c>
      <c r="DU11" s="7">
        <f t="shared" si="83"/>
        <v>-1.4196467076730407E-4</v>
      </c>
      <c r="DV11" s="375">
        <v>-8213.14</v>
      </c>
      <c r="DW11" s="7">
        <f t="shared" ref="DW11:DW28" si="102">+DV11/DV$8</f>
        <v>-1.80439953960822E-4</v>
      </c>
      <c r="DX11" s="375">
        <v>-34</v>
      </c>
      <c r="DY11" s="7">
        <f t="shared" si="84"/>
        <v>-1.3151551393439904E-6</v>
      </c>
      <c r="DZ11" s="375">
        <v>-37880.160000000003</v>
      </c>
      <c r="EA11" s="7">
        <f t="shared" ref="EA11:EA28" si="103">+DZ11/DZ$8</f>
        <v>-3.0962163274367082E-4</v>
      </c>
      <c r="EB11" s="375">
        <f t="shared" ref="EB11:EB15" si="104">+DV11+DX11+DZ11</f>
        <v>-46127.3</v>
      </c>
      <c r="EC11" s="7">
        <f t="shared" si="37"/>
        <v>-2.3812166959163945E-4</v>
      </c>
      <c r="ED11" s="375">
        <f t="shared" si="38"/>
        <v>-72521.919999999998</v>
      </c>
      <c r="EE11" s="7">
        <f t="shared" si="85"/>
        <v>-1.9102963217937843E-4</v>
      </c>
      <c r="EF11" s="375">
        <v>-15224</v>
      </c>
      <c r="EG11" s="7">
        <f t="shared" ref="EG11:EG28" si="105">+EF11/EF$8</f>
        <v>-1.0302717917351971E-3</v>
      </c>
      <c r="EH11" s="375">
        <v>-14278.14</v>
      </c>
      <c r="EI11" s="7">
        <f t="shared" si="86"/>
        <v>-1.1199720871618304E-3</v>
      </c>
      <c r="EJ11" s="375">
        <v>-6033.14</v>
      </c>
      <c r="EK11" s="7">
        <f t="shared" ref="EK11:EK28" si="106">+EJ11/EJ$8</f>
        <v>-3.8633598135435239E-5</v>
      </c>
      <c r="EL11" s="375">
        <f t="shared" ref="EL11:EL15" si="107">+EF11+EH11+EJ11</f>
        <v>-35535.279999999999</v>
      </c>
      <c r="EM11" s="7">
        <f t="shared" si="39"/>
        <v>-1.9345415639230809E-4</v>
      </c>
      <c r="EN11" s="375">
        <f t="shared" si="40"/>
        <v>-108057.2</v>
      </c>
      <c r="EO11" s="7">
        <f t="shared" ref="EO11:EO73" si="108">+EN11/EN$8</f>
        <v>-1.9182021772931734E-4</v>
      </c>
      <c r="EP11" s="373"/>
      <c r="EQ11" s="373"/>
      <c r="ER11" s="373"/>
      <c r="ES11" s="373"/>
      <c r="ET11" s="375">
        <v>-10085</v>
      </c>
      <c r="EU11" s="7">
        <f t="shared" ref="EU11:EU28" si="109">+ET11/ET$8</f>
        <v>-1.3672871880500894E-3</v>
      </c>
      <c r="EV11" s="375">
        <v>-48</v>
      </c>
      <c r="EW11" s="7">
        <f t="shared" si="87"/>
        <v>-7.8760573342384909E-6</v>
      </c>
      <c r="EX11" s="375">
        <v>-8683</v>
      </c>
      <c r="EY11" s="7">
        <f t="shared" ref="EY11:EY28" si="110">+EX11/EX$8</f>
        <v>-3.8035439938137316E-5</v>
      </c>
      <c r="EZ11" s="375">
        <f t="shared" ref="EZ11:EZ16" si="111">+ET11+EV11+EX11</f>
        <v>-18816</v>
      </c>
      <c r="FA11" s="7">
        <f t="shared" si="42"/>
        <v>-7.7830078940955232E-5</v>
      </c>
      <c r="FB11" s="375">
        <v>-9217</v>
      </c>
      <c r="FC11" s="7">
        <f t="shared" ref="FC11:FC28" si="112">+FB11/FB$8</f>
        <v>-1.0171095942429589E-3</v>
      </c>
      <c r="FD11" s="375">
        <v>-16205</v>
      </c>
      <c r="FE11" s="7">
        <f t="shared" si="88"/>
        <v>-1.5396129182480863E-4</v>
      </c>
      <c r="FF11" s="375">
        <v>-82</v>
      </c>
      <c r="FG11" s="7">
        <f t="shared" si="44"/>
        <v>-5.1032529093829361E-7</v>
      </c>
      <c r="FH11" s="375">
        <f t="shared" ref="FH11:FH16" si="113">+FB11+FD11+FF11</f>
        <v>-25504</v>
      </c>
      <c r="FI11" s="7">
        <f t="shared" si="46"/>
        <v>-9.2742658305521397E-5</v>
      </c>
      <c r="FJ11" s="375">
        <f t="shared" ref="FJ11:FJ17" si="114">EZ11+FH11</f>
        <v>-44320</v>
      </c>
      <c r="FK11" s="7">
        <f t="shared" si="89"/>
        <v>-8.5765991795360685E-5</v>
      </c>
      <c r="FL11" s="375">
        <v>-58782</v>
      </c>
      <c r="FM11" s="7">
        <f t="shared" ref="FM11:FM28" si="115">+FL11/FL$8</f>
        <v>-5.3759204418647732E-3</v>
      </c>
      <c r="FN11" s="375">
        <v>-39342</v>
      </c>
      <c r="FO11" s="7">
        <f t="shared" si="48"/>
        <v>-8.2339460514207138E-3</v>
      </c>
      <c r="FP11" s="375">
        <v>-25359</v>
      </c>
      <c r="FQ11" s="7">
        <f t="shared" si="49"/>
        <v>-9.1667024616535483E-5</v>
      </c>
      <c r="FR11" s="375">
        <f t="shared" ref="FR11:FR16" si="116">+FL11+FN11+FP11</f>
        <v>-123483</v>
      </c>
      <c r="FS11" s="7">
        <f t="shared" si="51"/>
        <v>-4.2237363643572934E-4</v>
      </c>
      <c r="FT11" s="375">
        <f t="shared" ref="FT11:FT17" si="117">FJ11+FR11</f>
        <v>-167803</v>
      </c>
      <c r="FU11" s="7">
        <f t="shared" si="90"/>
        <v>-2.0739211497717943E-4</v>
      </c>
      <c r="FV11" s="375">
        <v>-66092</v>
      </c>
      <c r="FW11" s="7">
        <f t="shared" ref="FW11:FW28" si="118">+FV11/FV$8</f>
        <v>-2.3816988476041728E-3</v>
      </c>
      <c r="FX11" s="375">
        <v>-13882</v>
      </c>
      <c r="FY11" s="7">
        <f t="shared" si="53"/>
        <v>-5.4075901609402643E-4</v>
      </c>
      <c r="FZ11" s="375">
        <v>-79877</v>
      </c>
      <c r="GA11" s="7">
        <f t="shared" si="54"/>
        <v>-2.76286434990936E-4</v>
      </c>
      <c r="GB11" s="375">
        <f t="shared" ref="GB11:GB16" si="119">+FV11+FX11+FZ11</f>
        <v>-159851</v>
      </c>
      <c r="GC11" s="7">
        <f t="shared" si="56"/>
        <v>-4.6667649336895362E-4</v>
      </c>
      <c r="GD11" s="375">
        <f t="shared" ref="GD11:GD17" si="120">FT11+GB11</f>
        <v>-327654</v>
      </c>
      <c r="GE11" s="7">
        <f t="shared" si="91"/>
        <v>-2.8451066610125832E-4</v>
      </c>
      <c r="GF11" s="566">
        <f t="shared" si="57"/>
        <v>-39352.57404591667</v>
      </c>
      <c r="GG11" s="525">
        <f t="shared" si="58"/>
        <v>-3.0538339751707377E-3</v>
      </c>
      <c r="GH11" s="528">
        <f t="shared" si="59"/>
        <v>0</v>
      </c>
      <c r="GI11" s="525">
        <f t="shared" si="60"/>
        <v>0</v>
      </c>
      <c r="GJ11" s="528"/>
      <c r="GK11" s="525">
        <f t="shared" si="61"/>
        <v>0</v>
      </c>
      <c r="GL11" s="528">
        <f t="shared" si="62"/>
        <v>-367006.57404591667</v>
      </c>
      <c r="GM11" s="565">
        <f t="shared" si="92"/>
        <v>-3.1670288403674841E-4</v>
      </c>
      <c r="GN11" s="514"/>
      <c r="GO11" s="586">
        <f>-'KSA IS'!B39</f>
        <v>-3220.01</v>
      </c>
      <c r="GP11" s="514"/>
      <c r="GQ11" s="586"/>
      <c r="GT11" s="551">
        <f t="shared" si="93"/>
        <v>-14249.229670995752</v>
      </c>
      <c r="GU11" s="551">
        <f t="shared" si="94"/>
        <v>-16694.770329004252</v>
      </c>
      <c r="GV11" s="550">
        <f t="shared" si="63"/>
        <v>-30944</v>
      </c>
      <c r="GW11" s="527">
        <f>+EZ11*4</f>
        <v>-75264</v>
      </c>
      <c r="GX11" s="525">
        <f t="shared" ref="GX11:GX28" si="121">+GW11/GW$8</f>
        <v>-6.3561393939539894E-5</v>
      </c>
      <c r="GY11" s="528">
        <f>+GW11</f>
        <v>-75264</v>
      </c>
      <c r="GZ11" s="525">
        <f t="shared" ref="GZ11:GZ28" si="122">+GY11/GY$8</f>
        <v>-8.3608073509353284E-5</v>
      </c>
      <c r="HA11" s="528">
        <f>+GY11</f>
        <v>-75264</v>
      </c>
      <c r="HB11" s="526">
        <f t="shared" ref="HB11:HB28" si="123">+HA11/HA$8</f>
        <v>-1.033937249341382E-4</v>
      </c>
      <c r="HD11" s="527">
        <v>-75264</v>
      </c>
      <c r="HE11" s="525">
        <v>-6.3356956029700441E-5</v>
      </c>
      <c r="HF11" s="528">
        <v>-75264</v>
      </c>
      <c r="HG11" s="525">
        <v>-8.3608073509353284E-5</v>
      </c>
      <c r="HH11" s="528">
        <v>-75264</v>
      </c>
      <c r="HI11" s="526">
        <v>-1.033937249341382E-4</v>
      </c>
    </row>
    <row r="12" spans="1:218" ht="15" customHeight="1" outlineLevel="1">
      <c r="A12" s="386" t="s">
        <v>13</v>
      </c>
      <c r="B12" s="386" t="s">
        <v>17</v>
      </c>
      <c r="C12" s="375">
        <v>-840309.06</v>
      </c>
      <c r="D12" s="4"/>
      <c r="E12" s="375">
        <v>-209991.24</v>
      </c>
      <c r="F12" s="4"/>
      <c r="G12" s="375">
        <v>-113933.70000000001</v>
      </c>
      <c r="H12" s="375">
        <v>-53105.78</v>
      </c>
      <c r="I12" s="4"/>
      <c r="J12" s="375">
        <v>-113933.70000000001</v>
      </c>
      <c r="K12" s="375">
        <v>-14679</v>
      </c>
      <c r="L12" s="4"/>
      <c r="M12" s="375">
        <v>-113933.70000000001</v>
      </c>
      <c r="N12" s="375">
        <v>10692.02</v>
      </c>
      <c r="O12" s="4"/>
      <c r="P12" s="375">
        <f t="shared" si="13"/>
        <v>-341801.10000000003</v>
      </c>
      <c r="Q12" s="375">
        <f>+H12+K12+N12</f>
        <v>-57092.759999999995</v>
      </c>
      <c r="R12" s="7">
        <f t="shared" si="64"/>
        <v>-1.5698591724320806E-3</v>
      </c>
      <c r="S12" s="375">
        <v>-52735.51</v>
      </c>
      <c r="T12" s="375">
        <v>-52735.51</v>
      </c>
      <c r="U12" s="4"/>
      <c r="V12" s="375">
        <v>-19188.75</v>
      </c>
      <c r="W12" s="375">
        <v>-19188.75</v>
      </c>
      <c r="X12" s="4"/>
      <c r="Y12" s="375">
        <v>-22467.49</v>
      </c>
      <c r="Z12" s="375">
        <v>-22467.49</v>
      </c>
      <c r="AA12" s="4"/>
      <c r="AB12" s="375">
        <f t="shared" si="14"/>
        <v>-94391.750000000015</v>
      </c>
      <c r="AC12" s="375">
        <f t="shared" si="15"/>
        <v>-94391.750000000015</v>
      </c>
      <c r="AD12" s="7">
        <f t="shared" si="65"/>
        <v>-2.5451207680097739E-3</v>
      </c>
      <c r="AE12" s="375">
        <f t="shared" si="16"/>
        <v>-151484.51</v>
      </c>
      <c r="AF12" s="375">
        <f t="shared" si="17"/>
        <v>-151484.51</v>
      </c>
      <c r="AG12" s="4"/>
      <c r="AH12" s="375">
        <v>-13419.45</v>
      </c>
      <c r="AI12" s="375">
        <v>-13419.45</v>
      </c>
      <c r="AJ12" s="4"/>
      <c r="AK12" s="375">
        <v>-41541.58</v>
      </c>
      <c r="AL12" s="375">
        <v>-41541.58</v>
      </c>
      <c r="AM12" s="4"/>
      <c r="AN12" s="375">
        <v>-95804.85</v>
      </c>
      <c r="AO12" s="375">
        <v>-95804.85</v>
      </c>
      <c r="AP12" s="4"/>
      <c r="AQ12" s="375">
        <f t="shared" si="66"/>
        <v>-150765.88</v>
      </c>
      <c r="AR12" s="375">
        <f t="shared" si="67"/>
        <v>-150765.88</v>
      </c>
      <c r="AS12" s="7">
        <f t="shared" si="68"/>
        <v>-5.6630697630992736E-3</v>
      </c>
      <c r="AT12" s="375">
        <f t="shared" si="18"/>
        <v>-302250.39</v>
      </c>
      <c r="AU12" s="4"/>
      <c r="AV12" s="375">
        <v>-66254.70940340044</v>
      </c>
      <c r="AW12" s="375">
        <v>-76159.17</v>
      </c>
      <c r="AX12" s="4"/>
      <c r="AY12" s="375">
        <v>-66938.32885920399</v>
      </c>
      <c r="AZ12" s="375">
        <f>-50463.25</f>
        <v>-50463.25</v>
      </c>
      <c r="BA12" s="4"/>
      <c r="BB12" s="375">
        <v>-114299.17240260483</v>
      </c>
      <c r="BC12" s="375">
        <v>-59851.79</v>
      </c>
      <c r="BD12" s="448"/>
      <c r="BE12" s="375">
        <f t="shared" si="69"/>
        <v>-247492.21066520928</v>
      </c>
      <c r="BF12" s="375">
        <f t="shared" si="70"/>
        <v>-186474.21000000002</v>
      </c>
      <c r="BG12" s="7">
        <f t="shared" si="71"/>
        <v>-5.9387320039913363E-3</v>
      </c>
      <c r="BH12" s="375">
        <f t="shared" si="19"/>
        <v>-549742.60066520935</v>
      </c>
      <c r="BI12" s="388">
        <f t="shared" si="20"/>
        <v>-488724.60000000003</v>
      </c>
      <c r="BJ12" s="7">
        <f t="shared" si="72"/>
        <v>-3.7171665823033133E-3</v>
      </c>
      <c r="BK12" s="375">
        <v>-596798.82960000017</v>
      </c>
      <c r="BL12" s="282"/>
      <c r="BN12" s="375">
        <v>-10000</v>
      </c>
      <c r="BO12" s="4"/>
      <c r="BP12" s="375">
        <v>-5833.34</v>
      </c>
      <c r="BQ12" s="4"/>
      <c r="BR12" s="375">
        <v>-14667</v>
      </c>
      <c r="BS12" s="4"/>
      <c r="BT12" s="375">
        <f t="shared" si="21"/>
        <v>-30500.34</v>
      </c>
      <c r="BU12" s="7">
        <f t="shared" si="73"/>
        <v>-5.6257600062273262E-4</v>
      </c>
      <c r="BV12" s="375">
        <v>-17963.3</v>
      </c>
      <c r="BW12" s="7"/>
      <c r="BX12" s="375">
        <v>-17048.3</v>
      </c>
      <c r="BY12" s="7"/>
      <c r="BZ12" s="375">
        <v>10893.84</v>
      </c>
      <c r="CA12" s="7"/>
      <c r="CB12" s="375">
        <f t="shared" si="22"/>
        <v>-24117.759999999998</v>
      </c>
      <c r="CC12" s="7">
        <f t="shared" si="74"/>
        <v>-7.0431275547673229E-4</v>
      </c>
      <c r="CD12" s="375">
        <f t="shared" si="23"/>
        <v>-54618.1</v>
      </c>
      <c r="CE12" s="7">
        <f t="shared" si="75"/>
        <v>-6.1744341234694214E-4</v>
      </c>
      <c r="CF12" s="375">
        <v>-18338.189999999999</v>
      </c>
      <c r="CG12" s="7">
        <f t="shared" si="76"/>
        <v>-3.630681798270852E-3</v>
      </c>
      <c r="CH12" s="375">
        <v>-50278.02</v>
      </c>
      <c r="CI12" s="7">
        <f t="shared" si="76"/>
        <v>-1.3559259814222356E-3</v>
      </c>
      <c r="CJ12" s="375">
        <v>-58220.14</v>
      </c>
      <c r="CK12" s="7">
        <f t="shared" si="76"/>
        <v>-2.0673086861695664E-3</v>
      </c>
      <c r="CL12" s="375">
        <f t="shared" si="24"/>
        <v>-126836.34999999999</v>
      </c>
      <c r="CM12" s="7">
        <f t="shared" si="76"/>
        <v>-1.8043851392553121E-3</v>
      </c>
      <c r="CN12" s="375">
        <f t="shared" si="25"/>
        <v>-181454.44999999998</v>
      </c>
      <c r="CO12" s="7">
        <f t="shared" si="77"/>
        <v>-1.1430067535931163E-3</v>
      </c>
      <c r="CP12" s="472">
        <v>-54582.71</v>
      </c>
      <c r="CQ12" s="7">
        <f t="shared" si="26"/>
        <v>-2.7862401593708231E-3</v>
      </c>
      <c r="CR12" s="375">
        <f t="shared" si="27"/>
        <v>-236037.15999999997</v>
      </c>
      <c r="CS12" s="7">
        <f t="shared" si="78"/>
        <v>-1.3235088599960036E-3</v>
      </c>
      <c r="CT12" s="375">
        <v>-30507.1</v>
      </c>
      <c r="CU12" s="7">
        <f t="shared" si="28"/>
        <v>-1.9475171828184513E-3</v>
      </c>
      <c r="CV12" s="375">
        <v>-55417.62</v>
      </c>
      <c r="CW12" s="7">
        <f>+CV12/CV$8</f>
        <v>-8.8567631135430698E-4</v>
      </c>
      <c r="CX12" s="375">
        <f t="shared" si="29"/>
        <v>-140507.43</v>
      </c>
      <c r="CY12" s="7">
        <f t="shared" si="30"/>
        <v>-1.4363042950345953E-3</v>
      </c>
      <c r="CZ12" s="375">
        <f t="shared" si="31"/>
        <v>-321961.88</v>
      </c>
      <c r="DA12" s="7">
        <f t="shared" si="81"/>
        <v>-1.2548327124730135E-3</v>
      </c>
      <c r="DB12" s="375">
        <v>-6095.73</v>
      </c>
      <c r="DC12" s="7">
        <f t="shared" si="95"/>
        <v>-3.1754699136692918E-4</v>
      </c>
      <c r="DD12" s="375">
        <v>-42525.09</v>
      </c>
      <c r="DE12" s="7">
        <f t="shared" si="82"/>
        <v>-1.6376456958158891E-3</v>
      </c>
      <c r="DF12" s="72">
        <v>-22186.38</v>
      </c>
      <c r="DG12" s="7">
        <f t="shared" si="96"/>
        <v>-7.152236771240018E-4</v>
      </c>
      <c r="DH12" s="375">
        <f t="shared" si="32"/>
        <v>-70807.199999999997</v>
      </c>
      <c r="DI12" s="7">
        <f t="shared" si="33"/>
        <v>-9.2942695902120567E-4</v>
      </c>
      <c r="DJ12" s="375">
        <v>-195721.19999999998</v>
      </c>
      <c r="DK12" s="7">
        <f t="shared" si="97"/>
        <v>-3.7213535545718461E-3</v>
      </c>
      <c r="DL12" s="72">
        <v>-28694.68</v>
      </c>
      <c r="DM12" s="7">
        <f t="shared" si="98"/>
        <v>-3.3081319578208207E-3</v>
      </c>
      <c r="DN12" s="72">
        <v>-41900.57</v>
      </c>
      <c r="DO12" s="7">
        <f t="shared" si="99"/>
        <v>-2.4416641999686593E-3</v>
      </c>
      <c r="DP12" s="72">
        <v>-63635.67</v>
      </c>
      <c r="DQ12" s="7">
        <f t="shared" si="100"/>
        <v>-7.5842069411780099E-4</v>
      </c>
      <c r="DR12" s="375">
        <f t="shared" si="101"/>
        <v>-134230.91999999998</v>
      </c>
      <c r="DS12" s="7">
        <f t="shared" si="35"/>
        <v>-1.2231705928051298E-3</v>
      </c>
      <c r="DT12" s="375">
        <f t="shared" si="36"/>
        <v>-205038.12</v>
      </c>
      <c r="DU12" s="7">
        <f t="shared" si="83"/>
        <v>-1.1028069053673434E-3</v>
      </c>
      <c r="DV12" s="375">
        <v>-36152.1</v>
      </c>
      <c r="DW12" s="7">
        <f t="shared" si="102"/>
        <v>-7.9424961215649955E-4</v>
      </c>
      <c r="DX12" s="375">
        <v>-39138.89</v>
      </c>
      <c r="DY12" s="7">
        <f t="shared" si="84"/>
        <v>-1.5139327156387973E-3</v>
      </c>
      <c r="DZ12" s="375">
        <v>-20053.55</v>
      </c>
      <c r="EA12" s="7">
        <f t="shared" si="103"/>
        <v>-1.6391200283490985E-4</v>
      </c>
      <c r="EB12" s="375">
        <f t="shared" si="104"/>
        <v>-95344.54</v>
      </c>
      <c r="EC12" s="7">
        <f t="shared" si="37"/>
        <v>-4.921944499514788E-4</v>
      </c>
      <c r="ED12" s="375">
        <f t="shared" si="38"/>
        <v>-300382.65999999997</v>
      </c>
      <c r="EE12" s="7">
        <f t="shared" si="85"/>
        <v>-7.9123648481539493E-4</v>
      </c>
      <c r="EF12" s="375">
        <v>-71391.960000000006</v>
      </c>
      <c r="EG12" s="7">
        <f t="shared" si="105"/>
        <v>-4.8313927052474727E-3</v>
      </c>
      <c r="EH12" s="375">
        <v>-30694.97</v>
      </c>
      <c r="EI12" s="7">
        <f t="shared" si="86"/>
        <v>-2.4077022368648696E-3</v>
      </c>
      <c r="EJ12" s="375">
        <v>-794683.23</v>
      </c>
      <c r="EK12" s="7">
        <f t="shared" si="106"/>
        <v>-5.0888049262555902E-3</v>
      </c>
      <c r="EL12" s="375">
        <f t="shared" si="107"/>
        <v>-896770.16</v>
      </c>
      <c r="EM12" s="7">
        <f t="shared" si="39"/>
        <v>-4.8820190745815194E-3</v>
      </c>
      <c r="EN12" s="375">
        <f t="shared" si="40"/>
        <v>-1197152.82</v>
      </c>
      <c r="EO12" s="7">
        <f t="shared" si="108"/>
        <v>-2.1251532946223507E-3</v>
      </c>
      <c r="EP12" s="373"/>
      <c r="EQ12" s="373"/>
      <c r="ER12" s="373"/>
      <c r="ES12" s="373"/>
      <c r="ET12" s="375">
        <v>-51986.64</v>
      </c>
      <c r="EU12" s="7">
        <f t="shared" si="109"/>
        <v>-7.0481573447468814E-3</v>
      </c>
      <c r="EV12" s="375">
        <v>-37021</v>
      </c>
      <c r="EW12" s="7">
        <f t="shared" si="87"/>
        <v>-6.0745733035592331E-3</v>
      </c>
      <c r="EX12" s="375">
        <v>-90438.77</v>
      </c>
      <c r="EY12" s="7">
        <f t="shared" si="110"/>
        <v>-3.9616243284740465E-4</v>
      </c>
      <c r="EZ12" s="375">
        <f t="shared" si="111"/>
        <v>-179446.41</v>
      </c>
      <c r="FA12" s="7">
        <f t="shared" si="42"/>
        <v>-7.4225809183519449E-4</v>
      </c>
      <c r="FB12" s="375">
        <v>-45834.67</v>
      </c>
      <c r="FC12" s="7">
        <f t="shared" si="112"/>
        <v>-5.057923685142662E-3</v>
      </c>
      <c r="FD12" s="375">
        <v>-45581.69</v>
      </c>
      <c r="FE12" s="7">
        <f t="shared" si="88"/>
        <v>-4.3306484887121023E-4</v>
      </c>
      <c r="FF12" s="375">
        <v>-53687.35</v>
      </c>
      <c r="FG12" s="7">
        <f t="shared" si="44"/>
        <v>-3.3412210376165851E-4</v>
      </c>
      <c r="FH12" s="375">
        <f t="shared" si="113"/>
        <v>-145103.71</v>
      </c>
      <c r="FI12" s="7">
        <f t="shared" si="46"/>
        <v>-5.2765463438650677E-4</v>
      </c>
      <c r="FJ12" s="375">
        <f t="shared" si="114"/>
        <v>-324550.12</v>
      </c>
      <c r="FK12" s="7">
        <f t="shared" si="89"/>
        <v>-6.2805421771442522E-4</v>
      </c>
      <c r="FL12" s="375">
        <v>-63652.36</v>
      </c>
      <c r="FM12" s="7">
        <f t="shared" si="115"/>
        <v>-5.8213402622730708E-3</v>
      </c>
      <c r="FN12" s="375">
        <v>-59185.68</v>
      </c>
      <c r="FO12" s="7">
        <f t="shared" si="48"/>
        <v>-1.2387059532729651E-2</v>
      </c>
      <c r="FP12" s="375">
        <v>-169588.31</v>
      </c>
      <c r="FQ12" s="7">
        <f t="shared" si="49"/>
        <v>-6.1302321808614894E-4</v>
      </c>
      <c r="FR12" s="375">
        <f t="shared" si="116"/>
        <v>-292426.34999999998</v>
      </c>
      <c r="FS12" s="7">
        <f t="shared" si="51"/>
        <v>-1.000244412908071E-3</v>
      </c>
      <c r="FT12" s="375">
        <f t="shared" si="117"/>
        <v>-616976.47</v>
      </c>
      <c r="FU12" s="7">
        <f t="shared" si="90"/>
        <v>-7.6253735037189023E-4</v>
      </c>
      <c r="FV12" s="375">
        <v>-83907.16</v>
      </c>
      <c r="FW12" s="7">
        <f t="shared" si="118"/>
        <v>-3.0236879845932786E-3</v>
      </c>
      <c r="FX12" s="375">
        <v>-77328.78</v>
      </c>
      <c r="FY12" s="7">
        <f t="shared" si="53"/>
        <v>-3.0122630016245085E-3</v>
      </c>
      <c r="FZ12" s="375">
        <v>-151101.17000000001</v>
      </c>
      <c r="GA12" s="7">
        <f t="shared" si="54"/>
        <v>-5.2264360932758323E-4</v>
      </c>
      <c r="GB12" s="375">
        <f t="shared" si="119"/>
        <v>-312337.11</v>
      </c>
      <c r="GC12" s="7">
        <f t="shared" si="56"/>
        <v>-9.1185158205949997E-4</v>
      </c>
      <c r="GD12" s="375">
        <f t="shared" si="120"/>
        <v>-929313.58</v>
      </c>
      <c r="GE12" s="7">
        <f t="shared" si="91"/>
        <v>-8.0694765106711648E-4</v>
      </c>
      <c r="GF12" s="566">
        <f t="shared" si="57"/>
        <v>0</v>
      </c>
      <c r="GG12" s="525">
        <f t="shared" si="58"/>
        <v>0</v>
      </c>
      <c r="GH12" s="528">
        <f t="shared" si="59"/>
        <v>0</v>
      </c>
      <c r="GI12" s="525">
        <f t="shared" si="60"/>
        <v>0</v>
      </c>
      <c r="GJ12" s="528"/>
      <c r="GK12" s="525">
        <f t="shared" si="61"/>
        <v>0</v>
      </c>
      <c r="GL12" s="528">
        <f t="shared" si="62"/>
        <v>-929313.58</v>
      </c>
      <c r="GM12" s="565">
        <f t="shared" si="92"/>
        <v>-8.0193738143691446E-4</v>
      </c>
      <c r="GO12" s="586"/>
      <c r="GQ12" s="586"/>
      <c r="GT12" s="551">
        <f t="shared" si="93"/>
        <v>-469972.7494271645</v>
      </c>
      <c r="GU12" s="551">
        <f t="shared" si="94"/>
        <v>-550632.37057283556</v>
      </c>
      <c r="GV12" s="550">
        <f t="shared" si="63"/>
        <v>-1020605.12</v>
      </c>
      <c r="GW12" s="527">
        <f>+EL12*1.5</f>
        <v>-1345155.24</v>
      </c>
      <c r="GX12" s="525">
        <f t="shared" si="121"/>
        <v>-1.1360005064768857E-3</v>
      </c>
      <c r="GY12" s="528">
        <f>+GW12</f>
        <v>-1345155.24</v>
      </c>
      <c r="GZ12" s="525">
        <f t="shared" si="122"/>
        <v>-1.4942846272774735E-3</v>
      </c>
      <c r="HA12" s="528">
        <f>+GY12</f>
        <v>-1345155.24</v>
      </c>
      <c r="HB12" s="526">
        <f t="shared" si="123"/>
        <v>-1.8479035246369399E-3</v>
      </c>
      <c r="HD12" s="527">
        <v>-1345155.24</v>
      </c>
      <c r="HE12" s="525">
        <v>-1.1323466915630466E-3</v>
      </c>
      <c r="HF12" s="528">
        <v>-1345155.24</v>
      </c>
      <c r="HG12" s="525">
        <v>-1.4942846272774735E-3</v>
      </c>
      <c r="HH12" s="528">
        <v>-1345155.24</v>
      </c>
      <c r="HI12" s="526">
        <v>-1.8479035246369399E-3</v>
      </c>
    </row>
    <row r="13" spans="1:218" outlineLevel="1">
      <c r="A13" s="386" t="s">
        <v>13</v>
      </c>
      <c r="B13" s="386" t="s">
        <v>18</v>
      </c>
      <c r="C13" s="375">
        <v>0</v>
      </c>
      <c r="D13" s="4"/>
      <c r="E13" s="375">
        <v>0</v>
      </c>
      <c r="F13" s="4"/>
      <c r="G13" s="375">
        <v>-210549.99666666664</v>
      </c>
      <c r="H13" s="375"/>
      <c r="I13" s="4"/>
      <c r="J13" s="375">
        <v>-210549.99666666664</v>
      </c>
      <c r="K13" s="375"/>
      <c r="L13" s="4"/>
      <c r="M13" s="375">
        <v>-210549.99666666664</v>
      </c>
      <c r="N13" s="375">
        <v>0</v>
      </c>
      <c r="O13" s="4"/>
      <c r="P13" s="375">
        <f t="shared" si="13"/>
        <v>-631649.99</v>
      </c>
      <c r="Q13" s="375">
        <f t="shared" si="13"/>
        <v>0</v>
      </c>
      <c r="R13" s="7">
        <f t="shared" si="64"/>
        <v>0</v>
      </c>
      <c r="S13" s="375"/>
      <c r="T13" s="375"/>
      <c r="U13" s="4"/>
      <c r="V13" s="375"/>
      <c r="W13" s="375"/>
      <c r="X13" s="4"/>
      <c r="Y13" s="375"/>
      <c r="Z13" s="375"/>
      <c r="AA13" s="4"/>
      <c r="AB13" s="375">
        <f t="shared" si="14"/>
        <v>0</v>
      </c>
      <c r="AC13" s="375">
        <f t="shared" si="15"/>
        <v>0</v>
      </c>
      <c r="AD13" s="7">
        <f t="shared" si="65"/>
        <v>0</v>
      </c>
      <c r="AE13" s="375">
        <f t="shared" si="16"/>
        <v>0</v>
      </c>
      <c r="AF13" s="375">
        <f t="shared" si="17"/>
        <v>0</v>
      </c>
      <c r="AG13" s="4"/>
      <c r="AH13" s="375"/>
      <c r="AI13" s="375"/>
      <c r="AJ13" s="4"/>
      <c r="AK13" s="375"/>
      <c r="AL13" s="375"/>
      <c r="AM13" s="4"/>
      <c r="AN13" s="375"/>
      <c r="AO13" s="375"/>
      <c r="AP13" s="4"/>
      <c r="AQ13" s="375">
        <f t="shared" si="66"/>
        <v>0</v>
      </c>
      <c r="AR13" s="375">
        <f t="shared" si="67"/>
        <v>0</v>
      </c>
      <c r="AS13" s="7">
        <f t="shared" si="68"/>
        <v>0</v>
      </c>
      <c r="AT13" s="375">
        <f t="shared" si="18"/>
        <v>0</v>
      </c>
      <c r="AU13" s="4"/>
      <c r="AV13" s="375">
        <v>0</v>
      </c>
      <c r="AW13" s="375">
        <v>-62760</v>
      </c>
      <c r="AX13" s="4"/>
      <c r="AY13" s="375">
        <v>0</v>
      </c>
      <c r="AZ13" s="375">
        <v>-128221.26</v>
      </c>
      <c r="BA13" s="4"/>
      <c r="BB13" s="375">
        <v>-210549.99666666664</v>
      </c>
      <c r="BC13" s="375"/>
      <c r="BD13" s="448"/>
      <c r="BE13" s="375">
        <f t="shared" si="69"/>
        <v>-210549.99666666664</v>
      </c>
      <c r="BF13" s="375">
        <f t="shared" si="70"/>
        <v>-190981.26</v>
      </c>
      <c r="BG13" s="7">
        <f t="shared" si="71"/>
        <v>-6.0822701483738174E-3</v>
      </c>
      <c r="BH13" s="375">
        <f t="shared" si="19"/>
        <v>-210549.99666666664</v>
      </c>
      <c r="BI13" s="388">
        <f t="shared" si="20"/>
        <v>-190981.26</v>
      </c>
      <c r="BJ13" s="7">
        <f t="shared" si="72"/>
        <v>-1.4525750443464078E-3</v>
      </c>
      <c r="BK13" s="375">
        <v>-15700000.009999998</v>
      </c>
      <c r="BL13" s="282"/>
      <c r="BN13" s="375">
        <v>-17240</v>
      </c>
      <c r="BO13" s="4"/>
      <c r="BP13" s="375">
        <v>0</v>
      </c>
      <c r="BQ13" s="4"/>
      <c r="BR13" s="375">
        <v>0</v>
      </c>
      <c r="BS13" s="4"/>
      <c r="BT13" s="375">
        <f t="shared" si="21"/>
        <v>-17240</v>
      </c>
      <c r="BU13" s="7">
        <f t="shared" si="73"/>
        <v>-3.1799023390348798E-4</v>
      </c>
      <c r="BV13" s="375">
        <v>0</v>
      </c>
      <c r="BW13" s="7"/>
      <c r="BX13" s="375">
        <v>-1538907</v>
      </c>
      <c r="BY13" s="7"/>
      <c r="BZ13" s="375">
        <v>0</v>
      </c>
      <c r="CA13" s="7"/>
      <c r="CB13" s="375">
        <f t="shared" si="22"/>
        <v>-1538907</v>
      </c>
      <c r="CC13" s="7">
        <f t="shared" si="74"/>
        <v>-4.4940816626105898E-2</v>
      </c>
      <c r="CD13" s="375">
        <f t="shared" si="23"/>
        <v>-1556147</v>
      </c>
      <c r="CE13" s="7">
        <f t="shared" si="75"/>
        <v>-1.7591837024602777E-2</v>
      </c>
      <c r="CF13" s="375">
        <v>-481635</v>
      </c>
      <c r="CG13" s="7">
        <f t="shared" si="76"/>
        <v>-9.5356380750236627E-2</v>
      </c>
      <c r="CH13" s="375">
        <v>-2054281.94</v>
      </c>
      <c r="CI13" s="7">
        <f t="shared" si="76"/>
        <v>-5.5401033207204152E-2</v>
      </c>
      <c r="CJ13" s="375">
        <f>-400000+400000</f>
        <v>0</v>
      </c>
      <c r="CK13" s="7">
        <f t="shared" si="76"/>
        <v>0</v>
      </c>
      <c r="CL13" s="375">
        <f t="shared" si="24"/>
        <v>-2535916.94</v>
      </c>
      <c r="CM13" s="7">
        <f t="shared" si="76"/>
        <v>-3.6076178799861434E-2</v>
      </c>
      <c r="CN13" s="375">
        <f t="shared" si="25"/>
        <v>-4092063.94</v>
      </c>
      <c r="CO13" s="7">
        <f t="shared" si="77"/>
        <v>-2.577647844709709E-2</v>
      </c>
      <c r="CP13" s="472">
        <v>-608950</v>
      </c>
      <c r="CQ13" s="7">
        <f t="shared" si="26"/>
        <v>-3.1084586035557096E-2</v>
      </c>
      <c r="CR13" s="375">
        <f t="shared" si="27"/>
        <v>-4701013.9399999995</v>
      </c>
      <c r="CS13" s="7">
        <f t="shared" si="78"/>
        <v>-2.6359551184884287E-2</v>
      </c>
      <c r="CT13" s="375">
        <v>-23307.16</v>
      </c>
      <c r="CU13" s="7">
        <f t="shared" si="79"/>
        <v>-1.4878862488633432E-3</v>
      </c>
      <c r="CV13" s="375">
        <v>-4548580.72</v>
      </c>
      <c r="CW13" s="7">
        <f t="shared" si="80"/>
        <v>-7.2694752932134538E-2</v>
      </c>
      <c r="CX13" s="375">
        <f t="shared" si="29"/>
        <v>-5180837.88</v>
      </c>
      <c r="CY13" s="7">
        <f t="shared" si="30"/>
        <v>-5.2959901828123448E-2</v>
      </c>
      <c r="CZ13" s="375">
        <f t="shared" si="31"/>
        <v>-9272901.8200000003</v>
      </c>
      <c r="DA13" s="7">
        <f t="shared" si="81"/>
        <v>-3.6140739839407528E-2</v>
      </c>
      <c r="DB13" s="375">
        <v>-7273180.3700000001</v>
      </c>
      <c r="DC13" s="7">
        <f t="shared" si="95"/>
        <v>-0.3788843246276507</v>
      </c>
      <c r="DD13" s="375">
        <v>-4892240</v>
      </c>
      <c r="DE13" s="7">
        <f t="shared" si="82"/>
        <v>-0.18840067778571018</v>
      </c>
      <c r="DF13" s="72">
        <v>-6100954.7300000004</v>
      </c>
      <c r="DG13" s="7">
        <f t="shared" si="96"/>
        <v>-0.19667684750543674</v>
      </c>
      <c r="DH13" s="375">
        <f t="shared" si="32"/>
        <v>-18266375.100000001</v>
      </c>
      <c r="DI13" s="7">
        <f t="shared" si="33"/>
        <v>-0.23976744542269252</v>
      </c>
      <c r="DJ13" s="375">
        <v>-14761333.333333334</v>
      </c>
      <c r="DK13" s="7">
        <f t="shared" si="97"/>
        <v>-0.28066525379069762</v>
      </c>
      <c r="DL13" s="72">
        <v>-2202708.91</v>
      </c>
      <c r="DM13" s="7">
        <f t="shared" si="98"/>
        <v>-0.2539443457444957</v>
      </c>
      <c r="DN13" s="72">
        <v>-4047567.06</v>
      </c>
      <c r="DO13" s="7">
        <f t="shared" si="99"/>
        <v>-0.23586312996158282</v>
      </c>
      <c r="DP13" s="72">
        <v>-19338416.920000002</v>
      </c>
      <c r="DQ13" s="7">
        <f t="shared" si="100"/>
        <v>-0.23047852852976686</v>
      </c>
      <c r="DR13" s="375">
        <f t="shared" si="101"/>
        <v>-25588692.890000001</v>
      </c>
      <c r="DS13" s="7">
        <f t="shared" si="35"/>
        <v>-0.23317531200240388</v>
      </c>
      <c r="DT13" s="375">
        <f t="shared" si="36"/>
        <v>-43855067.990000002</v>
      </c>
      <c r="DU13" s="7">
        <f t="shared" si="83"/>
        <v>-0.23587648879499257</v>
      </c>
      <c r="DV13" s="375">
        <v>-13313263.23</v>
      </c>
      <c r="DW13" s="7">
        <f t="shared" si="102"/>
        <v>-0.29248796493052653</v>
      </c>
      <c r="DX13" s="375">
        <v>-4318375.58</v>
      </c>
      <c r="DY13" s="7">
        <f t="shared" si="84"/>
        <v>-0.16703923051925251</v>
      </c>
      <c r="DZ13" s="375">
        <v>-16591600.33</v>
      </c>
      <c r="EA13" s="7">
        <f t="shared" si="103"/>
        <v>-0.13561501281950833</v>
      </c>
      <c r="EB13" s="375">
        <f t="shared" si="104"/>
        <v>-34223239.140000001</v>
      </c>
      <c r="EC13" s="7">
        <f t="shared" si="37"/>
        <v>-0.17666966943330181</v>
      </c>
      <c r="ED13" s="375">
        <f t="shared" si="38"/>
        <v>-78078307.129999995</v>
      </c>
      <c r="EE13" s="7">
        <f t="shared" si="85"/>
        <v>-0.20566568414394487</v>
      </c>
      <c r="EF13" s="375">
        <v>-5149097.34</v>
      </c>
      <c r="EG13" s="7">
        <f t="shared" si="105"/>
        <v>-0.34846096573178775</v>
      </c>
      <c r="EH13" s="375">
        <v>-6982791.4900000002</v>
      </c>
      <c r="EI13" s="7">
        <f t="shared" si="86"/>
        <v>-0.54772761433009953</v>
      </c>
      <c r="EJ13" s="375">
        <v>-17190966.670000002</v>
      </c>
      <c r="EK13" s="7">
        <f t="shared" si="106"/>
        <v>-0.11008345536295219</v>
      </c>
      <c r="EL13" s="375">
        <f t="shared" si="107"/>
        <v>-29322855.5</v>
      </c>
      <c r="EM13" s="7">
        <f t="shared" si="39"/>
        <v>-0.15963370131784671</v>
      </c>
      <c r="EN13" s="375">
        <f t="shared" si="40"/>
        <v>-107401162.63</v>
      </c>
      <c r="EO13" s="7">
        <f t="shared" si="108"/>
        <v>-0.19065563794053908</v>
      </c>
      <c r="EP13" s="373"/>
      <c r="EQ13" s="373"/>
      <c r="ER13" s="373"/>
      <c r="ES13" s="373"/>
      <c r="ET13" s="375">
        <v>1100107.46</v>
      </c>
      <c r="EU13" s="7">
        <f t="shared" si="109"/>
        <v>0.14914852112407795</v>
      </c>
      <c r="EV13" s="375">
        <v>-3535459</v>
      </c>
      <c r="EW13" s="7">
        <f t="shared" si="87"/>
        <v>-0.58011412055936418</v>
      </c>
      <c r="EX13" s="375">
        <v>-46863417.57</v>
      </c>
      <c r="EY13" s="7">
        <f t="shared" si="110"/>
        <v>-0.20528281749160243</v>
      </c>
      <c r="EZ13" s="375">
        <f t="shared" si="111"/>
        <v>-49298769.109999999</v>
      </c>
      <c r="FA13" s="7">
        <f t="shared" si="42"/>
        <v>-0.20391831906479727</v>
      </c>
      <c r="FB13" s="375">
        <v>4035157.31</v>
      </c>
      <c r="FC13" s="7">
        <f t="shared" si="112"/>
        <v>0.44528558254102302</v>
      </c>
      <c r="FD13" s="375">
        <v>-12582556.93</v>
      </c>
      <c r="FE13" s="7">
        <f t="shared" si="88"/>
        <v>-0.11954499965455095</v>
      </c>
      <c r="FF13" s="375">
        <v>-25146235.07</v>
      </c>
      <c r="FG13" s="7">
        <f t="shared" si="44"/>
        <v>-0.15649706985488382</v>
      </c>
      <c r="FH13" s="375">
        <f t="shared" si="113"/>
        <v>-33693634.689999998</v>
      </c>
      <c r="FI13" s="7">
        <f t="shared" si="46"/>
        <v>-0.12252341786095249</v>
      </c>
      <c r="FJ13" s="375">
        <f t="shared" si="114"/>
        <v>-82992403.799999997</v>
      </c>
      <c r="FK13" s="7">
        <f t="shared" si="89"/>
        <v>-0.16060301948077754</v>
      </c>
      <c r="FL13" s="375">
        <v>-5019578.62</v>
      </c>
      <c r="FM13" s="7">
        <f t="shared" si="115"/>
        <v>-0.45906664136649605</v>
      </c>
      <c r="FN13" s="375">
        <v>2720233.72</v>
      </c>
      <c r="FO13" s="7">
        <f t="shared" si="48"/>
        <v>0.56932178582012816</v>
      </c>
      <c r="FP13" s="375">
        <v>-46195349.700000003</v>
      </c>
      <c r="FQ13" s="7">
        <f t="shared" si="49"/>
        <v>-0.16698569573403388</v>
      </c>
      <c r="FR13" s="375">
        <f t="shared" si="116"/>
        <v>-48494694.600000001</v>
      </c>
      <c r="FS13" s="7">
        <f t="shared" si="51"/>
        <v>-0.1658761165993872</v>
      </c>
      <c r="FT13" s="375">
        <f t="shared" si="117"/>
        <v>-131487098.40000001</v>
      </c>
      <c r="FU13" s="7">
        <f t="shared" si="90"/>
        <v>-0.16250834269583087</v>
      </c>
      <c r="FV13" s="375">
        <v>-259508.96</v>
      </c>
      <c r="FW13" s="7">
        <f t="shared" si="118"/>
        <v>-9.3516944709640705E-3</v>
      </c>
      <c r="FX13" s="375">
        <v>-78101.100000000006</v>
      </c>
      <c r="FY13" s="7">
        <f t="shared" si="53"/>
        <v>-3.0423479319882703E-3</v>
      </c>
      <c r="FZ13" s="375">
        <v>-13934011.75</v>
      </c>
      <c r="GA13" s="7">
        <f t="shared" si="54"/>
        <v>-4.819633225495841E-2</v>
      </c>
      <c r="GB13" s="375">
        <f t="shared" si="119"/>
        <v>-14271621.810000001</v>
      </c>
      <c r="GC13" s="7">
        <f t="shared" si="56"/>
        <v>-4.1665240886692476E-2</v>
      </c>
      <c r="GD13" s="375">
        <f>FT13+GB13</f>
        <v>-145758720.21000001</v>
      </c>
      <c r="GE13" s="7">
        <f t="shared" si="91"/>
        <v>-0.12656616606851753</v>
      </c>
      <c r="GF13" s="566">
        <f t="shared" si="57"/>
        <v>-6773361.2415275835</v>
      </c>
      <c r="GG13" s="525">
        <f t="shared" si="58"/>
        <v>-0.52562560866657937</v>
      </c>
      <c r="GH13" s="528">
        <f t="shared" si="59"/>
        <v>0</v>
      </c>
      <c r="GI13" s="525">
        <f t="shared" si="60"/>
        <v>0</v>
      </c>
      <c r="GJ13" s="528"/>
      <c r="GK13" s="525">
        <f t="shared" si="61"/>
        <v>0</v>
      </c>
      <c r="GL13" s="528">
        <f t="shared" si="62"/>
        <v>-152532081.4515276</v>
      </c>
      <c r="GM13" s="565">
        <f t="shared" si="92"/>
        <v>-0.13162529916366894</v>
      </c>
      <c r="GO13" s="586">
        <f>-'KSA IS'!B44</f>
        <v>-554227.81000000006</v>
      </c>
      <c r="GQ13" s="586"/>
      <c r="GT13" s="551">
        <f t="shared" si="93"/>
        <v>-63215612.549982093</v>
      </c>
      <c r="GU13" s="551">
        <f t="shared" si="94"/>
        <v>-74065065.768254921</v>
      </c>
      <c r="GV13" s="550">
        <f t="shared" si="63"/>
        <v>-137280678.31823701</v>
      </c>
      <c r="GW13" s="527">
        <f>-215273082.118237-5000000</f>
        <v>-220273082.11823699</v>
      </c>
      <c r="GX13" s="531">
        <f t="shared" si="121"/>
        <v>-0.18602338630412787</v>
      </c>
      <c r="GY13" s="528">
        <f>-GY8*20/100</f>
        <v>-180040029.24808493</v>
      </c>
      <c r="GZ13" s="525">
        <f t="shared" si="122"/>
        <v>-0.2</v>
      </c>
      <c r="HA13" s="528">
        <v>-119320454</v>
      </c>
      <c r="HB13" s="526">
        <f t="shared" si="123"/>
        <v>-0.16391616443309537</v>
      </c>
      <c r="HD13" s="527">
        <v>-209320454.40400001</v>
      </c>
      <c r="HE13" s="531">
        <v>-0.1762051821028798</v>
      </c>
      <c r="HF13" s="528">
        <v>-180040029.24808493</v>
      </c>
      <c r="HG13" s="525">
        <v>-0.2</v>
      </c>
      <c r="HH13" s="528">
        <v>-119320454</v>
      </c>
      <c r="HI13" s="526">
        <v>-0.16391616443309537</v>
      </c>
    </row>
    <row r="14" spans="1:218" outlineLevel="1">
      <c r="A14" s="386" t="s">
        <v>13</v>
      </c>
      <c r="B14" s="386" t="s">
        <v>19</v>
      </c>
      <c r="C14" s="375">
        <v>-7413000.0099999998</v>
      </c>
      <c r="D14" s="4"/>
      <c r="E14" s="375">
        <v>-1955150.27</v>
      </c>
      <c r="F14" s="4"/>
      <c r="G14" s="375">
        <v>-665833.34000000008</v>
      </c>
      <c r="H14" s="375">
        <v>-755536.75</v>
      </c>
      <c r="I14" s="4"/>
      <c r="J14" s="375">
        <v>-665833.34000000008</v>
      </c>
      <c r="K14" s="375">
        <v>-868826.35</v>
      </c>
      <c r="L14" s="4"/>
      <c r="M14" s="375">
        <v>-665833.34000000008</v>
      </c>
      <c r="N14" s="375">
        <v>-1157593.73</v>
      </c>
      <c r="O14" s="4"/>
      <c r="P14" s="375">
        <f t="shared" si="13"/>
        <v>-1997500.0200000003</v>
      </c>
      <c r="Q14" s="375">
        <f t="shared" si="13"/>
        <v>-2781956.83</v>
      </c>
      <c r="R14" s="7">
        <f t="shared" si="64"/>
        <v>-7.6494470522804905E-2</v>
      </c>
      <c r="S14" s="375">
        <v>-1122575.67</v>
      </c>
      <c r="T14" s="375">
        <v>-1122575.67</v>
      </c>
      <c r="U14" s="4"/>
      <c r="V14" s="375">
        <v>-1207617.03</v>
      </c>
      <c r="W14" s="375">
        <v>-1207617.03</v>
      </c>
      <c r="X14" s="4"/>
      <c r="Y14" s="375">
        <v>-1282813.28</v>
      </c>
      <c r="Z14" s="375">
        <v>-1282813.28</v>
      </c>
      <c r="AA14" s="4"/>
      <c r="AB14" s="375">
        <f t="shared" si="14"/>
        <v>-3613005.9800000004</v>
      </c>
      <c r="AC14" s="375">
        <f t="shared" si="15"/>
        <v>-3613005.9800000004</v>
      </c>
      <c r="AD14" s="7">
        <f t="shared" si="65"/>
        <v>-9.7418858688831447E-2</v>
      </c>
      <c r="AE14" s="375">
        <f t="shared" si="16"/>
        <v>-6394962.8100000005</v>
      </c>
      <c r="AF14" s="375">
        <f t="shared" si="17"/>
        <v>-6394962.8100000005</v>
      </c>
      <c r="AG14" s="4"/>
      <c r="AH14" s="375">
        <v>-752510.2</v>
      </c>
      <c r="AI14" s="375">
        <v>-752510.2</v>
      </c>
      <c r="AJ14" s="4"/>
      <c r="AK14" s="375">
        <v>-892942.83</v>
      </c>
      <c r="AL14" s="375">
        <v>-892942.83</v>
      </c>
      <c r="AM14" s="4"/>
      <c r="AN14" s="375">
        <v>-527583.38</v>
      </c>
      <c r="AO14" s="375">
        <v>-527583.38</v>
      </c>
      <c r="AP14" s="4"/>
      <c r="AQ14" s="375">
        <f t="shared" si="66"/>
        <v>-2173036.41</v>
      </c>
      <c r="AR14" s="375">
        <f t="shared" si="67"/>
        <v>-2173036.41</v>
      </c>
      <c r="AS14" s="7">
        <f t="shared" si="68"/>
        <v>-8.1623619267070208E-2</v>
      </c>
      <c r="AT14" s="375">
        <f t="shared" si="18"/>
        <v>-8567999.2200000007</v>
      </c>
      <c r="AU14" s="4"/>
      <c r="AV14" s="375">
        <v>-179793.40781474384</v>
      </c>
      <c r="AW14" s="375">
        <v>-512362.1</v>
      </c>
      <c r="AX14" s="4"/>
      <c r="AY14" s="375">
        <v>-179793.40781474384</v>
      </c>
      <c r="AZ14" s="375">
        <v>-302015.64</v>
      </c>
      <c r="BA14" s="4"/>
      <c r="BB14" s="375">
        <v>-200000</v>
      </c>
      <c r="BC14" s="375">
        <v>1196038.6399999999</v>
      </c>
      <c r="BD14" s="448"/>
      <c r="BE14" s="375">
        <f t="shared" si="69"/>
        <v>-559586.81562948762</v>
      </c>
      <c r="BF14" s="375">
        <f t="shared" si="70"/>
        <v>381660.89999999991</v>
      </c>
      <c r="BG14" s="7">
        <f t="shared" si="71"/>
        <v>1.2154934462530428E-2</v>
      </c>
      <c r="BH14" s="375">
        <f t="shared" si="19"/>
        <v>-9127586.0356294885</v>
      </c>
      <c r="BI14" s="388">
        <f t="shared" si="20"/>
        <v>-8186338.3200000003</v>
      </c>
      <c r="BJ14" s="7">
        <f t="shared" si="72"/>
        <v>-6.2264071083250258E-2</v>
      </c>
      <c r="BK14" s="375">
        <v>-4706744.05</v>
      </c>
      <c r="BL14" s="282"/>
      <c r="BN14" s="375">
        <v>-394805.91</v>
      </c>
      <c r="BO14" s="4"/>
      <c r="BP14" s="375">
        <v>-322719.15999999997</v>
      </c>
      <c r="BQ14" s="4"/>
      <c r="BR14" s="375">
        <v>-522333.46</v>
      </c>
      <c r="BS14" s="4"/>
      <c r="BT14" s="375">
        <f t="shared" si="21"/>
        <v>-1239858.53</v>
      </c>
      <c r="BU14" s="7">
        <f t="shared" si="73"/>
        <v>-2.2869077956028699E-2</v>
      </c>
      <c r="BV14" s="375">
        <v>-350820.7</v>
      </c>
      <c r="BW14" s="7"/>
      <c r="BX14" s="375">
        <v>-528580.82999999996</v>
      </c>
      <c r="BY14" s="7"/>
      <c r="BZ14" s="375">
        <v>-719591.91</v>
      </c>
      <c r="CA14" s="7"/>
      <c r="CB14" s="375">
        <f t="shared" si="22"/>
        <v>-1598993.44</v>
      </c>
      <c r="CC14" s="7">
        <f t="shared" si="74"/>
        <v>-4.6695525443308961E-2</v>
      </c>
      <c r="CD14" s="375">
        <f t="shared" si="23"/>
        <v>-2838851.9699999997</v>
      </c>
      <c r="CE14" s="7">
        <f t="shared" si="75"/>
        <v>-3.2092483032266569E-2</v>
      </c>
      <c r="CF14" s="375">
        <v>-826005.31</v>
      </c>
      <c r="CG14" s="7">
        <f t="shared" si="76"/>
        <v>-0.16353644739704806</v>
      </c>
      <c r="CH14" s="375">
        <v>-1083504.58</v>
      </c>
      <c r="CI14" s="7">
        <f t="shared" si="76"/>
        <v>-2.922056220614868E-2</v>
      </c>
      <c r="CJ14" s="375">
        <f>-1366232.07+460229.17</f>
        <v>-906002.90000000014</v>
      </c>
      <c r="CK14" s="7">
        <f t="shared" si="76"/>
        <v>-3.2170786000597341E-2</v>
      </c>
      <c r="CL14" s="375">
        <f t="shared" si="24"/>
        <v>-2815512.79</v>
      </c>
      <c r="CM14" s="7">
        <f t="shared" si="76"/>
        <v>-4.0053734104294726E-2</v>
      </c>
      <c r="CN14" s="375">
        <f t="shared" si="25"/>
        <v>-5654364.7599999998</v>
      </c>
      <c r="CO14" s="7">
        <f t="shared" si="77"/>
        <v>-3.5617628049127041E-2</v>
      </c>
      <c r="CP14" s="472">
        <v>-1905837.67</v>
      </c>
      <c r="CQ14" s="7">
        <f t="shared" si="26"/>
        <v>-9.7285778837212691E-2</v>
      </c>
      <c r="CR14" s="375">
        <f t="shared" si="27"/>
        <v>-7560202.4299999997</v>
      </c>
      <c r="CS14" s="7">
        <f t="shared" si="78"/>
        <v>-4.2391608590225019E-2</v>
      </c>
      <c r="CT14" s="375">
        <v>-778923.7</v>
      </c>
      <c r="CU14" s="7">
        <f t="shared" si="79"/>
        <v>-4.9725057113082678E-2</v>
      </c>
      <c r="CV14" s="375">
        <v>444294.74</v>
      </c>
      <c r="CW14" s="7">
        <f t="shared" si="80"/>
        <v>7.1006536635337429E-3</v>
      </c>
      <c r="CX14" s="375">
        <f t="shared" si="29"/>
        <v>-2240466.63</v>
      </c>
      <c r="CY14" s="7">
        <f t="shared" si="30"/>
        <v>-2.2902645387156292E-2</v>
      </c>
      <c r="CZ14" s="375">
        <f t="shared" si="31"/>
        <v>-7894831.3899999997</v>
      </c>
      <c r="DA14" s="7">
        <f t="shared" si="81"/>
        <v>-3.0769769041076513E-2</v>
      </c>
      <c r="DB14" s="375">
        <v>-724862.27</v>
      </c>
      <c r="DC14" s="7">
        <f t="shared" si="95"/>
        <v>-3.7760503334941464E-2</v>
      </c>
      <c r="DD14" s="375">
        <v>-944920.51</v>
      </c>
      <c r="DE14" s="7">
        <f t="shared" si="82"/>
        <v>-3.6388988385201652E-2</v>
      </c>
      <c r="DF14" s="72">
        <v>-1127729.6399999999</v>
      </c>
      <c r="DG14" s="7">
        <f t="shared" si="96"/>
        <v>-3.6354688774037344E-2</v>
      </c>
      <c r="DH14" s="375">
        <f t="shared" si="32"/>
        <v>-2797512.42</v>
      </c>
      <c r="DI14" s="7">
        <f t="shared" si="33"/>
        <v>-3.6720608375202718E-2</v>
      </c>
      <c r="DJ14" s="375">
        <v>-375000</v>
      </c>
      <c r="DK14" s="7">
        <f t="shared" si="97"/>
        <v>-7.130078821121281E-3</v>
      </c>
      <c r="DL14" s="72">
        <v>-783125</v>
      </c>
      <c r="DM14" s="7">
        <f t="shared" si="98"/>
        <v>-9.0284360706180733E-2</v>
      </c>
      <c r="DN14" s="72">
        <v>-447127.28</v>
      </c>
      <c r="DO14" s="7">
        <f t="shared" si="99"/>
        <v>-2.6055365652671619E-2</v>
      </c>
      <c r="DP14" s="72">
        <f>-1104556.41+362741.83</f>
        <v>-741814.57999999984</v>
      </c>
      <c r="DQ14" s="7">
        <f t="shared" si="100"/>
        <v>-8.8410718182161813E-3</v>
      </c>
      <c r="DR14" s="375">
        <f t="shared" si="101"/>
        <v>-1972066.8599999999</v>
      </c>
      <c r="DS14" s="7">
        <f t="shared" si="35"/>
        <v>-1.797033194883527E-2</v>
      </c>
      <c r="DT14" s="375">
        <f t="shared" si="36"/>
        <v>-4769579.2799999993</v>
      </c>
      <c r="DU14" s="7">
        <f t="shared" si="83"/>
        <v>-2.5653400283230265E-2</v>
      </c>
      <c r="DV14" s="375">
        <v>-398071.17</v>
      </c>
      <c r="DW14" s="7">
        <f t="shared" si="102"/>
        <v>-8.7454911992162002E-3</v>
      </c>
      <c r="DX14" s="375">
        <v>-551687.81000000006</v>
      </c>
      <c r="DY14" s="7">
        <f t="shared" si="84"/>
        <v>-2.1339854665733262E-2</v>
      </c>
      <c r="DZ14" s="375">
        <v>167143.31</v>
      </c>
      <c r="EA14" s="7">
        <f t="shared" si="103"/>
        <v>1.36618178340275E-3</v>
      </c>
      <c r="EB14" s="375">
        <f t="shared" si="104"/>
        <v>-782615.66999999993</v>
      </c>
      <c r="EC14" s="7">
        <f t="shared" si="37"/>
        <v>-4.0400749662126223E-3</v>
      </c>
      <c r="ED14" s="375">
        <f t="shared" si="38"/>
        <v>-5552194.9499999993</v>
      </c>
      <c r="EE14" s="7">
        <f t="shared" si="85"/>
        <v>-1.4625009363882013E-2</v>
      </c>
      <c r="EF14" s="375">
        <v>-862394.74</v>
      </c>
      <c r="EG14" s="7">
        <f t="shared" si="105"/>
        <v>-5.836186113786189E-2</v>
      </c>
      <c r="EH14" s="375">
        <v>-832040.93</v>
      </c>
      <c r="EI14" s="7">
        <f t="shared" si="86"/>
        <v>-6.5264986684271942E-2</v>
      </c>
      <c r="EJ14" s="375">
        <v>-708984.7</v>
      </c>
      <c r="EK14" s="7">
        <f t="shared" si="106"/>
        <v>-4.5400289043470085E-3</v>
      </c>
      <c r="EL14" s="375">
        <f t="shared" si="107"/>
        <v>-2403420.37</v>
      </c>
      <c r="EM14" s="7">
        <f t="shared" si="39"/>
        <v>-1.3084226721569073E-2</v>
      </c>
      <c r="EN14" s="375">
        <f t="shared" si="40"/>
        <v>-7955615.3199999994</v>
      </c>
      <c r="EO14" s="7">
        <f t="shared" si="108"/>
        <v>-1.4122593060463278E-2</v>
      </c>
      <c r="EP14" s="373"/>
      <c r="EQ14" s="373"/>
      <c r="ER14" s="373"/>
      <c r="ES14" s="373"/>
      <c r="ET14" s="375">
        <v>-868490.88</v>
      </c>
      <c r="EU14" s="7">
        <f t="shared" si="109"/>
        <v>-0.11774679753716884</v>
      </c>
      <c r="EV14" s="375">
        <v>-486275.75</v>
      </c>
      <c r="EW14" s="7">
        <f t="shared" si="87"/>
        <v>-7.9790326817704649E-2</v>
      </c>
      <c r="EX14" s="375">
        <v>-1169742.77</v>
      </c>
      <c r="EY14" s="7">
        <f t="shared" si="110"/>
        <v>-5.123998718346812E-3</v>
      </c>
      <c r="EZ14" s="375">
        <f t="shared" si="111"/>
        <v>-2524509.4</v>
      </c>
      <c r="FA14" s="7">
        <f t="shared" si="42"/>
        <v>-1.0442323867409838E-2</v>
      </c>
      <c r="FB14" s="375">
        <v>-1080599.56</v>
      </c>
      <c r="FC14" s="7">
        <f t="shared" si="112"/>
        <v>-0.11924576109479439</v>
      </c>
      <c r="FD14" s="375">
        <v>-1237349.97</v>
      </c>
      <c r="FE14" s="7">
        <f t="shared" si="88"/>
        <v>-1.1755877804417662E-2</v>
      </c>
      <c r="FF14" s="375">
        <v>-16800.349999999999</v>
      </c>
      <c r="FG14" s="7">
        <f t="shared" si="44"/>
        <v>-1.0455662806847756E-4</v>
      </c>
      <c r="FH14" s="375">
        <f t="shared" si="113"/>
        <v>-2334749.8800000004</v>
      </c>
      <c r="FI14" s="7">
        <f t="shared" si="46"/>
        <v>-8.4900764723061916E-3</v>
      </c>
      <c r="FJ14" s="375">
        <f t="shared" si="114"/>
        <v>-4859259.28</v>
      </c>
      <c r="FK14" s="7">
        <f t="shared" si="89"/>
        <v>-9.4034113614623258E-3</v>
      </c>
      <c r="FL14" s="375">
        <v>-1679532.26</v>
      </c>
      <c r="FM14" s="7">
        <f t="shared" si="115"/>
        <v>-0.15360198375872447</v>
      </c>
      <c r="FN14" s="375">
        <v>-1060830.56</v>
      </c>
      <c r="FO14" s="7">
        <f t="shared" si="48"/>
        <v>-0.22202281533064983</v>
      </c>
      <c r="FP14" s="375">
        <v>-1330809.6499999999</v>
      </c>
      <c r="FQ14" s="7">
        <f t="shared" si="49"/>
        <v>-4.810574586792577E-3</v>
      </c>
      <c r="FR14" s="375">
        <f t="shared" si="116"/>
        <v>-4071172.47</v>
      </c>
      <c r="FS14" s="7">
        <f t="shared" si="51"/>
        <v>-1.3925446585448444E-2</v>
      </c>
      <c r="FT14" s="375">
        <f t="shared" si="117"/>
        <v>-8930431.75</v>
      </c>
      <c r="FU14" s="7">
        <f t="shared" si="90"/>
        <v>-1.1037354089568444E-2</v>
      </c>
      <c r="FV14" s="375">
        <v>-1346251.29</v>
      </c>
      <c r="FW14" s="7">
        <f t="shared" si="118"/>
        <v>-4.8513664981822781E-2</v>
      </c>
      <c r="FX14" s="375">
        <v>-1072593.5</v>
      </c>
      <c r="FY14" s="7">
        <f t="shared" si="53"/>
        <v>-4.1781775373062102E-2</v>
      </c>
      <c r="FZ14" s="375">
        <v>-2751165.78</v>
      </c>
      <c r="GA14" s="7">
        <f t="shared" si="54"/>
        <v>-9.5160031726937364E-3</v>
      </c>
      <c r="GB14" s="375">
        <f t="shared" si="119"/>
        <v>-5170010.57</v>
      </c>
      <c r="GC14" s="7">
        <f t="shared" si="56"/>
        <v>-1.5093570909709825E-2</v>
      </c>
      <c r="GD14" s="375">
        <f t="shared" si="120"/>
        <v>-14100442.32</v>
      </c>
      <c r="GE14" s="7">
        <f t="shared" si="91"/>
        <v>-1.2243788376719258E-2</v>
      </c>
      <c r="GF14" s="566">
        <f t="shared" si="57"/>
        <v>0</v>
      </c>
      <c r="GG14" s="525">
        <f t="shared" si="58"/>
        <v>0</v>
      </c>
      <c r="GH14" s="528">
        <f t="shared" si="59"/>
        <v>0</v>
      </c>
      <c r="GI14" s="525">
        <f t="shared" si="60"/>
        <v>0</v>
      </c>
      <c r="GJ14" s="528"/>
      <c r="GK14" s="525">
        <f t="shared" si="61"/>
        <v>0</v>
      </c>
      <c r="GL14" s="528">
        <f t="shared" si="62"/>
        <v>-14100442.32</v>
      </c>
      <c r="GM14" s="565">
        <f t="shared" si="92"/>
        <v>-1.2167767731536917E-2</v>
      </c>
      <c r="GO14" s="586"/>
      <c r="GQ14" s="586"/>
      <c r="GT14" s="551">
        <f t="shared" si="93"/>
        <v>-2412375.7586967833</v>
      </c>
      <c r="GU14" s="551">
        <f t="shared" si="94"/>
        <v>-2826402.5613032165</v>
      </c>
      <c r="GV14" s="550">
        <f t="shared" si="63"/>
        <v>-5238778.3199999994</v>
      </c>
      <c r="GW14" s="527">
        <f>+EZ14*4</f>
        <v>-10098037.6</v>
      </c>
      <c r="GX14" s="525">
        <f t="shared" si="121"/>
        <v>-8.5279196682329656E-3</v>
      </c>
      <c r="GY14" s="528">
        <f>+GW14</f>
        <v>-10098037.6</v>
      </c>
      <c r="GZ14" s="525">
        <f t="shared" si="122"/>
        <v>-1.1217547166786425E-2</v>
      </c>
      <c r="HA14" s="528">
        <f>+GY14</f>
        <v>-10098037.6</v>
      </c>
      <c r="HB14" s="526">
        <f t="shared" si="123"/>
        <v>-1.387215298135875E-2</v>
      </c>
      <c r="HD14" s="527">
        <v>-10098037.6</v>
      </c>
      <c r="HE14" s="525">
        <v>-8.5004905958952718E-3</v>
      </c>
      <c r="HF14" s="528">
        <v>-10098037.6</v>
      </c>
      <c r="HG14" s="525">
        <v>-1.1217547166786425E-2</v>
      </c>
      <c r="HH14" s="528">
        <v>-10098037.6</v>
      </c>
      <c r="HI14" s="526">
        <v>-1.387215298135875E-2</v>
      </c>
    </row>
    <row r="15" spans="1:218" ht="15" customHeight="1" outlineLevel="1">
      <c r="A15" s="386" t="s">
        <v>13</v>
      </c>
      <c r="B15" s="386" t="s">
        <v>20</v>
      </c>
      <c r="C15" s="375">
        <v>-10089999.699999999</v>
      </c>
      <c r="D15" s="4"/>
      <c r="E15" s="375">
        <v>-2849298.6</v>
      </c>
      <c r="F15" s="4"/>
      <c r="G15" s="375">
        <v>-683886.65</v>
      </c>
      <c r="H15" s="375">
        <v>-788860.48</v>
      </c>
      <c r="I15" s="4"/>
      <c r="J15" s="375">
        <v>-683886.65</v>
      </c>
      <c r="K15" s="375">
        <v>-942141.73</v>
      </c>
      <c r="L15" s="4"/>
      <c r="M15" s="375">
        <v>-683886.65</v>
      </c>
      <c r="N15" s="375">
        <v>-930344.4</v>
      </c>
      <c r="O15" s="4"/>
      <c r="P15" s="375">
        <f t="shared" si="13"/>
        <v>-2051659.9500000002</v>
      </c>
      <c r="Q15" s="375">
        <f t="shared" si="13"/>
        <v>-2661346.61</v>
      </c>
      <c r="R15" s="7">
        <f t="shared" si="64"/>
        <v>-7.3178094503217633E-2</v>
      </c>
      <c r="S15" s="375">
        <v>-1313285.8799999999</v>
      </c>
      <c r="T15" s="375">
        <v>-1313285.8799999999</v>
      </c>
      <c r="U15" s="4"/>
      <c r="V15" s="375">
        <v>-1110933.1200000001</v>
      </c>
      <c r="W15" s="375">
        <v>-1110933.1200000001</v>
      </c>
      <c r="X15" s="4"/>
      <c r="Y15" s="375">
        <v>-988358.76</v>
      </c>
      <c r="Z15" s="375">
        <f>-970436.76-17921</f>
        <v>-988357.76</v>
      </c>
      <c r="AA15" s="4"/>
      <c r="AB15" s="375">
        <f t="shared" si="14"/>
        <v>-3412577.76</v>
      </c>
      <c r="AC15" s="375">
        <f t="shared" si="15"/>
        <v>-3412576.76</v>
      </c>
      <c r="AD15" s="7">
        <f t="shared" si="65"/>
        <v>-9.2014609161325062E-2</v>
      </c>
      <c r="AE15" s="375">
        <f t="shared" si="16"/>
        <v>-6073924.3699999992</v>
      </c>
      <c r="AF15" s="375">
        <f t="shared" si="17"/>
        <v>-6073923.3699999992</v>
      </c>
      <c r="AG15" s="4"/>
      <c r="AH15" s="375">
        <v>-981070.98</v>
      </c>
      <c r="AI15" s="375">
        <v>-981070.98</v>
      </c>
      <c r="AJ15" s="4"/>
      <c r="AK15" s="375">
        <v>-1174586.9099999999</v>
      </c>
      <c r="AL15" s="375">
        <v>-1174586.9099999999</v>
      </c>
      <c r="AM15" s="4"/>
      <c r="AN15" s="375">
        <v>-60383.49</v>
      </c>
      <c r="AO15" s="375">
        <v>-60383.49</v>
      </c>
      <c r="AP15" s="4"/>
      <c r="AQ15" s="375">
        <f t="shared" si="66"/>
        <v>-2216041.38</v>
      </c>
      <c r="AR15" s="375">
        <f t="shared" si="67"/>
        <v>-2216041.38</v>
      </c>
      <c r="AS15" s="7">
        <f t="shared" si="68"/>
        <v>-8.3238972457526761E-2</v>
      </c>
      <c r="AT15" s="375">
        <f t="shared" si="18"/>
        <v>-8289964.7499999991</v>
      </c>
      <c r="AU15" s="4"/>
      <c r="AV15" s="375">
        <v>-397693.66974490444</v>
      </c>
      <c r="AW15" s="375">
        <v>-991158.71</v>
      </c>
      <c r="AX15" s="4"/>
      <c r="AY15" s="375">
        <v>-401797.09322280705</v>
      </c>
      <c r="AZ15" s="375">
        <v>-929735.58</v>
      </c>
      <c r="BA15" s="4"/>
      <c r="BB15" s="375">
        <v>-686080.39686405216</v>
      </c>
      <c r="BC15" s="375">
        <v>715287.87</v>
      </c>
      <c r="BD15" s="448"/>
      <c r="BE15" s="375">
        <f t="shared" si="69"/>
        <v>-1485571.1598317635</v>
      </c>
      <c r="BF15" s="375">
        <f t="shared" si="70"/>
        <v>-1205606.42</v>
      </c>
      <c r="BG15" s="7">
        <f t="shared" si="71"/>
        <v>-3.839551555505407E-2</v>
      </c>
      <c r="BH15" s="375">
        <f t="shared" si="19"/>
        <v>-9775536.9098317623</v>
      </c>
      <c r="BI15" s="388">
        <f t="shared" si="20"/>
        <v>-9495571.1699999981</v>
      </c>
      <c r="BJ15" s="7">
        <f t="shared" si="72"/>
        <v>-7.2221901318261381E-2</v>
      </c>
      <c r="BK15" s="375">
        <v>-12532775.421600003</v>
      </c>
      <c r="BL15" s="282"/>
      <c r="BN15" s="375">
        <v>-628966.96</v>
      </c>
      <c r="BO15" s="4"/>
      <c r="BP15" s="375">
        <v>-780756.29</v>
      </c>
      <c r="BQ15" s="4"/>
      <c r="BR15" s="375">
        <v>-635089.22</v>
      </c>
      <c r="BS15" s="4"/>
      <c r="BT15" s="375">
        <f t="shared" si="21"/>
        <v>-2044812.47</v>
      </c>
      <c r="BU15" s="7">
        <f t="shared" si="73"/>
        <v>-3.7716380256616534E-2</v>
      </c>
      <c r="BV15" s="375">
        <v>-479695.54</v>
      </c>
      <c r="BW15" s="7"/>
      <c r="BX15" s="375">
        <v>-464251</v>
      </c>
      <c r="BY15" s="7"/>
      <c r="BZ15" s="375">
        <v>-571893.05000000005</v>
      </c>
      <c r="CA15" s="7"/>
      <c r="CB15" s="375">
        <f t="shared" si="22"/>
        <v>-1515839.59</v>
      </c>
      <c r="CC15" s="7">
        <f t="shared" si="74"/>
        <v>-4.4267177320514849E-2</v>
      </c>
      <c r="CD15" s="375">
        <f t="shared" si="23"/>
        <v>-3560652.06</v>
      </c>
      <c r="CE15" s="7">
        <f t="shared" si="75"/>
        <v>-4.0252245283277317E-2</v>
      </c>
      <c r="CF15" s="375">
        <v>-531225.43000000005</v>
      </c>
      <c r="CG15" s="7">
        <f t="shared" si="76"/>
        <v>-0.10517452919179084</v>
      </c>
      <c r="CH15" s="375">
        <v>-1092655.31</v>
      </c>
      <c r="CI15" s="7">
        <f t="shared" si="76"/>
        <v>-2.9467344250389479E-2</v>
      </c>
      <c r="CJ15" s="375">
        <v>-485093.12</v>
      </c>
      <c r="CK15" s="7">
        <f t="shared" si="76"/>
        <v>-1.7224919427831945E-2</v>
      </c>
      <c r="CL15" s="375">
        <f t="shared" si="24"/>
        <v>-2108973.8600000003</v>
      </c>
      <c r="CM15" s="7">
        <f t="shared" si="76"/>
        <v>-3.0002448762219299E-2</v>
      </c>
      <c r="CN15" s="375">
        <f t="shared" si="25"/>
        <v>-5669625.9199999999</v>
      </c>
      <c r="CO15" s="7">
        <f t="shared" si="77"/>
        <v>-3.5713760213136603E-2</v>
      </c>
      <c r="CP15" s="472">
        <v>-1523366.03</v>
      </c>
      <c r="CQ15" s="7">
        <f t="shared" si="26"/>
        <v>-7.7762053408621482E-2</v>
      </c>
      <c r="CR15" s="375">
        <f t="shared" si="27"/>
        <v>-7192991.9500000002</v>
      </c>
      <c r="CS15" s="7">
        <f t="shared" si="78"/>
        <v>-4.033258396985006E-2</v>
      </c>
      <c r="CT15" s="375">
        <v>-715553.42</v>
      </c>
      <c r="CU15" s="7">
        <f t="shared" si="79"/>
        <v>-4.5679614931426069E-2</v>
      </c>
      <c r="CV15" s="375">
        <v>412035.3</v>
      </c>
      <c r="CW15" s="7">
        <f>+CV15/CV$8</f>
        <v>6.5850880036307088E-3</v>
      </c>
      <c r="CX15" s="375">
        <f t="shared" si="29"/>
        <v>-1826884.1500000001</v>
      </c>
      <c r="CY15" s="7">
        <f t="shared" si="30"/>
        <v>-1.8674895350200529E-2</v>
      </c>
      <c r="CZ15" s="375">
        <f t="shared" si="31"/>
        <v>-7496510.0700000003</v>
      </c>
      <c r="DA15" s="7">
        <f t="shared" si="81"/>
        <v>-2.9217328663937982E-2</v>
      </c>
      <c r="DB15" s="375">
        <v>-701986.53</v>
      </c>
      <c r="DC15" s="7">
        <f t="shared" si="95"/>
        <v>-3.6568829423483426E-2</v>
      </c>
      <c r="DD15" s="375">
        <v>-818934.53</v>
      </c>
      <c r="DE15" s="7">
        <f t="shared" si="82"/>
        <v>-3.1537255023081863E-2</v>
      </c>
      <c r="DF15" s="72">
        <v>-438594.35</v>
      </c>
      <c r="DG15" s="7">
        <f t="shared" si="96"/>
        <v>-1.4138992651023348E-2</v>
      </c>
      <c r="DH15" s="375">
        <f t="shared" si="32"/>
        <v>-1959515.4100000001</v>
      </c>
      <c r="DI15" s="7">
        <f t="shared" si="33"/>
        <v>-2.5720921723659335E-2</v>
      </c>
      <c r="DJ15" s="375">
        <v>-4110145.1999999993</v>
      </c>
      <c r="DK15" s="7">
        <f t="shared" si="97"/>
        <v>-7.8148424646008768E-2</v>
      </c>
      <c r="DL15" s="72">
        <v>-920163.52</v>
      </c>
      <c r="DM15" s="7">
        <f t="shared" si="98"/>
        <v>-0.106083160604436</v>
      </c>
      <c r="DN15" s="72">
        <v>-824630.25</v>
      </c>
      <c r="DO15" s="7">
        <f t="shared" si="99"/>
        <v>-4.8053526709450622E-2</v>
      </c>
      <c r="DP15" s="72">
        <v>-694928.21</v>
      </c>
      <c r="DQ15" s="7">
        <f t="shared" si="100"/>
        <v>-8.2822721186127362E-3</v>
      </c>
      <c r="DR15" s="375">
        <f t="shared" si="101"/>
        <v>-2439721.98</v>
      </c>
      <c r="DS15" s="7">
        <f t="shared" si="35"/>
        <v>-2.2231809038903299E-2</v>
      </c>
      <c r="DT15" s="375">
        <f t="shared" si="36"/>
        <v>-4399237.3900000006</v>
      </c>
      <c r="DU15" s="7">
        <f t="shared" si="83"/>
        <v>-2.3661499491129792E-2</v>
      </c>
      <c r="DV15" s="375">
        <v>-826098.7</v>
      </c>
      <c r="DW15" s="7">
        <f t="shared" si="102"/>
        <v>-1.8149113663604284E-2</v>
      </c>
      <c r="DX15" s="375">
        <v>-547343.78</v>
      </c>
      <c r="DY15" s="7">
        <f t="shared" si="84"/>
        <v>-2.1171823095734309E-2</v>
      </c>
      <c r="DZ15" s="375">
        <v>-406014.46</v>
      </c>
      <c r="EA15" s="7">
        <f t="shared" si="103"/>
        <v>-3.318646489949879E-3</v>
      </c>
      <c r="EB15" s="375">
        <f t="shared" si="104"/>
        <v>-1779456.94</v>
      </c>
      <c r="EC15" s="7">
        <f t="shared" si="37"/>
        <v>-9.1860407506884154E-3</v>
      </c>
      <c r="ED15" s="375">
        <f t="shared" si="38"/>
        <v>-6178694.3300000001</v>
      </c>
      <c r="EE15" s="7">
        <f t="shared" si="85"/>
        <v>-1.6275268294175211E-2</v>
      </c>
      <c r="EF15" s="375">
        <v>-913207.72</v>
      </c>
      <c r="EG15" s="7">
        <f t="shared" si="105"/>
        <v>-6.1800588144430776E-2</v>
      </c>
      <c r="EH15" s="375">
        <v>-1205657.1100000001</v>
      </c>
      <c r="EI15" s="7">
        <f t="shared" si="86"/>
        <v>-9.4571303397235254E-2</v>
      </c>
      <c r="EJ15" s="375">
        <v>-766984.32</v>
      </c>
      <c r="EK15" s="7">
        <f t="shared" si="106"/>
        <v>-4.9114331832279812E-3</v>
      </c>
      <c r="EL15" s="375">
        <f t="shared" si="107"/>
        <v>-2885849.15</v>
      </c>
      <c r="EM15" s="7">
        <f t="shared" si="39"/>
        <v>-1.5710570249867439E-2</v>
      </c>
      <c r="EN15" s="375">
        <f t="shared" si="40"/>
        <v>-9064543.4800000004</v>
      </c>
      <c r="EO15" s="7">
        <f t="shared" si="108"/>
        <v>-1.6091132325753991E-2</v>
      </c>
      <c r="EP15" s="373"/>
      <c r="EQ15" s="373"/>
      <c r="ER15" s="373"/>
      <c r="ES15" s="373"/>
      <c r="ET15" s="375">
        <v>-802709.81</v>
      </c>
      <c r="EU15" s="7">
        <f t="shared" si="109"/>
        <v>-0.10882844213536159</v>
      </c>
      <c r="EV15" s="375">
        <v>-725148.5</v>
      </c>
      <c r="EW15" s="7">
        <f t="shared" si="87"/>
        <v>-0.11898564920493834</v>
      </c>
      <c r="EX15" s="375">
        <v>-784259.49</v>
      </c>
      <c r="EY15" s="7">
        <f t="shared" si="110"/>
        <v>-3.4354088135217322E-3</v>
      </c>
      <c r="EZ15" s="375">
        <f t="shared" si="111"/>
        <v>-2312117.7999999998</v>
      </c>
      <c r="FA15" s="7">
        <f t="shared" si="42"/>
        <v>-9.5637920330988377E-3</v>
      </c>
      <c r="FB15" s="375">
        <v>-1551550</v>
      </c>
      <c r="FC15" s="7">
        <f t="shared" si="112"/>
        <v>-0.17121583931297199</v>
      </c>
      <c r="FD15" s="375">
        <v>-871568.74</v>
      </c>
      <c r="FE15" s="7">
        <f t="shared" si="88"/>
        <v>-8.2806448086714442E-3</v>
      </c>
      <c r="FF15" s="375">
        <v>-370915.4</v>
      </c>
      <c r="FG15" s="7">
        <f t="shared" si="44"/>
        <v>-2.3083842612011411E-3</v>
      </c>
      <c r="FH15" s="375">
        <f t="shared" si="113"/>
        <v>-2794034.14</v>
      </c>
      <c r="FI15" s="7">
        <f t="shared" si="46"/>
        <v>-1.0160216183343057E-2</v>
      </c>
      <c r="FJ15" s="375">
        <f t="shared" si="114"/>
        <v>-5106151.9399999995</v>
      </c>
      <c r="FK15" s="7">
        <f t="shared" si="89"/>
        <v>-9.8811864934996614E-3</v>
      </c>
      <c r="FL15" s="375">
        <v>-1454868.97</v>
      </c>
      <c r="FM15" s="7">
        <f t="shared" si="115"/>
        <v>-0.13305535429311266</v>
      </c>
      <c r="FN15" s="375">
        <v>-1157676.17</v>
      </c>
      <c r="FO15" s="7">
        <f t="shared" si="48"/>
        <v>-0.24229177796744841</v>
      </c>
      <c r="FP15" s="375">
        <v>-1498107.95</v>
      </c>
      <c r="FQ15" s="7">
        <f t="shared" si="49"/>
        <v>-5.4153199389123195E-3</v>
      </c>
      <c r="FR15" s="375">
        <f t="shared" si="116"/>
        <v>-4110653.09</v>
      </c>
      <c r="FS15" s="7">
        <f t="shared" si="51"/>
        <v>-1.4060490057328274E-2</v>
      </c>
      <c r="FT15" s="375">
        <f t="shared" si="117"/>
        <v>-9216805.0299999993</v>
      </c>
      <c r="FU15" s="7">
        <f t="shared" si="90"/>
        <v>-1.1391290313665462E-2</v>
      </c>
      <c r="FV15" s="375">
        <v>-1451159.32</v>
      </c>
      <c r="FW15" s="7">
        <f t="shared" si="118"/>
        <v>-5.2294142712189906E-2</v>
      </c>
      <c r="FX15" s="375">
        <v>-1526410.05</v>
      </c>
      <c r="FY15" s="7">
        <f t="shared" si="53"/>
        <v>-5.9459731796141307E-2</v>
      </c>
      <c r="FZ15" s="375">
        <v>-2072793.68</v>
      </c>
      <c r="GA15" s="7">
        <f t="shared" si="54"/>
        <v>-7.169582937753583E-3</v>
      </c>
      <c r="GB15" s="375">
        <f t="shared" si="119"/>
        <v>-5050363.05</v>
      </c>
      <c r="GC15" s="7">
        <f t="shared" si="56"/>
        <v>-1.4744266338115703E-2</v>
      </c>
      <c r="GD15" s="375">
        <f t="shared" si="120"/>
        <v>-14267168.079999998</v>
      </c>
      <c r="GE15" s="7">
        <f t="shared" si="91"/>
        <v>-1.2388560780028353E-2</v>
      </c>
      <c r="GF15" s="566">
        <f t="shared" si="57"/>
        <v>-449485.66024166666</v>
      </c>
      <c r="GG15" s="525">
        <f t="shared" si="58"/>
        <v>-3.4880935081817929E-2</v>
      </c>
      <c r="GH15" s="528">
        <f t="shared" si="59"/>
        <v>0</v>
      </c>
      <c r="GI15" s="525">
        <f t="shared" si="60"/>
        <v>0</v>
      </c>
      <c r="GJ15" s="528"/>
      <c r="GK15" s="525">
        <f t="shared" si="61"/>
        <v>0</v>
      </c>
      <c r="GL15" s="528">
        <f t="shared" si="62"/>
        <v>-14716653.740241665</v>
      </c>
      <c r="GM15" s="565">
        <f t="shared" si="92"/>
        <v>-1.2699518244383317E-2</v>
      </c>
      <c r="GO15" s="586">
        <f>-'KSA IS'!B34-'KSA IS'!B35-'KSA IS'!B37</f>
        <v>-36779</v>
      </c>
      <c r="GQ15" s="586"/>
      <c r="GT15" s="551">
        <f t="shared" si="93"/>
        <v>-3101361.6282610358</v>
      </c>
      <c r="GU15" s="551">
        <f t="shared" si="94"/>
        <v>-3633636.4341432117</v>
      </c>
      <c r="GV15" s="550">
        <f t="shared" si="63"/>
        <v>-6734998.062404247</v>
      </c>
      <c r="GW15" s="527">
        <f>-GW8*0.01</f>
        <v>-11841150.002404246</v>
      </c>
      <c r="GX15" s="525">
        <f t="shared" si="121"/>
        <v>-0.01</v>
      </c>
      <c r="GY15" s="528">
        <f>-GY8*0.01</f>
        <v>-9002001.4624042474</v>
      </c>
      <c r="GZ15" s="525">
        <f t="shared" si="122"/>
        <v>-1.0000000000000002E-2</v>
      </c>
      <c r="HA15" s="528">
        <f>-HA8*0.01</f>
        <v>-7279358.5924042463</v>
      </c>
      <c r="HB15" s="526">
        <f t="shared" si="123"/>
        <v>-0.01</v>
      </c>
      <c r="HD15" s="527">
        <v>-11879358.592404246</v>
      </c>
      <c r="HE15" s="525">
        <v>-0.01</v>
      </c>
      <c r="HF15" s="528">
        <v>-9002001.4624042474</v>
      </c>
      <c r="HG15" s="525">
        <v>-1.0000000000000002E-2</v>
      </c>
      <c r="HH15" s="528">
        <v>-7279358.5924042463</v>
      </c>
      <c r="HI15" s="526">
        <v>-0.01</v>
      </c>
    </row>
    <row r="16" spans="1:218" outlineLevel="1">
      <c r="A16" s="386" t="s">
        <v>13</v>
      </c>
      <c r="B16" s="386" t="s">
        <v>21</v>
      </c>
      <c r="C16" s="375">
        <v>-14671000.390000001</v>
      </c>
      <c r="D16" s="4"/>
      <c r="E16" s="375">
        <v>-2497008.54</v>
      </c>
      <c r="F16" s="4"/>
      <c r="G16" s="375">
        <v>-1312927.24</v>
      </c>
      <c r="H16" s="375">
        <v>-115349.05</v>
      </c>
      <c r="I16" s="4"/>
      <c r="J16" s="375">
        <v>-1630501.96</v>
      </c>
      <c r="K16" s="375">
        <v>-538049.79</v>
      </c>
      <c r="L16" s="4"/>
      <c r="M16" s="375">
        <v>-1710023.48</v>
      </c>
      <c r="N16" s="375">
        <f>-483175.04-14172</f>
        <v>-497347.04</v>
      </c>
      <c r="O16" s="4"/>
      <c r="P16" s="375">
        <f t="shared" si="13"/>
        <v>-4653452.68</v>
      </c>
      <c r="Q16" s="375">
        <f>+H16+K16+N16</f>
        <v>-1150745.8800000001</v>
      </c>
      <c r="R16" s="7">
        <f t="shared" si="64"/>
        <v>-3.1641647292168514E-2</v>
      </c>
      <c r="S16" s="375">
        <v>-951103.43</v>
      </c>
      <c r="T16" s="375">
        <v>-951103.43</v>
      </c>
      <c r="U16" s="4"/>
      <c r="V16" s="375">
        <v>-341593.45</v>
      </c>
      <c r="W16" s="375">
        <v>-341593.45</v>
      </c>
      <c r="X16" s="4"/>
      <c r="Y16" s="375">
        <v>-441926.91</v>
      </c>
      <c r="Z16" s="375">
        <v>-441776.91</v>
      </c>
      <c r="AA16" s="4"/>
      <c r="AB16" s="375">
        <f t="shared" si="14"/>
        <v>-1734623.79</v>
      </c>
      <c r="AC16" s="375">
        <f t="shared" si="15"/>
        <v>-1734473.79</v>
      </c>
      <c r="AD16" s="7">
        <f t="shared" si="65"/>
        <v>-4.676727854391536E-2</v>
      </c>
      <c r="AE16" s="375">
        <f t="shared" si="16"/>
        <v>-2885369.67</v>
      </c>
      <c r="AF16" s="375">
        <f t="shared" si="17"/>
        <v>-2885219.67</v>
      </c>
      <c r="AG16" s="4"/>
      <c r="AH16" s="375">
        <v>-379375.84</v>
      </c>
      <c r="AI16" s="375">
        <v>-379375.84</v>
      </c>
      <c r="AJ16" s="4"/>
      <c r="AK16" s="375">
        <v>-903124.91</v>
      </c>
      <c r="AL16" s="375">
        <v>-903124.91</v>
      </c>
      <c r="AM16" s="4"/>
      <c r="AN16" s="375">
        <v>-264738.65999999997</v>
      </c>
      <c r="AO16" s="375">
        <v>-264738.65999999997</v>
      </c>
      <c r="AP16" s="4"/>
      <c r="AQ16" s="375">
        <f t="shared" si="66"/>
        <v>-1547239.4100000001</v>
      </c>
      <c r="AR16" s="375">
        <f t="shared" si="67"/>
        <v>-1547239.4100000001</v>
      </c>
      <c r="AS16" s="7">
        <f t="shared" si="68"/>
        <v>-5.8117424970733168E-2</v>
      </c>
      <c r="AT16" s="375">
        <f t="shared" si="18"/>
        <v>-4432459.08</v>
      </c>
      <c r="AU16" s="4"/>
      <c r="AV16" s="375">
        <v>-754996.55748410278</v>
      </c>
      <c r="AW16" s="375">
        <v>-463131.97</v>
      </c>
      <c r="AX16" s="4"/>
      <c r="AY16" s="375">
        <v>-762786.65030027239</v>
      </c>
      <c r="AZ16" s="375">
        <v>-408385.6</v>
      </c>
      <c r="BA16" s="4"/>
      <c r="BB16" s="375">
        <v>-1302480.7212092248</v>
      </c>
      <c r="BC16" s="375">
        <v>-529643.42000000004</v>
      </c>
      <c r="BD16" s="448"/>
      <c r="BE16" s="375">
        <f t="shared" si="69"/>
        <v>-2820263.9289936</v>
      </c>
      <c r="BF16" s="375">
        <f t="shared" si="70"/>
        <v>-1401160.99</v>
      </c>
      <c r="BG16" s="7">
        <f t="shared" si="71"/>
        <v>-4.4623434061241946E-2</v>
      </c>
      <c r="BH16" s="375">
        <f t="shared" si="19"/>
        <v>-7252873.0089935996</v>
      </c>
      <c r="BI16" s="388">
        <f t="shared" si="20"/>
        <v>-5833620.0700000003</v>
      </c>
      <c r="BJ16" s="7">
        <f t="shared" si="72"/>
        <v>-4.4369646173034703E-2</v>
      </c>
      <c r="BK16" s="375">
        <v>-1790396.4888000002</v>
      </c>
      <c r="BL16" s="282"/>
      <c r="BN16" s="375">
        <v>-555257.37</v>
      </c>
      <c r="BO16" s="4"/>
      <c r="BP16" s="375">
        <v>-1023950.53</v>
      </c>
      <c r="BQ16" s="4"/>
      <c r="BR16" s="388">
        <v>-333434.88</v>
      </c>
      <c r="BS16" s="4"/>
      <c r="BT16" s="375">
        <f t="shared" si="21"/>
        <v>-1912642.7799999998</v>
      </c>
      <c r="BU16" s="7">
        <f t="shared" si="73"/>
        <v>-3.527852233097549E-2</v>
      </c>
      <c r="BV16" s="388">
        <v>-538125.46</v>
      </c>
      <c r="BW16" s="7"/>
      <c r="BX16" s="388">
        <v>-179659.75</v>
      </c>
      <c r="BY16" s="7"/>
      <c r="BZ16" s="375">
        <v>-401209.37</v>
      </c>
      <c r="CA16" s="7"/>
      <c r="CB16" s="375">
        <f>+BV16+BX16+BZ16</f>
        <v>-1118994.58</v>
      </c>
      <c r="CC16" s="7">
        <f t="shared" si="74"/>
        <v>-3.2678082707653149E-2</v>
      </c>
      <c r="CD16" s="375">
        <f t="shared" si="23"/>
        <v>-3031637.36</v>
      </c>
      <c r="CE16" s="7">
        <f t="shared" si="75"/>
        <v>-3.4271871715729312E-2</v>
      </c>
      <c r="CF16" s="375">
        <v>-383125.3</v>
      </c>
      <c r="CG16" s="7">
        <f t="shared" si="76"/>
        <v>-7.5852963305923851E-2</v>
      </c>
      <c r="CH16" s="375">
        <v>-808358.36</v>
      </c>
      <c r="CI16" s="7">
        <f t="shared" si="76"/>
        <v>-2.1800263865280872E-2</v>
      </c>
      <c r="CJ16" s="375">
        <v>-684083.11</v>
      </c>
      <c r="CK16" s="7">
        <f t="shared" si="76"/>
        <v>-2.4290751540015035E-2</v>
      </c>
      <c r="CL16" s="375">
        <f t="shared" si="24"/>
        <v>-1875566.77</v>
      </c>
      <c r="CM16" s="7">
        <f t="shared" si="76"/>
        <v>-2.6681978844937483E-2</v>
      </c>
      <c r="CN16" s="375">
        <f>+CL16+CD16</f>
        <v>-4907204.13</v>
      </c>
      <c r="CO16" s="7">
        <f t="shared" si="77"/>
        <v>-3.0911159587709382E-2</v>
      </c>
      <c r="CP16" s="472">
        <v>-607331.30000000005</v>
      </c>
      <c r="CQ16" s="7">
        <f t="shared" si="26"/>
        <v>-3.1001957544850543E-2</v>
      </c>
      <c r="CR16" s="375">
        <f t="shared" si="27"/>
        <v>-5514535.4299999997</v>
      </c>
      <c r="CS16" s="7">
        <f t="shared" si="78"/>
        <v>-3.09211333519132E-2</v>
      </c>
      <c r="CT16" s="375">
        <v>-414180.42</v>
      </c>
      <c r="CU16" s="7">
        <f t="shared" si="79"/>
        <v>-2.6440516625210624E-2</v>
      </c>
      <c r="CV16" s="375">
        <f>-544605.01-645</f>
        <v>-545250.01</v>
      </c>
      <c r="CW16" s="7">
        <f>+CV16/CV$8</f>
        <v>-8.7141060482694675E-3</v>
      </c>
      <c r="CX16" s="375">
        <f t="shared" si="29"/>
        <v>-1566761.73</v>
      </c>
      <c r="CY16" s="7">
        <f t="shared" si="30"/>
        <v>-1.6015854834828543E-2</v>
      </c>
      <c r="CZ16" s="375">
        <f t="shared" si="31"/>
        <v>-6473965.8599999994</v>
      </c>
      <c r="DA16" s="7">
        <f t="shared" si="81"/>
        <v>-2.5232006163467196E-2</v>
      </c>
      <c r="DB16" s="375">
        <v>-1086750.26</v>
      </c>
      <c r="DC16" s="7">
        <f t="shared" si="95"/>
        <v>-5.6612460760274499E-2</v>
      </c>
      <c r="DD16" s="375">
        <v>-1030808.97</v>
      </c>
      <c r="DE16" s="7">
        <f t="shared" si="82"/>
        <v>-3.9696562027944207E-2</v>
      </c>
      <c r="DF16" s="72">
        <v>-1680360.56</v>
      </c>
      <c r="DG16" s="7">
        <f t="shared" si="96"/>
        <v>-5.4169885245693383E-2</v>
      </c>
      <c r="DH16" s="375">
        <f t="shared" si="32"/>
        <v>-3797919.79</v>
      </c>
      <c r="DI16" s="7">
        <f t="shared" si="33"/>
        <v>-4.9852120137869542E-2</v>
      </c>
      <c r="DJ16" s="375">
        <v>-587163.59999999986</v>
      </c>
      <c r="DK16" s="7">
        <f t="shared" si="97"/>
        <v>-1.1164060663715537E-2</v>
      </c>
      <c r="DL16" s="72">
        <v>-328139.96999999997</v>
      </c>
      <c r="DM16" s="7">
        <f t="shared" si="98"/>
        <v>-3.7830368604750607E-2</v>
      </c>
      <c r="DN16" s="72">
        <v>-1304143.3400000001</v>
      </c>
      <c r="DO16" s="7">
        <f t="shared" si="99"/>
        <v>-7.5996104704674786E-2</v>
      </c>
      <c r="DP16" s="72">
        <v>-1667828.37</v>
      </c>
      <c r="DQ16" s="7">
        <f t="shared" si="100"/>
        <v>-1.9877461022171382E-2</v>
      </c>
      <c r="DR16" s="375">
        <f t="shared" si="101"/>
        <v>-3300111.68</v>
      </c>
      <c r="DS16" s="7">
        <f t="shared" si="35"/>
        <v>-3.0072054635018025E-2</v>
      </c>
      <c r="DT16" s="375">
        <f t="shared" si="36"/>
        <v>-7098031.4700000007</v>
      </c>
      <c r="DU16" s="7">
        <f t="shared" si="83"/>
        <v>-3.8177086873556566E-2</v>
      </c>
      <c r="DV16" s="375">
        <v>-1245729.18</v>
      </c>
      <c r="DW16" s="7">
        <f t="shared" si="102"/>
        <v>-2.7368255732503347E-2</v>
      </c>
      <c r="DX16" s="375">
        <v>-2907002.17</v>
      </c>
      <c r="DY16" s="7">
        <f t="shared" si="84"/>
        <v>-0.11244584835175389</v>
      </c>
      <c r="DZ16" s="375">
        <v>-1023588.88</v>
      </c>
      <c r="EA16" s="7">
        <f t="shared" si="103"/>
        <v>-8.3665238025358215E-3</v>
      </c>
      <c r="EB16" s="375">
        <f>+DV16+DX16+DZ16</f>
        <v>-5176320.2299999995</v>
      </c>
      <c r="EC16" s="7">
        <f t="shared" si="37"/>
        <v>-2.6721573027438824E-2</v>
      </c>
      <c r="ED16" s="375">
        <f t="shared" si="38"/>
        <v>-12274351.699999999</v>
      </c>
      <c r="EE16" s="7">
        <f t="shared" si="85"/>
        <v>-3.2331809341111323E-2</v>
      </c>
      <c r="EF16" s="375">
        <v>-1449892.64</v>
      </c>
      <c r="EG16" s="7">
        <f t="shared" si="105"/>
        <v>-9.8120302682374858E-2</v>
      </c>
      <c r="EH16" s="375">
        <v>-962715.23</v>
      </c>
      <c r="EI16" s="7">
        <f t="shared" si="86"/>
        <v>-7.551503105345525E-2</v>
      </c>
      <c r="EJ16" s="375">
        <v>-12567950.939999999</v>
      </c>
      <c r="EK16" s="7">
        <f t="shared" si="106"/>
        <v>-8.0479678244135808E-2</v>
      </c>
      <c r="EL16" s="375">
        <f>+EF16+EH16+EJ16</f>
        <v>-14980558.809999999</v>
      </c>
      <c r="EM16" s="7">
        <f t="shared" si="39"/>
        <v>-8.1554200976435495E-2</v>
      </c>
      <c r="EN16" s="375">
        <f t="shared" si="40"/>
        <v>-27254910.509999998</v>
      </c>
      <c r="EO16" s="7">
        <f>+EN16/EN$8</f>
        <v>-4.8382179699467127E-2</v>
      </c>
      <c r="EP16" s="373"/>
      <c r="EQ16" s="397"/>
      <c r="ER16" s="455"/>
      <c r="ES16" s="373"/>
      <c r="ET16" s="375">
        <v>-590001.61</v>
      </c>
      <c r="EU16" s="7">
        <f t="shared" si="109"/>
        <v>-7.9990247127607883E-2</v>
      </c>
      <c r="EV16" s="375">
        <v>-472724.24</v>
      </c>
      <c r="EW16" s="7">
        <f t="shared" si="87"/>
        <v>-7.7566733698423262E-2</v>
      </c>
      <c r="EX16" s="375">
        <v>-2399933.62</v>
      </c>
      <c r="EY16" s="7">
        <f t="shared" si="110"/>
        <v>-1.0512787177130768E-2</v>
      </c>
      <c r="EZ16" s="375">
        <f t="shared" si="111"/>
        <v>-3462659.47</v>
      </c>
      <c r="FA16" s="7">
        <f t="shared" si="42"/>
        <v>-1.4322866703642976E-2</v>
      </c>
      <c r="FB16" s="375">
        <v>-2742721.72</v>
      </c>
      <c r="FC16" s="7">
        <f t="shared" si="112"/>
        <v>-0.30266340194754804</v>
      </c>
      <c r="FD16" s="375">
        <v>-678063.58</v>
      </c>
      <c r="FE16" s="7">
        <f t="shared" si="88"/>
        <v>-6.4421810994232933E-3</v>
      </c>
      <c r="FF16" s="375">
        <v>-7076083.6500000004</v>
      </c>
      <c r="FG16" s="7">
        <f t="shared" si="44"/>
        <v>-4.4037859114511621E-2</v>
      </c>
      <c r="FH16" s="375">
        <f t="shared" si="113"/>
        <v>-10496868.950000001</v>
      </c>
      <c r="FI16" s="7">
        <f t="shared" si="46"/>
        <v>-3.8170778321349096E-2</v>
      </c>
      <c r="FJ16" s="375">
        <f t="shared" si="114"/>
        <v>-13959528.420000002</v>
      </c>
      <c r="FK16" s="7">
        <f t="shared" si="89"/>
        <v>-2.7013826713376002E-2</v>
      </c>
      <c r="FL16" s="375">
        <v>-2056957.86</v>
      </c>
      <c r="FM16" s="7">
        <f t="shared" si="115"/>
        <v>-0.1881195231130009</v>
      </c>
      <c r="FN16" s="375">
        <v>-1071450.83</v>
      </c>
      <c r="FO16" s="7">
        <f t="shared" si="48"/>
        <v>-0.22424554753113587</v>
      </c>
      <c r="FP16" s="375">
        <v>-6449197.2800000003</v>
      </c>
      <c r="FQ16" s="7">
        <f t="shared" si="49"/>
        <v>-2.3312383210010397E-2</v>
      </c>
      <c r="FR16" s="375">
        <f t="shared" si="116"/>
        <v>-9577605.9700000007</v>
      </c>
      <c r="FS16" s="7">
        <f t="shared" si="51"/>
        <v>-3.2760203930074998E-2</v>
      </c>
      <c r="FT16" s="375">
        <f t="shared" si="117"/>
        <v>-23537134.390000001</v>
      </c>
      <c r="FU16" s="7">
        <f t="shared" si="90"/>
        <v>-2.9090159780481899E-2</v>
      </c>
      <c r="FV16" s="375">
        <v>-1365241.82</v>
      </c>
      <c r="FW16" s="7">
        <f t="shared" si="118"/>
        <v>-4.9198009886143916E-2</v>
      </c>
      <c r="FX16" s="375">
        <v>-2853577.23</v>
      </c>
      <c r="FY16" s="7">
        <f t="shared" si="53"/>
        <v>-0.11115816274622657</v>
      </c>
      <c r="FZ16" s="375">
        <v>-21245074.030000001</v>
      </c>
      <c r="GA16" s="7">
        <f t="shared" si="54"/>
        <v>-7.3484554563481574E-2</v>
      </c>
      <c r="GB16" s="375">
        <f t="shared" si="119"/>
        <v>-25463893.080000002</v>
      </c>
      <c r="GC16" s="7">
        <f t="shared" si="56"/>
        <v>-7.434048163662639E-2</v>
      </c>
      <c r="GD16" s="375">
        <f t="shared" si="120"/>
        <v>-49001027.469999999</v>
      </c>
      <c r="GE16" s="7">
        <f t="shared" si="91"/>
        <v>-4.2548892933203179E-2</v>
      </c>
      <c r="GF16" s="566">
        <f>+GO16*$GO$1</f>
        <v>-2024317.8645630833</v>
      </c>
      <c r="GG16" s="525">
        <f t="shared" si="58"/>
        <v>-0.15709088468100535</v>
      </c>
      <c r="GH16" s="528">
        <f t="shared" si="59"/>
        <v>0</v>
      </c>
      <c r="GI16" s="525">
        <f t="shared" si="60"/>
        <v>0</v>
      </c>
      <c r="GJ16" s="528"/>
      <c r="GK16" s="525">
        <f t="shared" si="61"/>
        <v>0</v>
      </c>
      <c r="GL16" s="528">
        <f t="shared" si="62"/>
        <v>-51025345.334563084</v>
      </c>
      <c r="GM16" s="565">
        <f t="shared" si="92"/>
        <v>-4.4031565561017415E-2</v>
      </c>
      <c r="GO16" s="586">
        <f>-'KSA IS'!B42+'KSA IS'!D42-'KSA IS'!B36-'KSA IS'!B40-'KSA IS'!B41-'KSA IS'!B43-'KSA IS'!B38-'KSA IS'!B45</f>
        <v>-165639.07</v>
      </c>
      <c r="GQ16" s="586"/>
      <c r="GT16" s="551">
        <f t="shared" si="93"/>
        <v>-4477184.7644314738</v>
      </c>
      <c r="GU16" s="551">
        <f t="shared" si="94"/>
        <v>-5245586.8203770174</v>
      </c>
      <c r="GV16" s="550">
        <f t="shared" si="63"/>
        <v>-9722771.5848084912</v>
      </c>
      <c r="GW16" s="527">
        <f>-GW8*0.02</f>
        <v>-23682300.004808493</v>
      </c>
      <c r="GX16" s="525">
        <f t="shared" si="121"/>
        <v>-0.02</v>
      </c>
      <c r="GY16" s="528">
        <f>-GY8*0.02</f>
        <v>-18004002.924808495</v>
      </c>
      <c r="GZ16" s="525">
        <f t="shared" si="122"/>
        <v>-2.0000000000000004E-2</v>
      </c>
      <c r="HA16" s="528">
        <f>-HA8*0.02</f>
        <v>-14558717.184808493</v>
      </c>
      <c r="HB16" s="526">
        <f t="shared" si="123"/>
        <v>-0.02</v>
      </c>
      <c r="HD16" s="527">
        <v>-23758717.184808493</v>
      </c>
      <c r="HE16" s="525">
        <v>-0.02</v>
      </c>
      <c r="HF16" s="528">
        <v>-18004002.924808495</v>
      </c>
      <c r="HG16" s="525">
        <v>-2.0000000000000004E-2</v>
      </c>
      <c r="HH16" s="528">
        <v>-14558717.184808493</v>
      </c>
      <c r="HI16" s="526">
        <v>-0.02</v>
      </c>
    </row>
    <row r="17" spans="1:217" outlineLevel="1">
      <c r="A17" s="386" t="s">
        <v>13</v>
      </c>
      <c r="B17" s="386" t="s">
        <v>22</v>
      </c>
      <c r="C17" s="375">
        <v>0</v>
      </c>
      <c r="D17" s="4"/>
      <c r="E17" s="375">
        <v>0</v>
      </c>
      <c r="F17" s="4"/>
      <c r="G17" s="375"/>
      <c r="H17" s="375"/>
      <c r="I17" s="4"/>
      <c r="J17" s="375"/>
      <c r="K17" s="375"/>
      <c r="L17" s="4"/>
      <c r="M17" s="375"/>
      <c r="N17" s="375">
        <v>0</v>
      </c>
      <c r="O17" s="4"/>
      <c r="P17" s="375">
        <f t="shared" si="13"/>
        <v>0</v>
      </c>
      <c r="Q17" s="375">
        <f>+H17+K17+N17</f>
        <v>0</v>
      </c>
      <c r="R17" s="7">
        <f t="shared" si="64"/>
        <v>0</v>
      </c>
      <c r="S17" s="375"/>
      <c r="T17" s="375"/>
      <c r="U17" s="4"/>
      <c r="V17" s="375"/>
      <c r="W17" s="375"/>
      <c r="X17" s="4"/>
      <c r="Y17" s="375"/>
      <c r="Z17" s="375"/>
      <c r="AA17" s="4"/>
      <c r="AB17" s="375">
        <f t="shared" si="14"/>
        <v>0</v>
      </c>
      <c r="AC17" s="375">
        <f t="shared" si="15"/>
        <v>0</v>
      </c>
      <c r="AD17" s="7">
        <f t="shared" si="65"/>
        <v>0</v>
      </c>
      <c r="AE17" s="375">
        <f t="shared" si="16"/>
        <v>0</v>
      </c>
      <c r="AF17" s="375">
        <f t="shared" si="17"/>
        <v>0</v>
      </c>
      <c r="AG17" s="4"/>
      <c r="AH17" s="375"/>
      <c r="AI17" s="375"/>
      <c r="AJ17" s="4"/>
      <c r="AK17" s="375"/>
      <c r="AL17" s="375"/>
      <c r="AM17" s="4"/>
      <c r="AN17" s="375"/>
      <c r="AO17" s="375"/>
      <c r="AP17" s="4"/>
      <c r="AQ17" s="375">
        <f t="shared" si="66"/>
        <v>0</v>
      </c>
      <c r="AR17" s="375">
        <f t="shared" si="67"/>
        <v>0</v>
      </c>
      <c r="AS17" s="7">
        <f t="shared" si="68"/>
        <v>0</v>
      </c>
      <c r="AT17" s="375">
        <f t="shared" si="18"/>
        <v>0</v>
      </c>
      <c r="AU17" s="4"/>
      <c r="AV17" s="375"/>
      <c r="AW17" s="375"/>
      <c r="AX17" s="4"/>
      <c r="AY17" s="375"/>
      <c r="AZ17" s="375"/>
      <c r="BA17" s="4"/>
      <c r="BB17" s="375"/>
      <c r="BC17" s="375"/>
      <c r="BD17" s="448"/>
      <c r="BE17" s="375">
        <f t="shared" si="69"/>
        <v>0</v>
      </c>
      <c r="BF17" s="375">
        <f t="shared" si="70"/>
        <v>0</v>
      </c>
      <c r="BG17" s="7">
        <f t="shared" si="71"/>
        <v>0</v>
      </c>
      <c r="BH17" s="375">
        <f t="shared" si="19"/>
        <v>0</v>
      </c>
      <c r="BI17" s="388">
        <f t="shared" si="20"/>
        <v>0</v>
      </c>
      <c r="BJ17" s="7">
        <f t="shared" si="72"/>
        <v>0</v>
      </c>
      <c r="BK17" s="375">
        <v>0</v>
      </c>
      <c r="BL17" s="282"/>
      <c r="BN17" s="375"/>
      <c r="BO17" s="4"/>
      <c r="BP17" s="375"/>
      <c r="BQ17" s="4"/>
      <c r="BR17" s="375"/>
      <c r="BS17" s="4"/>
      <c r="BT17" s="375">
        <f t="shared" si="21"/>
        <v>0</v>
      </c>
      <c r="BU17" s="7">
        <f t="shared" si="73"/>
        <v>0</v>
      </c>
      <c r="BV17" s="375"/>
      <c r="BW17" s="7"/>
      <c r="BX17" s="375"/>
      <c r="BY17" s="7"/>
      <c r="BZ17" s="375">
        <v>0</v>
      </c>
      <c r="CA17" s="7"/>
      <c r="CB17" s="375">
        <f t="shared" si="22"/>
        <v>0</v>
      </c>
      <c r="CC17" s="7">
        <f t="shared" si="74"/>
        <v>0</v>
      </c>
      <c r="CD17" s="375">
        <f t="shared" si="23"/>
        <v>0</v>
      </c>
      <c r="CE17" s="7">
        <f t="shared" si="75"/>
        <v>0</v>
      </c>
      <c r="CF17" s="375">
        <v>0</v>
      </c>
      <c r="CG17" s="7">
        <f t="shared" si="76"/>
        <v>0</v>
      </c>
      <c r="CH17" s="375">
        <v>0</v>
      </c>
      <c r="CI17" s="7">
        <f t="shared" si="76"/>
        <v>0</v>
      </c>
      <c r="CJ17" s="375">
        <v>0</v>
      </c>
      <c r="CK17" s="7">
        <f t="shared" si="76"/>
        <v>0</v>
      </c>
      <c r="CL17" s="375"/>
      <c r="CM17" s="7">
        <f t="shared" si="76"/>
        <v>0</v>
      </c>
      <c r="CN17" s="375">
        <f t="shared" si="25"/>
        <v>0</v>
      </c>
      <c r="CO17" s="7">
        <f t="shared" si="77"/>
        <v>0</v>
      </c>
      <c r="CP17" s="375">
        <v>0</v>
      </c>
      <c r="CQ17" s="7">
        <f t="shared" si="26"/>
        <v>0</v>
      </c>
      <c r="CR17" s="375">
        <f>+CN17+CP17</f>
        <v>0</v>
      </c>
      <c r="CS17" s="7">
        <f t="shared" si="78"/>
        <v>0</v>
      </c>
      <c r="CT17" s="375">
        <v>0</v>
      </c>
      <c r="CU17" s="7">
        <f t="shared" si="79"/>
        <v>0</v>
      </c>
      <c r="CV17" s="375">
        <v>0</v>
      </c>
      <c r="CW17" s="7">
        <f t="shared" si="80"/>
        <v>0</v>
      </c>
      <c r="CX17" s="375">
        <f t="shared" si="29"/>
        <v>0</v>
      </c>
      <c r="CY17" s="7">
        <f t="shared" si="30"/>
        <v>0</v>
      </c>
      <c r="CZ17" s="375">
        <f t="shared" si="31"/>
        <v>0</v>
      </c>
      <c r="DA17" s="7">
        <f t="shared" si="81"/>
        <v>0</v>
      </c>
      <c r="DB17" s="375">
        <v>0</v>
      </c>
      <c r="DC17" s="7">
        <f t="shared" si="95"/>
        <v>0</v>
      </c>
      <c r="DD17" s="375">
        <v>0</v>
      </c>
      <c r="DE17" s="7">
        <f t="shared" si="82"/>
        <v>0</v>
      </c>
      <c r="DF17" s="375">
        <v>0</v>
      </c>
      <c r="DG17" s="7">
        <f t="shared" si="96"/>
        <v>0</v>
      </c>
      <c r="DH17" s="375">
        <v>0</v>
      </c>
      <c r="DI17" s="7">
        <f t="shared" si="33"/>
        <v>0</v>
      </c>
      <c r="DJ17" s="375">
        <v>0</v>
      </c>
      <c r="DK17" s="7">
        <f t="shared" si="97"/>
        <v>0</v>
      </c>
      <c r="DL17" s="375">
        <v>0</v>
      </c>
      <c r="DM17" s="7">
        <f t="shared" si="98"/>
        <v>0</v>
      </c>
      <c r="DN17" s="375">
        <v>0</v>
      </c>
      <c r="DO17" s="7">
        <f t="shared" si="99"/>
        <v>0</v>
      </c>
      <c r="DP17" s="375">
        <v>0</v>
      </c>
      <c r="DQ17" s="7">
        <f t="shared" si="100"/>
        <v>0</v>
      </c>
      <c r="DR17" s="375"/>
      <c r="DS17" s="7">
        <f t="shared" si="35"/>
        <v>0</v>
      </c>
      <c r="DT17" s="375">
        <f t="shared" si="36"/>
        <v>0</v>
      </c>
      <c r="DU17" s="7">
        <f t="shared" si="83"/>
        <v>0</v>
      </c>
      <c r="DV17" s="375"/>
      <c r="DW17" s="7">
        <f t="shared" si="102"/>
        <v>0</v>
      </c>
      <c r="DX17" s="375"/>
      <c r="DY17" s="7">
        <f t="shared" si="84"/>
        <v>0</v>
      </c>
      <c r="DZ17" s="375"/>
      <c r="EA17" s="7">
        <f t="shared" si="103"/>
        <v>0</v>
      </c>
      <c r="EB17" s="375">
        <f>+DV17+DX17+DZ17</f>
        <v>0</v>
      </c>
      <c r="EC17" s="7">
        <f t="shared" si="37"/>
        <v>0</v>
      </c>
      <c r="ED17" s="375">
        <f t="shared" si="38"/>
        <v>0</v>
      </c>
      <c r="EE17" s="7">
        <f t="shared" si="85"/>
        <v>0</v>
      </c>
      <c r="EF17" s="375"/>
      <c r="EG17" s="7">
        <f t="shared" si="105"/>
        <v>0</v>
      </c>
      <c r="EH17" s="375"/>
      <c r="EI17" s="7">
        <f t="shared" si="86"/>
        <v>0</v>
      </c>
      <c r="EJ17" s="375"/>
      <c r="EK17" s="7">
        <f t="shared" si="106"/>
        <v>0</v>
      </c>
      <c r="EL17" s="375">
        <f>+EF17+EH17+EJ17</f>
        <v>0</v>
      </c>
      <c r="EM17" s="7">
        <f t="shared" si="39"/>
        <v>0</v>
      </c>
      <c r="EN17" s="375">
        <f t="shared" si="40"/>
        <v>0</v>
      </c>
      <c r="EO17" s="7">
        <f>+EN17/EN$8</f>
        <v>0</v>
      </c>
      <c r="EP17" s="373"/>
      <c r="EQ17" s="373"/>
      <c r="ER17" s="373"/>
      <c r="ES17" s="373"/>
      <c r="ET17" s="375"/>
      <c r="EU17" s="7">
        <f t="shared" si="109"/>
        <v>0</v>
      </c>
      <c r="EV17" s="375"/>
      <c r="EW17" s="7">
        <f t="shared" si="87"/>
        <v>0</v>
      </c>
      <c r="EX17" s="375"/>
      <c r="EY17" s="7">
        <f t="shared" si="110"/>
        <v>0</v>
      </c>
      <c r="EZ17" s="375">
        <v>0</v>
      </c>
      <c r="FA17" s="7">
        <f t="shared" si="42"/>
        <v>0</v>
      </c>
      <c r="FB17" s="375"/>
      <c r="FC17" s="7">
        <f t="shared" si="112"/>
        <v>0</v>
      </c>
      <c r="FD17" s="375"/>
      <c r="FE17" s="7">
        <f t="shared" si="88"/>
        <v>0</v>
      </c>
      <c r="FF17" s="375"/>
      <c r="FG17" s="7">
        <f t="shared" si="44"/>
        <v>0</v>
      </c>
      <c r="FH17" s="375">
        <v>0</v>
      </c>
      <c r="FI17" s="7">
        <f t="shared" si="46"/>
        <v>0</v>
      </c>
      <c r="FJ17" s="375">
        <f t="shared" si="114"/>
        <v>0</v>
      </c>
      <c r="FK17" s="7">
        <f t="shared" si="89"/>
        <v>0</v>
      </c>
      <c r="FL17" s="375"/>
      <c r="FM17" s="7">
        <f t="shared" si="115"/>
        <v>0</v>
      </c>
      <c r="FN17" s="375"/>
      <c r="FO17" s="7">
        <f t="shared" si="48"/>
        <v>0</v>
      </c>
      <c r="FP17" s="375"/>
      <c r="FQ17" s="7">
        <f t="shared" si="49"/>
        <v>0</v>
      </c>
      <c r="FR17" s="375">
        <v>0</v>
      </c>
      <c r="FS17" s="7">
        <f t="shared" si="51"/>
        <v>0</v>
      </c>
      <c r="FT17" s="375">
        <f t="shared" si="117"/>
        <v>0</v>
      </c>
      <c r="FU17" s="7">
        <f t="shared" si="90"/>
        <v>0</v>
      </c>
      <c r="FV17" s="375"/>
      <c r="FW17" s="7">
        <f t="shared" si="118"/>
        <v>0</v>
      </c>
      <c r="FX17" s="375"/>
      <c r="FY17" s="7">
        <f t="shared" si="53"/>
        <v>0</v>
      </c>
      <c r="FZ17" s="375"/>
      <c r="GA17" s="7">
        <f t="shared" si="54"/>
        <v>0</v>
      </c>
      <c r="GB17" s="375">
        <v>0</v>
      </c>
      <c r="GC17" s="7">
        <f t="shared" si="56"/>
        <v>0</v>
      </c>
      <c r="GD17" s="375">
        <f t="shared" si="120"/>
        <v>0</v>
      </c>
      <c r="GE17" s="7">
        <f t="shared" si="91"/>
        <v>0</v>
      </c>
      <c r="GF17" s="566">
        <f t="shared" si="57"/>
        <v>0</v>
      </c>
      <c r="GG17" s="525">
        <f t="shared" si="58"/>
        <v>0</v>
      </c>
      <c r="GH17" s="528">
        <f t="shared" si="59"/>
        <v>0</v>
      </c>
      <c r="GI17" s="525">
        <f t="shared" si="60"/>
        <v>0</v>
      </c>
      <c r="GJ17" s="528"/>
      <c r="GK17" s="525">
        <f t="shared" si="61"/>
        <v>0</v>
      </c>
      <c r="GL17" s="528">
        <f t="shared" si="62"/>
        <v>0</v>
      </c>
      <c r="GM17" s="565">
        <f t="shared" si="92"/>
        <v>0</v>
      </c>
      <c r="GO17" s="586"/>
      <c r="GQ17" s="586"/>
      <c r="GT17" s="551">
        <f t="shared" si="93"/>
        <v>0</v>
      </c>
      <c r="GU17" s="551">
        <f t="shared" si="94"/>
        <v>0</v>
      </c>
      <c r="GV17" s="550">
        <f t="shared" si="63"/>
        <v>0</v>
      </c>
      <c r="GW17" s="527"/>
      <c r="GX17" s="525">
        <f t="shared" si="121"/>
        <v>0</v>
      </c>
      <c r="GY17" s="528"/>
      <c r="GZ17" s="525">
        <f t="shared" si="122"/>
        <v>0</v>
      </c>
      <c r="HA17" s="528"/>
      <c r="HB17" s="526">
        <f t="shared" si="123"/>
        <v>0</v>
      </c>
      <c r="HD17" s="527"/>
      <c r="HE17" s="525">
        <v>0</v>
      </c>
      <c r="HF17" s="528"/>
      <c r="HG17" s="525">
        <v>0</v>
      </c>
      <c r="HH17" s="528"/>
      <c r="HI17" s="526">
        <v>0</v>
      </c>
    </row>
    <row r="18" spans="1:217">
      <c r="A18" s="386" t="s">
        <v>13</v>
      </c>
      <c r="B18" s="386"/>
      <c r="C18" s="389">
        <f>SUM(C9:C17)</f>
        <v>-102066587.62</v>
      </c>
      <c r="D18" s="4"/>
      <c r="E18" s="389">
        <f>SUM(E9:E17)</f>
        <v>-32868999.109999999</v>
      </c>
      <c r="F18" s="4"/>
      <c r="G18" s="389">
        <f>SUM(G9:G17)</f>
        <v>-7859499.7166666677</v>
      </c>
      <c r="H18" s="389">
        <f>SUM(H9:H17)</f>
        <v>-5244353.5100000007</v>
      </c>
      <c r="I18" s="4"/>
      <c r="J18" s="389">
        <f>SUM(J9:J17)</f>
        <v>-12524074.436666664</v>
      </c>
      <c r="K18" s="389">
        <f>SUM(K9:K17)</f>
        <v>-7554691.0099999988</v>
      </c>
      <c r="L18" s="4"/>
      <c r="M18" s="389">
        <f>SUM(M9:M17)</f>
        <v>-13692095.956666665</v>
      </c>
      <c r="N18" s="389">
        <f>SUM(N9:N17)</f>
        <v>-12379259.48</v>
      </c>
      <c r="O18" s="4"/>
      <c r="P18" s="389">
        <f>+G18+J18+M18</f>
        <v>-34075670.109999999</v>
      </c>
      <c r="Q18" s="389">
        <f>+H18+K18+N18</f>
        <v>-25178304</v>
      </c>
      <c r="R18" s="7">
        <f t="shared" si="64"/>
        <v>-0.69231880680988889</v>
      </c>
      <c r="S18" s="389">
        <f>SUM(S9:S17)</f>
        <v>-6631424.7799999993</v>
      </c>
      <c r="T18" s="389">
        <f>SUM(T9:T17)</f>
        <v>-6631424.7799999993</v>
      </c>
      <c r="U18" s="7"/>
      <c r="V18" s="389">
        <f>SUM(V9:V17)</f>
        <v>-10285828.449999999</v>
      </c>
      <c r="W18" s="389">
        <f>SUM(W9:W17)</f>
        <v>-10276300.829999998</v>
      </c>
      <c r="X18" s="7"/>
      <c r="Y18" s="389">
        <f>SUM(Y9:Y17)</f>
        <v>-7054737.4600000009</v>
      </c>
      <c r="Z18" s="389">
        <f>SUM(Z9:Z17)</f>
        <v>-7064114.080000001</v>
      </c>
      <c r="AA18" s="7"/>
      <c r="AB18" s="389">
        <f>SUM(AB9:AB17)</f>
        <v>-23971990.689999998</v>
      </c>
      <c r="AC18" s="389">
        <f>SUM(AC9:AC17)</f>
        <v>-23971839.689999998</v>
      </c>
      <c r="AD18" s="7">
        <f t="shared" si="65"/>
        <v>-0.64636185940423785</v>
      </c>
      <c r="AE18" s="389">
        <f>SUM(AE9:AE17)</f>
        <v>-49150294.689999998</v>
      </c>
      <c r="AF18" s="389">
        <f>SUM(AF9:AF17)</f>
        <v>-49150143.689999998</v>
      </c>
      <c r="AG18" s="7"/>
      <c r="AH18" s="389">
        <f>SUM(AH9:AH17)</f>
        <v>-8462760.0700000003</v>
      </c>
      <c r="AI18" s="389">
        <f>SUM(AI9:AI17)</f>
        <v>-8462760.0700000003</v>
      </c>
      <c r="AJ18" s="7"/>
      <c r="AK18" s="389">
        <f>SUM(AK9:AK17)</f>
        <v>-6641903.6900000004</v>
      </c>
      <c r="AL18" s="389">
        <f>SUM(AL9:AL17)</f>
        <v>-6641903.6900000004</v>
      </c>
      <c r="AM18" s="7"/>
      <c r="AN18" s="389">
        <f>SUM(AN9:AN17)</f>
        <v>-733142.4299999997</v>
      </c>
      <c r="AO18" s="389">
        <f>SUM(AO9:AO17)</f>
        <v>-733142.4299999997</v>
      </c>
      <c r="AP18" s="7"/>
      <c r="AQ18" s="389">
        <f>SUM(AQ9:AQ17)</f>
        <v>-15837806.190000001</v>
      </c>
      <c r="AR18" s="389">
        <f>SUM(AR9:AR17)</f>
        <v>-15837806.190000001</v>
      </c>
      <c r="AS18" s="7">
        <f t="shared" si="68"/>
        <v>-0.59489986294256703</v>
      </c>
      <c r="AT18" s="389">
        <f>SUM(AT9:AT17)</f>
        <v>-64987949.880000003</v>
      </c>
      <c r="AU18" s="7"/>
      <c r="AV18" s="389">
        <f>SUM(AV9:AV17)</f>
        <v>-9937826.021553345</v>
      </c>
      <c r="AW18" s="389">
        <f>SUM(AW9:AW17)</f>
        <v>-11400228.999999998</v>
      </c>
      <c r="AX18" s="7"/>
      <c r="AY18" s="389">
        <f>SUM(AY9:AY17)</f>
        <v>-6208540.4750111001</v>
      </c>
      <c r="AZ18" s="389">
        <f>SUM(AZ9:AZ17)</f>
        <v>-6528514.9399999995</v>
      </c>
      <c r="BA18" s="7"/>
      <c r="BB18" s="389">
        <f>SUM(BB9:BB17)</f>
        <v>-7946838.1097747497</v>
      </c>
      <c r="BC18" s="389">
        <f>SUM(BC9:BC17)</f>
        <v>-2466208.8100000005</v>
      </c>
      <c r="BD18" s="449"/>
      <c r="BE18" s="389">
        <f>SUM(BE9:BE17)</f>
        <v>-24093204.606339194</v>
      </c>
      <c r="BF18" s="389">
        <f>SUM(BF9:BF17)</f>
        <v>-20394952.750000004</v>
      </c>
      <c r="BG18" s="7">
        <f t="shared" si="71"/>
        <v>-0.64952766721101063</v>
      </c>
      <c r="BH18" s="389">
        <f>SUM(BH9:BH17)</f>
        <v>-89081305.486339197</v>
      </c>
      <c r="BI18" s="389">
        <f>SUM(BI9:BI17)</f>
        <v>-85382902.629999995</v>
      </c>
      <c r="BJ18" s="7">
        <f t="shared" si="72"/>
        <v>-0.6494096518904382</v>
      </c>
      <c r="BK18" s="389">
        <v>-194051809.92399991</v>
      </c>
      <c r="BL18" s="283"/>
      <c r="BN18" s="389">
        <f>SUM(BN9:BN17)</f>
        <v>-13033558.790000001</v>
      </c>
      <c r="BO18" s="445"/>
      <c r="BP18" s="389">
        <f>SUM(BP9:BP17)</f>
        <v>-10319045.560000001</v>
      </c>
      <c r="BQ18" s="445"/>
      <c r="BR18" s="389">
        <f>SUM(BR9:BR17)</f>
        <v>-17608224.23</v>
      </c>
      <c r="BS18" s="445"/>
      <c r="BT18" s="389">
        <f>SUM(BT9:BT17)</f>
        <v>-40960828.580000013</v>
      </c>
      <c r="BU18" s="7">
        <f t="shared" si="73"/>
        <v>-0.75551876224100234</v>
      </c>
      <c r="BV18" s="389">
        <f>SUM(BV9:BV17)</f>
        <v>-3648403.1300000004</v>
      </c>
      <c r="BW18" s="445"/>
      <c r="BX18" s="389">
        <f>SUM(BX9:BX17)</f>
        <v>-9223257.8200000003</v>
      </c>
      <c r="BY18" s="445"/>
      <c r="BZ18" s="389">
        <f>SUM(BZ9:BZ17)</f>
        <v>-9382403.8000000007</v>
      </c>
      <c r="CA18" s="445"/>
      <c r="CB18" s="389">
        <f>SUM(CB9:CB17)</f>
        <v>-22254064.75</v>
      </c>
      <c r="CC18" s="7">
        <f t="shared" si="74"/>
        <v>-0.64988712320837916</v>
      </c>
      <c r="CD18" s="389">
        <f>SUM(CD9:CD17)</f>
        <v>-63214893.330000006</v>
      </c>
      <c r="CE18" s="7">
        <f t="shared" si="75"/>
        <v>-0.71462792460417246</v>
      </c>
      <c r="CF18" s="389">
        <f>SUM(CF9:CF17)</f>
        <v>-6231747.0699999994</v>
      </c>
      <c r="CG18" s="7">
        <f t="shared" si="76"/>
        <v>-1.2337908298734341</v>
      </c>
      <c r="CH18" s="389">
        <f>SUM(CH9:CH17)</f>
        <v>-29949780.330000002</v>
      </c>
      <c r="CI18" s="7">
        <f t="shared" si="76"/>
        <v>-0.80770255645181777</v>
      </c>
      <c r="CJ18" s="389">
        <f>SUM(CJ9:CJ17)</f>
        <v>-17389576.84</v>
      </c>
      <c r="CK18" s="7">
        <f t="shared" si="76"/>
        <v>-0.61747744423399054</v>
      </c>
      <c r="CL18" s="389">
        <f>SUM(CL9:CL17)</f>
        <v>-53571104.240000002</v>
      </c>
      <c r="CM18" s="7">
        <f t="shared" si="76"/>
        <v>-0.76210726959703001</v>
      </c>
      <c r="CN18" s="389">
        <f>SUM(CN9:CN17)</f>
        <v>-116785997.57000001</v>
      </c>
      <c r="CO18" s="7">
        <f t="shared" si="77"/>
        <v>-0.73565120032944509</v>
      </c>
      <c r="CP18" s="389">
        <f>SUM(CP9:CP17)</f>
        <v>-18363881.690000001</v>
      </c>
      <c r="CQ18" s="7">
        <f t="shared" si="26"/>
        <v>-0.93740645428950931</v>
      </c>
      <c r="CR18" s="389">
        <f>SUM(CR9:CR17)</f>
        <v>-135149879.25999999</v>
      </c>
      <c r="CS18" s="7">
        <f t="shared" si="78"/>
        <v>-0.75781314530305377</v>
      </c>
      <c r="CT18" s="389">
        <f t="shared" ref="CT18" si="124">SUM(CT9:CT17)</f>
        <v>-10577764.52</v>
      </c>
      <c r="CU18" s="7">
        <f t="shared" si="79"/>
        <v>-0.67526504185934977</v>
      </c>
      <c r="CV18" s="389">
        <f t="shared" ref="CV18" si="125">SUM(CV9:CV17)</f>
        <v>-47132319.210000001</v>
      </c>
      <c r="CW18" s="7">
        <f t="shared" si="80"/>
        <v>-0.75326184385916506</v>
      </c>
      <c r="CX18" s="389">
        <f>SUM(CX9:CX17)</f>
        <v>-76073965.420000017</v>
      </c>
      <c r="CY18" s="7">
        <f t="shared" si="30"/>
        <v>-0.7776482942792371</v>
      </c>
      <c r="CZ18" s="389">
        <f>SUM(CZ9:CZ17)</f>
        <v>-192859962.98999995</v>
      </c>
      <c r="DA18" s="7">
        <f t="shared" si="81"/>
        <v>-0.75166349036782443</v>
      </c>
      <c r="DB18" s="389">
        <f>SUM(DB9:DB17)</f>
        <v>-15224976.27</v>
      </c>
      <c r="DC18" s="7">
        <f t="shared" si="95"/>
        <v>-0.79312000501521429</v>
      </c>
      <c r="DD18" s="389">
        <f>SUM(DD9:DD17)</f>
        <v>-20208365.059999999</v>
      </c>
      <c r="DE18" s="7">
        <f t="shared" si="82"/>
        <v>-0.77822626736322487</v>
      </c>
      <c r="DF18" s="389">
        <f>SUM(DF9:DF17)</f>
        <v>-20745981.140000001</v>
      </c>
      <c r="DG18" s="7">
        <f t="shared" si="96"/>
        <v>-0.66878945174904558</v>
      </c>
      <c r="DH18" s="389">
        <f>SUM(DH9:DH17)</f>
        <v>-56179322.469999991</v>
      </c>
      <c r="DI18" s="7">
        <f t="shared" si="33"/>
        <v>-0.73741903144261856</v>
      </c>
      <c r="DJ18" s="389">
        <f>SUM(DJ9:DJ17)</f>
        <v>-38791391.110333331</v>
      </c>
      <c r="DK18" s="7">
        <f t="shared" si="97"/>
        <v>-0.73756180319365339</v>
      </c>
      <c r="DL18" s="389">
        <f>SUM(DL9:DL17)</f>
        <v>-7989257.7399999993</v>
      </c>
      <c r="DM18" s="7">
        <f t="shared" si="98"/>
        <v>-0.92105989155346357</v>
      </c>
      <c r="DN18" s="389">
        <f>SUM(DN9:DN17)</f>
        <v>-14412293.18</v>
      </c>
      <c r="DO18" s="7">
        <f t="shared" si="99"/>
        <v>-0.83984490657426525</v>
      </c>
      <c r="DP18" s="389">
        <f>SUM(DP9:DP17)</f>
        <v>-63582574.770000003</v>
      </c>
      <c r="DQ18" s="7">
        <f t="shared" si="100"/>
        <v>-0.75778789617301723</v>
      </c>
      <c r="DR18" s="389">
        <f>SUM(DR9:DR17)</f>
        <v>-85984125.690000013</v>
      </c>
      <c r="DS18" s="7">
        <f t="shared" si="35"/>
        <v>-0.78352479437724276</v>
      </c>
      <c r="DT18" s="389">
        <f>SUM(DT9:DT17)</f>
        <v>-142163448.16</v>
      </c>
      <c r="DU18" s="7">
        <f t="shared" si="83"/>
        <v>-0.76463260744724126</v>
      </c>
      <c r="DV18" s="389">
        <f>SUM(DV9:DV17)</f>
        <v>-50052154.45000001</v>
      </c>
      <c r="DW18" s="7">
        <f t="shared" si="102"/>
        <v>-1.0996291850130344</v>
      </c>
      <c r="DX18" s="389">
        <f>SUM(DX9:DX17)</f>
        <v>-14666911.76</v>
      </c>
      <c r="DY18" s="7">
        <f t="shared" si="84"/>
        <v>-0.5673313052784944</v>
      </c>
      <c r="DZ18" s="389">
        <f>SUM(DZ9:DZ17)</f>
        <v>-90887415.73999998</v>
      </c>
      <c r="EA18" s="7">
        <f t="shared" si="103"/>
        <v>-0.74288783514302992</v>
      </c>
      <c r="EB18" s="389">
        <f>SUM(EB9:EB17)</f>
        <v>-155606481.94999999</v>
      </c>
      <c r="EC18" s="7">
        <f t="shared" si="37"/>
        <v>-0.80328298602379289</v>
      </c>
      <c r="ED18" s="389">
        <f>SUM(ED9:ED17)</f>
        <v>-297769930.10999995</v>
      </c>
      <c r="EE18" s="7">
        <f t="shared" si="85"/>
        <v>-0.78435430588424182</v>
      </c>
      <c r="EF18" s="389">
        <f>SUM(EF9:EF17)</f>
        <v>-20313776.489999998</v>
      </c>
      <c r="EG18" s="7">
        <f t="shared" si="105"/>
        <v>-1.3747182672924738</v>
      </c>
      <c r="EH18" s="389">
        <f>SUM(EH9:EH17)</f>
        <v>-11032076.98</v>
      </c>
      <c r="EI18" s="7">
        <f t="shared" si="86"/>
        <v>-0.86535208934921382</v>
      </c>
      <c r="EJ18" s="389">
        <f>SUM(EJ9:EJ17)</f>
        <v>-106832054.31</v>
      </c>
      <c r="EK18" s="7">
        <f t="shared" si="106"/>
        <v>-0.684105897458957</v>
      </c>
      <c r="EL18" s="389">
        <f>SUM(EL9:EL17)</f>
        <v>-138177907.78</v>
      </c>
      <c r="EM18" s="7">
        <f t="shared" si="39"/>
        <v>-0.75224088797482525</v>
      </c>
      <c r="EN18" s="389">
        <f>SUM(EN9:EN17)</f>
        <v>-435947837.88999999</v>
      </c>
      <c r="EO18" s="7">
        <f t="shared" si="108"/>
        <v>-0.7738828063533475</v>
      </c>
      <c r="EP18" s="373"/>
      <c r="EQ18" s="373"/>
      <c r="ER18" s="373"/>
      <c r="ES18" s="373"/>
      <c r="ET18" s="389">
        <f>SUM(ET9:ET17)</f>
        <v>-6625020.7000000002</v>
      </c>
      <c r="EU18" s="7">
        <f t="shared" si="109"/>
        <v>-0.89819592698826334</v>
      </c>
      <c r="EV18" s="389">
        <f>SUM(EV9:EV17)</f>
        <v>-9464134.9300000016</v>
      </c>
      <c r="EW18" s="7">
        <f t="shared" si="87"/>
        <v>-1.5529181109926917</v>
      </c>
      <c r="EX18" s="389">
        <f>SUM(EX9:EX17)</f>
        <v>-177888052.60000002</v>
      </c>
      <c r="EY18" s="7">
        <f t="shared" si="110"/>
        <v>-0.7792295681653244</v>
      </c>
      <c r="EZ18" s="389">
        <f>SUM(EZ9:EZ17)</f>
        <v>-193977208.23000002</v>
      </c>
      <c r="FA18" s="7">
        <f t="shared" si="42"/>
        <v>-0.80236295861431828</v>
      </c>
      <c r="FB18" s="389">
        <f>SUM(FB9:FB17)</f>
        <v>-10190930.050000001</v>
      </c>
      <c r="FC18" s="7">
        <f t="shared" si="112"/>
        <v>-1.1245842170026989</v>
      </c>
      <c r="FD18" s="389">
        <f t="shared" ref="FD18" si="126">SUM(FD9:FD17)</f>
        <v>-88187436.340000004</v>
      </c>
      <c r="FE18" s="7">
        <f t="shared" si="88"/>
        <v>-0.83785570019280931</v>
      </c>
      <c r="FF18" s="389">
        <f t="shared" ref="FF18" si="127">SUM(FF9:FF17)</f>
        <v>-126003944.91999999</v>
      </c>
      <c r="FG18" s="7">
        <f t="shared" si="44"/>
        <v>-0.78418292500819164</v>
      </c>
      <c r="FH18" s="389">
        <f>SUM(FH9:FH17)</f>
        <v>-224382311.30999997</v>
      </c>
      <c r="FI18" s="7">
        <f t="shared" si="46"/>
        <v>-0.81594306883729828</v>
      </c>
      <c r="FJ18" s="389">
        <f>SUM(FJ9:FJ17)</f>
        <v>-418359519.53999996</v>
      </c>
      <c r="FK18" s="7">
        <f t="shared" si="89"/>
        <v>-0.8095897815969918</v>
      </c>
      <c r="FL18" s="389">
        <f>SUM(FL9:FL17)</f>
        <v>-10209476.76</v>
      </c>
      <c r="FM18" s="7">
        <f t="shared" si="115"/>
        <v>-0.93370989103513546</v>
      </c>
      <c r="FN18" s="389">
        <f t="shared" ref="FN18" si="128">SUM(FN9:FN17)</f>
        <v>-8381719.6199999992</v>
      </c>
      <c r="FO18" s="7">
        <f t="shared" si="48"/>
        <v>-1.7542226416860993</v>
      </c>
      <c r="FP18" s="389">
        <f t="shared" ref="FP18" si="129">SUM(FP9:FP17)</f>
        <v>-221306452.81999999</v>
      </c>
      <c r="FQ18" s="7">
        <f t="shared" si="49"/>
        <v>-0.7999725564276623</v>
      </c>
      <c r="FR18" s="389">
        <f>SUM(FR9:FR17)</f>
        <v>-239897649.19999999</v>
      </c>
      <c r="FS18" s="7">
        <f t="shared" si="51"/>
        <v>-0.82056997696028544</v>
      </c>
      <c r="FT18" s="389">
        <f>SUM(FT9:FT17)</f>
        <v>-658257168.74000001</v>
      </c>
      <c r="FU18" s="7">
        <f t="shared" si="90"/>
        <v>-0.81355724524519035</v>
      </c>
      <c r="FV18" s="389">
        <f>SUM(FV9:FV17)</f>
        <v>-14018406.600000001</v>
      </c>
      <c r="FW18" s="7">
        <f t="shared" si="118"/>
        <v>-0.50516889857269764</v>
      </c>
      <c r="FX18" s="389">
        <f t="shared" ref="FX18" si="130">SUM(FX9:FX17)</f>
        <v>-33508538.300000004</v>
      </c>
      <c r="FY18" s="622">
        <f t="shared" si="53"/>
        <v>-1.3052906066746148</v>
      </c>
      <c r="FZ18" s="389">
        <f>SUM(FZ9:FZ17)</f>
        <v>-210883962.74000001</v>
      </c>
      <c r="GA18" s="7">
        <f t="shared" si="54"/>
        <v>-0.7294262210923792</v>
      </c>
      <c r="GB18" s="389">
        <f>SUM(GB9:GB17)</f>
        <v>-258410907.64000002</v>
      </c>
      <c r="GC18" s="7">
        <f t="shared" si="56"/>
        <v>-0.75441690215090151</v>
      </c>
      <c r="GD18" s="389">
        <f>SUM(GD9:GD17)</f>
        <v>-916668076.38000011</v>
      </c>
      <c r="GE18" s="7">
        <f t="shared" si="91"/>
        <v>-0.79596722458640201</v>
      </c>
      <c r="GF18" s="567">
        <f t="shared" ref="GF18:GH18" si="131">SUM(GF9:GF17)</f>
        <v>-11383678.548686167</v>
      </c>
      <c r="GG18" s="525">
        <f t="shared" si="58"/>
        <v>-0.88339492796170282</v>
      </c>
      <c r="GH18" s="530">
        <f t="shared" si="131"/>
        <v>0</v>
      </c>
      <c r="GI18" s="525">
        <f t="shared" si="60"/>
        <v>0</v>
      </c>
      <c r="GJ18" s="530">
        <f t="shared" ref="GJ18" si="132">SUM(GJ9:GJ17)</f>
        <v>-5691172.6500001</v>
      </c>
      <c r="GK18" s="525">
        <f t="shared" si="61"/>
        <v>-1</v>
      </c>
      <c r="GL18" s="530">
        <f>SUM(GL9:GL17)</f>
        <v>-922360582.27868617</v>
      </c>
      <c r="GM18" s="565">
        <f t="shared" si="92"/>
        <v>-0.79593739509670924</v>
      </c>
      <c r="GO18" s="587">
        <f t="shared" ref="GO18" si="133">SUM(GO9:GO17)</f>
        <v>-931465.34000000008</v>
      </c>
      <c r="GQ18" s="587">
        <f t="shared" ref="GQ18" si="134">SUM(GQ9:GQ17)</f>
        <v>0</v>
      </c>
      <c r="GT18" s="551">
        <f t="shared" si="93"/>
        <v>-252792404.94181737</v>
      </c>
      <c r="GU18" s="551">
        <f t="shared" si="94"/>
        <v>-296178196.21580714</v>
      </c>
      <c r="GV18" s="550">
        <f t="shared" si="63"/>
        <v>-548970601.15762448</v>
      </c>
      <c r="GW18" s="529">
        <f>SUM(GW9:GW17)</f>
        <v>-967330120.69762444</v>
      </c>
      <c r="GX18" s="525">
        <f t="shared" si="121"/>
        <v>-0.81692244461155894</v>
      </c>
      <c r="GY18" s="530">
        <f>SUM(GY9:GY17)</f>
        <v>-766210348.13516593</v>
      </c>
      <c r="GZ18" s="525">
        <f t="shared" si="122"/>
        <v>-0.85115554728040133</v>
      </c>
      <c r="HA18" s="530">
        <f>SUM(HA9:HA17)</f>
        <v>-593497337.84484744</v>
      </c>
      <c r="HB18" s="526">
        <f t="shared" si="123"/>
        <v>-0.81531542966455994</v>
      </c>
      <c r="HD18" s="529">
        <v>-954797338.11109722</v>
      </c>
      <c r="HE18" s="525">
        <v>-0.80374485767405157</v>
      </c>
      <c r="HF18" s="530">
        <v>-766210348.13516593</v>
      </c>
      <c r="HG18" s="525">
        <v>-0.85115554728040133</v>
      </c>
      <c r="HH18" s="530">
        <v>-593497337.84484744</v>
      </c>
      <c r="HI18" s="526">
        <v>-0.81531542966455994</v>
      </c>
    </row>
    <row r="19" spans="1:217">
      <c r="A19" s="8" t="s">
        <v>23</v>
      </c>
      <c r="B19" s="8" t="s">
        <v>24</v>
      </c>
      <c r="C19" s="9">
        <f>C8+C18</f>
        <v>19995416.299999997</v>
      </c>
      <c r="D19" s="11">
        <f>+C19/C8</f>
        <v>0.16381360012002658</v>
      </c>
      <c r="E19" s="9">
        <f>E8+E18</f>
        <v>7707232.9900000021</v>
      </c>
      <c r="F19" s="11">
        <f>+E19/E8</f>
        <v>0.18994452148749419</v>
      </c>
      <c r="G19" s="9">
        <f>G8+G18</f>
        <v>-254582.7966666678</v>
      </c>
      <c r="H19" s="9">
        <f>H8+H18</f>
        <v>4102641.5200000005</v>
      </c>
      <c r="I19" s="10"/>
      <c r="J19" s="9">
        <f>J8+J18</f>
        <v>-3291991.7666666638</v>
      </c>
      <c r="K19" s="9">
        <f>K8+K18</f>
        <v>-289489.99999999907</v>
      </c>
      <c r="L19" s="4"/>
      <c r="M19" s="9">
        <f>M8+M18</f>
        <v>5379229.8633333351</v>
      </c>
      <c r="N19" s="9">
        <f>N8+N18</f>
        <v>7376621.9499999993</v>
      </c>
      <c r="O19" s="4"/>
      <c r="P19" s="9">
        <f>+G19+J19+M19</f>
        <v>1832655.3000000035</v>
      </c>
      <c r="Q19" s="9">
        <f>+H19+K19+N19</f>
        <v>11189773.470000001</v>
      </c>
      <c r="R19" s="11">
        <f t="shared" si="64"/>
        <v>0.30768119319011122</v>
      </c>
      <c r="S19" s="9">
        <f>S8+S18</f>
        <v>3794689.6400000006</v>
      </c>
      <c r="T19" s="9">
        <f>T8+T18</f>
        <v>3794689.6400000006</v>
      </c>
      <c r="U19" s="17">
        <f>+T19/T8</f>
        <v>0.36396009933679596</v>
      </c>
      <c r="V19" s="9">
        <f>V8+V18</f>
        <v>984728.41000000015</v>
      </c>
      <c r="W19" s="9">
        <f>W8+W18</f>
        <v>994256.03000000119</v>
      </c>
      <c r="X19" s="17">
        <f>+W19/W8</f>
        <v>8.8217116718401545E-2</v>
      </c>
      <c r="Y19" s="9">
        <f>Y8+Y18</f>
        <v>8335928.6199999992</v>
      </c>
      <c r="Z19" s="9">
        <f>Z8+Z18</f>
        <v>8326550.9999999991</v>
      </c>
      <c r="AA19" s="17">
        <f>+Z19/Z8</f>
        <v>0.54101307232136842</v>
      </c>
      <c r="AB19" s="9">
        <f>AB8+AB18</f>
        <v>13115346.670000002</v>
      </c>
      <c r="AC19" s="9">
        <f>AC8+AC18</f>
        <v>13115496.670000002</v>
      </c>
      <c r="AD19" s="11">
        <f t="shared" si="65"/>
        <v>0.35363814059576215</v>
      </c>
      <c r="AE19" s="9">
        <f>AE8+AE18</f>
        <v>24305120.140000001</v>
      </c>
      <c r="AF19" s="9">
        <f>AF8+AF18</f>
        <v>24305270.140000001</v>
      </c>
      <c r="AG19" s="19">
        <f>+AF19/AF8</f>
        <v>0.33088466693891883</v>
      </c>
      <c r="AH19" s="9">
        <f>AH8+AH18</f>
        <v>-2508847.7800000003</v>
      </c>
      <c r="AI19" s="9">
        <f>AI8+AI18</f>
        <v>-2508847.7800000003</v>
      </c>
      <c r="AJ19" s="19">
        <f>+AI19/AI8</f>
        <v>-0.42137802134132551</v>
      </c>
      <c r="AK19" s="9">
        <f>AK8+AK18</f>
        <v>325132.83999999985</v>
      </c>
      <c r="AL19" s="9">
        <f>AL8+AL18</f>
        <v>325132.83999999985</v>
      </c>
      <c r="AM19" s="19">
        <f>+AL19/AL8</f>
        <v>4.6667308058452199E-2</v>
      </c>
      <c r="AN19" s="9">
        <f>AN8+AN18</f>
        <v>12968550.939999999</v>
      </c>
      <c r="AO19" s="9">
        <f>AO8+AO18</f>
        <v>12968550.939999999</v>
      </c>
      <c r="AP19" s="19">
        <f>+AO19/AO8</f>
        <v>0.94649256772850987</v>
      </c>
      <c r="AQ19" s="9">
        <f>AQ8+AQ18</f>
        <v>10784835.999999996</v>
      </c>
      <c r="AR19" s="9">
        <f>AR8+AR18</f>
        <v>10784835.999999996</v>
      </c>
      <c r="AS19" s="11">
        <f t="shared" si="68"/>
        <v>0.40510013705743297</v>
      </c>
      <c r="AT19" s="9">
        <f>AT8+AT18</f>
        <v>35090106.139999978</v>
      </c>
      <c r="AU19" s="19">
        <f>+AT19/AT8</f>
        <v>0.35062737562555607</v>
      </c>
      <c r="AV19" s="9">
        <f>AV8+AV18</f>
        <v>-2675024.4215533454</v>
      </c>
      <c r="AW19" s="9">
        <f>AW8+AW18</f>
        <v>-8174085.9099999983</v>
      </c>
      <c r="AX19" s="19">
        <f>+AW19/AW8</f>
        <v>-2.533702220257068</v>
      </c>
      <c r="AY19" s="9">
        <f>AY8+AY18</f>
        <v>4963959.5249888999</v>
      </c>
      <c r="AZ19" s="9">
        <f>AZ8+AZ18</f>
        <v>-1479745.25</v>
      </c>
      <c r="BA19" s="19">
        <f>+AZ19/AZ8</f>
        <v>-0.29309026571976593</v>
      </c>
      <c r="BB19" s="9">
        <f>BB8+BB18</f>
        <v>21345389.596891921</v>
      </c>
      <c r="BC19" s="9">
        <f>BC8+BC18</f>
        <v>20658545.859999999</v>
      </c>
      <c r="BD19" s="19">
        <f>+BC19/BC8</f>
        <v>0.8933520011263324</v>
      </c>
      <c r="BE19" s="9">
        <f>BE8+BE18</f>
        <v>23634324.700327478</v>
      </c>
      <c r="BF19" s="9">
        <f>BF8+BF18</f>
        <v>11004714.699999996</v>
      </c>
      <c r="BG19" s="11">
        <f t="shared" si="71"/>
        <v>0.35047233278898932</v>
      </c>
      <c r="BH19" s="9">
        <f>BH8+BH18</f>
        <v>58724280.840327457</v>
      </c>
      <c r="BI19" s="9">
        <f>BI8+BI18</f>
        <v>46094820.840000004</v>
      </c>
      <c r="BJ19" s="11">
        <f t="shared" si="72"/>
        <v>0.3505903481095618</v>
      </c>
      <c r="BK19" s="9">
        <f>BK8+BK18</f>
        <v>91184784.936000109</v>
      </c>
      <c r="BL19" s="284">
        <f>+BK19/BK8</f>
        <v>0.31968122807227972</v>
      </c>
      <c r="BN19" s="9">
        <f>BN8+BN18</f>
        <v>465457.6099999994</v>
      </c>
      <c r="BO19" s="19">
        <f>+BN19/BN8</f>
        <v>3.4480853730942902E-2</v>
      </c>
      <c r="BP19" s="9">
        <f>BP8+BP18</f>
        <v>-1065788.5900000017</v>
      </c>
      <c r="BQ19" s="19">
        <f>+BP19/BP8</f>
        <v>-0.11517983272867022</v>
      </c>
      <c r="BR19" s="9">
        <f>BR8+BR18</f>
        <v>13855003.890000001</v>
      </c>
      <c r="BS19" s="19">
        <f>+BR19/BR8</f>
        <v>0.44035544722739023</v>
      </c>
      <c r="BT19" s="9">
        <f>BT8+BT18</f>
        <v>13254672.909999982</v>
      </c>
      <c r="BU19" s="11">
        <f t="shared" si="73"/>
        <v>0.24448123775899769</v>
      </c>
      <c r="BV19" s="9">
        <f>BV8+BV18</f>
        <v>41080.009999999311</v>
      </c>
      <c r="BW19" s="451">
        <f>+BV19/BV8</f>
        <v>1.1134353631983073E-2</v>
      </c>
      <c r="BX19" s="9">
        <f>BX8+BX18</f>
        <v>7464231.0299999993</v>
      </c>
      <c r="BY19" s="451">
        <f>+BX19/BX8</f>
        <v>0.44729504223758626</v>
      </c>
      <c r="BZ19" s="9">
        <f>BZ8+BZ18</f>
        <v>4483593.42</v>
      </c>
      <c r="CA19" s="19">
        <f>+BZ19/BZ8</f>
        <v>0.3233516745216829</v>
      </c>
      <c r="CB19" s="9">
        <f>CB8+CB18</f>
        <v>11988904.459999993</v>
      </c>
      <c r="CC19" s="11">
        <f>+CB19/CB$8</f>
        <v>0.35011287679162084</v>
      </c>
      <c r="CD19" s="9">
        <f>CD8+CD18</f>
        <v>25243577.369999997</v>
      </c>
      <c r="CE19" s="11">
        <f t="shared" si="75"/>
        <v>0.28537207539582748</v>
      </c>
      <c r="CF19" s="9">
        <f>CF8+CF18</f>
        <v>-1180852.7699999986</v>
      </c>
      <c r="CG19" s="11">
        <f t="shared" si="76"/>
        <v>-0.23379082987343419</v>
      </c>
      <c r="CH19" s="9">
        <f>CH8+CH18</f>
        <v>7130429.5699999966</v>
      </c>
      <c r="CI19" s="11">
        <f t="shared" si="76"/>
        <v>0.19229744354818221</v>
      </c>
      <c r="CJ19" s="9">
        <f>CJ8+CJ18</f>
        <v>10772709.899999999</v>
      </c>
      <c r="CK19" s="11">
        <f t="shared" si="76"/>
        <v>0.38252255576600946</v>
      </c>
      <c r="CL19" s="9">
        <f>CL8+CL18</f>
        <v>16722286.699999996</v>
      </c>
      <c r="CM19" s="11">
        <f t="shared" si="76"/>
        <v>0.23789273040297004</v>
      </c>
      <c r="CN19" s="9">
        <f>CN8+CN18</f>
        <v>41965864.070000008</v>
      </c>
      <c r="CO19" s="11">
        <f t="shared" si="77"/>
        <v>0.26434879967055486</v>
      </c>
      <c r="CP19" s="9">
        <f>CP8+CP18</f>
        <v>1226213.5199999996</v>
      </c>
      <c r="CQ19" s="11">
        <f t="shared" si="26"/>
        <v>6.2593545710490681E-2</v>
      </c>
      <c r="CR19" s="9">
        <f>CR8+CR18</f>
        <v>43192077.590000004</v>
      </c>
      <c r="CS19" s="11">
        <f t="shared" si="78"/>
        <v>0.24218685469694623</v>
      </c>
      <c r="CT19" s="9">
        <f t="shared" ref="CT19" si="135">CT8+CT18</f>
        <v>5086846.9499999993</v>
      </c>
      <c r="CU19" s="11">
        <f t="shared" si="79"/>
        <v>0.32473495814065023</v>
      </c>
      <c r="CV19" s="9">
        <f t="shared" ref="CV19" si="136">CV8+CV18</f>
        <v>15438644.119999997</v>
      </c>
      <c r="CW19" s="11">
        <f t="shared" si="80"/>
        <v>0.24673815614083494</v>
      </c>
      <c r="CX19" s="9">
        <f>CX8+CX18</f>
        <v>21751704.589999974</v>
      </c>
      <c r="CY19" s="11">
        <f t="shared" si="30"/>
        <v>0.22235170572076285</v>
      </c>
      <c r="CZ19" s="9">
        <f>CZ8+CZ18</f>
        <v>63717568.660000056</v>
      </c>
      <c r="DA19" s="11">
        <f t="shared" si="81"/>
        <v>0.24833650963217557</v>
      </c>
      <c r="DB19" s="9">
        <f>DB8+DB18</f>
        <v>3971332.1999999993</v>
      </c>
      <c r="DC19" s="11">
        <f t="shared" si="95"/>
        <v>0.20687999498478571</v>
      </c>
      <c r="DD19" s="9">
        <f>DD8+DD18</f>
        <v>5758845.1300000027</v>
      </c>
      <c r="DE19" s="11">
        <f t="shared" si="82"/>
        <v>0.22177373263677511</v>
      </c>
      <c r="DF19" s="9">
        <f>DF8+DF18</f>
        <v>10274216.75</v>
      </c>
      <c r="DG19" s="11">
        <f t="shared" si="96"/>
        <v>0.33121054825095442</v>
      </c>
      <c r="DH19" s="9">
        <f>DH8+DH18</f>
        <v>20004394.080000006</v>
      </c>
      <c r="DI19" s="11">
        <f t="shared" si="33"/>
        <v>0.26258096855738139</v>
      </c>
      <c r="DJ19" s="9">
        <f>DJ8+DJ18</f>
        <v>13802697.876333334</v>
      </c>
      <c r="DK19" s="11">
        <f t="shared" si="97"/>
        <v>0.26243819680634661</v>
      </c>
      <c r="DL19" s="9">
        <f>DL8+DL18</f>
        <v>684725.1500000013</v>
      </c>
      <c r="DM19" s="11">
        <f t="shared" si="98"/>
        <v>7.89401084465364E-2</v>
      </c>
      <c r="DN19" s="9">
        <f>DN8+DN18</f>
        <v>2748367.16</v>
      </c>
      <c r="DO19" s="11">
        <f t="shared" si="99"/>
        <v>0.1601550934257347</v>
      </c>
      <c r="DP19" s="9">
        <f>DP8+DP18</f>
        <v>20322928.460000001</v>
      </c>
      <c r="DQ19" s="11">
        <f t="shared" si="100"/>
        <v>0.2422121038269828</v>
      </c>
      <c r="DR19" s="9">
        <f>DR8+DR18</f>
        <v>23756020.769999996</v>
      </c>
      <c r="DS19" s="11">
        <f t="shared" si="35"/>
        <v>0.21647520562275724</v>
      </c>
      <c r="DT19" s="9">
        <f>DT8+DT18</f>
        <v>43760414.850000024</v>
      </c>
      <c r="DU19" s="11">
        <f t="shared" si="83"/>
        <v>0.23536739255275879</v>
      </c>
      <c r="DV19" s="9">
        <f>DV8+DV18</f>
        <v>-4534851.7700000107</v>
      </c>
      <c r="DW19" s="11">
        <f t="shared" si="102"/>
        <v>-9.9629185013034499E-2</v>
      </c>
      <c r="DX19" s="9">
        <f>DX8+DX18</f>
        <v>11185551.560000001</v>
      </c>
      <c r="DY19" s="11">
        <f t="shared" si="84"/>
        <v>0.4326686947215056</v>
      </c>
      <c r="DZ19" s="9">
        <f>DZ8+DZ18</f>
        <v>31455973.720000014</v>
      </c>
      <c r="EA19" s="11">
        <f t="shared" si="103"/>
        <v>0.25711216485697008</v>
      </c>
      <c r="EB19" s="9">
        <f>EB8+EB18</f>
        <v>38106673.50999999</v>
      </c>
      <c r="EC19" s="11">
        <f t="shared" si="37"/>
        <v>0.19671701397620708</v>
      </c>
      <c r="ED19" s="9">
        <f>ED8+ED18</f>
        <v>81867088.360000074</v>
      </c>
      <c r="EE19" s="11">
        <f t="shared" si="85"/>
        <v>0.21564569411575821</v>
      </c>
      <c r="EF19" s="9">
        <f>EF8+EF18</f>
        <v>-5537093.1699999981</v>
      </c>
      <c r="EG19" s="11">
        <f t="shared" si="105"/>
        <v>-0.37471826729247371</v>
      </c>
      <c r="EH19" s="9">
        <f>EH8+EH18</f>
        <v>1716580.0299999993</v>
      </c>
      <c r="EI19" s="11">
        <f t="shared" si="86"/>
        <v>0.13464791065078621</v>
      </c>
      <c r="EJ19" s="9">
        <f>EJ8+EJ18</f>
        <v>49330982.299999982</v>
      </c>
      <c r="EK19" s="11">
        <f t="shared" si="106"/>
        <v>0.31589410254104294</v>
      </c>
      <c r="EL19" s="9">
        <f>EL8+EL18</f>
        <v>45510469.159999996</v>
      </c>
      <c r="EM19" s="11">
        <f t="shared" si="39"/>
        <v>0.24775911202517481</v>
      </c>
      <c r="EN19" s="9">
        <f>EN8+EN18</f>
        <v>127377557.5200001</v>
      </c>
      <c r="EO19" s="11">
        <f t="shared" si="108"/>
        <v>0.22611719364665253</v>
      </c>
      <c r="EP19" s="373"/>
      <c r="EQ19" s="373"/>
      <c r="ER19" s="373"/>
      <c r="ES19" s="373"/>
      <c r="ET19" s="9">
        <f>ET8+ET18</f>
        <v>750898.62999999989</v>
      </c>
      <c r="EU19" s="11">
        <f t="shared" si="109"/>
        <v>0.10180407301173668</v>
      </c>
      <c r="EV19" s="9">
        <f>EV8+EV18</f>
        <v>-3369715.1000000015</v>
      </c>
      <c r="EW19" s="11">
        <f t="shared" si="87"/>
        <v>-0.55291811099269172</v>
      </c>
      <c r="EX19" s="9">
        <f>EX8+EX18</f>
        <v>50399040.019999981</v>
      </c>
      <c r="EY19" s="11">
        <f t="shared" si="110"/>
        <v>0.22077043183467557</v>
      </c>
      <c r="EZ19" s="9">
        <f>EZ8+EZ18</f>
        <v>47780223.549999982</v>
      </c>
      <c r="FA19" s="11">
        <f t="shared" si="42"/>
        <v>0.19763704138568169</v>
      </c>
      <c r="FB19" s="9">
        <f>FB8+FB18</f>
        <v>-1128976.4000000004</v>
      </c>
      <c r="FC19" s="11">
        <f t="shared" si="112"/>
        <v>-0.124584217002699</v>
      </c>
      <c r="FD19" s="9">
        <f t="shared" ref="FD19" si="137">FD8+FD18</f>
        <v>17066292.099999994</v>
      </c>
      <c r="FE19" s="11">
        <f t="shared" si="88"/>
        <v>0.16214429980719069</v>
      </c>
      <c r="FF19" s="9">
        <f t="shared" ref="FF19" si="138">FF8+FF18</f>
        <v>34677881.860000014</v>
      </c>
      <c r="FG19" s="11">
        <f t="shared" si="44"/>
        <v>0.21581707499180833</v>
      </c>
      <c r="FH19" s="9">
        <f>FH8+FH18</f>
        <v>50615197.560000032</v>
      </c>
      <c r="FI19" s="11">
        <f t="shared" si="46"/>
        <v>0.18405693116270166</v>
      </c>
      <c r="FJ19" s="9">
        <f>FJ8+FJ18</f>
        <v>98395421.110000074</v>
      </c>
      <c r="FK19" s="11">
        <f t="shared" si="89"/>
        <v>0.19041021840300826</v>
      </c>
      <c r="FL19" s="9">
        <f>FL8+FL18</f>
        <v>724836.83999999985</v>
      </c>
      <c r="FM19" s="11">
        <f t="shared" si="115"/>
        <v>6.6290108964864508E-2</v>
      </c>
      <c r="FN19" s="9">
        <f t="shared" ref="FN19" si="139">FN8+FN18</f>
        <v>-3603694.629999999</v>
      </c>
      <c r="FO19" s="11">
        <f t="shared" si="48"/>
        <v>-0.75422264168609943</v>
      </c>
      <c r="FP19" s="9">
        <f t="shared" ref="FP19" si="140">FP8+FP18</f>
        <v>55336103.280000031</v>
      </c>
      <c r="FQ19" s="11">
        <f t="shared" si="49"/>
        <v>0.20002744357233773</v>
      </c>
      <c r="FR19" s="9">
        <f>FR8+FR18</f>
        <v>52457245.49000001</v>
      </c>
      <c r="FS19" s="11">
        <f t="shared" si="51"/>
        <v>0.1794300230397145</v>
      </c>
      <c r="FT19" s="9">
        <f>FT8+FT18</f>
        <v>150852666.60000002</v>
      </c>
      <c r="FU19" s="11">
        <f t="shared" si="90"/>
        <v>0.18644275475480962</v>
      </c>
      <c r="FV19" s="9">
        <f>FV8+FV18</f>
        <v>13731533.349999998</v>
      </c>
      <c r="FW19" s="11">
        <f t="shared" si="118"/>
        <v>0.4948311014273023</v>
      </c>
      <c r="FX19" s="9">
        <f t="shared" ref="FX19" si="141">FX8+FX18</f>
        <v>-7837214.1300000027</v>
      </c>
      <c r="FY19" s="11">
        <f t="shared" si="53"/>
        <v>-0.30529060667461477</v>
      </c>
      <c r="FZ19" s="9">
        <f t="shared" ref="FZ19" si="142">FZ8+FZ18</f>
        <v>78225417.539999962</v>
      </c>
      <c r="GA19" s="11">
        <f t="shared" si="54"/>
        <v>0.27057377890762074</v>
      </c>
      <c r="GB19" s="9">
        <f>GB8+GB18</f>
        <v>84119736.759999961</v>
      </c>
      <c r="GC19" s="11">
        <f t="shared" si="56"/>
        <v>0.24558309784909851</v>
      </c>
      <c r="GD19" s="9">
        <f>GD8+GD18</f>
        <v>234972403.35999966</v>
      </c>
      <c r="GE19" s="11">
        <f t="shared" si="91"/>
        <v>0.20403277541359802</v>
      </c>
      <c r="GF19" s="568">
        <f t="shared" ref="GF19:GH19" si="143">GF8+GF18</f>
        <v>1502606.1563349999</v>
      </c>
      <c r="GG19" s="610">
        <f t="shared" si="58"/>
        <v>0.11660507203829715</v>
      </c>
      <c r="GH19" s="534">
        <f t="shared" si="143"/>
        <v>4.5588283333333325E-6</v>
      </c>
      <c r="GI19" s="610">
        <f t="shared" si="60"/>
        <v>1</v>
      </c>
      <c r="GJ19" s="534">
        <f t="shared" ref="GJ19" si="144">GJ8+GJ18</f>
        <v>0</v>
      </c>
      <c r="GK19" s="610">
        <f t="shared" si="61"/>
        <v>0</v>
      </c>
      <c r="GL19" s="534">
        <f>GL8+GL18</f>
        <v>236475009.51633942</v>
      </c>
      <c r="GM19" s="569">
        <f t="shared" si="92"/>
        <v>0.20406260490329076</v>
      </c>
      <c r="GO19" s="588">
        <f t="shared" ref="GO19" si="145">GO8+GO18</f>
        <v>122950.19999999995</v>
      </c>
      <c r="GQ19" s="588">
        <f t="shared" ref="GQ19" si="146">GQ8+GQ18</f>
        <v>9.9999999999999995E-8</v>
      </c>
      <c r="GT19" s="551">
        <f t="shared" si="93"/>
        <v>54516500.253159694</v>
      </c>
      <c r="GU19" s="551">
        <f t="shared" si="94"/>
        <v>63872958.179640427</v>
      </c>
      <c r="GV19" s="550">
        <f t="shared" si="63"/>
        <v>118389458.43280011</v>
      </c>
      <c r="GW19" s="532">
        <f>GW8+GW18</f>
        <v>216784879.54280019</v>
      </c>
      <c r="GX19" s="533">
        <f t="shared" si="121"/>
        <v>0.183077555388441</v>
      </c>
      <c r="GY19" s="534">
        <f>GY8+GY18</f>
        <v>133989798.1052587</v>
      </c>
      <c r="GZ19" s="533">
        <f t="shared" si="122"/>
        <v>0.14884445271959867</v>
      </c>
      <c r="HA19" s="534">
        <f>HA8+HA18</f>
        <v>134438521.39557719</v>
      </c>
      <c r="HB19" s="535">
        <f t="shared" si="123"/>
        <v>0.18468457033544006</v>
      </c>
      <c r="HD19" s="532">
        <v>233138521.12932742</v>
      </c>
      <c r="HE19" s="533">
        <v>0.19625514232594846</v>
      </c>
      <c r="HF19" s="534">
        <v>133989798.1052587</v>
      </c>
      <c r="HG19" s="533">
        <v>0.14884445271959867</v>
      </c>
      <c r="HH19" s="534">
        <v>134438521.39557719</v>
      </c>
      <c r="HI19" s="535">
        <v>0.18468457033544006</v>
      </c>
    </row>
    <row r="20" spans="1:217" outlineLevel="1">
      <c r="A20" s="386" t="s">
        <v>25</v>
      </c>
      <c r="B20" s="386" t="s">
        <v>14</v>
      </c>
      <c r="C20" s="375">
        <v>-26917130.559999999</v>
      </c>
      <c r="D20" s="4"/>
      <c r="E20" s="375">
        <v>-6161603.0599999996</v>
      </c>
      <c r="F20" s="4"/>
      <c r="G20" s="375">
        <v>-1786526.11</v>
      </c>
      <c r="H20" s="375">
        <v>-1882876.72</v>
      </c>
      <c r="I20" s="4"/>
      <c r="J20" s="375">
        <v>-1786526.11</v>
      </c>
      <c r="K20" s="375">
        <v>-1849038.57</v>
      </c>
      <c r="L20" s="4"/>
      <c r="M20" s="375">
        <v>-1786526.11</v>
      </c>
      <c r="N20" s="375">
        <f>-1759270.65-22000</f>
        <v>-1781270.65</v>
      </c>
      <c r="O20" s="4"/>
      <c r="P20" s="375">
        <f t="shared" si="13"/>
        <v>-5359578.33</v>
      </c>
      <c r="Q20" s="375">
        <f t="shared" si="13"/>
        <v>-5513185.9399999995</v>
      </c>
      <c r="R20" s="7">
        <f t="shared" si="64"/>
        <v>-0.15159409909824964</v>
      </c>
      <c r="S20" s="375">
        <v>-1711722.66</v>
      </c>
      <c r="T20" s="375">
        <v>-1711722.66</v>
      </c>
      <c r="U20" s="4"/>
      <c r="V20" s="375">
        <v>-1691827.66</v>
      </c>
      <c r="W20" s="375">
        <v>-1691827.66</v>
      </c>
      <c r="X20" s="4"/>
      <c r="Y20" s="375">
        <v>-1689201.66</v>
      </c>
      <c r="Z20" s="375">
        <v>-1689201.66</v>
      </c>
      <c r="AA20" s="4"/>
      <c r="AB20" s="375">
        <f t="shared" ref="AB20:AB25" si="147">+T20+V20+Y20</f>
        <v>-5092751.9799999995</v>
      </c>
      <c r="AC20" s="375">
        <f t="shared" ref="AC20:AC27" si="148">+T20+W20+Z20</f>
        <v>-5092751.9799999995</v>
      </c>
      <c r="AD20" s="7">
        <f t="shared" si="65"/>
        <v>-0.13731781464609877</v>
      </c>
      <c r="AE20" s="375">
        <f>+Q20+AB20</f>
        <v>-10605937.919999998</v>
      </c>
      <c r="AF20" s="375">
        <f t="shared" ref="AF20:AF27" si="149">+AC20+Q20</f>
        <v>-10605937.919999998</v>
      </c>
      <c r="AG20" s="4"/>
      <c r="AH20" s="375">
        <v>-1723680.66</v>
      </c>
      <c r="AI20" s="375">
        <v>-1723680.66</v>
      </c>
      <c r="AJ20" s="4"/>
      <c r="AK20" s="375">
        <v>-1694404.21</v>
      </c>
      <c r="AL20" s="375">
        <v>-1694404.21</v>
      </c>
      <c r="AM20" s="4"/>
      <c r="AN20" s="375">
        <v>-1724817.21</v>
      </c>
      <c r="AO20" s="375">
        <v>-1724817.21</v>
      </c>
      <c r="AP20" s="4"/>
      <c r="AQ20" s="375">
        <f t="shared" ref="AQ20:AQ27" si="150">AN20+AK20+AH20</f>
        <v>-5142902.08</v>
      </c>
      <c r="AR20" s="375">
        <f t="shared" ref="AR20:AR27" si="151">AO20+AL20+AI20</f>
        <v>-5142902.08</v>
      </c>
      <c r="AS20" s="7">
        <f t="shared" si="68"/>
        <v>-0.19317774859821307</v>
      </c>
      <c r="AT20" s="375">
        <f>+AF20+AR20</f>
        <v>-15748839.999999998</v>
      </c>
      <c r="AU20" s="4"/>
      <c r="AV20" s="375">
        <v>-1573111.2852171804</v>
      </c>
      <c r="AW20" s="375">
        <v>-1664245.46</v>
      </c>
      <c r="AX20" s="4"/>
      <c r="AY20" s="375">
        <v>-1598189.9892866141</v>
      </c>
      <c r="AZ20" s="375">
        <v>-1626449.44</v>
      </c>
      <c r="BA20" s="4"/>
      <c r="BB20" s="375">
        <v>-1590535.8583613986</v>
      </c>
      <c r="BC20" s="375">
        <v>-1638996.12</v>
      </c>
      <c r="BD20" s="448"/>
      <c r="BE20" s="375">
        <f t="shared" ref="BE20:BE27" si="152">BB20+AY20+AV20</f>
        <v>-4761837.1328651924</v>
      </c>
      <c r="BF20" s="375">
        <f t="shared" ref="BF20:BF27" si="153">BC20+AZ20+AW20</f>
        <v>-4929691.0199999996</v>
      </c>
      <c r="BG20" s="7">
        <f t="shared" si="71"/>
        <v>-0.15699819203021526</v>
      </c>
      <c r="BH20" s="375">
        <f t="shared" ref="BH20:BH27" si="154">Q20+AB20+AQ20+BE20</f>
        <v>-20510677.132865191</v>
      </c>
      <c r="BI20" s="388">
        <f t="shared" ref="BI20:BI27" si="155">Q20+AC20+AR20+BF20</f>
        <v>-20678531.019999996</v>
      </c>
      <c r="BJ20" s="7">
        <f t="shared" si="72"/>
        <v>-0.15727782984254615</v>
      </c>
      <c r="BK20" s="375">
        <v>-33164963.674800005</v>
      </c>
      <c r="BL20" s="282"/>
      <c r="BN20" s="375">
        <v>-1798301.44</v>
      </c>
      <c r="BO20" s="4"/>
      <c r="BP20" s="375">
        <v>-1779698.44</v>
      </c>
      <c r="BQ20" s="4"/>
      <c r="BR20" s="375">
        <v>-1852549.44</v>
      </c>
      <c r="BS20" s="4"/>
      <c r="BT20" s="375">
        <f t="shared" ref="BT20:BT21" si="156">SUM(BN20:BS20)</f>
        <v>-5430549.3200000003</v>
      </c>
      <c r="BU20" s="7">
        <f t="shared" si="73"/>
        <v>-0.10016598889160254</v>
      </c>
      <c r="BV20" s="375">
        <v>-1997921.45</v>
      </c>
      <c r="BW20" s="7"/>
      <c r="BX20" s="375">
        <v>-1982916.45</v>
      </c>
      <c r="BY20" s="7"/>
      <c r="BZ20" s="375">
        <v>-1942294.45</v>
      </c>
      <c r="CA20" s="7"/>
      <c r="CB20" s="375">
        <f t="shared" ref="CB20:CB27" si="157">+BV20+BX20+BZ20</f>
        <v>-5923132.3499999996</v>
      </c>
      <c r="CC20" s="7">
        <f t="shared" ref="CC20:CC83" si="158">+CB20/CB$8</f>
        <v>-0.17297367858714377</v>
      </c>
      <c r="CD20" s="375">
        <f t="shared" ref="CD20:CD27" si="159">BT20+CB20</f>
        <v>-11353681.67</v>
      </c>
      <c r="CE20" s="7">
        <f t="shared" si="75"/>
        <v>-0.12835041777406625</v>
      </c>
      <c r="CF20" s="375">
        <v>-1873945.45</v>
      </c>
      <c r="CG20" s="7">
        <f t="shared" si="76"/>
        <v>-0.37101260463914276</v>
      </c>
      <c r="CH20" s="375">
        <v>-1761451.45</v>
      </c>
      <c r="CI20" s="7">
        <f t="shared" si="76"/>
        <v>-4.750381550563984E-2</v>
      </c>
      <c r="CJ20" s="375">
        <v>-1857298.8</v>
      </c>
      <c r="CK20" s="7">
        <f t="shared" si="76"/>
        <v>-6.5949857593133793E-2</v>
      </c>
      <c r="CL20" s="375">
        <f t="shared" ref="CL20:CL27" si="160">+CF20+CH20+CJ20</f>
        <v>-5492695.7000000002</v>
      </c>
      <c r="CM20" s="7">
        <f t="shared" si="76"/>
        <v>-7.8139575094454822E-2</v>
      </c>
      <c r="CN20" s="375">
        <f t="shared" ref="CN20:CN27" si="161">+CL20+CD20</f>
        <v>-16846377.370000001</v>
      </c>
      <c r="CO20" s="7">
        <f t="shared" si="77"/>
        <v>-0.10611766813923959</v>
      </c>
      <c r="CP20" s="472">
        <v>-1910020.8</v>
      </c>
      <c r="CQ20" s="7">
        <f t="shared" si="26"/>
        <v>-9.7499311745305198E-2</v>
      </c>
      <c r="CR20" s="375">
        <f t="shared" ref="CR20:CR27" si="162">+CN20+CP20</f>
        <v>-18756398.170000002</v>
      </c>
      <c r="CS20" s="7">
        <f t="shared" si="78"/>
        <v>-0.10517097883912785</v>
      </c>
      <c r="CT20" s="375">
        <v>-1923870.8</v>
      </c>
      <c r="CU20" s="7">
        <f t="shared" si="79"/>
        <v>-0.12281637522159368</v>
      </c>
      <c r="CV20" s="375">
        <v>-2029926</v>
      </c>
      <c r="CW20" s="7">
        <f>+CV20/CV$8</f>
        <v>-3.2441980944006667E-2</v>
      </c>
      <c r="CX20" s="375">
        <f t="shared" ref="CX20:CX27" si="163">+CV20+CT20+CP20</f>
        <v>-5863817.5999999996</v>
      </c>
      <c r="CY20" s="7">
        <f t="shared" si="30"/>
        <v>-5.9941502055652518E-2</v>
      </c>
      <c r="CZ20" s="375">
        <f t="shared" ref="CZ20:CZ27" si="164">+CD20+CL20+CX20</f>
        <v>-22710194.969999999</v>
      </c>
      <c r="DA20" s="7">
        <f t="shared" si="81"/>
        <v>-8.8512017494108586E-2</v>
      </c>
      <c r="DB20" s="375">
        <v>-1915681.8</v>
      </c>
      <c r="DC20" s="7">
        <f t="shared" si="95"/>
        <v>-9.9794280915720263E-2</v>
      </c>
      <c r="DD20" s="375">
        <v>-2009941.8</v>
      </c>
      <c r="DE20" s="7">
        <f t="shared" si="82"/>
        <v>-7.7403070460531437E-2</v>
      </c>
      <c r="DF20" s="72">
        <v>-2101727.7999999998</v>
      </c>
      <c r="DG20" s="7">
        <f t="shared" si="96"/>
        <v>-6.7753526507241757E-2</v>
      </c>
      <c r="DH20" s="375">
        <f t="shared" ref="DH20:DH27" si="165">+DB20+DD20+DF20</f>
        <v>-6027351.4000000004</v>
      </c>
      <c r="DI20" s="7">
        <f t="shared" si="33"/>
        <v>-7.9116006319332036E-2</v>
      </c>
      <c r="DJ20" s="375">
        <v>-5569014.75</v>
      </c>
      <c r="DK20" s="7">
        <f t="shared" si="97"/>
        <v>-0.10588670432929874</v>
      </c>
      <c r="DL20" s="72">
        <v>-2117558.25</v>
      </c>
      <c r="DM20" s="7">
        <f t="shared" si="98"/>
        <v>-0.2441275567238293</v>
      </c>
      <c r="DN20" s="72">
        <v>-2227225.25</v>
      </c>
      <c r="DO20" s="7">
        <f t="shared" si="99"/>
        <v>-0.12978668686825137</v>
      </c>
      <c r="DP20" s="72">
        <v>-2266444.25</v>
      </c>
      <c r="DQ20" s="7">
        <f t="shared" si="100"/>
        <v>-2.7011866477783593E-2</v>
      </c>
      <c r="DR20" s="375">
        <f t="shared" ref="DR20:DR27" si="166">+DL20+DN20+DP20</f>
        <v>-6611227.75</v>
      </c>
      <c r="DS20" s="7">
        <f t="shared" si="35"/>
        <v>-6.0244386063488399E-2</v>
      </c>
      <c r="DT20" s="375">
        <f t="shared" ref="DT20:DT27" si="167">+DR20+DH20</f>
        <v>-12638579.15</v>
      </c>
      <c r="DU20" s="7">
        <f t="shared" si="83"/>
        <v>-6.79771759546553E-2</v>
      </c>
      <c r="DV20" s="375">
        <v>-2213632.65</v>
      </c>
      <c r="DW20" s="7">
        <f t="shared" si="102"/>
        <v>-4.863277302617177E-2</v>
      </c>
      <c r="DX20" s="375">
        <v>-2254109.25</v>
      </c>
      <c r="DY20" s="7">
        <f t="shared" si="84"/>
        <v>-8.7191275434715512E-2</v>
      </c>
      <c r="DZ20" s="375">
        <v>-2232885.2599999998</v>
      </c>
      <c r="EA20" s="7">
        <f t="shared" si="103"/>
        <v>-1.8250967787107442E-2</v>
      </c>
      <c r="EB20" s="375">
        <f>+DV20+DX20+DZ20</f>
        <v>-6700627.1600000001</v>
      </c>
      <c r="EC20" s="7">
        <f t="shared" si="37"/>
        <v>-3.4590460023679805E-2</v>
      </c>
      <c r="ED20" s="375">
        <f t="shared" ref="ED20:ED27" si="168">+EB20+DT20</f>
        <v>-19339206.310000002</v>
      </c>
      <c r="EE20" s="7">
        <f t="shared" si="85"/>
        <v>-5.09413080630024E-2</v>
      </c>
      <c r="EF20" s="375">
        <v>-2233819.25</v>
      </c>
      <c r="EG20" s="7">
        <f t="shared" si="105"/>
        <v>-0.15117189707764542</v>
      </c>
      <c r="EH20" s="375">
        <v>-3091176.25</v>
      </c>
      <c r="EI20" s="7">
        <f t="shared" si="86"/>
        <v>-0.24247073613913156</v>
      </c>
      <c r="EJ20" s="375">
        <v>-3088278.25</v>
      </c>
      <c r="EK20" s="7">
        <f t="shared" si="106"/>
        <v>-1.9775987436211524E-2</v>
      </c>
      <c r="EL20" s="375">
        <f>+EF20+EH20+EJ20</f>
        <v>-8413273.75</v>
      </c>
      <c r="EM20" s="7">
        <f t="shared" si="39"/>
        <v>-4.5801884093886427E-2</v>
      </c>
      <c r="EN20" s="375">
        <f t="shared" ref="EN20:EN27" si="169">+EL20+ED20</f>
        <v>-27752480.060000002</v>
      </c>
      <c r="EO20" s="7">
        <f t="shared" si="108"/>
        <v>-4.9265451701855485E-2</v>
      </c>
      <c r="EP20" s="373"/>
      <c r="EQ20" s="373"/>
      <c r="ER20" s="373"/>
      <c r="ES20" s="373"/>
      <c r="ET20" s="375">
        <v>-3367952.25</v>
      </c>
      <c r="EU20" s="7">
        <f t="shared" si="109"/>
        <v>-0.456614572274613</v>
      </c>
      <c r="EV20" s="375">
        <v>-3277970.25</v>
      </c>
      <c r="EW20" s="7">
        <f t="shared" si="87"/>
        <v>-0.53786420060266837</v>
      </c>
      <c r="EX20" s="375">
        <v>-3358564.25</v>
      </c>
      <c r="EY20" s="7">
        <f t="shared" si="110"/>
        <v>-1.4712019902021213E-2</v>
      </c>
      <c r="EZ20" s="375">
        <f t="shared" ref="EZ20:EZ27" si="170">+ET20+EV20+EX20</f>
        <v>-10004486.75</v>
      </c>
      <c r="FA20" s="7">
        <f t="shared" si="42"/>
        <v>-4.1382333839085919E-2</v>
      </c>
      <c r="FB20" s="375">
        <v>-3290834.25</v>
      </c>
      <c r="FC20" s="7">
        <f t="shared" si="112"/>
        <v>-0.36314843102292849</v>
      </c>
      <c r="FD20" s="375">
        <v>-3400996.25</v>
      </c>
      <c r="FE20" s="7">
        <f t="shared" si="88"/>
        <v>-3.2312358910294964E-2</v>
      </c>
      <c r="FF20" s="375">
        <v>-3440290.25</v>
      </c>
      <c r="FG20" s="7">
        <f t="shared" si="44"/>
        <v>-2.1410574667602742E-2</v>
      </c>
      <c r="FH20" s="375">
        <f t="shared" ref="FH20:FH27" si="171">+FB20+FD20+FF20</f>
        <v>-10132120.75</v>
      </c>
      <c r="FI20" s="7">
        <f t="shared" si="46"/>
        <v>-3.6844409215320464E-2</v>
      </c>
      <c r="FJ20" s="375">
        <f t="shared" ref="FJ20:FJ27" si="172">EZ20+FH20</f>
        <v>-20136607.5</v>
      </c>
      <c r="FK20" s="7">
        <f t="shared" si="89"/>
        <v>-3.8967421336448517E-2</v>
      </c>
      <c r="FL20" s="375">
        <v>-3498959.25</v>
      </c>
      <c r="FM20" s="7">
        <f t="shared" si="115"/>
        <v>-0.31999807011205533</v>
      </c>
      <c r="FN20" s="375">
        <v>-3496851.25</v>
      </c>
      <c r="FO20" s="7">
        <f t="shared" si="48"/>
        <v>-0.73186123080532484</v>
      </c>
      <c r="FP20" s="375">
        <v>-3496851.25</v>
      </c>
      <c r="FQ20" s="7">
        <f t="shared" si="49"/>
        <v>-1.2640322947044948E-2</v>
      </c>
      <c r="FR20" s="375">
        <f t="shared" ref="FR20:FR27" si="173">+FL20+FN20+FP20</f>
        <v>-10492661.75</v>
      </c>
      <c r="FS20" s="7">
        <f t="shared" si="51"/>
        <v>-3.589015248445198E-2</v>
      </c>
      <c r="FT20" s="375">
        <f t="shared" ref="FT20:FT27" si="174">FJ20+FR20</f>
        <v>-30629269.25</v>
      </c>
      <c r="FU20" s="7">
        <f t="shared" si="90"/>
        <v>-3.7855514680685008E-2</v>
      </c>
      <c r="FV20" s="375">
        <v>-4696824.03</v>
      </c>
      <c r="FW20" s="7">
        <f t="shared" si="118"/>
        <v>-0.16925528626234021</v>
      </c>
      <c r="FX20" s="375">
        <v>-4426908.25</v>
      </c>
      <c r="FY20" s="7">
        <f t="shared" si="53"/>
        <v>-0.17244565261551134</v>
      </c>
      <c r="FZ20" s="375">
        <v>-4837535.25</v>
      </c>
      <c r="GA20" s="7">
        <f t="shared" si="54"/>
        <v>-1.673254339003075E-2</v>
      </c>
      <c r="GB20" s="375">
        <f t="shared" ref="GB20:GB27" si="175">+FV20+FX20+FZ20</f>
        <v>-13961267.530000001</v>
      </c>
      <c r="GC20" s="7">
        <f t="shared" si="56"/>
        <v>-4.0759178071367919E-2</v>
      </c>
      <c r="GD20" s="375">
        <f t="shared" ref="GD20:GD27" si="176">FT20+GB20</f>
        <v>-44590536.780000001</v>
      </c>
      <c r="GE20" s="7">
        <f t="shared" si="91"/>
        <v>-3.8719146786214902E-2</v>
      </c>
      <c r="GF20" s="566">
        <f t="shared" ref="GF20:GF27" si="177">+GO20*$GO$1</f>
        <v>0</v>
      </c>
      <c r="GG20" s="525">
        <f t="shared" si="58"/>
        <v>0</v>
      </c>
      <c r="GH20" s="528">
        <f t="shared" ref="GH20:GH27" si="178">+GQ20*$GO$2</f>
        <v>0</v>
      </c>
      <c r="GI20" s="525">
        <f t="shared" si="60"/>
        <v>0</v>
      </c>
      <c r="GJ20" s="528"/>
      <c r="GK20" s="525">
        <f t="shared" si="61"/>
        <v>0</v>
      </c>
      <c r="GL20" s="528">
        <f t="shared" ref="GL20:GL27" si="179">+GD20+GF20+GH20-GJ20</f>
        <v>-44590536.780000001</v>
      </c>
      <c r="GM20" s="565">
        <f t="shared" si="92"/>
        <v>-3.8478742882698029E-2</v>
      </c>
      <c r="GO20" s="586"/>
      <c r="GQ20" s="586"/>
      <c r="GT20" s="551">
        <f t="shared" si="93"/>
        <v>-8003835.91407221</v>
      </c>
      <c r="GU20" s="551">
        <f t="shared" si="94"/>
        <v>-9377503.5859277919</v>
      </c>
      <c r="GV20" s="550">
        <f t="shared" si="63"/>
        <v>-17381339.5</v>
      </c>
      <c r="GW20" s="527">
        <f>+EZ20*4+2500000</f>
        <v>-37517947</v>
      </c>
      <c r="GX20" s="525">
        <f t="shared" si="121"/>
        <v>-3.1684377777819128E-2</v>
      </c>
      <c r="GY20" s="528">
        <f>+GW20</f>
        <v>-37517947</v>
      </c>
      <c r="GZ20" s="525">
        <f t="shared" si="122"/>
        <v>-4.1677339374681398E-2</v>
      </c>
      <c r="HA20" s="528">
        <f>+GY20</f>
        <v>-37517947</v>
      </c>
      <c r="HB20" s="526">
        <f t="shared" si="123"/>
        <v>-5.1540182453916547E-2</v>
      </c>
      <c r="HD20" s="527">
        <v>-37517947</v>
      </c>
      <c r="HE20" s="525">
        <v>-3.158246862249723E-2</v>
      </c>
      <c r="HF20" s="528">
        <v>-37517947</v>
      </c>
      <c r="HG20" s="525">
        <v>-4.1677339374681398E-2</v>
      </c>
      <c r="HH20" s="528">
        <v>-37517947</v>
      </c>
      <c r="HI20" s="526">
        <v>-5.1540182453916547E-2</v>
      </c>
    </row>
    <row r="21" spans="1:217" outlineLevel="1">
      <c r="A21" s="386" t="s">
        <v>25</v>
      </c>
      <c r="B21" s="386" t="s">
        <v>26</v>
      </c>
      <c r="C21" s="375">
        <v>-6283593.0800000001</v>
      </c>
      <c r="D21" s="4"/>
      <c r="E21" s="375">
        <v>-1540262.27</v>
      </c>
      <c r="F21" s="4"/>
      <c r="G21" s="375">
        <v>-547274.31999999995</v>
      </c>
      <c r="H21" s="375">
        <v>-323545.34000000003</v>
      </c>
      <c r="I21" s="4"/>
      <c r="J21" s="375">
        <v>-547274.31999999995</v>
      </c>
      <c r="K21" s="375">
        <v>-295414.95</v>
      </c>
      <c r="L21" s="4"/>
      <c r="M21" s="375">
        <v>-547274.31999999995</v>
      </c>
      <c r="N21" s="375">
        <v>-339529.35</v>
      </c>
      <c r="O21" s="4"/>
      <c r="P21" s="375">
        <f t="shared" si="13"/>
        <v>-1641822.96</v>
      </c>
      <c r="Q21" s="375">
        <f t="shared" si="13"/>
        <v>-958489.64</v>
      </c>
      <c r="R21" s="7">
        <f t="shared" si="64"/>
        <v>-2.6355246322565647E-2</v>
      </c>
      <c r="S21" s="375">
        <v>-291177.14</v>
      </c>
      <c r="T21" s="375">
        <v>-291177.14</v>
      </c>
      <c r="U21" s="4"/>
      <c r="V21" s="375">
        <v>-290877.49</v>
      </c>
      <c r="W21" s="375">
        <v>-290877.49</v>
      </c>
      <c r="X21" s="4"/>
      <c r="Y21" s="375">
        <v>-295861.40999999997</v>
      </c>
      <c r="Z21" s="375">
        <v>-295861.40999999997</v>
      </c>
      <c r="AA21" s="4"/>
      <c r="AB21" s="375">
        <f t="shared" si="147"/>
        <v>-877916.04</v>
      </c>
      <c r="AC21" s="375">
        <f t="shared" si="148"/>
        <v>-877916.04</v>
      </c>
      <c r="AD21" s="7">
        <f t="shared" si="65"/>
        <v>-2.3671585132947523E-2</v>
      </c>
      <c r="AE21" s="375">
        <f>+Q21+AB21</f>
        <v>-1836405.6800000002</v>
      </c>
      <c r="AF21" s="375">
        <f t="shared" si="149"/>
        <v>-1836405.6800000002</v>
      </c>
      <c r="AG21" s="4"/>
      <c r="AH21" s="375">
        <v>-576026.48</v>
      </c>
      <c r="AI21" s="375">
        <v>-576026.48</v>
      </c>
      <c r="AJ21" s="4"/>
      <c r="AK21" s="375">
        <v>-17801.84</v>
      </c>
      <c r="AL21" s="375">
        <v>-17801.84</v>
      </c>
      <c r="AM21" s="4"/>
      <c r="AN21" s="375">
        <v>-302565.01</v>
      </c>
      <c r="AO21" s="375">
        <v>-302565.01</v>
      </c>
      <c r="AP21" s="4"/>
      <c r="AQ21" s="375">
        <f t="shared" si="150"/>
        <v>-896393.33000000007</v>
      </c>
      <c r="AR21" s="375">
        <f t="shared" si="151"/>
        <v>-896393.33000000007</v>
      </c>
      <c r="AS21" s="7">
        <f t="shared" si="68"/>
        <v>-3.3670336835939729E-2</v>
      </c>
      <c r="AT21" s="375">
        <f>+AF21+AR21</f>
        <v>-2732799.0100000002</v>
      </c>
      <c r="AU21" s="4"/>
      <c r="AV21" s="375">
        <v>-481898.02773246809</v>
      </c>
      <c r="AW21" s="375">
        <v>-283591.65999999997</v>
      </c>
      <c r="AX21" s="4"/>
      <c r="AY21" s="375">
        <v>-489580.49631731323</v>
      </c>
      <c r="AZ21" s="375">
        <v>-288871.01</v>
      </c>
      <c r="BA21" s="4"/>
      <c r="BB21" s="375">
        <v>-487235.7730726648</v>
      </c>
      <c r="BC21" s="375">
        <v>-287761.45</v>
      </c>
      <c r="BD21" s="448"/>
      <c r="BE21" s="375">
        <f t="shared" si="152"/>
        <v>-1458714.2971224461</v>
      </c>
      <c r="BF21" s="375">
        <f t="shared" si="153"/>
        <v>-860224.11999999988</v>
      </c>
      <c r="BG21" s="7">
        <f t="shared" si="71"/>
        <v>-2.7395962755650136E-2</v>
      </c>
      <c r="BH21" s="375">
        <f t="shared" si="154"/>
        <v>-4191513.3071224466</v>
      </c>
      <c r="BI21" s="388">
        <f t="shared" si="155"/>
        <v>-3593023.13</v>
      </c>
      <c r="BJ21" s="7">
        <f t="shared" si="72"/>
        <v>-2.7327999262322485E-2</v>
      </c>
      <c r="BK21" s="375">
        <v>-4380278.2212000014</v>
      </c>
      <c r="BL21" s="282"/>
      <c r="BN21" s="375">
        <v>-292162.96000000002</v>
      </c>
      <c r="BO21" s="4"/>
      <c r="BP21" s="375">
        <v>-295737.09999999998</v>
      </c>
      <c r="BQ21" s="4"/>
      <c r="BR21" s="375">
        <v>-313075.62</v>
      </c>
      <c r="BS21" s="4"/>
      <c r="BT21" s="375">
        <f t="shared" si="156"/>
        <v>-900975.68</v>
      </c>
      <c r="BU21" s="7">
        <f t="shared" si="73"/>
        <v>-1.6618414572189915E-2</v>
      </c>
      <c r="BV21" s="375">
        <v>-306854.96000000002</v>
      </c>
      <c r="BW21" s="7"/>
      <c r="BX21" s="375">
        <v>-312428.61</v>
      </c>
      <c r="BY21" s="7"/>
      <c r="BZ21" s="375">
        <v>-313282.53000000003</v>
      </c>
      <c r="CA21" s="7"/>
      <c r="CB21" s="375">
        <f t="shared" si="157"/>
        <v>-932566.10000000009</v>
      </c>
      <c r="CC21" s="7">
        <f t="shared" si="158"/>
        <v>-2.7233797813527874E-2</v>
      </c>
      <c r="CD21" s="375">
        <f t="shared" si="159"/>
        <v>-1833541.7800000003</v>
      </c>
      <c r="CE21" s="7">
        <f t="shared" si="75"/>
        <v>-2.0727712852037811E-2</v>
      </c>
      <c r="CF21" s="375">
        <v>-338249.12</v>
      </c>
      <c r="CG21" s="7">
        <f t="shared" si="76"/>
        <v>-6.6968164429811947E-2</v>
      </c>
      <c r="CH21" s="375">
        <v>-306575.21000000002</v>
      </c>
      <c r="CI21" s="7">
        <f t="shared" si="76"/>
        <v>-8.2678930574230664E-3</v>
      </c>
      <c r="CJ21" s="375">
        <v>-339173.91</v>
      </c>
      <c r="CK21" s="7">
        <f t="shared" si="76"/>
        <v>-1.2043550054415786E-2</v>
      </c>
      <c r="CL21" s="375">
        <f t="shared" si="160"/>
        <v>-983998.24</v>
      </c>
      <c r="CM21" s="7">
        <f t="shared" si="76"/>
        <v>-1.3998446039399448E-2</v>
      </c>
      <c r="CN21" s="375">
        <f t="shared" si="161"/>
        <v>-2817540.0200000005</v>
      </c>
      <c r="CO21" s="7">
        <f t="shared" si="77"/>
        <v>-1.7748075461245974E-2</v>
      </c>
      <c r="CP21" s="472">
        <v>-313151.39</v>
      </c>
      <c r="CQ21" s="7">
        <f t="shared" si="26"/>
        <v>-1.5985189793265939E-2</v>
      </c>
      <c r="CR21" s="375">
        <f t="shared" si="162"/>
        <v>-3130691.4100000006</v>
      </c>
      <c r="CS21" s="7">
        <f t="shared" si="78"/>
        <v>-1.7554430069605914E-2</v>
      </c>
      <c r="CT21" s="375">
        <v>-321911.65999999997</v>
      </c>
      <c r="CU21" s="7">
        <f t="shared" si="79"/>
        <v>-2.0550248604410487E-2</v>
      </c>
      <c r="CV21" s="375">
        <v>-696991.38</v>
      </c>
      <c r="CW21" s="7">
        <f>+CV21/CV$8</f>
        <v>-1.1139214467964306E-2</v>
      </c>
      <c r="CX21" s="375">
        <f t="shared" si="163"/>
        <v>-1332054.4300000002</v>
      </c>
      <c r="CY21" s="7">
        <f t="shared" si="30"/>
        <v>-1.3616614431200259E-2</v>
      </c>
      <c r="CZ21" s="375">
        <f t="shared" si="164"/>
        <v>-4149594.4500000007</v>
      </c>
      <c r="DA21" s="7">
        <f t="shared" si="81"/>
        <v>-1.6172867605806201E-2</v>
      </c>
      <c r="DB21" s="375">
        <v>-313468.19</v>
      </c>
      <c r="DC21" s="7">
        <f t="shared" si="95"/>
        <v>-1.6329607876946147E-2</v>
      </c>
      <c r="DD21" s="375">
        <v>-318311.26</v>
      </c>
      <c r="DE21" s="7">
        <f t="shared" si="82"/>
        <v>-1.2258200155925183E-2</v>
      </c>
      <c r="DF21" s="72">
        <v>-351925.67</v>
      </c>
      <c r="DG21" s="7">
        <f t="shared" si="96"/>
        <v>-1.1345049159517144E-2</v>
      </c>
      <c r="DH21" s="375">
        <f t="shared" si="165"/>
        <v>-983705.11999999988</v>
      </c>
      <c r="DI21" s="7">
        <f t="shared" si="33"/>
        <v>-1.2912275280694479E-2</v>
      </c>
      <c r="DJ21" s="375">
        <v>-735530.25000000012</v>
      </c>
      <c r="DK21" s="7">
        <f t="shared" si="97"/>
        <v>-1.3985036420850779E-2</v>
      </c>
      <c r="DL21" s="72">
        <v>-322572.2</v>
      </c>
      <c r="DM21" s="7">
        <f t="shared" si="98"/>
        <v>-3.7188475477843604E-2</v>
      </c>
      <c r="DN21" s="72">
        <v>-322506.59000000003</v>
      </c>
      <c r="DO21" s="7">
        <f t="shared" si="99"/>
        <v>-1.8793367132164802E-2</v>
      </c>
      <c r="DP21" s="72">
        <v>-319427.93</v>
      </c>
      <c r="DQ21" s="7">
        <f t="shared" si="100"/>
        <v>-3.806996176691663E-3</v>
      </c>
      <c r="DR21" s="375">
        <f t="shared" si="166"/>
        <v>-964506.72</v>
      </c>
      <c r="DS21" s="7">
        <f t="shared" si="35"/>
        <v>-8.7890052192664062E-3</v>
      </c>
      <c r="DT21" s="375">
        <f t="shared" si="167"/>
        <v>-1948211.8399999999</v>
      </c>
      <c r="DU21" s="7">
        <f t="shared" si="83"/>
        <v>-1.0478546478432486E-2</v>
      </c>
      <c r="DV21" s="375">
        <v>-313266.59999999998</v>
      </c>
      <c r="DW21" s="7">
        <f t="shared" si="102"/>
        <v>-6.8823630038527574E-3</v>
      </c>
      <c r="DX21" s="375">
        <v>-310346.84000000003</v>
      </c>
      <c r="DY21" s="7">
        <f t="shared" si="84"/>
        <v>-1.2004536517799032E-2</v>
      </c>
      <c r="DZ21" s="375">
        <v>-312483.45</v>
      </c>
      <c r="EA21" s="7">
        <f t="shared" si="103"/>
        <v>-2.5541506686976826E-3</v>
      </c>
      <c r="EB21" s="375">
        <f t="shared" ref="EB21:EB25" si="180">+DV21+DX21+DZ21</f>
        <v>-936096.8899999999</v>
      </c>
      <c r="EC21" s="7">
        <f t="shared" si="37"/>
        <v>-4.8323867719624004E-3</v>
      </c>
      <c r="ED21" s="375">
        <f t="shared" si="168"/>
        <v>-2884308.7299999995</v>
      </c>
      <c r="EE21" s="7">
        <f t="shared" si="85"/>
        <v>-7.5975434156137899E-3</v>
      </c>
      <c r="EF21" s="375">
        <v>-312418.90000000002</v>
      </c>
      <c r="EG21" s="7">
        <f t="shared" si="105"/>
        <v>-2.1142694421632906E-2</v>
      </c>
      <c r="EH21" s="375">
        <v>-308959.49</v>
      </c>
      <c r="EI21" s="7">
        <f t="shared" si="86"/>
        <v>-2.4234669562264739E-2</v>
      </c>
      <c r="EJ21" s="375">
        <v>-343733.89</v>
      </c>
      <c r="EK21" s="7">
        <f t="shared" si="106"/>
        <v>-2.2011219649784195E-3</v>
      </c>
      <c r="EL21" s="375">
        <f t="shared" ref="EL21:EL25" si="181">+EF21+EH21+EJ21</f>
        <v>-965112.28</v>
      </c>
      <c r="EM21" s="7">
        <f t="shared" si="39"/>
        <v>-5.254073752936717E-3</v>
      </c>
      <c r="EN21" s="375">
        <f t="shared" si="169"/>
        <v>-3849421.01</v>
      </c>
      <c r="EO21" s="7">
        <f t="shared" si="108"/>
        <v>-6.8333880229175716E-3</v>
      </c>
      <c r="EP21" s="373"/>
      <c r="EQ21" s="373"/>
      <c r="ER21" s="373"/>
      <c r="ES21" s="373"/>
      <c r="ET21" s="375">
        <v>-332120.89</v>
      </c>
      <c r="EU21" s="7">
        <f t="shared" si="109"/>
        <v>-4.5027728089320089E-2</v>
      </c>
      <c r="EV21" s="375">
        <v>-344098.78</v>
      </c>
      <c r="EW21" s="7">
        <f t="shared" si="87"/>
        <v>-5.646128583169828E-2</v>
      </c>
      <c r="EX21" s="375">
        <v>-350972.83</v>
      </c>
      <c r="EY21" s="7">
        <f t="shared" si="110"/>
        <v>-1.5374186335809143E-3</v>
      </c>
      <c r="EZ21" s="375">
        <f t="shared" si="170"/>
        <v>-1027192.5</v>
      </c>
      <c r="FA21" s="7">
        <f t="shared" si="42"/>
        <v>-4.2488559397617538E-3</v>
      </c>
      <c r="FB21" s="375">
        <v>-338895.84</v>
      </c>
      <c r="FC21" s="7">
        <f t="shared" si="112"/>
        <v>-3.7397657623199167E-2</v>
      </c>
      <c r="FD21" s="375">
        <v>-349659.96</v>
      </c>
      <c r="FE21" s="7">
        <f t="shared" si="88"/>
        <v>-3.3220672101827164E-3</v>
      </c>
      <c r="FF21" s="375">
        <v>-446020.54</v>
      </c>
      <c r="FG21" s="7">
        <f t="shared" si="44"/>
        <v>-2.7757995346335954E-3</v>
      </c>
      <c r="FH21" s="375">
        <f t="shared" si="171"/>
        <v>-1134576.3400000001</v>
      </c>
      <c r="FI21" s="7">
        <f t="shared" si="46"/>
        <v>-4.1257695193753557E-3</v>
      </c>
      <c r="FJ21" s="375">
        <f t="shared" si="172"/>
        <v>-2161768.84</v>
      </c>
      <c r="FK21" s="7">
        <f t="shared" si="89"/>
        <v>-4.1833539845421109E-3</v>
      </c>
      <c r="FL21" s="375">
        <v>-370682.97</v>
      </c>
      <c r="FM21" s="7">
        <f t="shared" si="115"/>
        <v>-3.3900890678679636E-2</v>
      </c>
      <c r="FN21" s="375">
        <v>-364545.79</v>
      </c>
      <c r="FO21" s="7">
        <f t="shared" si="48"/>
        <v>-7.6296333895901194E-2</v>
      </c>
      <c r="FP21" s="375">
        <v>-364545.79</v>
      </c>
      <c r="FQ21" s="7">
        <f t="shared" si="49"/>
        <v>-1.3177502230286829E-3</v>
      </c>
      <c r="FR21" s="375">
        <f t="shared" si="173"/>
        <v>-1099774.55</v>
      </c>
      <c r="FS21" s="7">
        <f t="shared" si="51"/>
        <v>-3.7617791594224946E-3</v>
      </c>
      <c r="FT21" s="375">
        <f t="shared" si="174"/>
        <v>-3261543.3899999997</v>
      </c>
      <c r="FU21" s="7">
        <f t="shared" si="90"/>
        <v>-4.0310267500696618E-3</v>
      </c>
      <c r="FV21" s="375">
        <v>-758906.97</v>
      </c>
      <c r="FW21" s="7">
        <f t="shared" si="118"/>
        <v>-2.7348058099131128E-2</v>
      </c>
      <c r="FX21" s="375">
        <v>-397786.59</v>
      </c>
      <c r="FY21" s="7">
        <f t="shared" si="53"/>
        <v>-1.5495367023757232E-2</v>
      </c>
      <c r="FZ21" s="375">
        <f>-425104.6-2864873</f>
        <v>-3289977.6</v>
      </c>
      <c r="GA21" s="7">
        <f t="shared" si="54"/>
        <v>-1.1379698565344662E-2</v>
      </c>
      <c r="GB21" s="375">
        <f t="shared" si="175"/>
        <v>-4446671.16</v>
      </c>
      <c r="GC21" s="7">
        <f t="shared" si="56"/>
        <v>-1.298181997055794E-2</v>
      </c>
      <c r="GD21" s="375">
        <f t="shared" si="176"/>
        <v>-7708214.5499999998</v>
      </c>
      <c r="GE21" s="7">
        <f t="shared" si="91"/>
        <v>-6.6932473159854941E-3</v>
      </c>
      <c r="GF21" s="566">
        <f t="shared" si="177"/>
        <v>0</v>
      </c>
      <c r="GG21" s="525">
        <f t="shared" si="58"/>
        <v>0</v>
      </c>
      <c r="GH21" s="528">
        <f t="shared" si="178"/>
        <v>0</v>
      </c>
      <c r="GI21" s="525">
        <f t="shared" si="60"/>
        <v>0</v>
      </c>
      <c r="GJ21" s="528"/>
      <c r="GK21" s="525">
        <f t="shared" si="61"/>
        <v>0</v>
      </c>
      <c r="GL21" s="528">
        <f t="shared" si="179"/>
        <v>-7708214.5499999998</v>
      </c>
      <c r="GM21" s="565">
        <f t="shared" si="92"/>
        <v>-6.6516895102091637E-3</v>
      </c>
      <c r="GO21" s="586"/>
      <c r="GQ21" s="586"/>
      <c r="GT21" s="551">
        <f t="shared" ref="GT21:GT84" si="182">+GV21*GT$8</f>
        <v>-896563.68596610485</v>
      </c>
      <c r="GU21" s="551">
        <f t="shared" si="94"/>
        <v>-1050437.4740338954</v>
      </c>
      <c r="GV21" s="550">
        <f t="shared" si="63"/>
        <v>-1947001.1600000001</v>
      </c>
      <c r="GW21" s="527">
        <f>+EZ21*4</f>
        <v>-4108770</v>
      </c>
      <c r="GX21" s="525">
        <f t="shared" si="121"/>
        <v>-3.4699079051998738E-3</v>
      </c>
      <c r="GY21" s="528">
        <f>+GW21</f>
        <v>-4108770</v>
      </c>
      <c r="GZ21" s="525">
        <f t="shared" si="122"/>
        <v>-4.5642849728027412E-3</v>
      </c>
      <c r="HA21" s="528">
        <f>+GY21</f>
        <v>-4108770</v>
      </c>
      <c r="HB21" s="526">
        <f t="shared" si="123"/>
        <v>-5.644412138574072E-3</v>
      </c>
      <c r="HD21" s="527">
        <v>-4108770</v>
      </c>
      <c r="HE21" s="525">
        <v>-3.4587473456918617E-3</v>
      </c>
      <c r="HF21" s="528">
        <v>-4108770</v>
      </c>
      <c r="HG21" s="525">
        <v>-4.5642849728027412E-3</v>
      </c>
      <c r="HH21" s="528">
        <v>-4108770</v>
      </c>
      <c r="HI21" s="526">
        <v>-5.644412138574072E-3</v>
      </c>
    </row>
    <row r="22" spans="1:217" outlineLevel="1">
      <c r="A22" s="386" t="s">
        <v>25</v>
      </c>
      <c r="B22" s="386" t="s">
        <v>19</v>
      </c>
      <c r="C22" s="375">
        <v>0</v>
      </c>
      <c r="D22" s="4"/>
      <c r="E22" s="375">
        <v>0</v>
      </c>
      <c r="F22" s="4"/>
      <c r="G22" s="375">
        <v>-267900</v>
      </c>
      <c r="H22" s="375"/>
      <c r="I22" s="4"/>
      <c r="J22" s="375">
        <v>-267900</v>
      </c>
      <c r="K22" s="375"/>
      <c r="L22" s="4"/>
      <c r="M22" s="375">
        <v>-267900</v>
      </c>
      <c r="N22" s="375">
        <v>0</v>
      </c>
      <c r="O22" s="4"/>
      <c r="P22" s="375">
        <f t="shared" si="13"/>
        <v>-803700</v>
      </c>
      <c r="Q22" s="375">
        <f>+H22+K22+N22</f>
        <v>0</v>
      </c>
      <c r="R22" s="7">
        <f t="shared" si="64"/>
        <v>0</v>
      </c>
      <c r="S22" s="375"/>
      <c r="T22" s="375"/>
      <c r="U22" s="4"/>
      <c r="V22" s="375"/>
      <c r="W22" s="375"/>
      <c r="X22" s="4"/>
      <c r="Y22" s="375">
        <v>0</v>
      </c>
      <c r="Z22" s="375"/>
      <c r="AA22" s="4"/>
      <c r="AB22" s="375">
        <f t="shared" si="147"/>
        <v>0</v>
      </c>
      <c r="AC22" s="375">
        <f t="shared" si="148"/>
        <v>0</v>
      </c>
      <c r="AD22" s="7">
        <f t="shared" si="65"/>
        <v>0</v>
      </c>
      <c r="AE22" s="375">
        <f t="shared" ref="AE22:AE27" si="183">+Q22+AB22</f>
        <v>0</v>
      </c>
      <c r="AF22" s="375">
        <f t="shared" si="149"/>
        <v>0</v>
      </c>
      <c r="AG22" s="4"/>
      <c r="AH22" s="375"/>
      <c r="AI22" s="375"/>
      <c r="AJ22" s="4"/>
      <c r="AK22" s="375"/>
      <c r="AL22" s="375"/>
      <c r="AM22" s="4"/>
      <c r="AN22" s="375"/>
      <c r="AO22" s="375"/>
      <c r="AP22" s="4"/>
      <c r="AQ22" s="375">
        <f t="shared" si="150"/>
        <v>0</v>
      </c>
      <c r="AR22" s="375">
        <f t="shared" si="151"/>
        <v>0</v>
      </c>
      <c r="AS22" s="7">
        <f t="shared" si="68"/>
        <v>0</v>
      </c>
      <c r="AT22" s="375">
        <f>+AF22+AR22</f>
        <v>0</v>
      </c>
      <c r="AU22" s="4"/>
      <c r="AV22" s="375">
        <v>-208717.62824224072</v>
      </c>
      <c r="AW22" s="375"/>
      <c r="AX22" s="4"/>
      <c r="AY22" s="375">
        <v>-210116.71660728345</v>
      </c>
      <c r="AZ22" s="375"/>
      <c r="BA22" s="4"/>
      <c r="BB22" s="375">
        <v>-467606.16616480326</v>
      </c>
      <c r="BC22" s="375"/>
      <c r="BD22" s="448"/>
      <c r="BE22" s="375">
        <f t="shared" si="152"/>
        <v>-886440.51101432741</v>
      </c>
      <c r="BF22" s="375">
        <f t="shared" si="153"/>
        <v>0</v>
      </c>
      <c r="BG22" s="7">
        <f t="shared" si="71"/>
        <v>0</v>
      </c>
      <c r="BH22" s="375">
        <f t="shared" si="154"/>
        <v>-886440.51101432741</v>
      </c>
      <c r="BI22" s="388">
        <f t="shared" si="155"/>
        <v>0</v>
      </c>
      <c r="BJ22" s="7">
        <f t="shared" si="72"/>
        <v>0</v>
      </c>
      <c r="BK22" s="375">
        <v>0</v>
      </c>
      <c r="BL22" s="282"/>
      <c r="BN22" s="375"/>
      <c r="BO22" s="4"/>
      <c r="BP22" s="375"/>
      <c r="BQ22" s="4"/>
      <c r="BR22" s="375"/>
      <c r="BS22" s="4"/>
      <c r="BT22" s="375"/>
      <c r="BU22" s="7">
        <f t="shared" si="73"/>
        <v>0</v>
      </c>
      <c r="BV22" s="375"/>
      <c r="BW22" s="7"/>
      <c r="BX22" s="375"/>
      <c r="BY22" s="7"/>
      <c r="BZ22" s="375">
        <f t="shared" ref="BZ22:BZ27" si="184">+BT22+BV22+BX22</f>
        <v>0</v>
      </c>
      <c r="CA22" s="7"/>
      <c r="CB22" s="375">
        <f t="shared" si="157"/>
        <v>0</v>
      </c>
      <c r="CC22" s="7">
        <f t="shared" si="158"/>
        <v>0</v>
      </c>
      <c r="CD22" s="375">
        <f t="shared" si="159"/>
        <v>0</v>
      </c>
      <c r="CE22" s="7">
        <f t="shared" si="75"/>
        <v>0</v>
      </c>
      <c r="CF22" s="375">
        <f t="shared" ref="CF22:CF27" si="185">+BZ22+CB22+CD22</f>
        <v>0</v>
      </c>
      <c r="CG22" s="7">
        <f t="shared" si="76"/>
        <v>0</v>
      </c>
      <c r="CH22" s="375">
        <f t="shared" ref="CH22:CH27" si="186">+CB22+CD22+CF22</f>
        <v>0</v>
      </c>
      <c r="CI22" s="7">
        <f t="shared" si="76"/>
        <v>0</v>
      </c>
      <c r="CJ22" s="375">
        <f t="shared" ref="CJ22:CJ27" si="187">+CD22+CF22+CH22</f>
        <v>0</v>
      </c>
      <c r="CK22" s="7">
        <f t="shared" si="76"/>
        <v>0</v>
      </c>
      <c r="CL22" s="375">
        <f t="shared" si="160"/>
        <v>0</v>
      </c>
      <c r="CM22" s="7">
        <f t="shared" si="76"/>
        <v>0</v>
      </c>
      <c r="CN22" s="375">
        <f t="shared" si="161"/>
        <v>0</v>
      </c>
      <c r="CO22" s="7">
        <f t="shared" si="77"/>
        <v>0</v>
      </c>
      <c r="CP22" s="375">
        <f t="shared" ref="CP22:CP27" si="188">+CJ22+CL22+CN22</f>
        <v>0</v>
      </c>
      <c r="CQ22" s="7">
        <f t="shared" si="26"/>
        <v>0</v>
      </c>
      <c r="CR22" s="375">
        <f t="shared" si="162"/>
        <v>0</v>
      </c>
      <c r="CS22" s="7">
        <f t="shared" si="78"/>
        <v>0</v>
      </c>
      <c r="CT22" s="375">
        <f t="shared" ref="CT22:CT27" si="189">+CL22+CN22+CP22</f>
        <v>0</v>
      </c>
      <c r="CU22" s="7">
        <f t="shared" si="79"/>
        <v>0</v>
      </c>
      <c r="CV22" s="375">
        <f t="shared" ref="CV22:CV27" si="190">+CN22+CP22+CT22</f>
        <v>0</v>
      </c>
      <c r="CW22" s="7">
        <f t="shared" si="80"/>
        <v>0</v>
      </c>
      <c r="CX22" s="375">
        <f t="shared" si="163"/>
        <v>0</v>
      </c>
      <c r="CY22" s="7">
        <f t="shared" si="30"/>
        <v>0</v>
      </c>
      <c r="CZ22" s="375">
        <f t="shared" si="164"/>
        <v>0</v>
      </c>
      <c r="DA22" s="7">
        <f t="shared" si="81"/>
        <v>0</v>
      </c>
      <c r="DB22" s="375">
        <f t="shared" ref="DB22:DB27" si="191">+CV22+CX22+CZ22</f>
        <v>0</v>
      </c>
      <c r="DC22" s="7">
        <f t="shared" si="95"/>
        <v>0</v>
      </c>
      <c r="DD22" s="375">
        <f t="shared" ref="DD22:DD27" si="192">+CX22+CZ22+DB22</f>
        <v>0</v>
      </c>
      <c r="DE22" s="7">
        <f t="shared" si="82"/>
        <v>0</v>
      </c>
      <c r="DF22" s="375">
        <f t="shared" ref="DF22:DF27" si="193">+CZ22+DB22+DD22</f>
        <v>0</v>
      </c>
      <c r="DG22" s="7">
        <f t="shared" si="96"/>
        <v>0</v>
      </c>
      <c r="DH22" s="375">
        <f t="shared" si="165"/>
        <v>0</v>
      </c>
      <c r="DI22" s="7">
        <f t="shared" si="33"/>
        <v>0</v>
      </c>
      <c r="DJ22" s="375">
        <v>0</v>
      </c>
      <c r="DK22" s="7">
        <f t="shared" si="97"/>
        <v>0</v>
      </c>
      <c r="DL22" s="375">
        <f t="shared" ref="DL22:DL27" si="194">+DF22+DH22+DJ22</f>
        <v>0</v>
      </c>
      <c r="DM22" s="7">
        <f t="shared" si="98"/>
        <v>0</v>
      </c>
      <c r="DN22" s="375">
        <f t="shared" ref="DN22:DN27" si="195">+DH22+DJ22+DL22</f>
        <v>0</v>
      </c>
      <c r="DO22" s="7">
        <f t="shared" si="99"/>
        <v>0</v>
      </c>
      <c r="DP22" s="375">
        <f t="shared" ref="DP22:DP27" si="196">+DJ22+DL22+DN22</f>
        <v>0</v>
      </c>
      <c r="DQ22" s="7">
        <f t="shared" si="100"/>
        <v>0</v>
      </c>
      <c r="DR22" s="375">
        <f t="shared" si="166"/>
        <v>0</v>
      </c>
      <c r="DS22" s="7">
        <f t="shared" si="35"/>
        <v>0</v>
      </c>
      <c r="DT22" s="375">
        <f t="shared" si="167"/>
        <v>0</v>
      </c>
      <c r="DU22" s="7">
        <f t="shared" si="83"/>
        <v>0</v>
      </c>
      <c r="DV22" s="375"/>
      <c r="DW22" s="7">
        <f t="shared" si="102"/>
        <v>0</v>
      </c>
      <c r="DX22" s="375"/>
      <c r="DY22" s="7">
        <f t="shared" si="84"/>
        <v>0</v>
      </c>
      <c r="DZ22" s="375"/>
      <c r="EA22" s="7">
        <f t="shared" si="103"/>
        <v>0</v>
      </c>
      <c r="EB22" s="375">
        <f>+DV22+DX22+DZ22</f>
        <v>0</v>
      </c>
      <c r="EC22" s="7">
        <f t="shared" si="37"/>
        <v>0</v>
      </c>
      <c r="ED22" s="375">
        <f t="shared" si="168"/>
        <v>0</v>
      </c>
      <c r="EE22" s="7">
        <f t="shared" si="85"/>
        <v>0</v>
      </c>
      <c r="EF22" s="375"/>
      <c r="EG22" s="7">
        <f t="shared" si="105"/>
        <v>0</v>
      </c>
      <c r="EH22" s="375"/>
      <c r="EI22" s="7">
        <f t="shared" si="86"/>
        <v>0</v>
      </c>
      <c r="EJ22" s="375"/>
      <c r="EK22" s="7">
        <f t="shared" si="106"/>
        <v>0</v>
      </c>
      <c r="EL22" s="375">
        <f t="shared" si="181"/>
        <v>0</v>
      </c>
      <c r="EM22" s="7">
        <f t="shared" si="39"/>
        <v>0</v>
      </c>
      <c r="EN22" s="375">
        <f t="shared" si="169"/>
        <v>0</v>
      </c>
      <c r="EO22" s="7">
        <f t="shared" si="108"/>
        <v>0</v>
      </c>
      <c r="EP22" s="373"/>
      <c r="EQ22" s="373"/>
      <c r="ER22" s="373"/>
      <c r="ES22" s="373"/>
      <c r="ET22" s="375"/>
      <c r="EU22" s="7">
        <f t="shared" si="109"/>
        <v>0</v>
      </c>
      <c r="EV22" s="375"/>
      <c r="EW22" s="7">
        <f t="shared" si="87"/>
        <v>0</v>
      </c>
      <c r="EX22" s="375"/>
      <c r="EY22" s="7">
        <f t="shared" si="110"/>
        <v>0</v>
      </c>
      <c r="EZ22" s="375">
        <f t="shared" si="170"/>
        <v>0</v>
      </c>
      <c r="FA22" s="7">
        <f t="shared" si="42"/>
        <v>0</v>
      </c>
      <c r="FB22" s="375"/>
      <c r="FC22" s="7">
        <f t="shared" si="112"/>
        <v>0</v>
      </c>
      <c r="FD22" s="375"/>
      <c r="FE22" s="7">
        <f t="shared" si="88"/>
        <v>0</v>
      </c>
      <c r="FF22" s="375"/>
      <c r="FG22" s="7">
        <f t="shared" si="44"/>
        <v>0</v>
      </c>
      <c r="FH22" s="375">
        <f t="shared" si="171"/>
        <v>0</v>
      </c>
      <c r="FI22" s="7">
        <f t="shared" si="46"/>
        <v>0</v>
      </c>
      <c r="FJ22" s="375">
        <f t="shared" si="172"/>
        <v>0</v>
      </c>
      <c r="FK22" s="7">
        <f t="shared" si="89"/>
        <v>0</v>
      </c>
      <c r="FL22" s="375"/>
      <c r="FM22" s="7">
        <f t="shared" si="115"/>
        <v>0</v>
      </c>
      <c r="FN22" s="375"/>
      <c r="FO22" s="7">
        <f t="shared" si="48"/>
        <v>0</v>
      </c>
      <c r="FP22" s="375"/>
      <c r="FQ22" s="7">
        <f t="shared" si="49"/>
        <v>0</v>
      </c>
      <c r="FR22" s="375">
        <f t="shared" si="173"/>
        <v>0</v>
      </c>
      <c r="FS22" s="7">
        <f t="shared" si="51"/>
        <v>0</v>
      </c>
      <c r="FT22" s="375">
        <f t="shared" si="174"/>
        <v>0</v>
      </c>
      <c r="FU22" s="7">
        <f t="shared" si="90"/>
        <v>0</v>
      </c>
      <c r="FV22" s="375"/>
      <c r="FW22" s="7">
        <f t="shared" si="118"/>
        <v>0</v>
      </c>
      <c r="FX22" s="375"/>
      <c r="FY22" s="7">
        <f t="shared" si="53"/>
        <v>0</v>
      </c>
      <c r="FZ22" s="375"/>
      <c r="GA22" s="7">
        <f t="shared" si="54"/>
        <v>0</v>
      </c>
      <c r="GB22" s="375">
        <f t="shared" si="175"/>
        <v>0</v>
      </c>
      <c r="GC22" s="7">
        <f t="shared" si="56"/>
        <v>0</v>
      </c>
      <c r="GD22" s="375">
        <f t="shared" si="176"/>
        <v>0</v>
      </c>
      <c r="GE22" s="7">
        <f t="shared" si="91"/>
        <v>0</v>
      </c>
      <c r="GF22" s="566">
        <f t="shared" si="177"/>
        <v>0</v>
      </c>
      <c r="GG22" s="525">
        <f t="shared" si="58"/>
        <v>0</v>
      </c>
      <c r="GH22" s="528">
        <f t="shared" si="178"/>
        <v>0</v>
      </c>
      <c r="GI22" s="525">
        <f t="shared" si="60"/>
        <v>0</v>
      </c>
      <c r="GJ22" s="528"/>
      <c r="GK22" s="525">
        <f t="shared" si="61"/>
        <v>0</v>
      </c>
      <c r="GL22" s="528">
        <f t="shared" si="179"/>
        <v>0</v>
      </c>
      <c r="GM22" s="565">
        <f t="shared" si="92"/>
        <v>0</v>
      </c>
      <c r="GO22" s="586"/>
      <c r="GQ22" s="586"/>
      <c r="GT22" s="551">
        <f t="shared" si="182"/>
        <v>0</v>
      </c>
      <c r="GU22" s="551">
        <f t="shared" si="94"/>
        <v>0</v>
      </c>
      <c r="GV22" s="550">
        <f t="shared" si="63"/>
        <v>0</v>
      </c>
      <c r="GW22" s="527"/>
      <c r="GX22" s="525">
        <f t="shared" si="121"/>
        <v>0</v>
      </c>
      <c r="GY22" s="528"/>
      <c r="GZ22" s="525">
        <f t="shared" si="122"/>
        <v>0</v>
      </c>
      <c r="HA22" s="528"/>
      <c r="HB22" s="526">
        <f t="shared" si="123"/>
        <v>0</v>
      </c>
      <c r="HD22" s="527"/>
      <c r="HE22" s="525">
        <v>0</v>
      </c>
      <c r="HF22" s="528"/>
      <c r="HG22" s="525">
        <v>0</v>
      </c>
      <c r="HH22" s="528"/>
      <c r="HI22" s="526">
        <v>0</v>
      </c>
    </row>
    <row r="23" spans="1:217" outlineLevel="1">
      <c r="A23" s="386" t="s">
        <v>25</v>
      </c>
      <c r="B23" s="386" t="s">
        <v>27</v>
      </c>
      <c r="C23" s="375">
        <v>0</v>
      </c>
      <c r="D23" s="4"/>
      <c r="E23" s="375">
        <v>0</v>
      </c>
      <c r="F23" s="4"/>
      <c r="G23" s="375"/>
      <c r="H23" s="375"/>
      <c r="I23" s="4"/>
      <c r="J23" s="375"/>
      <c r="K23" s="375"/>
      <c r="L23" s="4"/>
      <c r="M23" s="375"/>
      <c r="N23" s="375">
        <v>0</v>
      </c>
      <c r="O23" s="4"/>
      <c r="P23" s="375">
        <f t="shared" si="13"/>
        <v>0</v>
      </c>
      <c r="Q23" s="375">
        <f t="shared" si="13"/>
        <v>0</v>
      </c>
      <c r="R23" s="7">
        <f t="shared" si="64"/>
        <v>0</v>
      </c>
      <c r="S23" s="375"/>
      <c r="T23" s="375"/>
      <c r="U23" s="4"/>
      <c r="V23" s="375"/>
      <c r="W23" s="375"/>
      <c r="X23" s="4"/>
      <c r="Y23" s="375"/>
      <c r="Z23" s="375"/>
      <c r="AA23" s="4"/>
      <c r="AB23" s="375">
        <f t="shared" si="147"/>
        <v>0</v>
      </c>
      <c r="AC23" s="375">
        <f t="shared" si="148"/>
        <v>0</v>
      </c>
      <c r="AD23" s="7">
        <f t="shared" si="65"/>
        <v>0</v>
      </c>
      <c r="AE23" s="375">
        <f t="shared" si="183"/>
        <v>0</v>
      </c>
      <c r="AF23" s="375">
        <f t="shared" si="149"/>
        <v>0</v>
      </c>
      <c r="AG23" s="4"/>
      <c r="AH23" s="375"/>
      <c r="AI23" s="375"/>
      <c r="AJ23" s="4"/>
      <c r="AK23" s="375"/>
      <c r="AL23" s="375"/>
      <c r="AM23" s="4"/>
      <c r="AN23" s="375"/>
      <c r="AO23" s="375"/>
      <c r="AP23" s="4"/>
      <c r="AQ23" s="375">
        <f t="shared" si="150"/>
        <v>0</v>
      </c>
      <c r="AR23" s="375">
        <f t="shared" si="151"/>
        <v>0</v>
      </c>
      <c r="AS23" s="7">
        <f t="shared" si="68"/>
        <v>0</v>
      </c>
      <c r="AT23" s="375">
        <f>+AF23+AR23</f>
        <v>0</v>
      </c>
      <c r="AU23" s="4"/>
      <c r="AV23" s="375"/>
      <c r="AW23" s="375"/>
      <c r="AX23" s="4"/>
      <c r="AY23" s="375"/>
      <c r="AZ23" s="375"/>
      <c r="BA23" s="4"/>
      <c r="BB23" s="375"/>
      <c r="BC23" s="375"/>
      <c r="BD23" s="448"/>
      <c r="BE23" s="375">
        <f t="shared" si="152"/>
        <v>0</v>
      </c>
      <c r="BF23" s="375">
        <f t="shared" si="153"/>
        <v>0</v>
      </c>
      <c r="BG23" s="7">
        <f t="shared" si="71"/>
        <v>0</v>
      </c>
      <c r="BH23" s="375">
        <f t="shared" si="154"/>
        <v>0</v>
      </c>
      <c r="BI23" s="388">
        <f t="shared" si="155"/>
        <v>0</v>
      </c>
      <c r="BJ23" s="7">
        <f t="shared" si="72"/>
        <v>0</v>
      </c>
      <c r="BK23" s="375">
        <v>0</v>
      </c>
      <c r="BL23" s="282"/>
      <c r="BN23" s="375"/>
      <c r="BO23" s="4"/>
      <c r="BP23" s="375"/>
      <c r="BQ23" s="4"/>
      <c r="BR23" s="375"/>
      <c r="BS23" s="4"/>
      <c r="BT23" s="375"/>
      <c r="BU23" s="7">
        <f t="shared" si="73"/>
        <v>0</v>
      </c>
      <c r="BV23" s="375"/>
      <c r="BW23" s="7"/>
      <c r="BX23" s="375"/>
      <c r="BY23" s="7"/>
      <c r="BZ23" s="375">
        <f t="shared" si="184"/>
        <v>0</v>
      </c>
      <c r="CA23" s="7"/>
      <c r="CB23" s="375">
        <f t="shared" si="157"/>
        <v>0</v>
      </c>
      <c r="CC23" s="7">
        <f t="shared" si="158"/>
        <v>0</v>
      </c>
      <c r="CD23" s="375">
        <f t="shared" si="159"/>
        <v>0</v>
      </c>
      <c r="CE23" s="7">
        <f t="shared" si="75"/>
        <v>0</v>
      </c>
      <c r="CF23" s="375">
        <f t="shared" si="185"/>
        <v>0</v>
      </c>
      <c r="CG23" s="7">
        <f t="shared" si="76"/>
        <v>0</v>
      </c>
      <c r="CH23" s="375">
        <f t="shared" si="186"/>
        <v>0</v>
      </c>
      <c r="CI23" s="7">
        <f t="shared" si="76"/>
        <v>0</v>
      </c>
      <c r="CJ23" s="375">
        <f t="shared" si="187"/>
        <v>0</v>
      </c>
      <c r="CK23" s="7">
        <f t="shared" si="76"/>
        <v>0</v>
      </c>
      <c r="CL23" s="375">
        <f t="shared" si="160"/>
        <v>0</v>
      </c>
      <c r="CM23" s="7">
        <f t="shared" si="76"/>
        <v>0</v>
      </c>
      <c r="CN23" s="375">
        <f t="shared" si="161"/>
        <v>0</v>
      </c>
      <c r="CO23" s="7">
        <f t="shared" si="77"/>
        <v>0</v>
      </c>
      <c r="CP23" s="375">
        <f t="shared" si="188"/>
        <v>0</v>
      </c>
      <c r="CQ23" s="7">
        <f t="shared" si="26"/>
        <v>0</v>
      </c>
      <c r="CR23" s="375">
        <f t="shared" si="162"/>
        <v>0</v>
      </c>
      <c r="CS23" s="7">
        <f t="shared" si="78"/>
        <v>0</v>
      </c>
      <c r="CT23" s="375">
        <f t="shared" si="189"/>
        <v>0</v>
      </c>
      <c r="CU23" s="7">
        <f t="shared" si="79"/>
        <v>0</v>
      </c>
      <c r="CV23" s="375">
        <f t="shared" si="190"/>
        <v>0</v>
      </c>
      <c r="CW23" s="7">
        <f t="shared" si="80"/>
        <v>0</v>
      </c>
      <c r="CX23" s="375">
        <f t="shared" si="163"/>
        <v>0</v>
      </c>
      <c r="CY23" s="7">
        <f t="shared" si="30"/>
        <v>0</v>
      </c>
      <c r="CZ23" s="375">
        <f t="shared" si="164"/>
        <v>0</v>
      </c>
      <c r="DA23" s="7">
        <f t="shared" si="81"/>
        <v>0</v>
      </c>
      <c r="DB23" s="375">
        <f t="shared" si="191"/>
        <v>0</v>
      </c>
      <c r="DC23" s="7">
        <f t="shared" si="95"/>
        <v>0</v>
      </c>
      <c r="DD23" s="375">
        <f t="shared" si="192"/>
        <v>0</v>
      </c>
      <c r="DE23" s="7">
        <f t="shared" si="82"/>
        <v>0</v>
      </c>
      <c r="DF23" s="375">
        <f t="shared" si="193"/>
        <v>0</v>
      </c>
      <c r="DG23" s="7">
        <f t="shared" si="96"/>
        <v>0</v>
      </c>
      <c r="DH23" s="375">
        <f t="shared" si="165"/>
        <v>0</v>
      </c>
      <c r="DI23" s="7">
        <f t="shared" si="33"/>
        <v>0</v>
      </c>
      <c r="DJ23" s="375">
        <v>0</v>
      </c>
      <c r="DK23" s="7">
        <f t="shared" si="97"/>
        <v>0</v>
      </c>
      <c r="DL23" s="375">
        <f t="shared" si="194"/>
        <v>0</v>
      </c>
      <c r="DM23" s="7">
        <f t="shared" si="98"/>
        <v>0</v>
      </c>
      <c r="DN23" s="375">
        <f t="shared" si="195"/>
        <v>0</v>
      </c>
      <c r="DO23" s="7">
        <f t="shared" si="99"/>
        <v>0</v>
      </c>
      <c r="DP23" s="375">
        <f t="shared" si="196"/>
        <v>0</v>
      </c>
      <c r="DQ23" s="7">
        <f t="shared" si="100"/>
        <v>0</v>
      </c>
      <c r="DR23" s="375">
        <f t="shared" si="166"/>
        <v>0</v>
      </c>
      <c r="DS23" s="7">
        <f t="shared" si="35"/>
        <v>0</v>
      </c>
      <c r="DT23" s="375">
        <f t="shared" si="167"/>
        <v>0</v>
      </c>
      <c r="DU23" s="7">
        <f t="shared" si="83"/>
        <v>0</v>
      </c>
      <c r="DV23" s="375"/>
      <c r="DW23" s="7">
        <f t="shared" si="102"/>
        <v>0</v>
      </c>
      <c r="DX23" s="375"/>
      <c r="DY23" s="7">
        <f t="shared" si="84"/>
        <v>0</v>
      </c>
      <c r="DZ23" s="375"/>
      <c r="EA23" s="7">
        <f t="shared" si="103"/>
        <v>0</v>
      </c>
      <c r="EB23" s="375">
        <f t="shared" si="180"/>
        <v>0</v>
      </c>
      <c r="EC23" s="7">
        <f t="shared" si="37"/>
        <v>0</v>
      </c>
      <c r="ED23" s="375">
        <f t="shared" si="168"/>
        <v>0</v>
      </c>
      <c r="EE23" s="7">
        <f t="shared" si="85"/>
        <v>0</v>
      </c>
      <c r="EF23" s="375"/>
      <c r="EG23" s="7">
        <f t="shared" si="105"/>
        <v>0</v>
      </c>
      <c r="EH23" s="375"/>
      <c r="EI23" s="7">
        <f t="shared" si="86"/>
        <v>0</v>
      </c>
      <c r="EJ23" s="375"/>
      <c r="EK23" s="7">
        <f t="shared" si="106"/>
        <v>0</v>
      </c>
      <c r="EL23" s="375">
        <f t="shared" si="181"/>
        <v>0</v>
      </c>
      <c r="EM23" s="7">
        <f t="shared" si="39"/>
        <v>0</v>
      </c>
      <c r="EN23" s="375">
        <f t="shared" si="169"/>
        <v>0</v>
      </c>
      <c r="EO23" s="7">
        <f t="shared" si="108"/>
        <v>0</v>
      </c>
      <c r="EP23" s="373"/>
      <c r="EQ23" s="373"/>
      <c r="ER23" s="373"/>
      <c r="ES23" s="373"/>
      <c r="ET23" s="375"/>
      <c r="EU23" s="7">
        <f t="shared" si="109"/>
        <v>0</v>
      </c>
      <c r="EV23" s="375"/>
      <c r="EW23" s="7">
        <f t="shared" si="87"/>
        <v>0</v>
      </c>
      <c r="EX23" s="375"/>
      <c r="EY23" s="7">
        <f t="shared" si="110"/>
        <v>0</v>
      </c>
      <c r="EZ23" s="375">
        <f t="shared" si="170"/>
        <v>0</v>
      </c>
      <c r="FA23" s="7">
        <f t="shared" si="42"/>
        <v>0</v>
      </c>
      <c r="FB23" s="375"/>
      <c r="FC23" s="7">
        <f t="shared" si="112"/>
        <v>0</v>
      </c>
      <c r="FD23" s="375"/>
      <c r="FE23" s="7">
        <f t="shared" si="88"/>
        <v>0</v>
      </c>
      <c r="FF23" s="375"/>
      <c r="FG23" s="7">
        <f t="shared" si="44"/>
        <v>0</v>
      </c>
      <c r="FH23" s="375">
        <f t="shared" si="171"/>
        <v>0</v>
      </c>
      <c r="FI23" s="7">
        <f t="shared" si="46"/>
        <v>0</v>
      </c>
      <c r="FJ23" s="375">
        <f t="shared" si="172"/>
        <v>0</v>
      </c>
      <c r="FK23" s="7">
        <f t="shared" si="89"/>
        <v>0</v>
      </c>
      <c r="FL23" s="375"/>
      <c r="FM23" s="7">
        <f t="shared" si="115"/>
        <v>0</v>
      </c>
      <c r="FN23" s="375"/>
      <c r="FO23" s="7">
        <f t="shared" si="48"/>
        <v>0</v>
      </c>
      <c r="FP23" s="375"/>
      <c r="FQ23" s="7">
        <f t="shared" si="49"/>
        <v>0</v>
      </c>
      <c r="FR23" s="375">
        <f t="shared" si="173"/>
        <v>0</v>
      </c>
      <c r="FS23" s="7">
        <f t="shared" si="51"/>
        <v>0</v>
      </c>
      <c r="FT23" s="375">
        <f t="shared" si="174"/>
        <v>0</v>
      </c>
      <c r="FU23" s="7">
        <f t="shared" si="90"/>
        <v>0</v>
      </c>
      <c r="FV23" s="375"/>
      <c r="FW23" s="7">
        <f t="shared" si="118"/>
        <v>0</v>
      </c>
      <c r="FX23" s="375"/>
      <c r="FY23" s="7">
        <f t="shared" si="53"/>
        <v>0</v>
      </c>
      <c r="FZ23" s="375"/>
      <c r="GA23" s="7">
        <f t="shared" si="54"/>
        <v>0</v>
      </c>
      <c r="GB23" s="375">
        <f t="shared" si="175"/>
        <v>0</v>
      </c>
      <c r="GC23" s="7">
        <f t="shared" si="56"/>
        <v>0</v>
      </c>
      <c r="GD23" s="375">
        <f t="shared" si="176"/>
        <v>0</v>
      </c>
      <c r="GE23" s="7">
        <f t="shared" si="91"/>
        <v>0</v>
      </c>
      <c r="GF23" s="566">
        <f t="shared" si="177"/>
        <v>0</v>
      </c>
      <c r="GG23" s="525">
        <f t="shared" si="58"/>
        <v>0</v>
      </c>
      <c r="GH23" s="528">
        <f t="shared" si="178"/>
        <v>0</v>
      </c>
      <c r="GI23" s="525">
        <f t="shared" si="60"/>
        <v>0</v>
      </c>
      <c r="GJ23" s="528"/>
      <c r="GK23" s="525">
        <f t="shared" si="61"/>
        <v>0</v>
      </c>
      <c r="GL23" s="528">
        <f t="shared" si="179"/>
        <v>0</v>
      </c>
      <c r="GM23" s="565">
        <f t="shared" si="92"/>
        <v>0</v>
      </c>
      <c r="GO23" s="586"/>
      <c r="GQ23" s="586"/>
      <c r="GT23" s="551">
        <f t="shared" si="182"/>
        <v>0</v>
      </c>
      <c r="GU23" s="551">
        <f t="shared" si="94"/>
        <v>0</v>
      </c>
      <c r="GV23" s="550">
        <f t="shared" si="63"/>
        <v>0</v>
      </c>
      <c r="GW23" s="527"/>
      <c r="GX23" s="525">
        <f t="shared" si="121"/>
        <v>0</v>
      </c>
      <c r="GY23" s="528"/>
      <c r="GZ23" s="525">
        <f t="shared" si="122"/>
        <v>0</v>
      </c>
      <c r="HA23" s="528"/>
      <c r="HB23" s="526">
        <f t="shared" si="123"/>
        <v>0</v>
      </c>
      <c r="HD23" s="527"/>
      <c r="HE23" s="525">
        <v>0</v>
      </c>
      <c r="HF23" s="528"/>
      <c r="HG23" s="525">
        <v>0</v>
      </c>
      <c r="HH23" s="528"/>
      <c r="HI23" s="526">
        <v>0</v>
      </c>
    </row>
    <row r="24" spans="1:217" outlineLevel="1">
      <c r="A24" s="386" t="s">
        <v>25</v>
      </c>
      <c r="B24" s="386" t="s">
        <v>28</v>
      </c>
      <c r="C24" s="375">
        <v>0</v>
      </c>
      <c r="D24" s="4"/>
      <c r="E24" s="375">
        <v>0</v>
      </c>
      <c r="F24" s="4"/>
      <c r="G24" s="375"/>
      <c r="H24" s="375"/>
      <c r="I24" s="4"/>
      <c r="J24" s="375"/>
      <c r="K24" s="375"/>
      <c r="L24" s="4"/>
      <c r="M24" s="375"/>
      <c r="N24" s="375">
        <v>0</v>
      </c>
      <c r="O24" s="4"/>
      <c r="P24" s="375">
        <f t="shared" si="13"/>
        <v>0</v>
      </c>
      <c r="Q24" s="375">
        <f t="shared" si="13"/>
        <v>0</v>
      </c>
      <c r="R24" s="7">
        <f t="shared" si="64"/>
        <v>0</v>
      </c>
      <c r="S24" s="375"/>
      <c r="T24" s="375"/>
      <c r="U24" s="4"/>
      <c r="V24" s="375"/>
      <c r="W24" s="375"/>
      <c r="X24" s="4"/>
      <c r="Y24" s="375"/>
      <c r="Z24" s="375"/>
      <c r="AA24" s="4"/>
      <c r="AB24" s="375">
        <f t="shared" si="147"/>
        <v>0</v>
      </c>
      <c r="AC24" s="375">
        <f t="shared" si="148"/>
        <v>0</v>
      </c>
      <c r="AD24" s="7">
        <f t="shared" si="65"/>
        <v>0</v>
      </c>
      <c r="AE24" s="375">
        <f t="shared" si="183"/>
        <v>0</v>
      </c>
      <c r="AF24" s="375">
        <f t="shared" si="149"/>
        <v>0</v>
      </c>
      <c r="AG24" s="4"/>
      <c r="AH24" s="375"/>
      <c r="AI24" s="375"/>
      <c r="AJ24" s="4"/>
      <c r="AK24" s="375"/>
      <c r="AL24" s="375"/>
      <c r="AM24" s="4"/>
      <c r="AN24" s="375"/>
      <c r="AO24" s="375"/>
      <c r="AP24" s="4"/>
      <c r="AQ24" s="375">
        <f t="shared" si="150"/>
        <v>0</v>
      </c>
      <c r="AR24" s="375">
        <f t="shared" si="151"/>
        <v>0</v>
      </c>
      <c r="AS24" s="7">
        <f t="shared" si="68"/>
        <v>0</v>
      </c>
      <c r="AT24" s="375">
        <f>+AF24+AR24</f>
        <v>0</v>
      </c>
      <c r="AU24" s="4"/>
      <c r="AV24" s="375"/>
      <c r="AW24" s="375"/>
      <c r="AX24" s="4"/>
      <c r="AY24" s="375"/>
      <c r="AZ24" s="375"/>
      <c r="BA24" s="4"/>
      <c r="BB24" s="375"/>
      <c r="BC24" s="375"/>
      <c r="BD24" s="448"/>
      <c r="BE24" s="375">
        <f t="shared" si="152"/>
        <v>0</v>
      </c>
      <c r="BF24" s="375">
        <f t="shared" si="153"/>
        <v>0</v>
      </c>
      <c r="BG24" s="7">
        <f t="shared" si="71"/>
        <v>0</v>
      </c>
      <c r="BH24" s="375">
        <f t="shared" si="154"/>
        <v>0</v>
      </c>
      <c r="BI24" s="388">
        <f t="shared" si="155"/>
        <v>0</v>
      </c>
      <c r="BJ24" s="7">
        <f t="shared" si="72"/>
        <v>0</v>
      </c>
      <c r="BK24" s="375">
        <v>0</v>
      </c>
      <c r="BL24" s="282"/>
      <c r="BN24" s="375"/>
      <c r="BO24" s="4"/>
      <c r="BP24" s="375"/>
      <c r="BQ24" s="4"/>
      <c r="BR24" s="375"/>
      <c r="BS24" s="4"/>
      <c r="BT24" s="375"/>
      <c r="BU24" s="7">
        <f t="shared" si="73"/>
        <v>0</v>
      </c>
      <c r="BV24" s="375"/>
      <c r="BW24" s="7"/>
      <c r="BX24" s="375"/>
      <c r="BY24" s="7"/>
      <c r="BZ24" s="375">
        <f t="shared" si="184"/>
        <v>0</v>
      </c>
      <c r="CA24" s="7"/>
      <c r="CB24" s="375">
        <f t="shared" si="157"/>
        <v>0</v>
      </c>
      <c r="CC24" s="7">
        <f t="shared" si="158"/>
        <v>0</v>
      </c>
      <c r="CD24" s="375">
        <f t="shared" si="159"/>
        <v>0</v>
      </c>
      <c r="CE24" s="7">
        <f t="shared" si="75"/>
        <v>0</v>
      </c>
      <c r="CF24" s="375">
        <f t="shared" si="185"/>
        <v>0</v>
      </c>
      <c r="CG24" s="7">
        <f t="shared" si="76"/>
        <v>0</v>
      </c>
      <c r="CH24" s="375">
        <f t="shared" si="186"/>
        <v>0</v>
      </c>
      <c r="CI24" s="7">
        <f t="shared" si="76"/>
        <v>0</v>
      </c>
      <c r="CJ24" s="375">
        <f t="shared" si="187"/>
        <v>0</v>
      </c>
      <c r="CK24" s="7">
        <f t="shared" si="76"/>
        <v>0</v>
      </c>
      <c r="CL24" s="375">
        <f t="shared" si="160"/>
        <v>0</v>
      </c>
      <c r="CM24" s="7">
        <f t="shared" si="76"/>
        <v>0</v>
      </c>
      <c r="CN24" s="375">
        <f t="shared" si="161"/>
        <v>0</v>
      </c>
      <c r="CO24" s="7">
        <f t="shared" si="77"/>
        <v>0</v>
      </c>
      <c r="CP24" s="375">
        <f t="shared" si="188"/>
        <v>0</v>
      </c>
      <c r="CQ24" s="7">
        <f t="shared" si="26"/>
        <v>0</v>
      </c>
      <c r="CR24" s="375">
        <f t="shared" si="162"/>
        <v>0</v>
      </c>
      <c r="CS24" s="7">
        <f t="shared" si="78"/>
        <v>0</v>
      </c>
      <c r="CT24" s="375">
        <f t="shared" si="189"/>
        <v>0</v>
      </c>
      <c r="CU24" s="7">
        <f t="shared" si="79"/>
        <v>0</v>
      </c>
      <c r="CV24" s="375">
        <f t="shared" si="190"/>
        <v>0</v>
      </c>
      <c r="CW24" s="7">
        <f t="shared" si="80"/>
        <v>0</v>
      </c>
      <c r="CX24" s="375">
        <f t="shared" si="163"/>
        <v>0</v>
      </c>
      <c r="CY24" s="7">
        <f t="shared" si="30"/>
        <v>0</v>
      </c>
      <c r="CZ24" s="375">
        <f t="shared" si="164"/>
        <v>0</v>
      </c>
      <c r="DA24" s="7">
        <f t="shared" si="81"/>
        <v>0</v>
      </c>
      <c r="DB24" s="375">
        <f t="shared" si="191"/>
        <v>0</v>
      </c>
      <c r="DC24" s="7">
        <f t="shared" si="95"/>
        <v>0</v>
      </c>
      <c r="DD24" s="375">
        <f t="shared" si="192"/>
        <v>0</v>
      </c>
      <c r="DE24" s="7">
        <f t="shared" si="82"/>
        <v>0</v>
      </c>
      <c r="DF24" s="375">
        <f t="shared" si="193"/>
        <v>0</v>
      </c>
      <c r="DG24" s="7">
        <f t="shared" si="96"/>
        <v>0</v>
      </c>
      <c r="DH24" s="375">
        <f t="shared" si="165"/>
        <v>0</v>
      </c>
      <c r="DI24" s="7">
        <f t="shared" si="33"/>
        <v>0</v>
      </c>
      <c r="DJ24" s="375">
        <v>0</v>
      </c>
      <c r="DK24" s="7">
        <f t="shared" si="97"/>
        <v>0</v>
      </c>
      <c r="DL24" s="375">
        <f t="shared" si="194"/>
        <v>0</v>
      </c>
      <c r="DM24" s="7">
        <f t="shared" si="98"/>
        <v>0</v>
      </c>
      <c r="DN24" s="375">
        <f t="shared" si="195"/>
        <v>0</v>
      </c>
      <c r="DO24" s="7">
        <f t="shared" si="99"/>
        <v>0</v>
      </c>
      <c r="DP24" s="375">
        <f t="shared" si="196"/>
        <v>0</v>
      </c>
      <c r="DQ24" s="7">
        <f t="shared" si="100"/>
        <v>0</v>
      </c>
      <c r="DR24" s="375">
        <f t="shared" si="166"/>
        <v>0</v>
      </c>
      <c r="DS24" s="7">
        <f t="shared" si="35"/>
        <v>0</v>
      </c>
      <c r="DT24" s="375">
        <f t="shared" si="167"/>
        <v>0</v>
      </c>
      <c r="DU24" s="7">
        <f t="shared" si="83"/>
        <v>0</v>
      </c>
      <c r="DV24" s="375"/>
      <c r="DW24" s="7">
        <f t="shared" si="102"/>
        <v>0</v>
      </c>
      <c r="DX24" s="375"/>
      <c r="DY24" s="7">
        <f t="shared" si="84"/>
        <v>0</v>
      </c>
      <c r="DZ24" s="375"/>
      <c r="EA24" s="7">
        <f t="shared" si="103"/>
        <v>0</v>
      </c>
      <c r="EB24" s="375">
        <f t="shared" si="180"/>
        <v>0</v>
      </c>
      <c r="EC24" s="7">
        <f t="shared" si="37"/>
        <v>0</v>
      </c>
      <c r="ED24" s="375">
        <f t="shared" si="168"/>
        <v>0</v>
      </c>
      <c r="EE24" s="7">
        <f t="shared" si="85"/>
        <v>0</v>
      </c>
      <c r="EF24" s="375"/>
      <c r="EG24" s="7">
        <f t="shared" si="105"/>
        <v>0</v>
      </c>
      <c r="EH24" s="375"/>
      <c r="EI24" s="7">
        <f t="shared" si="86"/>
        <v>0</v>
      </c>
      <c r="EJ24" s="375"/>
      <c r="EK24" s="7">
        <f t="shared" si="106"/>
        <v>0</v>
      </c>
      <c r="EL24" s="375">
        <f t="shared" si="181"/>
        <v>0</v>
      </c>
      <c r="EM24" s="7">
        <f t="shared" si="39"/>
        <v>0</v>
      </c>
      <c r="EN24" s="375">
        <f t="shared" si="169"/>
        <v>0</v>
      </c>
      <c r="EO24" s="7">
        <f t="shared" si="108"/>
        <v>0</v>
      </c>
      <c r="EP24" s="373"/>
      <c r="EQ24" s="373"/>
      <c r="ER24" s="373"/>
      <c r="ES24" s="373"/>
      <c r="ET24" s="375"/>
      <c r="EU24" s="7">
        <f t="shared" si="109"/>
        <v>0</v>
      </c>
      <c r="EV24" s="375"/>
      <c r="EW24" s="7">
        <f t="shared" si="87"/>
        <v>0</v>
      </c>
      <c r="EX24" s="375"/>
      <c r="EY24" s="7">
        <f t="shared" si="110"/>
        <v>0</v>
      </c>
      <c r="EZ24" s="375">
        <f t="shared" si="170"/>
        <v>0</v>
      </c>
      <c r="FA24" s="7">
        <f t="shared" si="42"/>
        <v>0</v>
      </c>
      <c r="FB24" s="375"/>
      <c r="FC24" s="7">
        <f t="shared" si="112"/>
        <v>0</v>
      </c>
      <c r="FD24" s="375"/>
      <c r="FE24" s="7">
        <f t="shared" si="88"/>
        <v>0</v>
      </c>
      <c r="FF24" s="375"/>
      <c r="FG24" s="7">
        <f t="shared" si="44"/>
        <v>0</v>
      </c>
      <c r="FH24" s="375">
        <f t="shared" si="171"/>
        <v>0</v>
      </c>
      <c r="FI24" s="7">
        <f t="shared" si="46"/>
        <v>0</v>
      </c>
      <c r="FJ24" s="375">
        <f t="shared" si="172"/>
        <v>0</v>
      </c>
      <c r="FK24" s="7">
        <f t="shared" si="89"/>
        <v>0</v>
      </c>
      <c r="FL24" s="375"/>
      <c r="FM24" s="7">
        <f t="shared" si="115"/>
        <v>0</v>
      </c>
      <c r="FN24" s="375"/>
      <c r="FO24" s="7">
        <f t="shared" si="48"/>
        <v>0</v>
      </c>
      <c r="FP24" s="375"/>
      <c r="FQ24" s="7">
        <f t="shared" si="49"/>
        <v>0</v>
      </c>
      <c r="FR24" s="375">
        <f t="shared" si="173"/>
        <v>0</v>
      </c>
      <c r="FS24" s="7">
        <f t="shared" si="51"/>
        <v>0</v>
      </c>
      <c r="FT24" s="375">
        <f t="shared" si="174"/>
        <v>0</v>
      </c>
      <c r="FU24" s="7">
        <f t="shared" si="90"/>
        <v>0</v>
      </c>
      <c r="FV24" s="375"/>
      <c r="FW24" s="7">
        <f t="shared" si="118"/>
        <v>0</v>
      </c>
      <c r="FX24" s="375"/>
      <c r="FY24" s="7">
        <f t="shared" si="53"/>
        <v>0</v>
      </c>
      <c r="FZ24" s="375"/>
      <c r="GA24" s="7">
        <f t="shared" si="54"/>
        <v>0</v>
      </c>
      <c r="GB24" s="375">
        <f t="shared" si="175"/>
        <v>0</v>
      </c>
      <c r="GC24" s="7">
        <f t="shared" si="56"/>
        <v>0</v>
      </c>
      <c r="GD24" s="375">
        <f t="shared" si="176"/>
        <v>0</v>
      </c>
      <c r="GE24" s="7">
        <f t="shared" si="91"/>
        <v>0</v>
      </c>
      <c r="GF24" s="566">
        <f t="shared" si="177"/>
        <v>0</v>
      </c>
      <c r="GG24" s="525">
        <f t="shared" si="58"/>
        <v>0</v>
      </c>
      <c r="GH24" s="528">
        <f t="shared" si="178"/>
        <v>0</v>
      </c>
      <c r="GI24" s="525">
        <f t="shared" si="60"/>
        <v>0</v>
      </c>
      <c r="GJ24" s="528"/>
      <c r="GK24" s="525">
        <f t="shared" si="61"/>
        <v>0</v>
      </c>
      <c r="GL24" s="528">
        <f t="shared" si="179"/>
        <v>0</v>
      </c>
      <c r="GM24" s="565">
        <f t="shared" si="92"/>
        <v>0</v>
      </c>
      <c r="GO24" s="586"/>
      <c r="GQ24" s="586"/>
      <c r="GT24" s="551">
        <f t="shared" si="182"/>
        <v>0</v>
      </c>
      <c r="GU24" s="551">
        <f t="shared" si="94"/>
        <v>0</v>
      </c>
      <c r="GV24" s="550">
        <f t="shared" si="63"/>
        <v>0</v>
      </c>
      <c r="GW24" s="527"/>
      <c r="GX24" s="525">
        <f t="shared" si="121"/>
        <v>0</v>
      </c>
      <c r="GY24" s="528"/>
      <c r="GZ24" s="525">
        <f t="shared" si="122"/>
        <v>0</v>
      </c>
      <c r="HA24" s="528"/>
      <c r="HB24" s="526">
        <f t="shared" si="123"/>
        <v>0</v>
      </c>
      <c r="HD24" s="527"/>
      <c r="HE24" s="525">
        <v>0</v>
      </c>
      <c r="HF24" s="528"/>
      <c r="HG24" s="525">
        <v>0</v>
      </c>
      <c r="HH24" s="528"/>
      <c r="HI24" s="526">
        <v>0</v>
      </c>
    </row>
    <row r="25" spans="1:217" outlineLevel="1">
      <c r="A25" s="386" t="s">
        <v>25</v>
      </c>
      <c r="B25" s="386" t="s">
        <v>20</v>
      </c>
      <c r="C25" s="375">
        <v>0</v>
      </c>
      <c r="D25" s="4"/>
      <c r="E25" s="375">
        <v>0</v>
      </c>
      <c r="F25" s="4"/>
      <c r="G25" s="375"/>
      <c r="H25" s="375"/>
      <c r="I25" s="4"/>
      <c r="J25" s="375"/>
      <c r="K25" s="375"/>
      <c r="L25" s="4"/>
      <c r="M25" s="375"/>
      <c r="N25" s="375">
        <v>0</v>
      </c>
      <c r="O25" s="4"/>
      <c r="P25" s="375">
        <f t="shared" si="13"/>
        <v>0</v>
      </c>
      <c r="Q25" s="375">
        <f t="shared" si="13"/>
        <v>0</v>
      </c>
      <c r="R25" s="7">
        <f t="shared" si="64"/>
        <v>0</v>
      </c>
      <c r="S25" s="375"/>
      <c r="T25" s="375"/>
      <c r="U25" s="4"/>
      <c r="V25" s="375"/>
      <c r="W25" s="375"/>
      <c r="X25" s="4"/>
      <c r="Y25" s="375"/>
      <c r="Z25" s="375"/>
      <c r="AA25" s="4"/>
      <c r="AB25" s="375">
        <f t="shared" si="147"/>
        <v>0</v>
      </c>
      <c r="AC25" s="375">
        <f t="shared" si="148"/>
        <v>0</v>
      </c>
      <c r="AD25" s="7">
        <f t="shared" si="65"/>
        <v>0</v>
      </c>
      <c r="AE25" s="375">
        <f t="shared" si="183"/>
        <v>0</v>
      </c>
      <c r="AF25" s="375">
        <f t="shared" si="149"/>
        <v>0</v>
      </c>
      <c r="AG25" s="4"/>
      <c r="AH25" s="375"/>
      <c r="AI25" s="375"/>
      <c r="AJ25" s="4"/>
      <c r="AK25" s="375"/>
      <c r="AL25" s="375"/>
      <c r="AM25" s="4"/>
      <c r="AN25" s="375"/>
      <c r="AO25" s="375"/>
      <c r="AP25" s="4"/>
      <c r="AQ25" s="375">
        <f t="shared" si="150"/>
        <v>0</v>
      </c>
      <c r="AR25" s="375">
        <f t="shared" si="151"/>
        <v>0</v>
      </c>
      <c r="AS25" s="7">
        <f t="shared" si="68"/>
        <v>0</v>
      </c>
      <c r="AT25" s="375">
        <f t="shared" ref="AT25" si="197">+AF25+AR25</f>
        <v>0</v>
      </c>
      <c r="AU25" s="4"/>
      <c r="AV25" s="375"/>
      <c r="AW25" s="375"/>
      <c r="AX25" s="4"/>
      <c r="AY25" s="375"/>
      <c r="AZ25" s="375"/>
      <c r="BA25" s="4"/>
      <c r="BB25" s="375"/>
      <c r="BC25" s="375"/>
      <c r="BD25" s="448"/>
      <c r="BE25" s="375">
        <f t="shared" si="152"/>
        <v>0</v>
      </c>
      <c r="BF25" s="375">
        <f t="shared" si="153"/>
        <v>0</v>
      </c>
      <c r="BG25" s="7">
        <f t="shared" si="71"/>
        <v>0</v>
      </c>
      <c r="BH25" s="375">
        <f t="shared" si="154"/>
        <v>0</v>
      </c>
      <c r="BI25" s="388">
        <f t="shared" si="155"/>
        <v>0</v>
      </c>
      <c r="BJ25" s="7">
        <f t="shared" si="72"/>
        <v>0</v>
      </c>
      <c r="BK25" s="375">
        <v>0</v>
      </c>
      <c r="BL25" s="282"/>
      <c r="BN25" s="375"/>
      <c r="BO25" s="4"/>
      <c r="BP25" s="375"/>
      <c r="BQ25" s="4"/>
      <c r="BR25" s="375"/>
      <c r="BS25" s="4"/>
      <c r="BT25" s="375"/>
      <c r="BU25" s="7">
        <f t="shared" si="73"/>
        <v>0</v>
      </c>
      <c r="BV25" s="375"/>
      <c r="BW25" s="7"/>
      <c r="BX25" s="375"/>
      <c r="BY25" s="7"/>
      <c r="BZ25" s="375">
        <f t="shared" si="184"/>
        <v>0</v>
      </c>
      <c r="CA25" s="7"/>
      <c r="CB25" s="375">
        <f t="shared" si="157"/>
        <v>0</v>
      </c>
      <c r="CC25" s="7">
        <f t="shared" si="158"/>
        <v>0</v>
      </c>
      <c r="CD25" s="375">
        <f t="shared" si="159"/>
        <v>0</v>
      </c>
      <c r="CE25" s="7">
        <f t="shared" si="75"/>
        <v>0</v>
      </c>
      <c r="CF25" s="375">
        <f t="shared" si="185"/>
        <v>0</v>
      </c>
      <c r="CG25" s="7">
        <f t="shared" si="76"/>
        <v>0</v>
      </c>
      <c r="CH25" s="375">
        <f t="shared" si="186"/>
        <v>0</v>
      </c>
      <c r="CI25" s="7">
        <f t="shared" si="76"/>
        <v>0</v>
      </c>
      <c r="CJ25" s="375">
        <f t="shared" si="187"/>
        <v>0</v>
      </c>
      <c r="CK25" s="7">
        <f t="shared" si="76"/>
        <v>0</v>
      </c>
      <c r="CL25" s="375">
        <f t="shared" si="160"/>
        <v>0</v>
      </c>
      <c r="CM25" s="7">
        <f t="shared" si="76"/>
        <v>0</v>
      </c>
      <c r="CN25" s="375">
        <f t="shared" si="161"/>
        <v>0</v>
      </c>
      <c r="CO25" s="7">
        <f t="shared" si="77"/>
        <v>0</v>
      </c>
      <c r="CP25" s="375">
        <f t="shared" si="188"/>
        <v>0</v>
      </c>
      <c r="CQ25" s="7">
        <f t="shared" si="26"/>
        <v>0</v>
      </c>
      <c r="CR25" s="375">
        <f t="shared" si="162"/>
        <v>0</v>
      </c>
      <c r="CS25" s="7">
        <f t="shared" si="78"/>
        <v>0</v>
      </c>
      <c r="CT25" s="375">
        <f t="shared" si="189"/>
        <v>0</v>
      </c>
      <c r="CU25" s="7">
        <f t="shared" si="79"/>
        <v>0</v>
      </c>
      <c r="CV25" s="375">
        <f t="shared" si="190"/>
        <v>0</v>
      </c>
      <c r="CW25" s="7">
        <f t="shared" si="80"/>
        <v>0</v>
      </c>
      <c r="CX25" s="375">
        <f t="shared" si="163"/>
        <v>0</v>
      </c>
      <c r="CY25" s="7">
        <f t="shared" si="30"/>
        <v>0</v>
      </c>
      <c r="CZ25" s="375">
        <f t="shared" si="164"/>
        <v>0</v>
      </c>
      <c r="DA25" s="7">
        <f t="shared" si="81"/>
        <v>0</v>
      </c>
      <c r="DB25" s="375">
        <f t="shared" si="191"/>
        <v>0</v>
      </c>
      <c r="DC25" s="7">
        <f t="shared" si="95"/>
        <v>0</v>
      </c>
      <c r="DD25" s="375">
        <f t="shared" si="192"/>
        <v>0</v>
      </c>
      <c r="DE25" s="7">
        <f t="shared" si="82"/>
        <v>0</v>
      </c>
      <c r="DF25" s="375">
        <f t="shared" si="193"/>
        <v>0</v>
      </c>
      <c r="DG25" s="7">
        <f t="shared" si="96"/>
        <v>0</v>
      </c>
      <c r="DH25" s="375">
        <f t="shared" si="165"/>
        <v>0</v>
      </c>
      <c r="DI25" s="7">
        <f t="shared" si="33"/>
        <v>0</v>
      </c>
      <c r="DJ25" s="375">
        <v>0</v>
      </c>
      <c r="DK25" s="7">
        <f t="shared" si="97"/>
        <v>0</v>
      </c>
      <c r="DL25" s="375">
        <f t="shared" si="194"/>
        <v>0</v>
      </c>
      <c r="DM25" s="7">
        <f t="shared" si="98"/>
        <v>0</v>
      </c>
      <c r="DN25" s="375">
        <f t="shared" si="195"/>
        <v>0</v>
      </c>
      <c r="DO25" s="7">
        <f t="shared" si="99"/>
        <v>0</v>
      </c>
      <c r="DP25" s="375">
        <f t="shared" si="196"/>
        <v>0</v>
      </c>
      <c r="DQ25" s="7">
        <f t="shared" si="100"/>
        <v>0</v>
      </c>
      <c r="DR25" s="375">
        <f t="shared" si="166"/>
        <v>0</v>
      </c>
      <c r="DS25" s="7">
        <f t="shared" si="35"/>
        <v>0</v>
      </c>
      <c r="DT25" s="375">
        <f t="shared" si="167"/>
        <v>0</v>
      </c>
      <c r="DU25" s="7">
        <f t="shared" si="83"/>
        <v>0</v>
      </c>
      <c r="DV25" s="375"/>
      <c r="DW25" s="7">
        <f t="shared" si="102"/>
        <v>0</v>
      </c>
      <c r="DX25" s="375"/>
      <c r="DY25" s="7">
        <f t="shared" si="84"/>
        <v>0</v>
      </c>
      <c r="DZ25" s="375"/>
      <c r="EA25" s="7">
        <f t="shared" si="103"/>
        <v>0</v>
      </c>
      <c r="EB25" s="375">
        <f t="shared" si="180"/>
        <v>0</v>
      </c>
      <c r="EC25" s="7">
        <f t="shared" si="37"/>
        <v>0</v>
      </c>
      <c r="ED25" s="375">
        <f t="shared" si="168"/>
        <v>0</v>
      </c>
      <c r="EE25" s="7">
        <f t="shared" si="85"/>
        <v>0</v>
      </c>
      <c r="EF25" s="375"/>
      <c r="EG25" s="7">
        <f t="shared" si="105"/>
        <v>0</v>
      </c>
      <c r="EH25" s="375"/>
      <c r="EI25" s="7">
        <f t="shared" si="86"/>
        <v>0</v>
      </c>
      <c r="EJ25" s="375"/>
      <c r="EK25" s="7">
        <f t="shared" si="106"/>
        <v>0</v>
      </c>
      <c r="EL25" s="375">
        <f t="shared" si="181"/>
        <v>0</v>
      </c>
      <c r="EM25" s="7">
        <f t="shared" si="39"/>
        <v>0</v>
      </c>
      <c r="EN25" s="375">
        <f t="shared" si="169"/>
        <v>0</v>
      </c>
      <c r="EO25" s="7">
        <f t="shared" si="108"/>
        <v>0</v>
      </c>
      <c r="EP25" s="373"/>
      <c r="EQ25" s="373"/>
      <c r="ER25" s="373"/>
      <c r="ES25" s="373"/>
      <c r="ET25" s="375"/>
      <c r="EU25" s="7">
        <f t="shared" si="109"/>
        <v>0</v>
      </c>
      <c r="EV25" s="375"/>
      <c r="EW25" s="7">
        <f t="shared" si="87"/>
        <v>0</v>
      </c>
      <c r="EX25" s="375"/>
      <c r="EY25" s="7">
        <f t="shared" si="110"/>
        <v>0</v>
      </c>
      <c r="EZ25" s="375">
        <f t="shared" si="170"/>
        <v>0</v>
      </c>
      <c r="FA25" s="7">
        <f t="shared" si="42"/>
        <v>0</v>
      </c>
      <c r="FB25" s="375"/>
      <c r="FC25" s="7">
        <f t="shared" si="112"/>
        <v>0</v>
      </c>
      <c r="FD25" s="375"/>
      <c r="FE25" s="7">
        <f t="shared" si="88"/>
        <v>0</v>
      </c>
      <c r="FF25" s="375"/>
      <c r="FG25" s="7">
        <f t="shared" si="44"/>
        <v>0</v>
      </c>
      <c r="FH25" s="375">
        <f t="shared" si="171"/>
        <v>0</v>
      </c>
      <c r="FI25" s="7">
        <f t="shared" si="46"/>
        <v>0</v>
      </c>
      <c r="FJ25" s="375">
        <f t="shared" si="172"/>
        <v>0</v>
      </c>
      <c r="FK25" s="7">
        <f t="shared" si="89"/>
        <v>0</v>
      </c>
      <c r="FL25" s="375"/>
      <c r="FM25" s="7">
        <f t="shared" si="115"/>
        <v>0</v>
      </c>
      <c r="FN25" s="375"/>
      <c r="FO25" s="7">
        <f t="shared" si="48"/>
        <v>0</v>
      </c>
      <c r="FP25" s="375"/>
      <c r="FQ25" s="7">
        <f t="shared" si="49"/>
        <v>0</v>
      </c>
      <c r="FR25" s="375">
        <f t="shared" si="173"/>
        <v>0</v>
      </c>
      <c r="FS25" s="7">
        <f t="shared" si="51"/>
        <v>0</v>
      </c>
      <c r="FT25" s="375">
        <f t="shared" si="174"/>
        <v>0</v>
      </c>
      <c r="FU25" s="7">
        <f t="shared" si="90"/>
        <v>0</v>
      </c>
      <c r="FV25" s="375"/>
      <c r="FW25" s="7">
        <f t="shared" si="118"/>
        <v>0</v>
      </c>
      <c r="FX25" s="375"/>
      <c r="FY25" s="7">
        <f t="shared" si="53"/>
        <v>0</v>
      </c>
      <c r="FZ25" s="375"/>
      <c r="GA25" s="7">
        <f t="shared" si="54"/>
        <v>0</v>
      </c>
      <c r="GB25" s="375">
        <f t="shared" si="175"/>
        <v>0</v>
      </c>
      <c r="GC25" s="7">
        <f t="shared" si="56"/>
        <v>0</v>
      </c>
      <c r="GD25" s="375">
        <f t="shared" si="176"/>
        <v>0</v>
      </c>
      <c r="GE25" s="7">
        <f t="shared" si="91"/>
        <v>0</v>
      </c>
      <c r="GF25" s="566">
        <f t="shared" si="177"/>
        <v>0</v>
      </c>
      <c r="GG25" s="525">
        <f t="shared" si="58"/>
        <v>0</v>
      </c>
      <c r="GH25" s="528">
        <f t="shared" si="178"/>
        <v>0</v>
      </c>
      <c r="GI25" s="525">
        <f t="shared" si="60"/>
        <v>0</v>
      </c>
      <c r="GJ25" s="528"/>
      <c r="GK25" s="525">
        <f t="shared" si="61"/>
        <v>0</v>
      </c>
      <c r="GL25" s="528">
        <f t="shared" si="179"/>
        <v>0</v>
      </c>
      <c r="GM25" s="565">
        <f t="shared" si="92"/>
        <v>0</v>
      </c>
      <c r="GO25" s="586"/>
      <c r="GQ25" s="586"/>
      <c r="GT25" s="551">
        <f t="shared" si="182"/>
        <v>0</v>
      </c>
      <c r="GU25" s="551">
        <f t="shared" si="94"/>
        <v>0</v>
      </c>
      <c r="GV25" s="550">
        <f t="shared" si="63"/>
        <v>0</v>
      </c>
      <c r="GW25" s="527"/>
      <c r="GX25" s="525">
        <f t="shared" si="121"/>
        <v>0</v>
      </c>
      <c r="GY25" s="528"/>
      <c r="GZ25" s="525">
        <f t="shared" si="122"/>
        <v>0</v>
      </c>
      <c r="HA25" s="528"/>
      <c r="HB25" s="526">
        <f t="shared" si="123"/>
        <v>0</v>
      </c>
      <c r="HD25" s="527"/>
      <c r="HE25" s="525">
        <v>0</v>
      </c>
      <c r="HF25" s="528"/>
      <c r="HG25" s="525">
        <v>0</v>
      </c>
      <c r="HH25" s="528"/>
      <c r="HI25" s="526">
        <v>0</v>
      </c>
    </row>
    <row r="26" spans="1:217" outlineLevel="1">
      <c r="A26" s="386" t="s">
        <v>25</v>
      </c>
      <c r="B26" s="386" t="s">
        <v>29</v>
      </c>
      <c r="C26" s="375">
        <v>0</v>
      </c>
      <c r="D26" s="4"/>
      <c r="E26" s="375">
        <v>0</v>
      </c>
      <c r="F26" s="4"/>
      <c r="G26" s="375"/>
      <c r="H26" s="375"/>
      <c r="I26" s="4"/>
      <c r="J26" s="375"/>
      <c r="K26" s="375"/>
      <c r="L26" s="4"/>
      <c r="M26" s="375"/>
      <c r="N26" s="375">
        <v>0</v>
      </c>
      <c r="O26" s="4"/>
      <c r="P26" s="375">
        <f t="shared" si="13"/>
        <v>0</v>
      </c>
      <c r="Q26" s="375">
        <f t="shared" si="13"/>
        <v>0</v>
      </c>
      <c r="R26" s="7">
        <f t="shared" si="64"/>
        <v>0</v>
      </c>
      <c r="S26" s="375"/>
      <c r="T26" s="375"/>
      <c r="U26" s="4"/>
      <c r="V26" s="375"/>
      <c r="W26" s="375"/>
      <c r="X26" s="4"/>
      <c r="Y26" s="375"/>
      <c r="Z26" s="375"/>
      <c r="AA26" s="4"/>
      <c r="AB26" s="375">
        <f t="shared" ref="AB26:AB27" si="198">+T26+V26+Y26</f>
        <v>0</v>
      </c>
      <c r="AC26" s="375">
        <f t="shared" si="148"/>
        <v>0</v>
      </c>
      <c r="AD26" s="7">
        <f t="shared" si="65"/>
        <v>0</v>
      </c>
      <c r="AE26" s="375">
        <f t="shared" si="183"/>
        <v>0</v>
      </c>
      <c r="AF26" s="375">
        <f t="shared" si="149"/>
        <v>0</v>
      </c>
      <c r="AG26" s="4"/>
      <c r="AH26" s="375"/>
      <c r="AI26" s="375"/>
      <c r="AJ26" s="4"/>
      <c r="AK26" s="375"/>
      <c r="AL26" s="375"/>
      <c r="AM26" s="4"/>
      <c r="AN26" s="375"/>
      <c r="AO26" s="375"/>
      <c r="AP26" s="4"/>
      <c r="AQ26" s="375">
        <f t="shared" si="150"/>
        <v>0</v>
      </c>
      <c r="AR26" s="375">
        <f t="shared" si="151"/>
        <v>0</v>
      </c>
      <c r="AS26" s="7">
        <f t="shared" si="68"/>
        <v>0</v>
      </c>
      <c r="AT26" s="375">
        <f>+AF26+AR26</f>
        <v>0</v>
      </c>
      <c r="AU26" s="4"/>
      <c r="AV26" s="375"/>
      <c r="AW26" s="375"/>
      <c r="AX26" s="4"/>
      <c r="AY26" s="375"/>
      <c r="AZ26" s="375"/>
      <c r="BA26" s="4"/>
      <c r="BB26" s="375"/>
      <c r="BC26" s="375"/>
      <c r="BD26" s="448"/>
      <c r="BE26" s="375">
        <f t="shared" si="152"/>
        <v>0</v>
      </c>
      <c r="BF26" s="375">
        <f t="shared" si="153"/>
        <v>0</v>
      </c>
      <c r="BG26" s="7">
        <f t="shared" si="71"/>
        <v>0</v>
      </c>
      <c r="BH26" s="375">
        <f t="shared" si="154"/>
        <v>0</v>
      </c>
      <c r="BI26" s="388">
        <f t="shared" si="155"/>
        <v>0</v>
      </c>
      <c r="BJ26" s="7">
        <f t="shared" si="72"/>
        <v>0</v>
      </c>
      <c r="BK26" s="375">
        <v>0</v>
      </c>
      <c r="BL26" s="282"/>
      <c r="BN26" s="375"/>
      <c r="BO26" s="4"/>
      <c r="BP26" s="375"/>
      <c r="BQ26" s="4"/>
      <c r="BR26" s="375"/>
      <c r="BS26" s="4"/>
      <c r="BT26" s="375"/>
      <c r="BU26" s="7">
        <f t="shared" si="73"/>
        <v>0</v>
      </c>
      <c r="BV26" s="375"/>
      <c r="BW26" s="7"/>
      <c r="BX26" s="375"/>
      <c r="BY26" s="7"/>
      <c r="BZ26" s="375">
        <f t="shared" si="184"/>
        <v>0</v>
      </c>
      <c r="CA26" s="7"/>
      <c r="CB26" s="375">
        <f t="shared" si="157"/>
        <v>0</v>
      </c>
      <c r="CC26" s="7">
        <f t="shared" si="158"/>
        <v>0</v>
      </c>
      <c r="CD26" s="375">
        <f t="shared" si="159"/>
        <v>0</v>
      </c>
      <c r="CE26" s="7">
        <f t="shared" si="75"/>
        <v>0</v>
      </c>
      <c r="CF26" s="375">
        <f t="shared" si="185"/>
        <v>0</v>
      </c>
      <c r="CG26" s="7">
        <f t="shared" si="76"/>
        <v>0</v>
      </c>
      <c r="CH26" s="375">
        <f t="shared" si="186"/>
        <v>0</v>
      </c>
      <c r="CI26" s="7">
        <f t="shared" si="76"/>
        <v>0</v>
      </c>
      <c r="CJ26" s="375">
        <f t="shared" si="187"/>
        <v>0</v>
      </c>
      <c r="CK26" s="7">
        <f t="shared" si="76"/>
        <v>0</v>
      </c>
      <c r="CL26" s="375">
        <f t="shared" si="160"/>
        <v>0</v>
      </c>
      <c r="CM26" s="7">
        <f t="shared" si="76"/>
        <v>0</v>
      </c>
      <c r="CN26" s="375">
        <f t="shared" si="161"/>
        <v>0</v>
      </c>
      <c r="CO26" s="7">
        <f t="shared" si="77"/>
        <v>0</v>
      </c>
      <c r="CP26" s="375">
        <f t="shared" si="188"/>
        <v>0</v>
      </c>
      <c r="CQ26" s="7">
        <f t="shared" si="26"/>
        <v>0</v>
      </c>
      <c r="CR26" s="375">
        <f t="shared" si="162"/>
        <v>0</v>
      </c>
      <c r="CS26" s="7">
        <f t="shared" si="78"/>
        <v>0</v>
      </c>
      <c r="CT26" s="375">
        <f t="shared" si="189"/>
        <v>0</v>
      </c>
      <c r="CU26" s="7">
        <f t="shared" ref="CU26:CU89" si="199">+CT26/CT$8</f>
        <v>0</v>
      </c>
      <c r="CV26" s="375">
        <f t="shared" si="190"/>
        <v>0</v>
      </c>
      <c r="CW26" s="7">
        <f t="shared" si="80"/>
        <v>0</v>
      </c>
      <c r="CX26" s="375">
        <f t="shared" si="163"/>
        <v>0</v>
      </c>
      <c r="CY26" s="7">
        <f t="shared" si="30"/>
        <v>0</v>
      </c>
      <c r="CZ26" s="375">
        <f t="shared" si="164"/>
        <v>0</v>
      </c>
      <c r="DA26" s="7">
        <f t="shared" si="81"/>
        <v>0</v>
      </c>
      <c r="DB26" s="375">
        <f t="shared" si="191"/>
        <v>0</v>
      </c>
      <c r="DC26" s="7">
        <f t="shared" si="95"/>
        <v>0</v>
      </c>
      <c r="DD26" s="375">
        <f t="shared" si="192"/>
        <v>0</v>
      </c>
      <c r="DE26" s="7">
        <f t="shared" si="82"/>
        <v>0</v>
      </c>
      <c r="DF26" s="375">
        <f t="shared" si="193"/>
        <v>0</v>
      </c>
      <c r="DG26" s="7">
        <f t="shared" si="96"/>
        <v>0</v>
      </c>
      <c r="DH26" s="375">
        <f t="shared" si="165"/>
        <v>0</v>
      </c>
      <c r="DI26" s="7">
        <f t="shared" si="33"/>
        <v>0</v>
      </c>
      <c r="DJ26" s="375">
        <v>0</v>
      </c>
      <c r="DK26" s="7">
        <f t="shared" si="97"/>
        <v>0</v>
      </c>
      <c r="DL26" s="375">
        <f t="shared" si="194"/>
        <v>0</v>
      </c>
      <c r="DM26" s="7">
        <f t="shared" si="98"/>
        <v>0</v>
      </c>
      <c r="DN26" s="375">
        <f t="shared" si="195"/>
        <v>0</v>
      </c>
      <c r="DO26" s="7">
        <f t="shared" si="99"/>
        <v>0</v>
      </c>
      <c r="DP26" s="375">
        <f t="shared" si="196"/>
        <v>0</v>
      </c>
      <c r="DQ26" s="7">
        <f t="shared" si="100"/>
        <v>0</v>
      </c>
      <c r="DR26" s="375">
        <f t="shared" si="166"/>
        <v>0</v>
      </c>
      <c r="DS26" s="7">
        <f t="shared" si="35"/>
        <v>0</v>
      </c>
      <c r="DT26" s="375">
        <f t="shared" si="167"/>
        <v>0</v>
      </c>
      <c r="DU26" s="7">
        <f t="shared" si="83"/>
        <v>0</v>
      </c>
      <c r="DV26" s="375"/>
      <c r="DW26" s="7">
        <f t="shared" si="102"/>
        <v>0</v>
      </c>
      <c r="DX26" s="375"/>
      <c r="DY26" s="7">
        <f t="shared" si="84"/>
        <v>0</v>
      </c>
      <c r="DZ26" s="375"/>
      <c r="EA26" s="7">
        <f t="shared" si="103"/>
        <v>0</v>
      </c>
      <c r="EB26" s="375">
        <f>+DV26+DX26+DZ26</f>
        <v>0</v>
      </c>
      <c r="EC26" s="7">
        <f t="shared" si="37"/>
        <v>0</v>
      </c>
      <c r="ED26" s="375">
        <f t="shared" si="168"/>
        <v>0</v>
      </c>
      <c r="EE26" s="7">
        <f t="shared" si="85"/>
        <v>0</v>
      </c>
      <c r="EF26" s="375"/>
      <c r="EG26" s="7">
        <f t="shared" si="105"/>
        <v>0</v>
      </c>
      <c r="EH26" s="375"/>
      <c r="EI26" s="7">
        <f t="shared" si="86"/>
        <v>0</v>
      </c>
      <c r="EJ26" s="375"/>
      <c r="EK26" s="7">
        <f t="shared" si="106"/>
        <v>0</v>
      </c>
      <c r="EL26" s="375">
        <f>+EF26+EH26+EJ26</f>
        <v>0</v>
      </c>
      <c r="EM26" s="7">
        <f t="shared" si="39"/>
        <v>0</v>
      </c>
      <c r="EN26" s="375">
        <f t="shared" si="169"/>
        <v>0</v>
      </c>
      <c r="EO26" s="7">
        <f t="shared" si="108"/>
        <v>0</v>
      </c>
      <c r="EP26" s="373"/>
      <c r="EQ26" s="373"/>
      <c r="ER26" s="373"/>
      <c r="ES26" s="373"/>
      <c r="ET26" s="375"/>
      <c r="EU26" s="7">
        <f t="shared" si="109"/>
        <v>0</v>
      </c>
      <c r="EV26" s="375"/>
      <c r="EW26" s="7">
        <f t="shared" si="87"/>
        <v>0</v>
      </c>
      <c r="EX26" s="375"/>
      <c r="EY26" s="7">
        <f t="shared" si="110"/>
        <v>0</v>
      </c>
      <c r="EZ26" s="375">
        <f t="shared" si="170"/>
        <v>0</v>
      </c>
      <c r="FA26" s="7">
        <f t="shared" si="42"/>
        <v>0</v>
      </c>
      <c r="FB26" s="375"/>
      <c r="FC26" s="7">
        <f t="shared" si="112"/>
        <v>0</v>
      </c>
      <c r="FD26" s="375"/>
      <c r="FE26" s="7">
        <f t="shared" ref="FE26:FE89" si="200">+FD26/FD$8</f>
        <v>0</v>
      </c>
      <c r="FF26" s="375"/>
      <c r="FG26" s="7">
        <f t="shared" si="44"/>
        <v>0</v>
      </c>
      <c r="FH26" s="375">
        <f t="shared" si="171"/>
        <v>0</v>
      </c>
      <c r="FI26" s="7">
        <f t="shared" si="46"/>
        <v>0</v>
      </c>
      <c r="FJ26" s="375">
        <f t="shared" si="172"/>
        <v>0</v>
      </c>
      <c r="FK26" s="7">
        <f t="shared" si="89"/>
        <v>0</v>
      </c>
      <c r="FL26" s="375"/>
      <c r="FM26" s="7">
        <f t="shared" si="115"/>
        <v>0</v>
      </c>
      <c r="FN26" s="375"/>
      <c r="FO26" s="7">
        <f t="shared" si="48"/>
        <v>0</v>
      </c>
      <c r="FP26" s="375"/>
      <c r="FQ26" s="7">
        <f t="shared" si="49"/>
        <v>0</v>
      </c>
      <c r="FR26" s="375">
        <f t="shared" si="173"/>
        <v>0</v>
      </c>
      <c r="FS26" s="7">
        <f t="shared" si="51"/>
        <v>0</v>
      </c>
      <c r="FT26" s="375">
        <f t="shared" si="174"/>
        <v>0</v>
      </c>
      <c r="FU26" s="7">
        <f t="shared" si="90"/>
        <v>0</v>
      </c>
      <c r="FV26" s="375"/>
      <c r="FW26" s="7">
        <f t="shared" si="118"/>
        <v>0</v>
      </c>
      <c r="FX26" s="375"/>
      <c r="FY26" s="7">
        <f t="shared" si="53"/>
        <v>0</v>
      </c>
      <c r="FZ26" s="375"/>
      <c r="GA26" s="7">
        <f t="shared" si="54"/>
        <v>0</v>
      </c>
      <c r="GB26" s="375">
        <f t="shared" si="175"/>
        <v>0</v>
      </c>
      <c r="GC26" s="7">
        <f t="shared" si="56"/>
        <v>0</v>
      </c>
      <c r="GD26" s="375">
        <f t="shared" si="176"/>
        <v>0</v>
      </c>
      <c r="GE26" s="7">
        <f t="shared" si="91"/>
        <v>0</v>
      </c>
      <c r="GF26" s="566">
        <f t="shared" si="177"/>
        <v>0</v>
      </c>
      <c r="GG26" s="525">
        <f t="shared" si="58"/>
        <v>0</v>
      </c>
      <c r="GH26" s="528">
        <f t="shared" si="178"/>
        <v>0</v>
      </c>
      <c r="GI26" s="525">
        <f t="shared" si="60"/>
        <v>0</v>
      </c>
      <c r="GJ26" s="528"/>
      <c r="GK26" s="525">
        <f t="shared" si="61"/>
        <v>0</v>
      </c>
      <c r="GL26" s="528">
        <f t="shared" si="179"/>
        <v>0</v>
      </c>
      <c r="GM26" s="565">
        <f t="shared" si="92"/>
        <v>0</v>
      </c>
      <c r="GO26" s="586"/>
      <c r="GQ26" s="586"/>
      <c r="GT26" s="551">
        <f t="shared" si="182"/>
        <v>0</v>
      </c>
      <c r="GU26" s="551">
        <f t="shared" si="94"/>
        <v>0</v>
      </c>
      <c r="GV26" s="550">
        <f t="shared" si="63"/>
        <v>0</v>
      </c>
      <c r="GW26" s="527"/>
      <c r="GX26" s="525">
        <f t="shared" si="121"/>
        <v>0</v>
      </c>
      <c r="GY26" s="528"/>
      <c r="GZ26" s="525">
        <f t="shared" si="122"/>
        <v>0</v>
      </c>
      <c r="HA26" s="528"/>
      <c r="HB26" s="526">
        <f t="shared" si="123"/>
        <v>0</v>
      </c>
      <c r="HD26" s="527"/>
      <c r="HE26" s="525">
        <v>0</v>
      </c>
      <c r="HF26" s="528"/>
      <c r="HG26" s="525">
        <v>0</v>
      </c>
      <c r="HH26" s="528"/>
      <c r="HI26" s="526">
        <v>0</v>
      </c>
    </row>
    <row r="27" spans="1:217" outlineLevel="1">
      <c r="A27" s="386" t="s">
        <v>25</v>
      </c>
      <c r="B27" s="386"/>
      <c r="C27" s="375">
        <v>-12214858.800000001</v>
      </c>
      <c r="D27" s="4"/>
      <c r="E27" s="375">
        <v>-1929595.77</v>
      </c>
      <c r="F27" s="4"/>
      <c r="G27" s="375">
        <v>-385000</v>
      </c>
      <c r="H27" s="375">
        <v>-377140</v>
      </c>
      <c r="I27" s="4"/>
      <c r="J27" s="375">
        <v>-385000</v>
      </c>
      <c r="K27" s="375">
        <v>-376800</v>
      </c>
      <c r="L27" s="4"/>
      <c r="M27" s="375">
        <v>-385000</v>
      </c>
      <c r="N27" s="375">
        <v>-635840.01</v>
      </c>
      <c r="O27" s="4"/>
      <c r="P27" s="375">
        <f t="shared" si="13"/>
        <v>-1155000</v>
      </c>
      <c r="Q27" s="375">
        <f>+H27+K27+N27</f>
        <v>-1389780.01</v>
      </c>
      <c r="R27" s="7">
        <f t="shared" si="64"/>
        <v>-3.8214283148358022E-2</v>
      </c>
      <c r="S27" s="375">
        <v>-505600</v>
      </c>
      <c r="T27" s="375">
        <v>-505600</v>
      </c>
      <c r="U27" s="4"/>
      <c r="V27" s="375">
        <v>-631120</v>
      </c>
      <c r="W27" s="375">
        <v>-631120</v>
      </c>
      <c r="X27" s="4"/>
      <c r="Y27" s="375">
        <v>-506320</v>
      </c>
      <c r="Z27" s="375">
        <v>-506320</v>
      </c>
      <c r="AA27" s="4"/>
      <c r="AB27" s="375">
        <f t="shared" si="198"/>
        <v>-1643040</v>
      </c>
      <c r="AC27" s="375">
        <f t="shared" si="148"/>
        <v>-1643040</v>
      </c>
      <c r="AD27" s="7">
        <f t="shared" si="65"/>
        <v>-4.4301914379919628E-2</v>
      </c>
      <c r="AE27" s="375">
        <f t="shared" si="183"/>
        <v>-3032820.01</v>
      </c>
      <c r="AF27" s="375">
        <f t="shared" si="149"/>
        <v>-3032820.01</v>
      </c>
      <c r="AG27" s="4"/>
      <c r="AH27" s="375">
        <v>-506320</v>
      </c>
      <c r="AI27" s="375">
        <v>-506320</v>
      </c>
      <c r="AJ27" s="4"/>
      <c r="AK27" s="375">
        <v>3413760.01</v>
      </c>
      <c r="AL27" s="375">
        <v>3413760.01</v>
      </c>
      <c r="AM27" s="4"/>
      <c r="AN27" s="375"/>
      <c r="AO27" s="375"/>
      <c r="AP27" s="4"/>
      <c r="AQ27" s="375">
        <f t="shared" si="150"/>
        <v>2907440.01</v>
      </c>
      <c r="AR27" s="375">
        <f t="shared" si="151"/>
        <v>2907440.01</v>
      </c>
      <c r="AS27" s="7">
        <f t="shared" si="68"/>
        <v>0.10920929595380631</v>
      </c>
      <c r="AT27" s="375">
        <f>+AF27+AR27</f>
        <v>-125380</v>
      </c>
      <c r="AU27" s="4"/>
      <c r="AV27" s="375">
        <v>0</v>
      </c>
      <c r="AW27" s="375"/>
      <c r="AX27" s="4"/>
      <c r="AY27" s="375"/>
      <c r="AZ27" s="375"/>
      <c r="BA27" s="4"/>
      <c r="BB27" s="375">
        <v>-582833.82999999996</v>
      </c>
      <c r="BC27" s="375"/>
      <c r="BD27" s="448"/>
      <c r="BE27" s="375">
        <f t="shared" si="152"/>
        <v>-582833.82999999996</v>
      </c>
      <c r="BF27" s="375">
        <f t="shared" si="153"/>
        <v>0</v>
      </c>
      <c r="BG27" s="7">
        <f t="shared" si="71"/>
        <v>0</v>
      </c>
      <c r="BH27" s="375">
        <f t="shared" si="154"/>
        <v>-708213.83</v>
      </c>
      <c r="BI27" s="388">
        <f t="shared" si="155"/>
        <v>-125380</v>
      </c>
      <c r="BJ27" s="7">
        <f t="shared" si="72"/>
        <v>-9.536216226668136E-4</v>
      </c>
      <c r="BK27" s="375">
        <v>0</v>
      </c>
      <c r="BL27" s="282"/>
      <c r="BN27" s="375"/>
      <c r="BO27" s="4"/>
      <c r="BP27" s="375"/>
      <c r="BQ27" s="4"/>
      <c r="BR27" s="375"/>
      <c r="BS27" s="4"/>
      <c r="BT27" s="375"/>
      <c r="BU27" s="7">
        <f t="shared" si="73"/>
        <v>0</v>
      </c>
      <c r="BV27" s="375"/>
      <c r="BW27" s="7"/>
      <c r="BX27" s="375"/>
      <c r="BY27" s="7"/>
      <c r="BZ27" s="375">
        <f t="shared" si="184"/>
        <v>0</v>
      </c>
      <c r="CA27" s="7"/>
      <c r="CB27" s="375">
        <f t="shared" si="157"/>
        <v>0</v>
      </c>
      <c r="CC27" s="7">
        <f t="shared" si="158"/>
        <v>0</v>
      </c>
      <c r="CD27" s="375">
        <f t="shared" si="159"/>
        <v>0</v>
      </c>
      <c r="CE27" s="7">
        <f t="shared" si="75"/>
        <v>0</v>
      </c>
      <c r="CF27" s="375">
        <f t="shared" si="185"/>
        <v>0</v>
      </c>
      <c r="CG27" s="7">
        <f t="shared" si="76"/>
        <v>0</v>
      </c>
      <c r="CH27" s="375">
        <f t="shared" si="186"/>
        <v>0</v>
      </c>
      <c r="CI27" s="7">
        <f t="shared" si="76"/>
        <v>0</v>
      </c>
      <c r="CJ27" s="375">
        <f t="shared" si="187"/>
        <v>0</v>
      </c>
      <c r="CK27" s="7">
        <f t="shared" si="76"/>
        <v>0</v>
      </c>
      <c r="CL27" s="375">
        <f t="shared" si="160"/>
        <v>0</v>
      </c>
      <c r="CM27" s="7">
        <f t="shared" si="76"/>
        <v>0</v>
      </c>
      <c r="CN27" s="375">
        <f t="shared" si="161"/>
        <v>0</v>
      </c>
      <c r="CO27" s="7">
        <f t="shared" si="77"/>
        <v>0</v>
      </c>
      <c r="CP27" s="375">
        <f t="shared" si="188"/>
        <v>0</v>
      </c>
      <c r="CQ27" s="7">
        <f t="shared" si="26"/>
        <v>0</v>
      </c>
      <c r="CR27" s="375">
        <f t="shared" si="162"/>
        <v>0</v>
      </c>
      <c r="CS27" s="7">
        <f t="shared" si="78"/>
        <v>0</v>
      </c>
      <c r="CT27" s="375">
        <f t="shared" si="189"/>
        <v>0</v>
      </c>
      <c r="CU27" s="7">
        <f t="shared" si="199"/>
        <v>0</v>
      </c>
      <c r="CV27" s="375">
        <f t="shared" si="190"/>
        <v>0</v>
      </c>
      <c r="CW27" s="7">
        <f t="shared" si="80"/>
        <v>0</v>
      </c>
      <c r="CX27" s="375">
        <f t="shared" si="163"/>
        <v>0</v>
      </c>
      <c r="CY27" s="7">
        <f t="shared" si="30"/>
        <v>0</v>
      </c>
      <c r="CZ27" s="375">
        <f t="shared" si="164"/>
        <v>0</v>
      </c>
      <c r="DA27" s="7">
        <f t="shared" si="81"/>
        <v>0</v>
      </c>
      <c r="DB27" s="375">
        <f t="shared" si="191"/>
        <v>0</v>
      </c>
      <c r="DC27" s="7">
        <f t="shared" si="95"/>
        <v>0</v>
      </c>
      <c r="DD27" s="375">
        <f t="shared" si="192"/>
        <v>0</v>
      </c>
      <c r="DE27" s="7">
        <f t="shared" si="82"/>
        <v>0</v>
      </c>
      <c r="DF27" s="375">
        <f t="shared" si="193"/>
        <v>0</v>
      </c>
      <c r="DG27" s="7">
        <f t="shared" si="96"/>
        <v>0</v>
      </c>
      <c r="DH27" s="375">
        <f t="shared" si="165"/>
        <v>0</v>
      </c>
      <c r="DI27" s="7">
        <f t="shared" si="33"/>
        <v>0</v>
      </c>
      <c r="DJ27" s="375">
        <v>0</v>
      </c>
      <c r="DK27" s="7">
        <f t="shared" si="97"/>
        <v>0</v>
      </c>
      <c r="DL27" s="375">
        <f t="shared" si="194"/>
        <v>0</v>
      </c>
      <c r="DM27" s="7">
        <f t="shared" si="98"/>
        <v>0</v>
      </c>
      <c r="DN27" s="375">
        <f t="shared" si="195"/>
        <v>0</v>
      </c>
      <c r="DO27" s="7">
        <f t="shared" si="99"/>
        <v>0</v>
      </c>
      <c r="DP27" s="375">
        <f t="shared" si="196"/>
        <v>0</v>
      </c>
      <c r="DQ27" s="7">
        <f t="shared" si="100"/>
        <v>0</v>
      </c>
      <c r="DR27" s="375">
        <f t="shared" si="166"/>
        <v>0</v>
      </c>
      <c r="DS27" s="7">
        <f t="shared" si="35"/>
        <v>0</v>
      </c>
      <c r="DT27" s="375">
        <f t="shared" si="167"/>
        <v>0</v>
      </c>
      <c r="DU27" s="7">
        <f t="shared" si="83"/>
        <v>0</v>
      </c>
      <c r="DV27" s="375"/>
      <c r="DW27" s="7">
        <f t="shared" si="102"/>
        <v>0</v>
      </c>
      <c r="DX27" s="375"/>
      <c r="DY27" s="7">
        <f t="shared" si="84"/>
        <v>0</v>
      </c>
      <c r="DZ27" s="375"/>
      <c r="EA27" s="7">
        <f t="shared" si="103"/>
        <v>0</v>
      </c>
      <c r="EB27" s="375">
        <f>+DV27+DX27+DZ27</f>
        <v>0</v>
      </c>
      <c r="EC27" s="7">
        <f t="shared" si="37"/>
        <v>0</v>
      </c>
      <c r="ED27" s="375">
        <f t="shared" si="168"/>
        <v>0</v>
      </c>
      <c r="EE27" s="7">
        <f t="shared" si="85"/>
        <v>0</v>
      </c>
      <c r="EF27" s="375"/>
      <c r="EG27" s="7">
        <f t="shared" si="105"/>
        <v>0</v>
      </c>
      <c r="EH27" s="375"/>
      <c r="EI27" s="7">
        <f t="shared" si="86"/>
        <v>0</v>
      </c>
      <c r="EJ27" s="375"/>
      <c r="EK27" s="7">
        <f t="shared" si="106"/>
        <v>0</v>
      </c>
      <c r="EL27" s="375">
        <f>+EF27+EH27+EJ27</f>
        <v>0</v>
      </c>
      <c r="EM27" s="7">
        <f t="shared" si="39"/>
        <v>0</v>
      </c>
      <c r="EN27" s="375">
        <f t="shared" si="169"/>
        <v>0</v>
      </c>
      <c r="EO27" s="7">
        <f t="shared" si="108"/>
        <v>0</v>
      </c>
      <c r="EP27" s="373"/>
      <c r="EQ27" s="373"/>
      <c r="ER27" s="373"/>
      <c r="ES27" s="373"/>
      <c r="ET27" s="375"/>
      <c r="EU27" s="7">
        <f t="shared" si="109"/>
        <v>0</v>
      </c>
      <c r="EV27" s="375"/>
      <c r="EW27" s="7">
        <f t="shared" si="87"/>
        <v>0</v>
      </c>
      <c r="EX27" s="375"/>
      <c r="EY27" s="7">
        <f t="shared" si="110"/>
        <v>0</v>
      </c>
      <c r="EZ27" s="375">
        <f t="shared" si="170"/>
        <v>0</v>
      </c>
      <c r="FA27" s="7">
        <f t="shared" si="42"/>
        <v>0</v>
      </c>
      <c r="FB27" s="375"/>
      <c r="FC27" s="7">
        <f t="shared" si="112"/>
        <v>0</v>
      </c>
      <c r="FD27" s="375"/>
      <c r="FE27" s="7">
        <f t="shared" si="200"/>
        <v>0</v>
      </c>
      <c r="FF27" s="375"/>
      <c r="FG27" s="7">
        <f t="shared" si="44"/>
        <v>0</v>
      </c>
      <c r="FH27" s="375">
        <f t="shared" si="171"/>
        <v>0</v>
      </c>
      <c r="FI27" s="7">
        <f t="shared" si="46"/>
        <v>0</v>
      </c>
      <c r="FJ27" s="375">
        <f t="shared" si="172"/>
        <v>0</v>
      </c>
      <c r="FK27" s="7">
        <f t="shared" si="89"/>
        <v>0</v>
      </c>
      <c r="FL27" s="375"/>
      <c r="FM27" s="7">
        <f t="shared" si="115"/>
        <v>0</v>
      </c>
      <c r="FN27" s="375"/>
      <c r="FO27" s="7">
        <f t="shared" si="48"/>
        <v>0</v>
      </c>
      <c r="FP27" s="375"/>
      <c r="FQ27" s="7">
        <f t="shared" si="49"/>
        <v>0</v>
      </c>
      <c r="FR27" s="375">
        <f t="shared" si="173"/>
        <v>0</v>
      </c>
      <c r="FS27" s="7">
        <f t="shared" si="51"/>
        <v>0</v>
      </c>
      <c r="FT27" s="375">
        <f t="shared" si="174"/>
        <v>0</v>
      </c>
      <c r="FU27" s="7">
        <f t="shared" si="90"/>
        <v>0</v>
      </c>
      <c r="FV27" s="375"/>
      <c r="FW27" s="7">
        <f t="shared" si="118"/>
        <v>0</v>
      </c>
      <c r="FX27" s="375"/>
      <c r="FY27" s="7">
        <f t="shared" si="53"/>
        <v>0</v>
      </c>
      <c r="FZ27" s="375"/>
      <c r="GA27" s="7">
        <f t="shared" si="54"/>
        <v>0</v>
      </c>
      <c r="GB27" s="375">
        <f t="shared" si="175"/>
        <v>0</v>
      </c>
      <c r="GC27" s="7">
        <f t="shared" si="56"/>
        <v>0</v>
      </c>
      <c r="GD27" s="375">
        <f t="shared" si="176"/>
        <v>0</v>
      </c>
      <c r="GE27" s="7">
        <f t="shared" si="91"/>
        <v>0</v>
      </c>
      <c r="GF27" s="566">
        <f t="shared" si="177"/>
        <v>0</v>
      </c>
      <c r="GG27" s="525">
        <f t="shared" si="58"/>
        <v>0</v>
      </c>
      <c r="GH27" s="528">
        <f t="shared" si="178"/>
        <v>0</v>
      </c>
      <c r="GI27" s="525">
        <f t="shared" si="60"/>
        <v>0</v>
      </c>
      <c r="GJ27" s="528"/>
      <c r="GK27" s="525">
        <f t="shared" si="61"/>
        <v>0</v>
      </c>
      <c r="GL27" s="528">
        <f t="shared" si="179"/>
        <v>0</v>
      </c>
      <c r="GM27" s="565">
        <f t="shared" si="92"/>
        <v>0</v>
      </c>
      <c r="GO27" s="586"/>
      <c r="GQ27" s="586"/>
      <c r="GT27" s="551">
        <f t="shared" si="182"/>
        <v>0</v>
      </c>
      <c r="GU27" s="551">
        <f t="shared" si="94"/>
        <v>0</v>
      </c>
      <c r="GV27" s="550">
        <f t="shared" si="63"/>
        <v>0</v>
      </c>
      <c r="GW27" s="527"/>
      <c r="GX27" s="525">
        <f t="shared" si="121"/>
        <v>0</v>
      </c>
      <c r="GY27" s="528"/>
      <c r="GZ27" s="525">
        <f t="shared" si="122"/>
        <v>0</v>
      </c>
      <c r="HA27" s="528"/>
      <c r="HB27" s="526">
        <f t="shared" si="123"/>
        <v>0</v>
      </c>
      <c r="HD27" s="527"/>
      <c r="HE27" s="525">
        <v>0</v>
      </c>
      <c r="HF27" s="528"/>
      <c r="HG27" s="525">
        <v>0</v>
      </c>
      <c r="HH27" s="528"/>
      <c r="HI27" s="526">
        <v>0</v>
      </c>
    </row>
    <row r="28" spans="1:217">
      <c r="A28" s="386" t="s">
        <v>25</v>
      </c>
      <c r="B28" s="386"/>
      <c r="C28" s="389">
        <f>SUM(C20:C27)</f>
        <v>-45415582.439999998</v>
      </c>
      <c r="D28" s="4"/>
      <c r="E28" s="389">
        <f>SUM(E20:E27)</f>
        <v>-9631461.0999999996</v>
      </c>
      <c r="F28" s="4"/>
      <c r="G28" s="389">
        <f>SUM(G20:G27)</f>
        <v>-2986700.43</v>
      </c>
      <c r="H28" s="389">
        <f>SUM(H20:H27)</f>
        <v>-2583562.06</v>
      </c>
      <c r="I28" s="4"/>
      <c r="J28" s="389">
        <f>SUM(J20:J27)</f>
        <v>-2986700.43</v>
      </c>
      <c r="K28" s="389">
        <f>SUM(K20:K27)</f>
        <v>-2521253.52</v>
      </c>
      <c r="L28" s="4"/>
      <c r="M28" s="389">
        <f>SUM(M20:M27)</f>
        <v>-2986700.43</v>
      </c>
      <c r="N28" s="389">
        <f>SUM(N20:N27)</f>
        <v>-2756640.01</v>
      </c>
      <c r="O28" s="4"/>
      <c r="P28" s="389">
        <f>+G28+J28+M28</f>
        <v>-8960101.290000001</v>
      </c>
      <c r="Q28" s="389">
        <f>+H28+K28+N28</f>
        <v>-7861455.5899999999</v>
      </c>
      <c r="R28" s="7">
        <f t="shared" si="64"/>
        <v>-0.21616362856917332</v>
      </c>
      <c r="S28" s="389">
        <f>SUM(S20:S27)</f>
        <v>-2508499.7999999998</v>
      </c>
      <c r="T28" s="389">
        <f>SUM(T20:T27)</f>
        <v>-2508499.7999999998</v>
      </c>
      <c r="U28" s="4"/>
      <c r="V28" s="389">
        <f>SUM(V20:V27)</f>
        <v>-2613825.15</v>
      </c>
      <c r="W28" s="389">
        <f>SUM(W20:W27)</f>
        <v>-2613825.15</v>
      </c>
      <c r="X28" s="4"/>
      <c r="Y28" s="389">
        <f>SUM(Y20:Y27)</f>
        <v>-2491383.0699999998</v>
      </c>
      <c r="Z28" s="389">
        <f>SUM(Z20:Z27)</f>
        <v>-2491383.0699999998</v>
      </c>
      <c r="AA28" s="4"/>
      <c r="AB28" s="389">
        <f>SUM(AB20:AB27)</f>
        <v>-7613708.0199999996</v>
      </c>
      <c r="AC28" s="389">
        <f>SUM(AC20:AC27)</f>
        <v>-7613708.0199999996</v>
      </c>
      <c r="AD28" s="7">
        <f t="shared" si="65"/>
        <v>-0.20529131415896593</v>
      </c>
      <c r="AE28" s="389">
        <f>SUM(AE20:AE27)</f>
        <v>-15475163.609999998</v>
      </c>
      <c r="AF28" s="389">
        <f>SUM(AF20:AF27)</f>
        <v>-15475163.609999998</v>
      </c>
      <c r="AG28" s="4"/>
      <c r="AH28" s="389">
        <f>SUM(AH20:AH27)</f>
        <v>-2806027.1399999997</v>
      </c>
      <c r="AI28" s="389">
        <f>SUM(AI20:AI27)</f>
        <v>-2806027.1399999997</v>
      </c>
      <c r="AJ28" s="4"/>
      <c r="AK28" s="389">
        <f>SUM(AK20:AK27)</f>
        <v>1701553.9599999997</v>
      </c>
      <c r="AL28" s="389">
        <f>SUM(AL20:AL27)</f>
        <v>1701553.9599999997</v>
      </c>
      <c r="AM28" s="4"/>
      <c r="AN28" s="389">
        <f>SUM(AN20:AN27)</f>
        <v>-2027382.22</v>
      </c>
      <c r="AO28" s="389">
        <f>SUM(AO20:AO27)</f>
        <v>-2027382.22</v>
      </c>
      <c r="AP28" s="4"/>
      <c r="AQ28" s="389">
        <f>SUM(AQ20:AQ27)</f>
        <v>-3131855.4000000004</v>
      </c>
      <c r="AR28" s="389">
        <f>SUM(AR20:AR27)</f>
        <v>-3131855.4000000004</v>
      </c>
      <c r="AS28" s="7">
        <f t="shared" si="68"/>
        <v>-0.11763878948034649</v>
      </c>
      <c r="AT28" s="389">
        <f>SUM(AT20:AT27)</f>
        <v>-18607019.009999998</v>
      </c>
      <c r="AU28" s="4"/>
      <c r="AV28" s="389">
        <f>SUM(AV20:AV27)</f>
        <v>-2263726.9411918893</v>
      </c>
      <c r="AW28" s="389">
        <f>SUM(AW20:AW27)</f>
        <v>-1947837.1199999999</v>
      </c>
      <c r="AX28" s="4"/>
      <c r="AY28" s="389">
        <f>SUM(AY20:AY27)</f>
        <v>-2297887.202211211</v>
      </c>
      <c r="AZ28" s="389">
        <f>SUM(AZ20:AZ27)</f>
        <v>-1915320.45</v>
      </c>
      <c r="BA28" s="4"/>
      <c r="BB28" s="389">
        <f>SUM(BB20:BB27)</f>
        <v>-3128211.6275988668</v>
      </c>
      <c r="BC28" s="389">
        <f>SUM(BC20:BC27)</f>
        <v>-1926757.57</v>
      </c>
      <c r="BD28" s="448"/>
      <c r="BE28" s="389">
        <f>SUM(BE20:BE27)</f>
        <v>-7689825.7710019657</v>
      </c>
      <c r="BF28" s="389">
        <f>SUM(BF20:BF27)</f>
        <v>-5789915.1399999997</v>
      </c>
      <c r="BG28" s="7">
        <f t="shared" si="71"/>
        <v>-0.18439415478586541</v>
      </c>
      <c r="BH28" s="389">
        <f>SUM(BH20:BH27)</f>
        <v>-26296844.781001963</v>
      </c>
      <c r="BI28" s="389">
        <f>SUM(BI20:BI27)</f>
        <v>-24396934.149999995</v>
      </c>
      <c r="BJ28" s="7">
        <f t="shared" si="72"/>
        <v>-0.18555945072753544</v>
      </c>
      <c r="BK28" s="389">
        <v>-37545241.896000005</v>
      </c>
      <c r="BL28" s="282"/>
      <c r="BN28" s="389">
        <f>SUM(BN20:BN27)</f>
        <v>-2090464.4</v>
      </c>
      <c r="BO28" s="4"/>
      <c r="BP28" s="389">
        <f>SUM(BP20:BP27)</f>
        <v>-2075435.54</v>
      </c>
      <c r="BQ28" s="4"/>
      <c r="BR28" s="389">
        <f>SUM(BR20:BR27)</f>
        <v>-2165625.06</v>
      </c>
      <c r="BS28" s="4"/>
      <c r="BT28" s="389">
        <f>SUM(BT20:BT27)</f>
        <v>-6331525</v>
      </c>
      <c r="BU28" s="7">
        <f t="shared" si="73"/>
        <v>-0.11678440346379244</v>
      </c>
      <c r="BV28" s="389">
        <f>SUM(BV20:BV27)</f>
        <v>-2304776.41</v>
      </c>
      <c r="BW28" s="7"/>
      <c r="BX28" s="389">
        <f>SUM(BX20:BX27)</f>
        <v>-2295345.06</v>
      </c>
      <c r="BY28" s="7"/>
      <c r="BZ28" s="389">
        <f>SUM(BZ20:BZ27)</f>
        <v>-2255576.98</v>
      </c>
      <c r="CA28" s="7"/>
      <c r="CB28" s="389">
        <f>SUM(CB20:CB27)</f>
        <v>-6855698.4499999993</v>
      </c>
      <c r="CC28" s="7">
        <f t="shared" si="158"/>
        <v>-0.20020747640067163</v>
      </c>
      <c r="CD28" s="389">
        <f>SUM(CD20:CD27)</f>
        <v>-13187223.449999999</v>
      </c>
      <c r="CE28" s="7">
        <f t="shared" si="75"/>
        <v>-0.14907813062610406</v>
      </c>
      <c r="CF28" s="389">
        <f>SUM(CF20:CF27)</f>
        <v>-2212194.5699999998</v>
      </c>
      <c r="CG28" s="7">
        <f t="shared" si="76"/>
        <v>-0.43798076906895467</v>
      </c>
      <c r="CH28" s="389">
        <f>SUM(CH20:CH27)</f>
        <v>-2068026.66</v>
      </c>
      <c r="CI28" s="7">
        <f t="shared" si="76"/>
        <v>-5.5771708563062905E-2</v>
      </c>
      <c r="CJ28" s="389">
        <f>SUM(CJ20:CJ27)</f>
        <v>-2196472.71</v>
      </c>
      <c r="CK28" s="7">
        <f t="shared" si="76"/>
        <v>-7.7993407647549584E-2</v>
      </c>
      <c r="CL28" s="389">
        <f>SUM(CL20:CL27)</f>
        <v>-6476693.9400000004</v>
      </c>
      <c r="CM28" s="7">
        <f t="shared" si="76"/>
        <v>-9.2138021133854275E-2</v>
      </c>
      <c r="CN28" s="389">
        <f>SUM(CN20:CN27)</f>
        <v>-19663917.390000001</v>
      </c>
      <c r="CO28" s="7">
        <f t="shared" si="77"/>
        <v>-0.12386574360048556</v>
      </c>
      <c r="CP28" s="389">
        <f>SUM(CP20:CP27)</f>
        <v>-2223172.19</v>
      </c>
      <c r="CQ28" s="7">
        <f t="shared" si="26"/>
        <v>-0.11348450153857112</v>
      </c>
      <c r="CR28" s="389">
        <f>SUM(CR20:CR27)</f>
        <v>-21887089.580000002</v>
      </c>
      <c r="CS28" s="7">
        <f t="shared" si="78"/>
        <v>-0.12272540890873376</v>
      </c>
      <c r="CT28" s="389">
        <f t="shared" ref="CT28" si="201">SUM(CT20:CT27)</f>
        <v>-2245782.46</v>
      </c>
      <c r="CU28" s="7">
        <f t="shared" si="199"/>
        <v>-0.14336662382600415</v>
      </c>
      <c r="CV28" s="389">
        <f t="shared" ref="CV28" si="202">SUM(CV20:CV27)</f>
        <v>-2726917.38</v>
      </c>
      <c r="CW28" s="7">
        <f t="shared" si="80"/>
        <v>-4.3581195411970974E-2</v>
      </c>
      <c r="CX28" s="389">
        <f>SUM(CX20:CX27)</f>
        <v>-7195872.0299999993</v>
      </c>
      <c r="CY28" s="7">
        <f t="shared" si="30"/>
        <v>-7.3558116486852773E-2</v>
      </c>
      <c r="CZ28" s="389">
        <f>SUM(CZ20:CZ27)</f>
        <v>-26859789.419999998</v>
      </c>
      <c r="DA28" s="7">
        <f t="shared" si="81"/>
        <v>-0.10468488509991478</v>
      </c>
      <c r="DB28" s="389">
        <f>SUM(DB20:DB27)</f>
        <v>-2229149.9900000002</v>
      </c>
      <c r="DC28" s="7">
        <f t="shared" si="95"/>
        <v>-0.11612388879266641</v>
      </c>
      <c r="DD28" s="389">
        <f>SUM(DD20:DD27)</f>
        <v>-2328253.06</v>
      </c>
      <c r="DE28" s="7">
        <f t="shared" si="82"/>
        <v>-8.9661270616456623E-2</v>
      </c>
      <c r="DF28" s="389">
        <f>SUM(DF20:DF27)</f>
        <v>-2453653.4699999997</v>
      </c>
      <c r="DG28" s="7">
        <f t="shared" si="96"/>
        <v>-7.9098575666758902E-2</v>
      </c>
      <c r="DH28" s="389">
        <f>SUM(DH20:DH27)</f>
        <v>-7011056.5200000005</v>
      </c>
      <c r="DI28" s="7">
        <f t="shared" si="33"/>
        <v>-9.2028281600026518E-2</v>
      </c>
      <c r="DJ28" s="389">
        <f>SUM(DJ20:DJ27)</f>
        <v>-6304545</v>
      </c>
      <c r="DK28" s="7">
        <f t="shared" si="97"/>
        <v>-0.11987174075014952</v>
      </c>
      <c r="DL28" s="389">
        <f>SUM(DL20:DL27)</f>
        <v>-2440130.4500000002</v>
      </c>
      <c r="DM28" s="7">
        <f t="shared" si="98"/>
        <v>-0.28131603220167295</v>
      </c>
      <c r="DN28" s="389">
        <f>SUM(DN20:DN27)</f>
        <v>-2549731.84</v>
      </c>
      <c r="DO28" s="7">
        <f t="shared" si="99"/>
        <v>-0.14858005400041616</v>
      </c>
      <c r="DP28" s="389">
        <f>SUM(DP20:DP27)</f>
        <v>-2585872.1800000002</v>
      </c>
      <c r="DQ28" s="7">
        <f t="shared" si="100"/>
        <v>-3.0818862654475258E-2</v>
      </c>
      <c r="DR28" s="389">
        <f>SUM(DR20:DR27)</f>
        <v>-7575734.4699999997</v>
      </c>
      <c r="DS28" s="7">
        <f t="shared" si="35"/>
        <v>-6.9033391282754805E-2</v>
      </c>
      <c r="DT28" s="389">
        <f>SUM(DT20:DT27)</f>
        <v>-14586790.99</v>
      </c>
      <c r="DU28" s="7">
        <f t="shared" si="83"/>
        <v>-7.8455722433087793E-2</v>
      </c>
      <c r="DV28" s="389">
        <f>SUM(DV20:DV27)</f>
        <v>-2526899.25</v>
      </c>
      <c r="DW28" s="7">
        <f t="shared" si="102"/>
        <v>-5.5515136030024531E-2</v>
      </c>
      <c r="DX28" s="389">
        <f>SUM(DX20:DX27)</f>
        <v>-2564456.09</v>
      </c>
      <c r="DY28" s="7">
        <f t="shared" si="84"/>
        <v>-9.9195811952514548E-2</v>
      </c>
      <c r="DZ28" s="389">
        <f>SUM(DZ20:DZ27)</f>
        <v>-2545368.71</v>
      </c>
      <c r="EA28" s="7">
        <f t="shared" si="103"/>
        <v>-2.0805118455805124E-2</v>
      </c>
      <c r="EB28" s="389">
        <f>SUM(EB20:EB27)</f>
        <v>-7636724.0499999998</v>
      </c>
      <c r="EC28" s="7">
        <f t="shared" si="37"/>
        <v>-3.9422846795642202E-2</v>
      </c>
      <c r="ED28" s="389">
        <f>SUM(ED20:ED27)</f>
        <v>-22223515.040000003</v>
      </c>
      <c r="EE28" s="7">
        <f t="shared" si="85"/>
        <v>-5.8538851478616191E-2</v>
      </c>
      <c r="EF28" s="389">
        <f>SUM(EF20:EF27)</f>
        <v>-2546238.15</v>
      </c>
      <c r="EG28" s="7">
        <f t="shared" si="105"/>
        <v>-0.17231459149927833</v>
      </c>
      <c r="EH28" s="389">
        <f>SUM(EH20:EH27)</f>
        <v>-3400135.74</v>
      </c>
      <c r="EI28" s="7">
        <f t="shared" si="86"/>
        <v>-0.26670540570139634</v>
      </c>
      <c r="EJ28" s="389">
        <f>SUM(EJ20:EJ27)</f>
        <v>-3432012.14</v>
      </c>
      <c r="EK28" s="7">
        <f t="shared" si="106"/>
        <v>-2.1977109401189944E-2</v>
      </c>
      <c r="EL28" s="389">
        <f>SUM(EL20:EL27)</f>
        <v>-9378386.0299999993</v>
      </c>
      <c r="EM28" s="7">
        <f t="shared" si="39"/>
        <v>-5.1055957846823138E-2</v>
      </c>
      <c r="EN28" s="389">
        <f>SUM(EN20:EN27)</f>
        <v>-31601901.07</v>
      </c>
      <c r="EO28" s="7">
        <f t="shared" si="108"/>
        <v>-5.6098839724773052E-2</v>
      </c>
      <c r="EP28" s="373"/>
      <c r="EQ28" s="373"/>
      <c r="ER28" s="373"/>
      <c r="ES28" s="373"/>
      <c r="ET28" s="389">
        <f>SUM(ET20:ET27)</f>
        <v>-3700073.14</v>
      </c>
      <c r="EU28" s="7">
        <f t="shared" si="109"/>
        <v>-0.50164230036393309</v>
      </c>
      <c r="EV28" s="389">
        <f>SUM(EV20:EV27)</f>
        <v>-3622069.0300000003</v>
      </c>
      <c r="EW28" s="7">
        <f t="shared" si="87"/>
        <v>-0.59432548643436667</v>
      </c>
      <c r="EX28" s="389">
        <f>SUM(EX20:EX27)</f>
        <v>-3709537.08</v>
      </c>
      <c r="EY28" s="7">
        <f t="shared" si="110"/>
        <v>-1.6249438535602127E-2</v>
      </c>
      <c r="EZ28" s="389">
        <f>SUM(EZ20:EZ27)</f>
        <v>-11031679.25</v>
      </c>
      <c r="FA28" s="7">
        <f t="shared" si="42"/>
        <v>-4.5631189778847676E-2</v>
      </c>
      <c r="FB28" s="389">
        <f>SUM(FB20:FB27)</f>
        <v>-3629730.09</v>
      </c>
      <c r="FC28" s="7">
        <f t="shared" si="112"/>
        <v>-0.40054608864612762</v>
      </c>
      <c r="FD28" s="389">
        <f t="shared" ref="FD28" si="203">SUM(FD20:FD27)</f>
        <v>-3750656.21</v>
      </c>
      <c r="FE28" s="7">
        <f t="shared" si="200"/>
        <v>-3.5634426120477673E-2</v>
      </c>
      <c r="FF28" s="389">
        <f t="shared" ref="FF28" si="204">SUM(FF20:FF27)</f>
        <v>-3886310.79</v>
      </c>
      <c r="FG28" s="7">
        <f t="shared" si="44"/>
        <v>-2.4186374202236339E-2</v>
      </c>
      <c r="FH28" s="389">
        <f>SUM(FH20:FH27)</f>
        <v>-11266697.09</v>
      </c>
      <c r="FI28" s="7">
        <f t="shared" si="46"/>
        <v>-4.0970178734695821E-2</v>
      </c>
      <c r="FJ28" s="389">
        <f>SUM(FJ20:FJ27)</f>
        <v>-22298376.34</v>
      </c>
      <c r="FK28" s="7">
        <f t="shared" si="89"/>
        <v>-4.3150775320990632E-2</v>
      </c>
      <c r="FL28" s="389">
        <f>SUM(FL20:FL27)</f>
        <v>-3869642.2199999997</v>
      </c>
      <c r="FM28" s="7">
        <f t="shared" si="115"/>
        <v>-0.35389896079073496</v>
      </c>
      <c r="FN28" s="389">
        <f t="shared" ref="FN28" si="205">SUM(FN20:FN27)</f>
        <v>-3861397.04</v>
      </c>
      <c r="FO28" s="7">
        <f t="shared" si="48"/>
        <v>-0.80815756470122602</v>
      </c>
      <c r="FP28" s="389">
        <f t="shared" ref="FP28" si="206">SUM(FP20:FP27)</f>
        <v>-3861397.04</v>
      </c>
      <c r="FQ28" s="7">
        <f t="shared" si="49"/>
        <v>-1.3958073170073632E-2</v>
      </c>
      <c r="FR28" s="389">
        <f>SUM(FR20:FR27)</f>
        <v>-11592436.300000001</v>
      </c>
      <c r="FS28" s="7">
        <f t="shared" si="51"/>
        <v>-3.9651931643874476E-2</v>
      </c>
      <c r="FT28" s="389">
        <f>SUM(FT20:FT27)</f>
        <v>-33890812.640000001</v>
      </c>
      <c r="FU28" s="7">
        <f t="shared" si="90"/>
        <v>-4.1886541430754667E-2</v>
      </c>
      <c r="FV28" s="389">
        <f>SUM(FV20:FV27)</f>
        <v>-5455731</v>
      </c>
      <c r="FW28" s="7">
        <f t="shared" si="118"/>
        <v>-0.19660334436147131</v>
      </c>
      <c r="FX28" s="389">
        <f t="shared" ref="FX28" si="207">SUM(FX20:FX27)</f>
        <v>-4824694.84</v>
      </c>
      <c r="FY28" s="7">
        <f t="shared" si="53"/>
        <v>-0.18794101963926854</v>
      </c>
      <c r="FZ28" s="389">
        <f>SUM(FZ20:FZ27)</f>
        <v>-8127512.8499999996</v>
      </c>
      <c r="GA28" s="7">
        <f t="shared" si="54"/>
        <v>-2.811224195537541E-2</v>
      </c>
      <c r="GB28" s="389">
        <f>SUM(GB20:GB27)</f>
        <v>-18407938.690000001</v>
      </c>
      <c r="GC28" s="7">
        <f t="shared" si="56"/>
        <v>-5.3740998041925857E-2</v>
      </c>
      <c r="GD28" s="389">
        <f>SUM(GD20:GD27)</f>
        <v>-52298751.329999998</v>
      </c>
      <c r="GE28" s="7">
        <f t="shared" si="91"/>
        <v>-4.5412394102200396E-2</v>
      </c>
      <c r="GF28" s="567">
        <f t="shared" ref="GF28:GH28" si="208">SUM(GF20:GF27)</f>
        <v>0</v>
      </c>
      <c r="GG28" s="525">
        <f t="shared" si="58"/>
        <v>0</v>
      </c>
      <c r="GH28" s="530">
        <f t="shared" si="208"/>
        <v>0</v>
      </c>
      <c r="GI28" s="525">
        <f t="shared" si="60"/>
        <v>0</v>
      </c>
      <c r="GJ28" s="530">
        <f t="shared" ref="GJ28" si="209">SUM(GJ20:GJ27)</f>
        <v>0</v>
      </c>
      <c r="GK28" s="525">
        <f t="shared" si="61"/>
        <v>0</v>
      </c>
      <c r="GL28" s="530">
        <f>SUM(GL20:GL27)</f>
        <v>-52298751.329999998</v>
      </c>
      <c r="GM28" s="565">
        <f t="shared" si="92"/>
        <v>-4.5130432392907191E-2</v>
      </c>
      <c r="GO28" s="587">
        <f t="shared" ref="GO28" si="210">SUM(GO20:GO27)</f>
        <v>0</v>
      </c>
      <c r="GQ28" s="587">
        <f t="shared" ref="GQ28" si="211">SUM(GQ20:GQ27)</f>
        <v>0</v>
      </c>
      <c r="GT28" s="551">
        <f t="shared" si="182"/>
        <v>-8900399.6000383142</v>
      </c>
      <c r="GU28" s="551">
        <f t="shared" si="94"/>
        <v>-10427941.059961688</v>
      </c>
      <c r="GV28" s="550">
        <f t="shared" si="63"/>
        <v>-19328340.66</v>
      </c>
      <c r="GW28" s="529">
        <f>SUM(GW20:GW27)</f>
        <v>-41626717</v>
      </c>
      <c r="GX28" s="525">
        <f t="shared" si="121"/>
        <v>-3.5154285683019003E-2</v>
      </c>
      <c r="GY28" s="530">
        <f>SUM(GY20:GY27)</f>
        <v>-41626717</v>
      </c>
      <c r="GZ28" s="525">
        <f t="shared" si="122"/>
        <v>-4.6241624347484134E-2</v>
      </c>
      <c r="HA28" s="530">
        <f>SUM(HA20:HA27)</f>
        <v>-41626717</v>
      </c>
      <c r="HB28" s="526">
        <f t="shared" si="123"/>
        <v>-5.7184594592490617E-2</v>
      </c>
      <c r="HD28" s="529">
        <v>-41626717</v>
      </c>
      <c r="HE28" s="525">
        <v>-3.5041215968189092E-2</v>
      </c>
      <c r="HF28" s="530">
        <v>-41626717</v>
      </c>
      <c r="HG28" s="525">
        <v>-4.6241624347484134E-2</v>
      </c>
      <c r="HH28" s="530">
        <v>-41626717</v>
      </c>
      <c r="HI28" s="526">
        <v>-5.7184594592490617E-2</v>
      </c>
    </row>
    <row r="29" spans="1:217">
      <c r="A29" s="457" t="s">
        <v>31</v>
      </c>
      <c r="B29" s="457" t="s">
        <v>32</v>
      </c>
      <c r="C29" s="458">
        <f>C19+C28</f>
        <v>-25420166.140000001</v>
      </c>
      <c r="D29" s="459">
        <f>+C29/C8</f>
        <v>-0.20825617574376784</v>
      </c>
      <c r="E29" s="458">
        <f>E19+E28</f>
        <v>-1924228.1099999975</v>
      </c>
      <c r="F29" s="459">
        <f>+E29/E8</f>
        <v>-4.7422542962041007E-2</v>
      </c>
      <c r="G29" s="458">
        <f>G19+G28</f>
        <v>-3241283.226666668</v>
      </c>
      <c r="H29" s="458">
        <f>H19+H28</f>
        <v>1519079.4600000004</v>
      </c>
      <c r="I29" s="460"/>
      <c r="J29" s="458">
        <f>J19+J28</f>
        <v>-6278692.1966666635</v>
      </c>
      <c r="K29" s="458">
        <f>K19+K28</f>
        <v>-2810743.5199999991</v>
      </c>
      <c r="L29" s="461"/>
      <c r="M29" s="458">
        <f>M19+M28</f>
        <v>2392529.433333335</v>
      </c>
      <c r="N29" s="458">
        <f>N19+N28</f>
        <v>4619981.9399999995</v>
      </c>
      <c r="O29" s="461"/>
      <c r="P29" s="458">
        <f>+G29+J29+M29</f>
        <v>-7127445.9899999965</v>
      </c>
      <c r="Q29" s="458">
        <f>+H29+K29+N29</f>
        <v>3328317.8800000008</v>
      </c>
      <c r="R29" s="459">
        <f t="shared" si="64"/>
        <v>9.1517564620937908E-2</v>
      </c>
      <c r="S29" s="458">
        <f>S19+S28</f>
        <v>1286189.8400000008</v>
      </c>
      <c r="T29" s="458">
        <f>T19+T28</f>
        <v>1286189.8400000008</v>
      </c>
      <c r="U29" s="459">
        <f>+T29/T8</f>
        <v>0.12336233693472172</v>
      </c>
      <c r="V29" s="458">
        <f>V19+V28</f>
        <v>-1629096.7399999998</v>
      </c>
      <c r="W29" s="458">
        <f>W19+W28</f>
        <v>-1619569.1199999987</v>
      </c>
      <c r="X29" s="459">
        <f>+W29/W8</f>
        <v>-0.14369912153568593</v>
      </c>
      <c r="Y29" s="458">
        <f>Y19+Y28</f>
        <v>5844545.5499999989</v>
      </c>
      <c r="Z29" s="458">
        <f>Z19+Z28</f>
        <v>5835167.9299999997</v>
      </c>
      <c r="AA29" s="459">
        <f>+Z29/Z8</f>
        <v>0.3791368273995343</v>
      </c>
      <c r="AB29" s="458">
        <f>AB19+AB28</f>
        <v>5501638.6500000022</v>
      </c>
      <c r="AC29" s="458">
        <f>AC19+AC28</f>
        <v>5501788.6500000022</v>
      </c>
      <c r="AD29" s="459">
        <f t="shared" si="65"/>
        <v>0.14834682643679623</v>
      </c>
      <c r="AE29" s="458">
        <f>AE19+AE28</f>
        <v>8829956.5300000031</v>
      </c>
      <c r="AF29" s="458">
        <f>AF19+AF28</f>
        <v>8830106.5300000031</v>
      </c>
      <c r="AG29" s="459">
        <f>+AF29/AF8</f>
        <v>0.12021042520345437</v>
      </c>
      <c r="AH29" s="458">
        <f>AH19+AH28</f>
        <v>-5314874.92</v>
      </c>
      <c r="AI29" s="458">
        <f>AI19+AI28</f>
        <v>-5314874.92</v>
      </c>
      <c r="AJ29" s="459">
        <f>+AI29/AI8</f>
        <v>-0.89266933423367578</v>
      </c>
      <c r="AK29" s="458">
        <f>AK19+AK28</f>
        <v>2026686.7999999996</v>
      </c>
      <c r="AL29" s="458">
        <f>AL19+AL28</f>
        <v>2026686.7999999996</v>
      </c>
      <c r="AM29" s="459">
        <f>+AL29/AL8</f>
        <v>0.29089653703882612</v>
      </c>
      <c r="AN29" s="458">
        <f>AN19+AN28</f>
        <v>10941168.719999999</v>
      </c>
      <c r="AO29" s="458">
        <f>AO19+AO28</f>
        <v>10941168.719999999</v>
      </c>
      <c r="AP29" s="459">
        <f>+AO29/AO8</f>
        <v>0.79852675319357258</v>
      </c>
      <c r="AQ29" s="458">
        <f>AQ19+AQ28</f>
        <v>7652980.5999999959</v>
      </c>
      <c r="AR29" s="458">
        <f>AR19+AR28</f>
        <v>7652980.5999999959</v>
      </c>
      <c r="AS29" s="459">
        <f t="shared" si="68"/>
        <v>0.28746134757708647</v>
      </c>
      <c r="AT29" s="458">
        <f>AT19+AT28</f>
        <v>16483087.12999998</v>
      </c>
      <c r="AU29" s="459">
        <f>+AT29/AT8</f>
        <v>0.1647023112310049</v>
      </c>
      <c r="AV29" s="458">
        <f>AV19+AV28</f>
        <v>-4938751.3627452347</v>
      </c>
      <c r="AW29" s="458">
        <f>AW19+AW28</f>
        <v>-10121923.029999997</v>
      </c>
      <c r="AX29" s="459">
        <f>+AW29/AW8</f>
        <v>-3.1374687196531008</v>
      </c>
      <c r="AY29" s="458">
        <f>AY19+AY28</f>
        <v>2666072.322777689</v>
      </c>
      <c r="AZ29" s="458">
        <f>AZ19+AZ28</f>
        <v>-3395065.7</v>
      </c>
      <c r="BA29" s="459">
        <f>+AZ29/AZ8</f>
        <v>-0.67245406474463298</v>
      </c>
      <c r="BB29" s="458">
        <f>BB19+BB28</f>
        <v>18217177.969293054</v>
      </c>
      <c r="BC29" s="458">
        <f>BC19+BC28</f>
        <v>18731788.289999999</v>
      </c>
      <c r="BD29" s="462">
        <f>+BC29/BC8</f>
        <v>0.81003187092406026</v>
      </c>
      <c r="BE29" s="458">
        <f>BE19+BE28</f>
        <v>15944498.929325514</v>
      </c>
      <c r="BF29" s="458">
        <f>BF19+BF28</f>
        <v>5214799.5599999959</v>
      </c>
      <c r="BG29" s="459">
        <f t="shared" si="71"/>
        <v>0.16607817800312391</v>
      </c>
      <c r="BH29" s="458">
        <f>BH19+BH28</f>
        <v>32427436.059325494</v>
      </c>
      <c r="BI29" s="458">
        <f>BI19+BI28</f>
        <v>21697886.690000009</v>
      </c>
      <c r="BJ29" s="459">
        <f t="shared" si="72"/>
        <v>0.16503089738202636</v>
      </c>
      <c r="BK29" s="458">
        <f>BK19+BK28</f>
        <v>53639543.040000103</v>
      </c>
      <c r="BL29" s="463">
        <f>+BK29/BK8</f>
        <v>0.18805280951529901</v>
      </c>
      <c r="BM29" s="464"/>
      <c r="BN29" s="458">
        <f>BN19+BN28</f>
        <v>-1625006.7900000005</v>
      </c>
      <c r="BO29" s="459">
        <f>+BN29/BN8</f>
        <v>-0.12037964410503275</v>
      </c>
      <c r="BP29" s="458">
        <f>BP19+BP28</f>
        <v>-3141224.1300000018</v>
      </c>
      <c r="BQ29" s="459">
        <f>+BP29/BP8</f>
        <v>-0.33947226800078828</v>
      </c>
      <c r="BR29" s="458">
        <f>BR19+BR28</f>
        <v>11689378.83</v>
      </c>
      <c r="BS29" s="459">
        <f>+BR29/BR8</f>
        <v>0.37152509543575718</v>
      </c>
      <c r="BT29" s="458">
        <f>BT19+BT28</f>
        <v>6923147.9099999815</v>
      </c>
      <c r="BU29" s="459">
        <f t="shared" si="73"/>
        <v>0.12769683429520523</v>
      </c>
      <c r="BV29" s="458">
        <f>BV19+BV28</f>
        <v>-2263696.4000000008</v>
      </c>
      <c r="BW29" s="459">
        <f>+BV29/BV8</f>
        <v>-0.61355379984200198</v>
      </c>
      <c r="BX29" s="458">
        <f>BX19+BX28</f>
        <v>5168885.9699999988</v>
      </c>
      <c r="BY29" s="459">
        <f>+BX29/BX8</f>
        <v>0.30974618269183135</v>
      </c>
      <c r="BZ29" s="458">
        <f>BZ19+BZ28</f>
        <v>2228016.44</v>
      </c>
      <c r="CA29" s="459">
        <f>+BZ29/BZ8</f>
        <v>0.16068201981076122</v>
      </c>
      <c r="CB29" s="458">
        <f>CB19+CB28</f>
        <v>5133206.0099999942</v>
      </c>
      <c r="CC29" s="459">
        <f t="shared" si="158"/>
        <v>0.14990540039094918</v>
      </c>
      <c r="CD29" s="458">
        <f>CD19+CD28</f>
        <v>12056353.919999998</v>
      </c>
      <c r="CE29" s="459">
        <f t="shared" si="75"/>
        <v>0.13629394476972342</v>
      </c>
      <c r="CF29" s="458">
        <f>CF19+CF28</f>
        <v>-3393047.3399999985</v>
      </c>
      <c r="CG29" s="459">
        <f>+CF29/CF$8</f>
        <v>-0.67177159894238891</v>
      </c>
      <c r="CH29" s="458">
        <f>CH19+CH28</f>
        <v>5062402.9099999964</v>
      </c>
      <c r="CI29" s="459">
        <f>+CH29/CH$8</f>
        <v>0.1365257349851193</v>
      </c>
      <c r="CJ29" s="458">
        <f>CJ19+CJ28</f>
        <v>8576237.1899999976</v>
      </c>
      <c r="CK29" s="459">
        <f>+CJ29/CJ$8</f>
        <v>0.30452914811845988</v>
      </c>
      <c r="CL29" s="458">
        <f>CL19+CL28</f>
        <v>10245592.759999994</v>
      </c>
      <c r="CM29" s="459">
        <f>+CL29/CL$8</f>
        <v>0.14575470926911574</v>
      </c>
      <c r="CN29" s="458">
        <f>CN19+CN28</f>
        <v>22301946.680000007</v>
      </c>
      <c r="CO29" s="459">
        <f>+CN29/CN$8</f>
        <v>0.14048305607006931</v>
      </c>
      <c r="CP29" s="458">
        <f>CP19+CP28</f>
        <v>-996958.67000000039</v>
      </c>
      <c r="CQ29" s="459">
        <f t="shared" si="26"/>
        <v>-5.0890955828080446E-2</v>
      </c>
      <c r="CR29" s="458">
        <f>CR19+CR28</f>
        <v>21304988.010000002</v>
      </c>
      <c r="CS29" s="459">
        <f>+CR29/CR$8</f>
        <v>0.11946144578821247</v>
      </c>
      <c r="CT29" s="458">
        <f t="shared" ref="CT29" si="212">CT19+CT28</f>
        <v>2841064.4899999993</v>
      </c>
      <c r="CU29" s="459">
        <f t="shared" si="199"/>
        <v>0.18136833431464608</v>
      </c>
      <c r="CV29" s="458">
        <f t="shared" ref="CV29" si="213">CV19+CV28</f>
        <v>12711726.739999998</v>
      </c>
      <c r="CW29" s="459">
        <f t="shared" si="80"/>
        <v>0.20315696072886399</v>
      </c>
      <c r="CX29" s="458">
        <f>CX19+CX28</f>
        <v>14555832.559999974</v>
      </c>
      <c r="CY29" s="459">
        <f t="shared" si="30"/>
        <v>0.14879358923391009</v>
      </c>
      <c r="CZ29" s="458">
        <f>CZ19+CZ28</f>
        <v>36857779.240000054</v>
      </c>
      <c r="DA29" s="459">
        <f>+CZ29/CZ$8</f>
        <v>0.14365162453226077</v>
      </c>
      <c r="DB29" s="458">
        <f>DB19+DB28</f>
        <v>1742182.209999999</v>
      </c>
      <c r="DC29" s="459">
        <f>+DB29/DB$8</f>
        <v>9.0756106192119296E-2</v>
      </c>
      <c r="DD29" s="458">
        <f>DD19+DD28</f>
        <v>3430592.0700000026</v>
      </c>
      <c r="DE29" s="459">
        <f>+DD29/DD$8</f>
        <v>0.13211246202031848</v>
      </c>
      <c r="DF29" s="458">
        <f>DF19+DF28</f>
        <v>7820563.2800000003</v>
      </c>
      <c r="DG29" s="459">
        <f>+DF29/DF$8</f>
        <v>0.25211197258419554</v>
      </c>
      <c r="DH29" s="458">
        <f>DH19+DH28</f>
        <v>12993337.560000006</v>
      </c>
      <c r="DI29" s="470">
        <f t="shared" si="33"/>
        <v>0.1705526869573549</v>
      </c>
      <c r="DJ29" s="458">
        <f>DJ19+DJ28</f>
        <v>7498152.8763333336</v>
      </c>
      <c r="DK29" s="459">
        <f>+DJ29/DJ$8</f>
        <v>0.14256645605619711</v>
      </c>
      <c r="DL29" s="458">
        <f>DL19+DL28</f>
        <v>-1755405.2999999989</v>
      </c>
      <c r="DM29" s="459">
        <f>+DL29/DL$8</f>
        <v>-0.20237592375513652</v>
      </c>
      <c r="DN29" s="458">
        <f>DN19+DN28</f>
        <v>198635.3200000003</v>
      </c>
      <c r="DO29" s="459">
        <f>+DN29/DN$8</f>
        <v>1.1575039425318543E-2</v>
      </c>
      <c r="DP29" s="458">
        <f>DP19+DP28</f>
        <v>17737056.280000001</v>
      </c>
      <c r="DQ29" s="459">
        <f>+DP29/DP$8</f>
        <v>0.21139324117250755</v>
      </c>
      <c r="DR29" s="458">
        <f>DR19+DR28</f>
        <v>16180286.299999997</v>
      </c>
      <c r="DS29" s="470">
        <f t="shared" si="35"/>
        <v>0.14744181434000245</v>
      </c>
      <c r="DT29" s="458">
        <f>DT19+DT28</f>
        <v>29173623.860000022</v>
      </c>
      <c r="DU29" s="459">
        <f t="shared" si="83"/>
        <v>0.156911670119671</v>
      </c>
      <c r="DV29" s="458">
        <f>DV19+DV28</f>
        <v>-7061751.0200000107</v>
      </c>
      <c r="DW29" s="459">
        <f>+DV29/DV$8</f>
        <v>-0.15514432104305903</v>
      </c>
      <c r="DX29" s="458">
        <f>DX19+DX28</f>
        <v>8621095.4700000007</v>
      </c>
      <c r="DY29" s="459">
        <f>+DX29/DX$8</f>
        <v>0.33347288276899101</v>
      </c>
      <c r="DZ29" s="458">
        <f>DZ19+DZ28</f>
        <v>28910605.010000013</v>
      </c>
      <c r="EA29" s="459">
        <f>+DZ29/DZ$8</f>
        <v>0.23630704640116496</v>
      </c>
      <c r="EB29" s="458">
        <f>EB19+EB28</f>
        <v>30469949.45999999</v>
      </c>
      <c r="EC29" s="459">
        <f t="shared" si="37"/>
        <v>0.15729416718056488</v>
      </c>
      <c r="ED29" s="458">
        <f>ED19+ED28</f>
        <v>59643573.320000067</v>
      </c>
      <c r="EE29" s="459">
        <f>+ED29/ED$8</f>
        <v>0.157106842637142</v>
      </c>
      <c r="EF29" s="458">
        <f>EF19+EF28</f>
        <v>-8083331.3199999984</v>
      </c>
      <c r="EG29" s="459">
        <f>+EF29/EF$8</f>
        <v>-0.54703285879175212</v>
      </c>
      <c r="EH29" s="458">
        <f>EH19+EH28</f>
        <v>-1683555.7100000009</v>
      </c>
      <c r="EI29" s="459">
        <f>+EH29/EH$8</f>
        <v>-0.13205749505061012</v>
      </c>
      <c r="EJ29" s="458">
        <f>EJ19+EJ28</f>
        <v>45898970.159999982</v>
      </c>
      <c r="EK29" s="459">
        <f>+EJ29/EJ$8</f>
        <v>0.29391699313985303</v>
      </c>
      <c r="EL29" s="458">
        <f>EL19+EL28</f>
        <v>36132083.129999995</v>
      </c>
      <c r="EM29" s="470">
        <f>+EL29/EL$8</f>
        <v>0.19670315417835166</v>
      </c>
      <c r="EN29" s="458">
        <f>EN19+EN28</f>
        <v>95775656.450000107</v>
      </c>
      <c r="EO29" s="459">
        <f>+EN29/EN$8</f>
        <v>0.1700183539218795</v>
      </c>
      <c r="EP29" s="392"/>
      <c r="EQ29" s="373"/>
      <c r="ER29" s="373"/>
      <c r="ES29" s="373"/>
      <c r="ET29" s="458">
        <f>ET19+ET28</f>
        <v>-2949174.5100000002</v>
      </c>
      <c r="EU29" s="459">
        <f>+ET29/ET$8</f>
        <v>-0.39983822735219643</v>
      </c>
      <c r="EV29" s="458">
        <f>EV19+EV28</f>
        <v>-6991784.1300000018</v>
      </c>
      <c r="EW29" s="459">
        <f>+EV29/EV$8</f>
        <v>-1.1472435974270585</v>
      </c>
      <c r="EX29" s="458">
        <f>EX19+EX28</f>
        <v>46689502.939999983</v>
      </c>
      <c r="EY29" s="459">
        <f>+EX29/EX$8</f>
        <v>0.20452099329907344</v>
      </c>
      <c r="EZ29" s="458">
        <f>EZ19+EZ28</f>
        <v>36748544.299999982</v>
      </c>
      <c r="FA29" s="470">
        <f t="shared" si="42"/>
        <v>0.15200585160683402</v>
      </c>
      <c r="FB29" s="458">
        <f>FB19+FB28</f>
        <v>-4758706.49</v>
      </c>
      <c r="FC29" s="459">
        <f>+FB29/FB$8</f>
        <v>-0.52513030564882657</v>
      </c>
      <c r="FD29" s="458">
        <f t="shared" ref="FD29" si="214">FD19+FD28</f>
        <v>13315635.889999993</v>
      </c>
      <c r="FE29" s="459">
        <f t="shared" si="200"/>
        <v>0.12650987368671301</v>
      </c>
      <c r="FF29" s="458">
        <f t="shared" ref="FF29" si="215">FF19+FF28</f>
        <v>30791571.070000015</v>
      </c>
      <c r="FG29" s="459">
        <f t="shared" si="44"/>
        <v>0.19163070078957198</v>
      </c>
      <c r="FH29" s="458">
        <f>FH19+FH28</f>
        <v>39348500.470000029</v>
      </c>
      <c r="FI29" s="470">
        <f t="shared" si="46"/>
        <v>0.14308675242800584</v>
      </c>
      <c r="FJ29" s="458">
        <f>FJ19+FJ28</f>
        <v>76097044.77000007</v>
      </c>
      <c r="FK29" s="459">
        <f t="shared" si="89"/>
        <v>0.1472594430820176</v>
      </c>
      <c r="FL29" s="458">
        <f>FL19+FL28</f>
        <v>-3144805.38</v>
      </c>
      <c r="FM29" s="459">
        <f>+FL29/FL$8</f>
        <v>-0.28760885182587043</v>
      </c>
      <c r="FN29" s="458">
        <f t="shared" ref="FN29" si="216">FN19+FN28</f>
        <v>-7465091.669999999</v>
      </c>
      <c r="FO29" s="459">
        <f t="shared" si="48"/>
        <v>-1.5623802063873256</v>
      </c>
      <c r="FP29" s="458">
        <f t="shared" ref="FP29" si="217">FP19+FP28</f>
        <v>51474706.240000032</v>
      </c>
      <c r="FQ29" s="459">
        <f t="shared" si="49"/>
        <v>0.18606937040226409</v>
      </c>
      <c r="FR29" s="458">
        <f>FR19+FR28</f>
        <v>40864809.190000013</v>
      </c>
      <c r="FS29" s="470">
        <f t="shared" si="51"/>
        <v>0.13977809139584005</v>
      </c>
      <c r="FT29" s="458">
        <f>FT19+FT28</f>
        <v>116961853.96000002</v>
      </c>
      <c r="FU29" s="459">
        <f t="shared" si="90"/>
        <v>0.14455621332405497</v>
      </c>
      <c r="FV29" s="458">
        <f>FV19+FV28</f>
        <v>8275802.3499999978</v>
      </c>
      <c r="FW29" s="459">
        <f>+FV29/FV$8</f>
        <v>0.29822775706583099</v>
      </c>
      <c r="FX29" s="458">
        <f t="shared" ref="FX29" si="218">FX19+FX28</f>
        <v>-12661908.970000003</v>
      </c>
      <c r="FY29" s="459">
        <f t="shared" si="53"/>
        <v>-0.49323162631388334</v>
      </c>
      <c r="FZ29" s="458">
        <f t="shared" ref="FZ29" si="219">FZ19+FZ28</f>
        <v>70097904.689999968</v>
      </c>
      <c r="GA29" s="459">
        <f t="shared" si="54"/>
        <v>0.24246153695224534</v>
      </c>
      <c r="GB29" s="458">
        <f>GB19+GB28</f>
        <v>65711798.069999963</v>
      </c>
      <c r="GC29" s="470">
        <f t="shared" si="56"/>
        <v>0.19184209980717265</v>
      </c>
      <c r="GD29" s="458">
        <f>GD19+GD28</f>
        <v>182673652.02999967</v>
      </c>
      <c r="GE29" s="470">
        <f t="shared" si="91"/>
        <v>0.15862038131139763</v>
      </c>
      <c r="GF29" s="570">
        <f t="shared" ref="GF29:GH29" si="220">GF19+GF28</f>
        <v>1502606.1563349999</v>
      </c>
      <c r="GG29" s="614">
        <f t="shared" si="58"/>
        <v>0.11660507203829715</v>
      </c>
      <c r="GH29" s="538">
        <f t="shared" si="220"/>
        <v>4.5588283333333325E-6</v>
      </c>
      <c r="GI29" s="627">
        <f t="shared" si="60"/>
        <v>1</v>
      </c>
      <c r="GJ29" s="538">
        <f t="shared" ref="GJ29" si="221">GJ19+GJ28</f>
        <v>0</v>
      </c>
      <c r="GK29" s="627">
        <f t="shared" si="61"/>
        <v>0</v>
      </c>
      <c r="GL29" s="538">
        <f>GL19+GL28</f>
        <v>184176258.18633944</v>
      </c>
      <c r="GM29" s="618">
        <f t="shared" si="92"/>
        <v>0.15893217251038358</v>
      </c>
      <c r="GO29" s="589">
        <f t="shared" ref="GO29" si="222">GO19+GO28</f>
        <v>122950.19999999995</v>
      </c>
      <c r="GQ29" s="589">
        <f t="shared" ref="GQ29" si="223">GQ19+GQ28</f>
        <v>9.9999999999999995E-8</v>
      </c>
      <c r="GT29" s="551">
        <f t="shared" si="182"/>
        <v>45616100.653121382</v>
      </c>
      <c r="GU29" s="551">
        <f t="shared" si="94"/>
        <v>53445017.119678743</v>
      </c>
      <c r="GV29" s="550">
        <f t="shared" si="63"/>
        <v>99061117.772800118</v>
      </c>
      <c r="GW29" s="536">
        <f>GW19+GW28</f>
        <v>175158162.54280019</v>
      </c>
      <c r="GX29" s="537">
        <f>+GW29/GW$8</f>
        <v>0.14792326970542202</v>
      </c>
      <c r="GY29" s="538">
        <f>GY19+GY28</f>
        <v>92363081.105258703</v>
      </c>
      <c r="GZ29" s="537">
        <f>+GY29/GY$8</f>
        <v>0.10260282837211454</v>
      </c>
      <c r="HA29" s="538">
        <f>HA19+HA28</f>
        <v>92811804.395577192</v>
      </c>
      <c r="HB29" s="539">
        <f>+HA29/HA$8</f>
        <v>0.12749997574294944</v>
      </c>
      <c r="HD29" s="536">
        <v>191511804.12932742</v>
      </c>
      <c r="HE29" s="537">
        <v>0.16121392635775936</v>
      </c>
      <c r="HF29" s="538">
        <v>92363081.105258703</v>
      </c>
      <c r="HG29" s="537">
        <v>0.10260282837211454</v>
      </c>
      <c r="HH29" s="538">
        <v>92811804.395577192</v>
      </c>
      <c r="HI29" s="539">
        <v>0.12749997574294944</v>
      </c>
    </row>
    <row r="30" spans="1:217" ht="15" customHeight="1" outlineLevel="1">
      <c r="A30" s="386" t="s">
        <v>33</v>
      </c>
      <c r="B30" s="386" t="s">
        <v>14</v>
      </c>
      <c r="C30" s="375">
        <v>0</v>
      </c>
      <c r="D30" s="4"/>
      <c r="E30" s="375">
        <v>0</v>
      </c>
      <c r="F30" s="4"/>
      <c r="G30" s="375"/>
      <c r="H30" s="375"/>
      <c r="I30" s="4"/>
      <c r="J30" s="375"/>
      <c r="K30" s="375"/>
      <c r="L30" s="4"/>
      <c r="M30" s="375"/>
      <c r="N30" s="375">
        <v>0</v>
      </c>
      <c r="O30" s="4"/>
      <c r="P30" s="375">
        <f t="shared" si="13"/>
        <v>0</v>
      </c>
      <c r="Q30" s="375">
        <f t="shared" si="13"/>
        <v>0</v>
      </c>
      <c r="R30" s="7">
        <f t="shared" si="64"/>
        <v>0</v>
      </c>
      <c r="S30" s="375"/>
      <c r="T30" s="375"/>
      <c r="U30" s="4"/>
      <c r="V30" s="375"/>
      <c r="W30" s="375"/>
      <c r="X30" s="4"/>
      <c r="Y30" s="375"/>
      <c r="Z30" s="375"/>
      <c r="AA30" s="4"/>
      <c r="AB30" s="375">
        <f t="shared" ref="AB30:AB94" si="224">+T30+V30+Y30</f>
        <v>0</v>
      </c>
      <c r="AC30" s="375">
        <f t="shared" ref="AC30:AC57" si="225">+T30+W30+Z30</f>
        <v>0</v>
      </c>
      <c r="AD30" s="7">
        <f t="shared" si="65"/>
        <v>0</v>
      </c>
      <c r="AE30" s="375">
        <f t="shared" ref="AE30:AE58" si="226">+Q30+AB30</f>
        <v>0</v>
      </c>
      <c r="AF30" s="375">
        <f t="shared" ref="AF30:AF58" si="227">+AC30+Q30</f>
        <v>0</v>
      </c>
      <c r="AG30" s="4"/>
      <c r="AH30" s="375"/>
      <c r="AI30" s="375"/>
      <c r="AJ30" s="4"/>
      <c r="AK30" s="375"/>
      <c r="AL30" s="375"/>
      <c r="AM30" s="4"/>
      <c r="AN30" s="375"/>
      <c r="AO30" s="375"/>
      <c r="AP30" s="4"/>
      <c r="AQ30" s="375">
        <f t="shared" ref="AQ30:AQ46" si="228">AN30+AK30+AH30</f>
        <v>0</v>
      </c>
      <c r="AR30" s="375">
        <f t="shared" ref="AR30:AR46" si="229">AO30+AL30+AI30</f>
        <v>0</v>
      </c>
      <c r="AS30" s="7">
        <f t="shared" si="68"/>
        <v>0</v>
      </c>
      <c r="AT30" s="375">
        <f t="shared" ref="AT30:AT58" si="230">+AF30+AR30</f>
        <v>0</v>
      </c>
      <c r="AU30" s="4"/>
      <c r="AV30" s="375"/>
      <c r="AW30" s="375"/>
      <c r="AX30" s="4"/>
      <c r="AY30" s="375"/>
      <c r="AZ30" s="375"/>
      <c r="BA30" s="4"/>
      <c r="BB30" s="375"/>
      <c r="BC30" s="375"/>
      <c r="BD30" s="448"/>
      <c r="BE30" s="375">
        <f t="shared" ref="BE30:BE46" si="231">BB30+AY30+AV30</f>
        <v>0</v>
      </c>
      <c r="BF30" s="375">
        <f t="shared" ref="BF30:BF46" si="232">BC30+AZ30+AW30</f>
        <v>0</v>
      </c>
      <c r="BG30" s="7">
        <f t="shared" si="71"/>
        <v>0</v>
      </c>
      <c r="BH30" s="375">
        <f t="shared" ref="BH30:BH46" si="233">Q30+AB30+AQ30+BE30</f>
        <v>0</v>
      </c>
      <c r="BI30" s="388">
        <f t="shared" ref="BI30:BI46" si="234">Q30+AC30+AR30+BF30</f>
        <v>0</v>
      </c>
      <c r="BJ30" s="7">
        <f t="shared" si="72"/>
        <v>0</v>
      </c>
      <c r="BK30" s="375">
        <v>0</v>
      </c>
      <c r="BL30" s="282"/>
      <c r="BN30" s="375"/>
      <c r="BO30" s="4"/>
      <c r="BP30" s="375"/>
      <c r="BQ30" s="4"/>
      <c r="BR30" s="375"/>
      <c r="BS30" s="4"/>
      <c r="BT30" s="375">
        <f t="shared" ref="BT30:BT34" si="235">SUM(BN30:BS30)</f>
        <v>0</v>
      </c>
      <c r="BU30" s="7">
        <f t="shared" si="73"/>
        <v>0</v>
      </c>
      <c r="BV30" s="375"/>
      <c r="BW30" s="7"/>
      <c r="BX30" s="375"/>
      <c r="BY30" s="7"/>
      <c r="BZ30" s="375">
        <f t="shared" ref="BZ30:BZ47" si="236">+BT30+BV30+BX30</f>
        <v>0</v>
      </c>
      <c r="CA30" s="7"/>
      <c r="CB30" s="375">
        <f t="shared" ref="CB30:CB58" si="237">+BV30+BX30+BZ30</f>
        <v>0</v>
      </c>
      <c r="CC30" s="7">
        <f t="shared" si="158"/>
        <v>0</v>
      </c>
      <c r="CD30" s="375">
        <f t="shared" ref="CD30:CD94" si="238">BT30+CB30</f>
        <v>0</v>
      </c>
      <c r="CE30" s="7">
        <f t="shared" si="75"/>
        <v>0</v>
      </c>
      <c r="CF30" s="375">
        <f t="shared" ref="CF30:CF47" si="239">+BZ30+CB30+CD30</f>
        <v>0</v>
      </c>
      <c r="CG30" s="7">
        <f t="shared" si="76"/>
        <v>0</v>
      </c>
      <c r="CH30" s="375"/>
      <c r="CI30" s="7">
        <f t="shared" si="76"/>
        <v>0</v>
      </c>
      <c r="CJ30" s="375"/>
      <c r="CK30" s="7">
        <f t="shared" si="76"/>
        <v>0</v>
      </c>
      <c r="CL30" s="375">
        <f t="shared" ref="CL30:CL46" si="240">+CF30+CH30+CJ30</f>
        <v>0</v>
      </c>
      <c r="CM30" s="7">
        <f t="shared" si="76"/>
        <v>0</v>
      </c>
      <c r="CN30" s="375">
        <f>+CL30+CD30</f>
        <v>0</v>
      </c>
      <c r="CO30" s="7">
        <f t="shared" ref="CO30:CO93" si="241">+CN30/CN$8</f>
        <v>0</v>
      </c>
      <c r="CP30" s="375">
        <f t="shared" ref="CP30:CP47" si="242">+CJ30+CL30+CN30</f>
        <v>0</v>
      </c>
      <c r="CQ30" s="7">
        <f t="shared" si="26"/>
        <v>0</v>
      </c>
      <c r="CR30" s="375">
        <f t="shared" ref="CR30:CR58" si="243">+CN30+CP30</f>
        <v>0</v>
      </c>
      <c r="CS30" s="7">
        <f t="shared" ref="CS30:CS93" si="244">+CR30/CR$8</f>
        <v>0</v>
      </c>
      <c r="CT30" s="375">
        <f t="shared" ref="CT30:CT47" si="245">+CL30+CN30+CP30</f>
        <v>0</v>
      </c>
      <c r="CU30" s="7">
        <f t="shared" si="199"/>
        <v>0</v>
      </c>
      <c r="CV30" s="375">
        <f t="shared" ref="CV30:CV46" si="246">+CN30+CP30+CT30</f>
        <v>0</v>
      </c>
      <c r="CW30" s="7">
        <f t="shared" si="80"/>
        <v>0</v>
      </c>
      <c r="CX30" s="375">
        <f t="shared" ref="CX30:CX58" si="247">+CV30+CT30+CP30</f>
        <v>0</v>
      </c>
      <c r="CY30" s="7">
        <f t="shared" si="30"/>
        <v>0</v>
      </c>
      <c r="CZ30" s="375">
        <f t="shared" ref="CZ30:CZ58" si="248">+CD30+CL30+CX30</f>
        <v>0</v>
      </c>
      <c r="DA30" s="7">
        <f t="shared" si="81"/>
        <v>0</v>
      </c>
      <c r="DB30" s="375">
        <f t="shared" ref="DB30:DB47" si="249">+CV30+CX30+CZ30</f>
        <v>0</v>
      </c>
      <c r="DC30" s="7">
        <f t="shared" ref="DC30:DG93" si="250">+DB30/DB$8</f>
        <v>0</v>
      </c>
      <c r="DD30" s="375"/>
      <c r="DE30" s="7">
        <f t="shared" ref="DE30:DE73" si="251">+DD30/DD$8</f>
        <v>0</v>
      </c>
      <c r="DF30" s="375"/>
      <c r="DG30" s="7">
        <f t="shared" ref="DG30:DG73" si="252">+DF30/DF$8</f>
        <v>0</v>
      </c>
      <c r="DH30" s="375">
        <f t="shared" ref="DH30:DH58" si="253">+DB30+DD30+DF30</f>
        <v>0</v>
      </c>
      <c r="DI30" s="7">
        <f t="shared" si="33"/>
        <v>0</v>
      </c>
      <c r="DJ30" s="375"/>
      <c r="DK30" s="7">
        <f t="shared" ref="DK30:DK93" si="254">+DJ30/DJ$8</f>
        <v>0</v>
      </c>
      <c r="DL30" s="375"/>
      <c r="DM30" s="7">
        <f t="shared" ref="DM30:DM93" si="255">+DL30/DL$8</f>
        <v>0</v>
      </c>
      <c r="DN30" s="375"/>
      <c r="DO30" s="7">
        <f t="shared" ref="DO30:DO93" si="256">+DN30/DN$8</f>
        <v>0</v>
      </c>
      <c r="DP30" s="375"/>
      <c r="DQ30" s="7">
        <f t="shared" ref="DQ30:DQ93" si="257">+DP30/DP$8</f>
        <v>0</v>
      </c>
      <c r="DR30" s="375">
        <f t="shared" ref="DR30:DR47" si="258">+DL30+DN30+DP30</f>
        <v>0</v>
      </c>
      <c r="DS30" s="7">
        <f t="shared" si="35"/>
        <v>0</v>
      </c>
      <c r="DT30" s="375">
        <f t="shared" ref="DT30:DT94" si="259">+DR30+DH30</f>
        <v>0</v>
      </c>
      <c r="DU30" s="7">
        <f t="shared" si="83"/>
        <v>0</v>
      </c>
      <c r="DV30" s="375"/>
      <c r="DW30" s="7">
        <f t="shared" ref="DW30:DW93" si="260">+DV30/DV$8</f>
        <v>0</v>
      </c>
      <c r="DX30" s="375"/>
      <c r="DY30" s="7">
        <f t="shared" ref="DY30:DY93" si="261">+DX30/DX$8</f>
        <v>0</v>
      </c>
      <c r="DZ30" s="375"/>
      <c r="EA30" s="7">
        <f t="shared" ref="EA30:EA93" si="262">+DZ30/DZ$8</f>
        <v>0</v>
      </c>
      <c r="EB30" s="375">
        <f t="shared" ref="EB30:EB47" si="263">+DV30+DX30+DZ30</f>
        <v>0</v>
      </c>
      <c r="EC30" s="7">
        <f t="shared" si="37"/>
        <v>0</v>
      </c>
      <c r="ED30" s="375"/>
      <c r="EE30" s="7">
        <f t="shared" si="85"/>
        <v>0</v>
      </c>
      <c r="EF30" s="375"/>
      <c r="EG30" s="7">
        <f t="shared" ref="EG30:EG93" si="264">+EF30/EF$8</f>
        <v>0</v>
      </c>
      <c r="EH30" s="375"/>
      <c r="EI30" s="7">
        <f t="shared" ref="EI30:EI93" si="265">+EH30/EH$8</f>
        <v>0</v>
      </c>
      <c r="EJ30" s="375"/>
      <c r="EK30" s="7">
        <f t="shared" ref="EK30:EK93" si="266">+EJ30/EJ$8</f>
        <v>0</v>
      </c>
      <c r="EL30" s="375">
        <f t="shared" ref="EL30:EL34" si="267">+EF30+EH30+EJ30</f>
        <v>0</v>
      </c>
      <c r="EM30" s="7">
        <f t="shared" si="39"/>
        <v>0</v>
      </c>
      <c r="EN30" s="375">
        <f t="shared" ref="EN30:EN46" si="268">+EL30+ED30</f>
        <v>0</v>
      </c>
      <c r="EO30" s="7">
        <f t="shared" si="108"/>
        <v>0</v>
      </c>
      <c r="EP30" s="373"/>
      <c r="EQ30" s="373"/>
      <c r="ER30" s="373"/>
      <c r="ES30" s="373"/>
      <c r="ET30" s="375"/>
      <c r="EU30" s="7">
        <f t="shared" ref="EU30:EU93" si="269">+ET30/ET$8</f>
        <v>0</v>
      </c>
      <c r="EV30" s="375"/>
      <c r="EW30" s="7">
        <f t="shared" ref="EW30:EW93" si="270">+EV30/EV$8</f>
        <v>0</v>
      </c>
      <c r="EX30" s="375"/>
      <c r="EY30" s="7">
        <f t="shared" ref="EY30:EY93" si="271">+EX30/EX$8</f>
        <v>0</v>
      </c>
      <c r="EZ30" s="375">
        <f t="shared" ref="EZ30:EZ47" si="272">+ET30+EV30+EX30</f>
        <v>0</v>
      </c>
      <c r="FA30" s="7">
        <f t="shared" si="42"/>
        <v>0</v>
      </c>
      <c r="FB30" s="375"/>
      <c r="FC30" s="7">
        <f t="shared" ref="FC30:FC93" si="273">+FB30/FB$8</f>
        <v>0</v>
      </c>
      <c r="FD30" s="375"/>
      <c r="FE30" s="7">
        <f t="shared" si="200"/>
        <v>0</v>
      </c>
      <c r="FF30" s="375"/>
      <c r="FG30" s="7">
        <f t="shared" si="44"/>
        <v>0</v>
      </c>
      <c r="FH30" s="375">
        <f t="shared" ref="FH30:FH47" si="274">+FB30+FD30+FF30</f>
        <v>0</v>
      </c>
      <c r="FI30" s="7">
        <f t="shared" si="46"/>
        <v>0</v>
      </c>
      <c r="FJ30" s="375">
        <f t="shared" ref="FJ30:FJ44" si="275">EZ30+FH30</f>
        <v>0</v>
      </c>
      <c r="FK30" s="7">
        <f t="shared" si="89"/>
        <v>0</v>
      </c>
      <c r="FL30" s="375"/>
      <c r="FM30" s="7">
        <f t="shared" ref="FM30:FM93" si="276">+FL30/FL$8</f>
        <v>0</v>
      </c>
      <c r="FN30" s="375"/>
      <c r="FO30" s="7">
        <f t="shared" si="48"/>
        <v>0</v>
      </c>
      <c r="FP30" s="375"/>
      <c r="FQ30" s="7">
        <f t="shared" si="49"/>
        <v>0</v>
      </c>
      <c r="FR30" s="375">
        <f t="shared" ref="FR30:FR47" si="277">+FL30+FN30+FP30</f>
        <v>0</v>
      </c>
      <c r="FS30" s="7">
        <f t="shared" si="51"/>
        <v>0</v>
      </c>
      <c r="FT30" s="375">
        <f t="shared" ref="FT30:FT44" si="278">FJ30+FR30</f>
        <v>0</v>
      </c>
      <c r="FU30" s="7">
        <f t="shared" si="90"/>
        <v>0</v>
      </c>
      <c r="FV30" s="375"/>
      <c r="FW30" s="7">
        <f t="shared" ref="FW30:FW93" si="279">+FV30/FV$8</f>
        <v>0</v>
      </c>
      <c r="FX30" s="375"/>
      <c r="FY30" s="7">
        <f t="shared" si="53"/>
        <v>0</v>
      </c>
      <c r="FZ30" s="375"/>
      <c r="GA30" s="7">
        <f t="shared" si="54"/>
        <v>0</v>
      </c>
      <c r="GB30" s="375">
        <f t="shared" ref="GB30:GB47" si="280">+FV30+FX30+FZ30</f>
        <v>0</v>
      </c>
      <c r="GC30" s="7">
        <f t="shared" si="56"/>
        <v>0</v>
      </c>
      <c r="GD30" s="375">
        <f t="shared" ref="GD30:GD44" si="281">FT30+GB30</f>
        <v>0</v>
      </c>
      <c r="GE30" s="7">
        <f t="shared" si="91"/>
        <v>0</v>
      </c>
      <c r="GF30" s="566">
        <f t="shared" ref="GF30:GF94" si="282">+GO30*$GO$1</f>
        <v>0</v>
      </c>
      <c r="GG30" s="525">
        <f t="shared" si="58"/>
        <v>0</v>
      </c>
      <c r="GH30" s="528">
        <f t="shared" ref="GH30:GH46" si="283">+GQ30*$GO$2</f>
        <v>0</v>
      </c>
      <c r="GI30" s="525">
        <f t="shared" si="60"/>
        <v>0</v>
      </c>
      <c r="GJ30" s="528"/>
      <c r="GK30" s="525">
        <f t="shared" si="61"/>
        <v>0</v>
      </c>
      <c r="GL30" s="528">
        <f t="shared" ref="GL30:GL76" si="284">+GD30+GF30+GH30-GJ30</f>
        <v>0</v>
      </c>
      <c r="GM30" s="565">
        <f t="shared" si="92"/>
        <v>0</v>
      </c>
      <c r="GO30" s="586"/>
      <c r="GQ30" s="586"/>
      <c r="GT30" s="551">
        <f t="shared" si="182"/>
        <v>0</v>
      </c>
      <c r="GU30" s="551">
        <f t="shared" si="94"/>
        <v>0</v>
      </c>
      <c r="GV30" s="550">
        <f t="shared" si="63"/>
        <v>0</v>
      </c>
      <c r="GW30" s="527"/>
      <c r="GX30" s="525">
        <f t="shared" ref="GX30:GX93" si="285">+GW30/GW$8</f>
        <v>0</v>
      </c>
      <c r="GY30" s="528"/>
      <c r="GZ30" s="525">
        <f t="shared" ref="GZ30:GZ93" si="286">+GY30/GY$8</f>
        <v>0</v>
      </c>
      <c r="HA30" s="528"/>
      <c r="HB30" s="526">
        <f t="shared" ref="HB30:HB93" si="287">+HA30/HA$8</f>
        <v>0</v>
      </c>
      <c r="HD30" s="527"/>
      <c r="HE30" s="525">
        <v>0</v>
      </c>
      <c r="HF30" s="528"/>
      <c r="HG30" s="525">
        <v>0</v>
      </c>
      <c r="HH30" s="528"/>
      <c r="HI30" s="526">
        <v>0</v>
      </c>
    </row>
    <row r="31" spans="1:217" ht="15" customHeight="1" outlineLevel="1">
      <c r="A31" s="386" t="s">
        <v>33</v>
      </c>
      <c r="B31" s="386" t="s">
        <v>26</v>
      </c>
      <c r="C31" s="375">
        <v>0</v>
      </c>
      <c r="D31" s="4"/>
      <c r="E31" s="375">
        <v>0</v>
      </c>
      <c r="F31" s="4"/>
      <c r="G31" s="375"/>
      <c r="H31" s="375"/>
      <c r="I31" s="4"/>
      <c r="J31" s="375"/>
      <c r="K31" s="375"/>
      <c r="L31" s="4"/>
      <c r="M31" s="375"/>
      <c r="N31" s="375">
        <v>0</v>
      </c>
      <c r="O31" s="4"/>
      <c r="P31" s="375">
        <f t="shared" si="13"/>
        <v>0</v>
      </c>
      <c r="Q31" s="375">
        <f t="shared" si="13"/>
        <v>0</v>
      </c>
      <c r="R31" s="7">
        <f t="shared" si="64"/>
        <v>0</v>
      </c>
      <c r="S31" s="375"/>
      <c r="T31" s="375"/>
      <c r="U31" s="4"/>
      <c r="V31" s="375"/>
      <c r="W31" s="375"/>
      <c r="X31" s="4"/>
      <c r="Y31" s="375"/>
      <c r="Z31" s="375"/>
      <c r="AA31" s="4"/>
      <c r="AB31" s="375">
        <f t="shared" si="224"/>
        <v>0</v>
      </c>
      <c r="AC31" s="375">
        <f t="shared" si="225"/>
        <v>0</v>
      </c>
      <c r="AD31" s="7">
        <f t="shared" si="65"/>
        <v>0</v>
      </c>
      <c r="AE31" s="375">
        <f t="shared" si="226"/>
        <v>0</v>
      </c>
      <c r="AF31" s="375">
        <f t="shared" si="227"/>
        <v>0</v>
      </c>
      <c r="AG31" s="4"/>
      <c r="AH31" s="375"/>
      <c r="AI31" s="375"/>
      <c r="AJ31" s="4"/>
      <c r="AK31" s="375"/>
      <c r="AL31" s="375"/>
      <c r="AM31" s="4"/>
      <c r="AN31" s="375"/>
      <c r="AO31" s="375"/>
      <c r="AP31" s="4"/>
      <c r="AQ31" s="375">
        <f t="shared" si="228"/>
        <v>0</v>
      </c>
      <c r="AR31" s="375">
        <f t="shared" si="229"/>
        <v>0</v>
      </c>
      <c r="AS31" s="7">
        <f t="shared" si="68"/>
        <v>0</v>
      </c>
      <c r="AT31" s="375">
        <f t="shared" si="230"/>
        <v>0</v>
      </c>
      <c r="AU31" s="4"/>
      <c r="AV31" s="375"/>
      <c r="AW31" s="375"/>
      <c r="AX31" s="4"/>
      <c r="AY31" s="375"/>
      <c r="AZ31" s="375"/>
      <c r="BA31" s="4"/>
      <c r="BB31" s="375"/>
      <c r="BC31" s="375"/>
      <c r="BD31" s="448"/>
      <c r="BE31" s="375">
        <f t="shared" si="231"/>
        <v>0</v>
      </c>
      <c r="BF31" s="375">
        <f t="shared" si="232"/>
        <v>0</v>
      </c>
      <c r="BG31" s="7">
        <f t="shared" si="71"/>
        <v>0</v>
      </c>
      <c r="BH31" s="375">
        <f t="shared" si="233"/>
        <v>0</v>
      </c>
      <c r="BI31" s="388">
        <f t="shared" si="234"/>
        <v>0</v>
      </c>
      <c r="BJ31" s="7">
        <f t="shared" si="72"/>
        <v>0</v>
      </c>
      <c r="BK31" s="375">
        <v>0</v>
      </c>
      <c r="BL31" s="282"/>
      <c r="BN31" s="375"/>
      <c r="BO31" s="4"/>
      <c r="BP31" s="375"/>
      <c r="BQ31" s="4"/>
      <c r="BR31" s="375"/>
      <c r="BS31" s="4"/>
      <c r="BT31" s="375">
        <f t="shared" si="235"/>
        <v>0</v>
      </c>
      <c r="BU31" s="7">
        <f t="shared" si="73"/>
        <v>0</v>
      </c>
      <c r="BV31" s="375"/>
      <c r="BW31" s="7"/>
      <c r="BX31" s="375"/>
      <c r="BY31" s="7"/>
      <c r="BZ31" s="375">
        <f t="shared" si="236"/>
        <v>0</v>
      </c>
      <c r="CA31" s="7"/>
      <c r="CB31" s="375">
        <f t="shared" si="237"/>
        <v>0</v>
      </c>
      <c r="CC31" s="7">
        <f t="shared" si="158"/>
        <v>0</v>
      </c>
      <c r="CD31" s="375">
        <f t="shared" si="238"/>
        <v>0</v>
      </c>
      <c r="CE31" s="7">
        <f t="shared" si="75"/>
        <v>0</v>
      </c>
      <c r="CF31" s="375">
        <f t="shared" si="239"/>
        <v>0</v>
      </c>
      <c r="CG31" s="7">
        <f t="shared" si="76"/>
        <v>0</v>
      </c>
      <c r="CH31" s="375"/>
      <c r="CI31" s="7">
        <f t="shared" si="76"/>
        <v>0</v>
      </c>
      <c r="CJ31" s="375"/>
      <c r="CK31" s="7">
        <f t="shared" si="76"/>
        <v>0</v>
      </c>
      <c r="CL31" s="375">
        <f t="shared" si="240"/>
        <v>0</v>
      </c>
      <c r="CM31" s="7">
        <f t="shared" si="76"/>
        <v>0</v>
      </c>
      <c r="CN31" s="375">
        <f t="shared" ref="CN31:CN94" si="288">+CL31+CD31</f>
        <v>0</v>
      </c>
      <c r="CO31" s="7">
        <f t="shared" si="241"/>
        <v>0</v>
      </c>
      <c r="CP31" s="375">
        <f t="shared" si="242"/>
        <v>0</v>
      </c>
      <c r="CQ31" s="7">
        <f t="shared" si="26"/>
        <v>0</v>
      </c>
      <c r="CR31" s="375">
        <f t="shared" si="243"/>
        <v>0</v>
      </c>
      <c r="CS31" s="7">
        <f t="shared" si="244"/>
        <v>0</v>
      </c>
      <c r="CT31" s="375">
        <f t="shared" si="245"/>
        <v>0</v>
      </c>
      <c r="CU31" s="7">
        <f t="shared" si="199"/>
        <v>0</v>
      </c>
      <c r="CV31" s="375">
        <f t="shared" si="246"/>
        <v>0</v>
      </c>
      <c r="CW31" s="7">
        <f t="shared" si="80"/>
        <v>0</v>
      </c>
      <c r="CX31" s="375">
        <f t="shared" si="247"/>
        <v>0</v>
      </c>
      <c r="CY31" s="7">
        <f t="shared" si="30"/>
        <v>0</v>
      </c>
      <c r="CZ31" s="375">
        <f t="shared" si="248"/>
        <v>0</v>
      </c>
      <c r="DA31" s="7">
        <f t="shared" si="81"/>
        <v>0</v>
      </c>
      <c r="DB31" s="375">
        <f t="shared" si="249"/>
        <v>0</v>
      </c>
      <c r="DC31" s="7">
        <f t="shared" si="250"/>
        <v>0</v>
      </c>
      <c r="DD31" s="375"/>
      <c r="DE31" s="7">
        <f t="shared" si="251"/>
        <v>0</v>
      </c>
      <c r="DF31" s="375"/>
      <c r="DG31" s="7">
        <f t="shared" si="252"/>
        <v>0</v>
      </c>
      <c r="DH31" s="375">
        <f t="shared" si="253"/>
        <v>0</v>
      </c>
      <c r="DI31" s="7">
        <f t="shared" si="33"/>
        <v>0</v>
      </c>
      <c r="DJ31" s="375"/>
      <c r="DK31" s="7">
        <f t="shared" si="254"/>
        <v>0</v>
      </c>
      <c r="DL31" s="375"/>
      <c r="DM31" s="7">
        <f t="shared" si="255"/>
        <v>0</v>
      </c>
      <c r="DN31" s="375"/>
      <c r="DO31" s="7">
        <f t="shared" si="256"/>
        <v>0</v>
      </c>
      <c r="DP31" s="375"/>
      <c r="DQ31" s="7">
        <f t="shared" si="257"/>
        <v>0</v>
      </c>
      <c r="DR31" s="375">
        <f t="shared" si="258"/>
        <v>0</v>
      </c>
      <c r="DS31" s="7">
        <f t="shared" si="35"/>
        <v>0</v>
      </c>
      <c r="DT31" s="375">
        <f t="shared" si="259"/>
        <v>0</v>
      </c>
      <c r="DU31" s="7">
        <f t="shared" si="83"/>
        <v>0</v>
      </c>
      <c r="DV31" s="375"/>
      <c r="DW31" s="7">
        <f t="shared" si="260"/>
        <v>0</v>
      </c>
      <c r="DX31" s="375"/>
      <c r="DY31" s="7">
        <f t="shared" si="261"/>
        <v>0</v>
      </c>
      <c r="DZ31" s="375"/>
      <c r="EA31" s="7">
        <f t="shared" si="262"/>
        <v>0</v>
      </c>
      <c r="EB31" s="375">
        <f t="shared" si="263"/>
        <v>0</v>
      </c>
      <c r="EC31" s="7">
        <f t="shared" si="37"/>
        <v>0</v>
      </c>
      <c r="ED31" s="375"/>
      <c r="EE31" s="7">
        <f t="shared" si="85"/>
        <v>0</v>
      </c>
      <c r="EF31" s="375"/>
      <c r="EG31" s="7">
        <f t="shared" si="264"/>
        <v>0</v>
      </c>
      <c r="EH31" s="375"/>
      <c r="EI31" s="7">
        <f t="shared" si="265"/>
        <v>0</v>
      </c>
      <c r="EJ31" s="375"/>
      <c r="EK31" s="7">
        <f t="shared" si="266"/>
        <v>0</v>
      </c>
      <c r="EL31" s="375">
        <f t="shared" si="267"/>
        <v>0</v>
      </c>
      <c r="EM31" s="7">
        <f t="shared" si="39"/>
        <v>0</v>
      </c>
      <c r="EN31" s="375">
        <f t="shared" si="268"/>
        <v>0</v>
      </c>
      <c r="EO31" s="7">
        <f t="shared" si="108"/>
        <v>0</v>
      </c>
      <c r="EP31" s="373"/>
      <c r="EQ31" s="373"/>
      <c r="ER31" s="373"/>
      <c r="ES31" s="373"/>
      <c r="ET31" s="375"/>
      <c r="EU31" s="7">
        <f t="shared" si="269"/>
        <v>0</v>
      </c>
      <c r="EV31" s="375"/>
      <c r="EW31" s="7">
        <f t="shared" si="270"/>
        <v>0</v>
      </c>
      <c r="EX31" s="375"/>
      <c r="EY31" s="7">
        <f t="shared" si="271"/>
        <v>0</v>
      </c>
      <c r="EZ31" s="375">
        <f t="shared" si="272"/>
        <v>0</v>
      </c>
      <c r="FA31" s="7">
        <f t="shared" si="42"/>
        <v>0</v>
      </c>
      <c r="FB31" s="375"/>
      <c r="FC31" s="7">
        <f t="shared" si="273"/>
        <v>0</v>
      </c>
      <c r="FD31" s="375"/>
      <c r="FE31" s="7">
        <f t="shared" si="200"/>
        <v>0</v>
      </c>
      <c r="FF31" s="375"/>
      <c r="FG31" s="7">
        <f t="shared" si="44"/>
        <v>0</v>
      </c>
      <c r="FH31" s="375">
        <f t="shared" si="274"/>
        <v>0</v>
      </c>
      <c r="FI31" s="7">
        <f t="shared" si="46"/>
        <v>0</v>
      </c>
      <c r="FJ31" s="375">
        <f t="shared" si="275"/>
        <v>0</v>
      </c>
      <c r="FK31" s="7">
        <f t="shared" si="89"/>
        <v>0</v>
      </c>
      <c r="FL31" s="375"/>
      <c r="FM31" s="7">
        <f t="shared" si="276"/>
        <v>0</v>
      </c>
      <c r="FN31" s="375"/>
      <c r="FO31" s="7">
        <f t="shared" si="48"/>
        <v>0</v>
      </c>
      <c r="FP31" s="375"/>
      <c r="FQ31" s="7">
        <f t="shared" si="49"/>
        <v>0</v>
      </c>
      <c r="FR31" s="375">
        <f t="shared" si="277"/>
        <v>0</v>
      </c>
      <c r="FS31" s="7">
        <f t="shared" si="51"/>
        <v>0</v>
      </c>
      <c r="FT31" s="375">
        <f t="shared" si="278"/>
        <v>0</v>
      </c>
      <c r="FU31" s="7">
        <f t="shared" si="90"/>
        <v>0</v>
      </c>
      <c r="FV31" s="375"/>
      <c r="FW31" s="7">
        <f t="shared" si="279"/>
        <v>0</v>
      </c>
      <c r="FX31" s="375"/>
      <c r="FY31" s="7">
        <f t="shared" si="53"/>
        <v>0</v>
      </c>
      <c r="FZ31" s="375"/>
      <c r="GA31" s="7">
        <f t="shared" si="54"/>
        <v>0</v>
      </c>
      <c r="GB31" s="375">
        <f t="shared" si="280"/>
        <v>0</v>
      </c>
      <c r="GC31" s="7">
        <f t="shared" si="56"/>
        <v>0</v>
      </c>
      <c r="GD31" s="375">
        <f t="shared" si="281"/>
        <v>0</v>
      </c>
      <c r="GE31" s="7">
        <f t="shared" si="91"/>
        <v>0</v>
      </c>
      <c r="GF31" s="566">
        <f t="shared" si="282"/>
        <v>0</v>
      </c>
      <c r="GG31" s="525">
        <f t="shared" si="58"/>
        <v>0</v>
      </c>
      <c r="GH31" s="528">
        <f t="shared" si="283"/>
        <v>0</v>
      </c>
      <c r="GI31" s="525">
        <f t="shared" si="60"/>
        <v>0</v>
      </c>
      <c r="GJ31" s="528"/>
      <c r="GK31" s="525">
        <f t="shared" si="61"/>
        <v>0</v>
      </c>
      <c r="GL31" s="528">
        <f t="shared" si="284"/>
        <v>0</v>
      </c>
      <c r="GM31" s="565">
        <f t="shared" si="92"/>
        <v>0</v>
      </c>
      <c r="GO31" s="586"/>
      <c r="GQ31" s="586"/>
      <c r="GT31" s="551">
        <f t="shared" si="182"/>
        <v>0</v>
      </c>
      <c r="GU31" s="551">
        <f t="shared" si="94"/>
        <v>0</v>
      </c>
      <c r="GV31" s="550">
        <f t="shared" si="63"/>
        <v>0</v>
      </c>
      <c r="GW31" s="527"/>
      <c r="GX31" s="525">
        <f t="shared" si="285"/>
        <v>0</v>
      </c>
      <c r="GY31" s="528"/>
      <c r="GZ31" s="525">
        <f t="shared" si="286"/>
        <v>0</v>
      </c>
      <c r="HA31" s="528"/>
      <c r="HB31" s="526">
        <f t="shared" si="287"/>
        <v>0</v>
      </c>
      <c r="HD31" s="527"/>
      <c r="HE31" s="525">
        <v>0</v>
      </c>
      <c r="HF31" s="528"/>
      <c r="HG31" s="525">
        <v>0</v>
      </c>
      <c r="HH31" s="528"/>
      <c r="HI31" s="526">
        <v>0</v>
      </c>
    </row>
    <row r="32" spans="1:217" ht="15" customHeight="1" outlineLevel="1">
      <c r="A32" s="386" t="s">
        <v>33</v>
      </c>
      <c r="B32" s="386" t="s">
        <v>27</v>
      </c>
      <c r="C32" s="375">
        <v>0</v>
      </c>
      <c r="D32" s="4"/>
      <c r="E32" s="375">
        <v>0</v>
      </c>
      <c r="F32" s="4"/>
      <c r="G32" s="375"/>
      <c r="H32" s="375"/>
      <c r="I32" s="4"/>
      <c r="J32" s="375"/>
      <c r="K32" s="375"/>
      <c r="L32" s="4"/>
      <c r="M32" s="375"/>
      <c r="N32" s="375">
        <v>0</v>
      </c>
      <c r="O32" s="4"/>
      <c r="P32" s="375">
        <f t="shared" si="13"/>
        <v>0</v>
      </c>
      <c r="Q32" s="375">
        <f t="shared" si="13"/>
        <v>0</v>
      </c>
      <c r="R32" s="7">
        <f t="shared" si="64"/>
        <v>0</v>
      </c>
      <c r="S32" s="375"/>
      <c r="T32" s="375"/>
      <c r="U32" s="4"/>
      <c r="V32" s="375"/>
      <c r="W32" s="375"/>
      <c r="X32" s="4"/>
      <c r="Y32" s="375"/>
      <c r="Z32" s="375"/>
      <c r="AA32" s="4"/>
      <c r="AB32" s="375">
        <f t="shared" si="224"/>
        <v>0</v>
      </c>
      <c r="AC32" s="375">
        <f t="shared" si="225"/>
        <v>0</v>
      </c>
      <c r="AD32" s="7">
        <f t="shared" si="65"/>
        <v>0</v>
      </c>
      <c r="AE32" s="375">
        <f t="shared" si="226"/>
        <v>0</v>
      </c>
      <c r="AF32" s="375">
        <f t="shared" si="227"/>
        <v>0</v>
      </c>
      <c r="AG32" s="4"/>
      <c r="AH32" s="375"/>
      <c r="AI32" s="375"/>
      <c r="AJ32" s="4"/>
      <c r="AK32" s="375"/>
      <c r="AL32" s="375"/>
      <c r="AM32" s="4"/>
      <c r="AN32" s="375"/>
      <c r="AO32" s="375"/>
      <c r="AP32" s="4"/>
      <c r="AQ32" s="375">
        <f t="shared" si="228"/>
        <v>0</v>
      </c>
      <c r="AR32" s="375">
        <f t="shared" si="229"/>
        <v>0</v>
      </c>
      <c r="AS32" s="7">
        <f t="shared" si="68"/>
        <v>0</v>
      </c>
      <c r="AT32" s="375">
        <f t="shared" si="230"/>
        <v>0</v>
      </c>
      <c r="AU32" s="4"/>
      <c r="AV32" s="375"/>
      <c r="AW32" s="375"/>
      <c r="AX32" s="4"/>
      <c r="AY32" s="375"/>
      <c r="AZ32" s="375"/>
      <c r="BA32" s="4"/>
      <c r="BB32" s="375"/>
      <c r="BC32" s="375"/>
      <c r="BD32" s="448"/>
      <c r="BE32" s="375">
        <f t="shared" si="231"/>
        <v>0</v>
      </c>
      <c r="BF32" s="375">
        <f t="shared" si="232"/>
        <v>0</v>
      </c>
      <c r="BG32" s="7">
        <f t="shared" si="71"/>
        <v>0</v>
      </c>
      <c r="BH32" s="375">
        <f t="shared" si="233"/>
        <v>0</v>
      </c>
      <c r="BI32" s="388">
        <f t="shared" si="234"/>
        <v>0</v>
      </c>
      <c r="BJ32" s="7">
        <f t="shared" si="72"/>
        <v>0</v>
      </c>
      <c r="BK32" s="375">
        <v>0</v>
      </c>
      <c r="BL32" s="282"/>
      <c r="BN32" s="375"/>
      <c r="BO32" s="4"/>
      <c r="BP32" s="375"/>
      <c r="BQ32" s="4"/>
      <c r="BR32" s="375"/>
      <c r="BS32" s="4"/>
      <c r="BT32" s="375">
        <f t="shared" si="235"/>
        <v>0</v>
      </c>
      <c r="BU32" s="7">
        <f t="shared" si="73"/>
        <v>0</v>
      </c>
      <c r="BV32" s="375"/>
      <c r="BW32" s="7"/>
      <c r="BX32" s="375"/>
      <c r="BY32" s="7"/>
      <c r="BZ32" s="375">
        <f t="shared" si="236"/>
        <v>0</v>
      </c>
      <c r="CA32" s="7"/>
      <c r="CB32" s="375">
        <f t="shared" si="237"/>
        <v>0</v>
      </c>
      <c r="CC32" s="7">
        <f t="shared" si="158"/>
        <v>0</v>
      </c>
      <c r="CD32" s="375">
        <f t="shared" si="238"/>
        <v>0</v>
      </c>
      <c r="CE32" s="7">
        <f t="shared" si="75"/>
        <v>0</v>
      </c>
      <c r="CF32" s="375">
        <f t="shared" si="239"/>
        <v>0</v>
      </c>
      <c r="CG32" s="7">
        <f t="shared" si="76"/>
        <v>0</v>
      </c>
      <c r="CH32" s="375"/>
      <c r="CI32" s="7">
        <f t="shared" si="76"/>
        <v>0</v>
      </c>
      <c r="CJ32" s="375"/>
      <c r="CK32" s="7">
        <f t="shared" si="76"/>
        <v>0</v>
      </c>
      <c r="CL32" s="375">
        <f t="shared" si="240"/>
        <v>0</v>
      </c>
      <c r="CM32" s="7">
        <f t="shared" si="76"/>
        <v>0</v>
      </c>
      <c r="CN32" s="375">
        <f t="shared" si="288"/>
        <v>0</v>
      </c>
      <c r="CO32" s="7">
        <f t="shared" si="241"/>
        <v>0</v>
      </c>
      <c r="CP32" s="375">
        <f t="shared" si="242"/>
        <v>0</v>
      </c>
      <c r="CQ32" s="7">
        <f t="shared" si="26"/>
        <v>0</v>
      </c>
      <c r="CR32" s="375">
        <f t="shared" si="243"/>
        <v>0</v>
      </c>
      <c r="CS32" s="7">
        <f t="shared" si="244"/>
        <v>0</v>
      </c>
      <c r="CT32" s="375">
        <f t="shared" si="245"/>
        <v>0</v>
      </c>
      <c r="CU32" s="7">
        <f t="shared" si="199"/>
        <v>0</v>
      </c>
      <c r="CV32" s="375">
        <f t="shared" si="246"/>
        <v>0</v>
      </c>
      <c r="CW32" s="7">
        <f t="shared" si="80"/>
        <v>0</v>
      </c>
      <c r="CX32" s="375">
        <f t="shared" si="247"/>
        <v>0</v>
      </c>
      <c r="CY32" s="7">
        <f t="shared" si="30"/>
        <v>0</v>
      </c>
      <c r="CZ32" s="375">
        <f t="shared" si="248"/>
        <v>0</v>
      </c>
      <c r="DA32" s="7">
        <f t="shared" si="81"/>
        <v>0</v>
      </c>
      <c r="DB32" s="375">
        <f t="shared" si="249"/>
        <v>0</v>
      </c>
      <c r="DC32" s="7">
        <f t="shared" si="250"/>
        <v>0</v>
      </c>
      <c r="DD32" s="375"/>
      <c r="DE32" s="7">
        <f t="shared" si="251"/>
        <v>0</v>
      </c>
      <c r="DF32" s="375"/>
      <c r="DG32" s="7">
        <f t="shared" si="252"/>
        <v>0</v>
      </c>
      <c r="DH32" s="375">
        <f t="shared" si="253"/>
        <v>0</v>
      </c>
      <c r="DI32" s="7">
        <f t="shared" si="33"/>
        <v>0</v>
      </c>
      <c r="DJ32" s="375"/>
      <c r="DK32" s="7">
        <f t="shared" si="254"/>
        <v>0</v>
      </c>
      <c r="DL32" s="375"/>
      <c r="DM32" s="7">
        <f t="shared" si="255"/>
        <v>0</v>
      </c>
      <c r="DN32" s="375"/>
      <c r="DO32" s="7">
        <f t="shared" si="256"/>
        <v>0</v>
      </c>
      <c r="DP32" s="375"/>
      <c r="DQ32" s="7">
        <f t="shared" si="257"/>
        <v>0</v>
      </c>
      <c r="DR32" s="375">
        <f t="shared" si="258"/>
        <v>0</v>
      </c>
      <c r="DS32" s="7">
        <f t="shared" si="35"/>
        <v>0</v>
      </c>
      <c r="DT32" s="375">
        <f t="shared" si="259"/>
        <v>0</v>
      </c>
      <c r="DU32" s="7">
        <f t="shared" si="83"/>
        <v>0</v>
      </c>
      <c r="DV32" s="375"/>
      <c r="DW32" s="7">
        <f t="shared" si="260"/>
        <v>0</v>
      </c>
      <c r="DX32" s="375"/>
      <c r="DY32" s="7">
        <f t="shared" si="261"/>
        <v>0</v>
      </c>
      <c r="DZ32" s="375"/>
      <c r="EA32" s="7">
        <f t="shared" si="262"/>
        <v>0</v>
      </c>
      <c r="EB32" s="375">
        <f t="shared" si="263"/>
        <v>0</v>
      </c>
      <c r="EC32" s="7">
        <f t="shared" si="37"/>
        <v>0</v>
      </c>
      <c r="ED32" s="375"/>
      <c r="EE32" s="7">
        <f t="shared" si="85"/>
        <v>0</v>
      </c>
      <c r="EF32" s="375"/>
      <c r="EG32" s="7">
        <f t="shared" si="264"/>
        <v>0</v>
      </c>
      <c r="EH32" s="375"/>
      <c r="EI32" s="7">
        <f t="shared" si="265"/>
        <v>0</v>
      </c>
      <c r="EJ32" s="375"/>
      <c r="EK32" s="7">
        <f t="shared" si="266"/>
        <v>0</v>
      </c>
      <c r="EL32" s="375">
        <f t="shared" si="267"/>
        <v>0</v>
      </c>
      <c r="EM32" s="7">
        <f t="shared" si="39"/>
        <v>0</v>
      </c>
      <c r="EN32" s="375">
        <f t="shared" si="268"/>
        <v>0</v>
      </c>
      <c r="EO32" s="7">
        <f t="shared" si="108"/>
        <v>0</v>
      </c>
      <c r="EP32" s="373"/>
      <c r="EQ32" s="373"/>
      <c r="ER32" s="373"/>
      <c r="ES32" s="373"/>
      <c r="ET32" s="375"/>
      <c r="EU32" s="7">
        <f t="shared" si="269"/>
        <v>0</v>
      </c>
      <c r="EV32" s="375"/>
      <c r="EW32" s="7">
        <f t="shared" si="270"/>
        <v>0</v>
      </c>
      <c r="EX32" s="375"/>
      <c r="EY32" s="7">
        <f t="shared" si="271"/>
        <v>0</v>
      </c>
      <c r="EZ32" s="375">
        <f t="shared" si="272"/>
        <v>0</v>
      </c>
      <c r="FA32" s="7">
        <f t="shared" si="42"/>
        <v>0</v>
      </c>
      <c r="FB32" s="375"/>
      <c r="FC32" s="7">
        <f t="shared" si="273"/>
        <v>0</v>
      </c>
      <c r="FD32" s="375"/>
      <c r="FE32" s="7">
        <f t="shared" si="200"/>
        <v>0</v>
      </c>
      <c r="FF32" s="375"/>
      <c r="FG32" s="7">
        <f t="shared" si="44"/>
        <v>0</v>
      </c>
      <c r="FH32" s="375">
        <f t="shared" si="274"/>
        <v>0</v>
      </c>
      <c r="FI32" s="7">
        <f t="shared" si="46"/>
        <v>0</v>
      </c>
      <c r="FJ32" s="375">
        <f t="shared" si="275"/>
        <v>0</v>
      </c>
      <c r="FK32" s="7">
        <f t="shared" si="89"/>
        <v>0</v>
      </c>
      <c r="FL32" s="375"/>
      <c r="FM32" s="7">
        <f t="shared" si="276"/>
        <v>0</v>
      </c>
      <c r="FN32" s="375"/>
      <c r="FO32" s="7">
        <f t="shared" si="48"/>
        <v>0</v>
      </c>
      <c r="FP32" s="375"/>
      <c r="FQ32" s="7">
        <f t="shared" si="49"/>
        <v>0</v>
      </c>
      <c r="FR32" s="375">
        <f t="shared" si="277"/>
        <v>0</v>
      </c>
      <c r="FS32" s="7">
        <f t="shared" si="51"/>
        <v>0</v>
      </c>
      <c r="FT32" s="375">
        <f t="shared" si="278"/>
        <v>0</v>
      </c>
      <c r="FU32" s="7">
        <f t="shared" si="90"/>
        <v>0</v>
      </c>
      <c r="FV32" s="375"/>
      <c r="FW32" s="7">
        <f t="shared" si="279"/>
        <v>0</v>
      </c>
      <c r="FX32" s="375"/>
      <c r="FY32" s="7">
        <f t="shared" si="53"/>
        <v>0</v>
      </c>
      <c r="FZ32" s="375"/>
      <c r="GA32" s="7">
        <f t="shared" si="54"/>
        <v>0</v>
      </c>
      <c r="GB32" s="375">
        <f t="shared" si="280"/>
        <v>0</v>
      </c>
      <c r="GC32" s="7">
        <f t="shared" si="56"/>
        <v>0</v>
      </c>
      <c r="GD32" s="375">
        <f t="shared" si="281"/>
        <v>0</v>
      </c>
      <c r="GE32" s="7">
        <f t="shared" si="91"/>
        <v>0</v>
      </c>
      <c r="GF32" s="566">
        <f t="shared" si="282"/>
        <v>0</v>
      </c>
      <c r="GG32" s="525">
        <f t="shared" si="58"/>
        <v>0</v>
      </c>
      <c r="GH32" s="528">
        <f t="shared" si="283"/>
        <v>0</v>
      </c>
      <c r="GI32" s="525">
        <f t="shared" si="60"/>
        <v>0</v>
      </c>
      <c r="GJ32" s="528"/>
      <c r="GK32" s="525">
        <f t="shared" si="61"/>
        <v>0</v>
      </c>
      <c r="GL32" s="528">
        <f t="shared" si="284"/>
        <v>0</v>
      </c>
      <c r="GM32" s="565">
        <f t="shared" si="92"/>
        <v>0</v>
      </c>
      <c r="GO32" s="586"/>
      <c r="GQ32" s="586"/>
      <c r="GT32" s="551">
        <f t="shared" si="182"/>
        <v>0</v>
      </c>
      <c r="GU32" s="551">
        <f t="shared" si="94"/>
        <v>0</v>
      </c>
      <c r="GV32" s="550">
        <f t="shared" si="63"/>
        <v>0</v>
      </c>
      <c r="GW32" s="527"/>
      <c r="GX32" s="525">
        <f t="shared" si="285"/>
        <v>0</v>
      </c>
      <c r="GY32" s="528"/>
      <c r="GZ32" s="525">
        <f t="shared" si="286"/>
        <v>0</v>
      </c>
      <c r="HA32" s="528"/>
      <c r="HB32" s="526">
        <f t="shared" si="287"/>
        <v>0</v>
      </c>
      <c r="HD32" s="527"/>
      <c r="HE32" s="525">
        <v>0</v>
      </c>
      <c r="HF32" s="528"/>
      <c r="HG32" s="525">
        <v>0</v>
      </c>
      <c r="HH32" s="528"/>
      <c r="HI32" s="526">
        <v>0</v>
      </c>
    </row>
    <row r="33" spans="1:217" ht="15" customHeight="1" outlineLevel="1">
      <c r="A33" s="386" t="s">
        <v>33</v>
      </c>
      <c r="B33" s="386" t="s">
        <v>34</v>
      </c>
      <c r="C33" s="375">
        <v>0</v>
      </c>
      <c r="D33" s="4"/>
      <c r="E33" s="375">
        <v>0</v>
      </c>
      <c r="F33" s="4"/>
      <c r="G33" s="375"/>
      <c r="H33" s="375"/>
      <c r="I33" s="4"/>
      <c r="J33" s="375"/>
      <c r="K33" s="375"/>
      <c r="L33" s="4"/>
      <c r="M33" s="375"/>
      <c r="N33" s="375">
        <v>0</v>
      </c>
      <c r="O33" s="4"/>
      <c r="P33" s="375">
        <f t="shared" si="13"/>
        <v>0</v>
      </c>
      <c r="Q33" s="375">
        <f t="shared" si="13"/>
        <v>0</v>
      </c>
      <c r="R33" s="7">
        <f t="shared" si="64"/>
        <v>0</v>
      </c>
      <c r="S33" s="375"/>
      <c r="T33" s="375"/>
      <c r="U33" s="4"/>
      <c r="V33" s="375"/>
      <c r="W33" s="375"/>
      <c r="X33" s="4"/>
      <c r="Y33" s="375"/>
      <c r="Z33" s="375"/>
      <c r="AA33" s="4"/>
      <c r="AB33" s="375">
        <f t="shared" si="224"/>
        <v>0</v>
      </c>
      <c r="AC33" s="375">
        <f t="shared" si="225"/>
        <v>0</v>
      </c>
      <c r="AD33" s="7">
        <f t="shared" si="65"/>
        <v>0</v>
      </c>
      <c r="AE33" s="375">
        <f t="shared" si="226"/>
        <v>0</v>
      </c>
      <c r="AF33" s="375">
        <f t="shared" si="227"/>
        <v>0</v>
      </c>
      <c r="AG33" s="4"/>
      <c r="AH33" s="375"/>
      <c r="AI33" s="375"/>
      <c r="AJ33" s="4"/>
      <c r="AK33" s="375"/>
      <c r="AL33" s="375"/>
      <c r="AM33" s="4"/>
      <c r="AN33" s="375"/>
      <c r="AO33" s="375"/>
      <c r="AP33" s="4"/>
      <c r="AQ33" s="375">
        <f t="shared" si="228"/>
        <v>0</v>
      </c>
      <c r="AR33" s="375">
        <f t="shared" si="229"/>
        <v>0</v>
      </c>
      <c r="AS33" s="7">
        <f t="shared" si="68"/>
        <v>0</v>
      </c>
      <c r="AT33" s="375">
        <f t="shared" si="230"/>
        <v>0</v>
      </c>
      <c r="AU33" s="4"/>
      <c r="AV33" s="375"/>
      <c r="AW33" s="375"/>
      <c r="AX33" s="4"/>
      <c r="AY33" s="375"/>
      <c r="AZ33" s="375"/>
      <c r="BA33" s="4"/>
      <c r="BB33" s="375"/>
      <c r="BC33" s="375"/>
      <c r="BD33" s="448"/>
      <c r="BE33" s="375">
        <f t="shared" si="231"/>
        <v>0</v>
      </c>
      <c r="BF33" s="375">
        <f t="shared" si="232"/>
        <v>0</v>
      </c>
      <c r="BG33" s="7">
        <f t="shared" si="71"/>
        <v>0</v>
      </c>
      <c r="BH33" s="375">
        <f t="shared" si="233"/>
        <v>0</v>
      </c>
      <c r="BI33" s="388">
        <f t="shared" si="234"/>
        <v>0</v>
      </c>
      <c r="BJ33" s="7">
        <f t="shared" si="72"/>
        <v>0</v>
      </c>
      <c r="BK33" s="375">
        <v>0</v>
      </c>
      <c r="BL33" s="282"/>
      <c r="BN33" s="375"/>
      <c r="BO33" s="4"/>
      <c r="BP33" s="375"/>
      <c r="BQ33" s="4"/>
      <c r="BR33" s="375"/>
      <c r="BS33" s="4"/>
      <c r="BT33" s="375">
        <f t="shared" si="235"/>
        <v>0</v>
      </c>
      <c r="BU33" s="7">
        <f t="shared" si="73"/>
        <v>0</v>
      </c>
      <c r="BV33" s="375"/>
      <c r="BW33" s="7"/>
      <c r="BX33" s="375"/>
      <c r="BY33" s="7"/>
      <c r="BZ33" s="375">
        <f t="shared" si="236"/>
        <v>0</v>
      </c>
      <c r="CA33" s="7"/>
      <c r="CB33" s="375">
        <f t="shared" si="237"/>
        <v>0</v>
      </c>
      <c r="CC33" s="7">
        <f t="shared" si="158"/>
        <v>0</v>
      </c>
      <c r="CD33" s="375">
        <f t="shared" si="238"/>
        <v>0</v>
      </c>
      <c r="CE33" s="7">
        <f t="shared" si="75"/>
        <v>0</v>
      </c>
      <c r="CF33" s="375">
        <f t="shared" si="239"/>
        <v>0</v>
      </c>
      <c r="CG33" s="7">
        <f t="shared" si="76"/>
        <v>0</v>
      </c>
      <c r="CH33" s="375"/>
      <c r="CI33" s="7">
        <f t="shared" si="76"/>
        <v>0</v>
      </c>
      <c r="CJ33" s="375"/>
      <c r="CK33" s="7">
        <f t="shared" si="76"/>
        <v>0</v>
      </c>
      <c r="CL33" s="375">
        <f t="shared" si="240"/>
        <v>0</v>
      </c>
      <c r="CM33" s="7">
        <f t="shared" si="76"/>
        <v>0</v>
      </c>
      <c r="CN33" s="375">
        <f t="shared" si="288"/>
        <v>0</v>
      </c>
      <c r="CO33" s="7">
        <f t="shared" si="241"/>
        <v>0</v>
      </c>
      <c r="CP33" s="375">
        <f t="shared" si="242"/>
        <v>0</v>
      </c>
      <c r="CQ33" s="7">
        <f t="shared" si="26"/>
        <v>0</v>
      </c>
      <c r="CR33" s="375">
        <f t="shared" si="243"/>
        <v>0</v>
      </c>
      <c r="CS33" s="7">
        <f t="shared" si="244"/>
        <v>0</v>
      </c>
      <c r="CT33" s="375">
        <f t="shared" si="245"/>
        <v>0</v>
      </c>
      <c r="CU33" s="7">
        <f t="shared" si="199"/>
        <v>0</v>
      </c>
      <c r="CV33" s="375">
        <f t="shared" si="246"/>
        <v>0</v>
      </c>
      <c r="CW33" s="7">
        <f t="shared" si="80"/>
        <v>0</v>
      </c>
      <c r="CX33" s="375">
        <f t="shared" si="247"/>
        <v>0</v>
      </c>
      <c r="CY33" s="7">
        <f t="shared" si="30"/>
        <v>0</v>
      </c>
      <c r="CZ33" s="375">
        <f t="shared" si="248"/>
        <v>0</v>
      </c>
      <c r="DA33" s="7">
        <f t="shared" si="81"/>
        <v>0</v>
      </c>
      <c r="DB33" s="375">
        <f t="shared" si="249"/>
        <v>0</v>
      </c>
      <c r="DC33" s="7">
        <f t="shared" si="250"/>
        <v>0</v>
      </c>
      <c r="DD33" s="375"/>
      <c r="DE33" s="7">
        <f t="shared" si="251"/>
        <v>0</v>
      </c>
      <c r="DF33" s="375"/>
      <c r="DG33" s="7">
        <f t="shared" si="252"/>
        <v>0</v>
      </c>
      <c r="DH33" s="375">
        <f t="shared" si="253"/>
        <v>0</v>
      </c>
      <c r="DI33" s="7">
        <f t="shared" si="33"/>
        <v>0</v>
      </c>
      <c r="DJ33" s="375"/>
      <c r="DK33" s="7">
        <f t="shared" si="254"/>
        <v>0</v>
      </c>
      <c r="DL33" s="375"/>
      <c r="DM33" s="7">
        <f t="shared" si="255"/>
        <v>0</v>
      </c>
      <c r="DN33" s="375"/>
      <c r="DO33" s="7">
        <f t="shared" si="256"/>
        <v>0</v>
      </c>
      <c r="DP33" s="375"/>
      <c r="DQ33" s="7">
        <f t="shared" si="257"/>
        <v>0</v>
      </c>
      <c r="DR33" s="375">
        <f t="shared" si="258"/>
        <v>0</v>
      </c>
      <c r="DS33" s="7">
        <f t="shared" si="35"/>
        <v>0</v>
      </c>
      <c r="DT33" s="375">
        <f t="shared" si="259"/>
        <v>0</v>
      </c>
      <c r="DU33" s="7">
        <f t="shared" si="83"/>
        <v>0</v>
      </c>
      <c r="DV33" s="375"/>
      <c r="DW33" s="7">
        <f t="shared" si="260"/>
        <v>0</v>
      </c>
      <c r="DX33" s="375"/>
      <c r="DY33" s="7">
        <f t="shared" si="261"/>
        <v>0</v>
      </c>
      <c r="DZ33" s="375"/>
      <c r="EA33" s="7">
        <f t="shared" si="262"/>
        <v>0</v>
      </c>
      <c r="EB33" s="375">
        <f t="shared" si="263"/>
        <v>0</v>
      </c>
      <c r="EC33" s="7">
        <f t="shared" si="37"/>
        <v>0</v>
      </c>
      <c r="ED33" s="375"/>
      <c r="EE33" s="7">
        <f t="shared" si="85"/>
        <v>0</v>
      </c>
      <c r="EF33" s="375"/>
      <c r="EG33" s="7">
        <f t="shared" si="264"/>
        <v>0</v>
      </c>
      <c r="EH33" s="375"/>
      <c r="EI33" s="7">
        <f t="shared" si="265"/>
        <v>0</v>
      </c>
      <c r="EJ33" s="375"/>
      <c r="EK33" s="7">
        <f t="shared" si="266"/>
        <v>0</v>
      </c>
      <c r="EL33" s="375">
        <f t="shared" si="267"/>
        <v>0</v>
      </c>
      <c r="EM33" s="7">
        <f t="shared" si="39"/>
        <v>0</v>
      </c>
      <c r="EN33" s="375">
        <f t="shared" si="268"/>
        <v>0</v>
      </c>
      <c r="EO33" s="7">
        <f t="shared" si="108"/>
        <v>0</v>
      </c>
      <c r="EP33" s="373"/>
      <c r="EQ33" s="373"/>
      <c r="ER33" s="373"/>
      <c r="ES33" s="373"/>
      <c r="ET33" s="375"/>
      <c r="EU33" s="7">
        <f t="shared" si="269"/>
        <v>0</v>
      </c>
      <c r="EV33" s="375"/>
      <c r="EW33" s="7">
        <f t="shared" si="270"/>
        <v>0</v>
      </c>
      <c r="EX33" s="375"/>
      <c r="EY33" s="7">
        <f t="shared" si="271"/>
        <v>0</v>
      </c>
      <c r="EZ33" s="375">
        <f t="shared" si="272"/>
        <v>0</v>
      </c>
      <c r="FA33" s="7">
        <f t="shared" si="42"/>
        <v>0</v>
      </c>
      <c r="FB33" s="375"/>
      <c r="FC33" s="7">
        <f t="shared" si="273"/>
        <v>0</v>
      </c>
      <c r="FD33" s="375"/>
      <c r="FE33" s="7">
        <f t="shared" si="200"/>
        <v>0</v>
      </c>
      <c r="FF33" s="375"/>
      <c r="FG33" s="7">
        <f t="shared" si="44"/>
        <v>0</v>
      </c>
      <c r="FH33" s="375">
        <f t="shared" si="274"/>
        <v>0</v>
      </c>
      <c r="FI33" s="7">
        <f t="shared" si="46"/>
        <v>0</v>
      </c>
      <c r="FJ33" s="375">
        <f t="shared" si="275"/>
        <v>0</v>
      </c>
      <c r="FK33" s="7">
        <f t="shared" si="89"/>
        <v>0</v>
      </c>
      <c r="FL33" s="375"/>
      <c r="FM33" s="7">
        <f t="shared" si="276"/>
        <v>0</v>
      </c>
      <c r="FN33" s="375"/>
      <c r="FO33" s="7">
        <f t="shared" si="48"/>
        <v>0</v>
      </c>
      <c r="FP33" s="375"/>
      <c r="FQ33" s="7">
        <f t="shared" si="49"/>
        <v>0</v>
      </c>
      <c r="FR33" s="375">
        <f t="shared" si="277"/>
        <v>0</v>
      </c>
      <c r="FS33" s="7">
        <f t="shared" si="51"/>
        <v>0</v>
      </c>
      <c r="FT33" s="375">
        <f t="shared" si="278"/>
        <v>0</v>
      </c>
      <c r="FU33" s="7">
        <f t="shared" si="90"/>
        <v>0</v>
      </c>
      <c r="FV33" s="375"/>
      <c r="FW33" s="7">
        <f t="shared" si="279"/>
        <v>0</v>
      </c>
      <c r="FX33" s="375"/>
      <c r="FY33" s="7">
        <f t="shared" si="53"/>
        <v>0</v>
      </c>
      <c r="FZ33" s="375"/>
      <c r="GA33" s="7">
        <f t="shared" si="54"/>
        <v>0</v>
      </c>
      <c r="GB33" s="375">
        <f t="shared" si="280"/>
        <v>0</v>
      </c>
      <c r="GC33" s="7">
        <f t="shared" si="56"/>
        <v>0</v>
      </c>
      <c r="GD33" s="375">
        <f t="shared" si="281"/>
        <v>0</v>
      </c>
      <c r="GE33" s="7">
        <f t="shared" si="91"/>
        <v>0</v>
      </c>
      <c r="GF33" s="566">
        <f t="shared" si="282"/>
        <v>0</v>
      </c>
      <c r="GG33" s="525">
        <f t="shared" si="58"/>
        <v>0</v>
      </c>
      <c r="GH33" s="528">
        <f t="shared" si="283"/>
        <v>0</v>
      </c>
      <c r="GI33" s="525">
        <f t="shared" si="60"/>
        <v>0</v>
      </c>
      <c r="GJ33" s="528"/>
      <c r="GK33" s="525">
        <f t="shared" si="61"/>
        <v>0</v>
      </c>
      <c r="GL33" s="528">
        <f t="shared" si="284"/>
        <v>0</v>
      </c>
      <c r="GM33" s="565">
        <f t="shared" si="92"/>
        <v>0</v>
      </c>
      <c r="GO33" s="586"/>
      <c r="GQ33" s="586"/>
      <c r="GT33" s="551">
        <f t="shared" si="182"/>
        <v>0</v>
      </c>
      <c r="GU33" s="551">
        <f t="shared" si="94"/>
        <v>0</v>
      </c>
      <c r="GV33" s="550">
        <f t="shared" si="63"/>
        <v>0</v>
      </c>
      <c r="GW33" s="527"/>
      <c r="GX33" s="525">
        <f t="shared" si="285"/>
        <v>0</v>
      </c>
      <c r="GY33" s="528"/>
      <c r="GZ33" s="525">
        <f t="shared" si="286"/>
        <v>0</v>
      </c>
      <c r="HA33" s="528"/>
      <c r="HB33" s="526">
        <f t="shared" si="287"/>
        <v>0</v>
      </c>
      <c r="HD33" s="527"/>
      <c r="HE33" s="525">
        <v>0</v>
      </c>
      <c r="HF33" s="528"/>
      <c r="HG33" s="525">
        <v>0</v>
      </c>
      <c r="HH33" s="528"/>
      <c r="HI33" s="526">
        <v>0</v>
      </c>
    </row>
    <row r="34" spans="1:217" ht="15" customHeight="1" outlineLevel="1">
      <c r="A34" s="386" t="s">
        <v>33</v>
      </c>
      <c r="B34" s="386" t="s">
        <v>35</v>
      </c>
      <c r="C34" s="375">
        <v>0</v>
      </c>
      <c r="D34" s="4"/>
      <c r="E34" s="375">
        <v>0</v>
      </c>
      <c r="F34" s="4"/>
      <c r="G34" s="375"/>
      <c r="H34" s="375"/>
      <c r="I34" s="4"/>
      <c r="J34" s="375"/>
      <c r="K34" s="375"/>
      <c r="L34" s="4"/>
      <c r="M34" s="375"/>
      <c r="N34" s="375">
        <v>0</v>
      </c>
      <c r="O34" s="4"/>
      <c r="P34" s="375">
        <f t="shared" si="13"/>
        <v>0</v>
      </c>
      <c r="Q34" s="375">
        <f t="shared" si="13"/>
        <v>0</v>
      </c>
      <c r="R34" s="7">
        <f t="shared" si="64"/>
        <v>0</v>
      </c>
      <c r="S34" s="375"/>
      <c r="T34" s="375"/>
      <c r="U34" s="4"/>
      <c r="V34" s="375"/>
      <c r="W34" s="375"/>
      <c r="X34" s="4"/>
      <c r="Y34" s="375"/>
      <c r="Z34" s="375"/>
      <c r="AA34" s="4"/>
      <c r="AB34" s="375">
        <f t="shared" si="224"/>
        <v>0</v>
      </c>
      <c r="AC34" s="375">
        <f t="shared" si="225"/>
        <v>0</v>
      </c>
      <c r="AD34" s="7">
        <f t="shared" si="65"/>
        <v>0</v>
      </c>
      <c r="AE34" s="375">
        <f t="shared" si="226"/>
        <v>0</v>
      </c>
      <c r="AF34" s="375">
        <f t="shared" si="227"/>
        <v>0</v>
      </c>
      <c r="AG34" s="4"/>
      <c r="AH34" s="375"/>
      <c r="AI34" s="375"/>
      <c r="AJ34" s="4"/>
      <c r="AK34" s="375"/>
      <c r="AL34" s="375"/>
      <c r="AM34" s="4"/>
      <c r="AN34" s="375"/>
      <c r="AO34" s="375"/>
      <c r="AP34" s="4"/>
      <c r="AQ34" s="375">
        <f t="shared" si="228"/>
        <v>0</v>
      </c>
      <c r="AR34" s="375">
        <f t="shared" si="229"/>
        <v>0</v>
      </c>
      <c r="AS34" s="7">
        <f t="shared" si="68"/>
        <v>0</v>
      </c>
      <c r="AT34" s="375">
        <f t="shared" si="230"/>
        <v>0</v>
      </c>
      <c r="AU34" s="4"/>
      <c r="AV34" s="375"/>
      <c r="AW34" s="375"/>
      <c r="AX34" s="4"/>
      <c r="AY34" s="375"/>
      <c r="AZ34" s="375"/>
      <c r="BA34" s="4"/>
      <c r="BB34" s="375"/>
      <c r="BC34" s="375"/>
      <c r="BD34" s="448"/>
      <c r="BE34" s="375">
        <f t="shared" si="231"/>
        <v>0</v>
      </c>
      <c r="BF34" s="375">
        <f t="shared" si="232"/>
        <v>0</v>
      </c>
      <c r="BG34" s="7">
        <f t="shared" si="71"/>
        <v>0</v>
      </c>
      <c r="BH34" s="375">
        <f t="shared" si="233"/>
        <v>0</v>
      </c>
      <c r="BI34" s="388">
        <f t="shared" si="234"/>
        <v>0</v>
      </c>
      <c r="BJ34" s="7">
        <f t="shared" si="72"/>
        <v>0</v>
      </c>
      <c r="BK34" s="375">
        <v>0</v>
      </c>
      <c r="BL34" s="282"/>
      <c r="BN34" s="375"/>
      <c r="BO34" s="4"/>
      <c r="BP34" s="375"/>
      <c r="BQ34" s="4"/>
      <c r="BR34" s="375"/>
      <c r="BS34" s="4"/>
      <c r="BT34" s="375">
        <f t="shared" si="235"/>
        <v>0</v>
      </c>
      <c r="BU34" s="7">
        <f t="shared" si="73"/>
        <v>0</v>
      </c>
      <c r="BV34" s="375"/>
      <c r="BW34" s="7"/>
      <c r="BX34" s="375"/>
      <c r="BY34" s="7"/>
      <c r="BZ34" s="375">
        <f t="shared" si="236"/>
        <v>0</v>
      </c>
      <c r="CA34" s="7"/>
      <c r="CB34" s="375">
        <f t="shared" si="237"/>
        <v>0</v>
      </c>
      <c r="CC34" s="7">
        <f t="shared" si="158"/>
        <v>0</v>
      </c>
      <c r="CD34" s="375">
        <f t="shared" si="238"/>
        <v>0</v>
      </c>
      <c r="CE34" s="7">
        <f t="shared" si="75"/>
        <v>0</v>
      </c>
      <c r="CF34" s="375">
        <f t="shared" si="239"/>
        <v>0</v>
      </c>
      <c r="CG34" s="7">
        <f t="shared" si="76"/>
        <v>0</v>
      </c>
      <c r="CH34" s="375"/>
      <c r="CI34" s="7">
        <f t="shared" si="76"/>
        <v>0</v>
      </c>
      <c r="CJ34" s="375"/>
      <c r="CK34" s="7">
        <f t="shared" si="76"/>
        <v>0</v>
      </c>
      <c r="CL34" s="375">
        <f t="shared" si="240"/>
        <v>0</v>
      </c>
      <c r="CM34" s="7">
        <f t="shared" si="76"/>
        <v>0</v>
      </c>
      <c r="CN34" s="375">
        <f t="shared" si="288"/>
        <v>0</v>
      </c>
      <c r="CO34" s="7">
        <f t="shared" si="241"/>
        <v>0</v>
      </c>
      <c r="CP34" s="375">
        <f t="shared" si="242"/>
        <v>0</v>
      </c>
      <c r="CQ34" s="7">
        <f t="shared" si="26"/>
        <v>0</v>
      </c>
      <c r="CR34" s="375">
        <f t="shared" si="243"/>
        <v>0</v>
      </c>
      <c r="CS34" s="7">
        <f t="shared" si="244"/>
        <v>0</v>
      </c>
      <c r="CT34" s="375">
        <f t="shared" si="245"/>
        <v>0</v>
      </c>
      <c r="CU34" s="7">
        <f t="shared" si="199"/>
        <v>0</v>
      </c>
      <c r="CV34" s="375">
        <f t="shared" si="246"/>
        <v>0</v>
      </c>
      <c r="CW34" s="7">
        <f t="shared" si="80"/>
        <v>0</v>
      </c>
      <c r="CX34" s="375">
        <f t="shared" si="247"/>
        <v>0</v>
      </c>
      <c r="CY34" s="7">
        <f t="shared" si="30"/>
        <v>0</v>
      </c>
      <c r="CZ34" s="375">
        <f t="shared" si="248"/>
        <v>0</v>
      </c>
      <c r="DA34" s="7">
        <f t="shared" si="81"/>
        <v>0</v>
      </c>
      <c r="DB34" s="375">
        <f t="shared" si="249"/>
        <v>0</v>
      </c>
      <c r="DC34" s="7">
        <f t="shared" si="250"/>
        <v>0</v>
      </c>
      <c r="DD34" s="375"/>
      <c r="DE34" s="7">
        <f t="shared" si="251"/>
        <v>0</v>
      </c>
      <c r="DF34" s="375"/>
      <c r="DG34" s="7">
        <f t="shared" si="252"/>
        <v>0</v>
      </c>
      <c r="DH34" s="375">
        <f t="shared" si="253"/>
        <v>0</v>
      </c>
      <c r="DI34" s="7">
        <f t="shared" si="33"/>
        <v>0</v>
      </c>
      <c r="DJ34" s="375"/>
      <c r="DK34" s="7">
        <f t="shared" si="254"/>
        <v>0</v>
      </c>
      <c r="DL34" s="375"/>
      <c r="DM34" s="7">
        <f t="shared" si="255"/>
        <v>0</v>
      </c>
      <c r="DN34" s="375"/>
      <c r="DO34" s="7">
        <f t="shared" si="256"/>
        <v>0</v>
      </c>
      <c r="DP34" s="375"/>
      <c r="DQ34" s="7">
        <f t="shared" si="257"/>
        <v>0</v>
      </c>
      <c r="DR34" s="375">
        <f t="shared" si="258"/>
        <v>0</v>
      </c>
      <c r="DS34" s="7">
        <f t="shared" si="35"/>
        <v>0</v>
      </c>
      <c r="DT34" s="375">
        <f t="shared" si="259"/>
        <v>0</v>
      </c>
      <c r="DU34" s="7">
        <f t="shared" si="83"/>
        <v>0</v>
      </c>
      <c r="DV34" s="375"/>
      <c r="DW34" s="7">
        <f t="shared" si="260"/>
        <v>0</v>
      </c>
      <c r="DX34" s="375"/>
      <c r="DY34" s="7">
        <f t="shared" si="261"/>
        <v>0</v>
      </c>
      <c r="DZ34" s="375"/>
      <c r="EA34" s="7">
        <f t="shared" si="262"/>
        <v>0</v>
      </c>
      <c r="EB34" s="375">
        <f t="shared" si="263"/>
        <v>0</v>
      </c>
      <c r="EC34" s="7">
        <f t="shared" si="37"/>
        <v>0</v>
      </c>
      <c r="ED34" s="375"/>
      <c r="EE34" s="7">
        <f t="shared" si="85"/>
        <v>0</v>
      </c>
      <c r="EF34" s="375"/>
      <c r="EG34" s="7">
        <f t="shared" si="264"/>
        <v>0</v>
      </c>
      <c r="EH34" s="375"/>
      <c r="EI34" s="7">
        <f t="shared" si="265"/>
        <v>0</v>
      </c>
      <c r="EJ34" s="375"/>
      <c r="EK34" s="7">
        <f t="shared" si="266"/>
        <v>0</v>
      </c>
      <c r="EL34" s="375">
        <f t="shared" si="267"/>
        <v>0</v>
      </c>
      <c r="EM34" s="7">
        <f t="shared" si="39"/>
        <v>0</v>
      </c>
      <c r="EN34" s="375">
        <f t="shared" si="268"/>
        <v>0</v>
      </c>
      <c r="EO34" s="7">
        <f t="shared" si="108"/>
        <v>0</v>
      </c>
      <c r="EP34" s="373"/>
      <c r="EQ34" s="373"/>
      <c r="ER34" s="373"/>
      <c r="ES34" s="373"/>
      <c r="ET34" s="375"/>
      <c r="EU34" s="7">
        <f t="shared" si="269"/>
        <v>0</v>
      </c>
      <c r="EV34" s="375"/>
      <c r="EW34" s="7">
        <f t="shared" si="270"/>
        <v>0</v>
      </c>
      <c r="EX34" s="375"/>
      <c r="EY34" s="7">
        <f t="shared" si="271"/>
        <v>0</v>
      </c>
      <c r="EZ34" s="375">
        <f t="shared" si="272"/>
        <v>0</v>
      </c>
      <c r="FA34" s="7">
        <f t="shared" si="42"/>
        <v>0</v>
      </c>
      <c r="FB34" s="375"/>
      <c r="FC34" s="7">
        <f t="shared" si="273"/>
        <v>0</v>
      </c>
      <c r="FD34" s="375"/>
      <c r="FE34" s="7">
        <f t="shared" si="200"/>
        <v>0</v>
      </c>
      <c r="FF34" s="375"/>
      <c r="FG34" s="7">
        <f t="shared" si="44"/>
        <v>0</v>
      </c>
      <c r="FH34" s="375">
        <f t="shared" si="274"/>
        <v>0</v>
      </c>
      <c r="FI34" s="7">
        <f t="shared" si="46"/>
        <v>0</v>
      </c>
      <c r="FJ34" s="375">
        <f t="shared" si="275"/>
        <v>0</v>
      </c>
      <c r="FK34" s="7">
        <f t="shared" si="89"/>
        <v>0</v>
      </c>
      <c r="FL34" s="375"/>
      <c r="FM34" s="7">
        <f t="shared" si="276"/>
        <v>0</v>
      </c>
      <c r="FN34" s="375"/>
      <c r="FO34" s="7">
        <f t="shared" si="48"/>
        <v>0</v>
      </c>
      <c r="FP34" s="375"/>
      <c r="FQ34" s="7">
        <f t="shared" si="49"/>
        <v>0</v>
      </c>
      <c r="FR34" s="375">
        <f t="shared" si="277"/>
        <v>0</v>
      </c>
      <c r="FS34" s="7">
        <f t="shared" si="51"/>
        <v>0</v>
      </c>
      <c r="FT34" s="375">
        <f t="shared" si="278"/>
        <v>0</v>
      </c>
      <c r="FU34" s="7">
        <f t="shared" si="90"/>
        <v>0</v>
      </c>
      <c r="FV34" s="375"/>
      <c r="FW34" s="7">
        <f t="shared" si="279"/>
        <v>0</v>
      </c>
      <c r="FX34" s="375"/>
      <c r="FY34" s="7">
        <f t="shared" si="53"/>
        <v>0</v>
      </c>
      <c r="FZ34" s="375"/>
      <c r="GA34" s="7">
        <f t="shared" si="54"/>
        <v>0</v>
      </c>
      <c r="GB34" s="375">
        <f t="shared" si="280"/>
        <v>0</v>
      </c>
      <c r="GC34" s="7">
        <f t="shared" si="56"/>
        <v>0</v>
      </c>
      <c r="GD34" s="375">
        <f t="shared" si="281"/>
        <v>0</v>
      </c>
      <c r="GE34" s="7">
        <f t="shared" si="91"/>
        <v>0</v>
      </c>
      <c r="GF34" s="566">
        <f t="shared" si="282"/>
        <v>0</v>
      </c>
      <c r="GG34" s="525">
        <f t="shared" si="58"/>
        <v>0</v>
      </c>
      <c r="GH34" s="528">
        <f t="shared" si="283"/>
        <v>0</v>
      </c>
      <c r="GI34" s="525">
        <f t="shared" si="60"/>
        <v>0</v>
      </c>
      <c r="GJ34" s="528"/>
      <c r="GK34" s="525">
        <f t="shared" si="61"/>
        <v>0</v>
      </c>
      <c r="GL34" s="528">
        <f t="shared" si="284"/>
        <v>0</v>
      </c>
      <c r="GM34" s="565">
        <f t="shared" si="92"/>
        <v>0</v>
      </c>
      <c r="GO34" s="586"/>
      <c r="GQ34" s="586"/>
      <c r="GT34" s="551">
        <f t="shared" si="182"/>
        <v>0</v>
      </c>
      <c r="GU34" s="551">
        <f t="shared" si="94"/>
        <v>0</v>
      </c>
      <c r="GV34" s="550">
        <f t="shared" si="63"/>
        <v>0</v>
      </c>
      <c r="GW34" s="527"/>
      <c r="GX34" s="525">
        <f t="shared" si="285"/>
        <v>0</v>
      </c>
      <c r="GY34" s="528"/>
      <c r="GZ34" s="525">
        <f t="shared" si="286"/>
        <v>0</v>
      </c>
      <c r="HA34" s="528"/>
      <c r="HB34" s="526">
        <f t="shared" si="287"/>
        <v>0</v>
      </c>
      <c r="HD34" s="527"/>
      <c r="HE34" s="525">
        <v>0</v>
      </c>
      <c r="HF34" s="528"/>
      <c r="HG34" s="525">
        <v>0</v>
      </c>
      <c r="HH34" s="528"/>
      <c r="HI34" s="526">
        <v>0</v>
      </c>
    </row>
    <row r="35" spans="1:217" ht="15" customHeight="1" outlineLevel="1">
      <c r="A35" s="386" t="s">
        <v>33</v>
      </c>
      <c r="B35" s="386" t="s">
        <v>36</v>
      </c>
      <c r="C35" s="375">
        <v>0</v>
      </c>
      <c r="D35" s="4"/>
      <c r="E35" s="375">
        <v>0</v>
      </c>
      <c r="F35" s="4"/>
      <c r="G35" s="375"/>
      <c r="H35" s="375"/>
      <c r="I35" s="4"/>
      <c r="J35" s="375"/>
      <c r="K35" s="375"/>
      <c r="L35" s="4"/>
      <c r="M35" s="375"/>
      <c r="N35" s="375">
        <v>0</v>
      </c>
      <c r="O35" s="4"/>
      <c r="P35" s="375">
        <f t="shared" si="13"/>
        <v>0</v>
      </c>
      <c r="Q35" s="375">
        <f t="shared" si="13"/>
        <v>0</v>
      </c>
      <c r="R35" s="7">
        <f t="shared" si="64"/>
        <v>0</v>
      </c>
      <c r="S35" s="375"/>
      <c r="T35" s="375"/>
      <c r="U35" s="4"/>
      <c r="V35" s="375"/>
      <c r="W35" s="375"/>
      <c r="X35" s="4"/>
      <c r="Y35" s="375"/>
      <c r="Z35" s="375"/>
      <c r="AA35" s="4"/>
      <c r="AB35" s="375">
        <f t="shared" si="224"/>
        <v>0</v>
      </c>
      <c r="AC35" s="375">
        <f t="shared" si="225"/>
        <v>0</v>
      </c>
      <c r="AD35" s="7">
        <f t="shared" si="65"/>
        <v>0</v>
      </c>
      <c r="AE35" s="375">
        <f t="shared" si="226"/>
        <v>0</v>
      </c>
      <c r="AF35" s="375">
        <f t="shared" si="227"/>
        <v>0</v>
      </c>
      <c r="AG35" s="4"/>
      <c r="AH35" s="375"/>
      <c r="AI35" s="375"/>
      <c r="AJ35" s="4"/>
      <c r="AK35" s="375"/>
      <c r="AL35" s="375"/>
      <c r="AM35" s="4"/>
      <c r="AN35" s="375"/>
      <c r="AO35" s="375"/>
      <c r="AP35" s="4"/>
      <c r="AQ35" s="375">
        <f t="shared" si="228"/>
        <v>0</v>
      </c>
      <c r="AR35" s="375">
        <f t="shared" si="229"/>
        <v>0</v>
      </c>
      <c r="AS35" s="7">
        <f t="shared" si="68"/>
        <v>0</v>
      </c>
      <c r="AT35" s="375">
        <f t="shared" si="230"/>
        <v>0</v>
      </c>
      <c r="AU35" s="4"/>
      <c r="AV35" s="375"/>
      <c r="AW35" s="375"/>
      <c r="AX35" s="4"/>
      <c r="AY35" s="375"/>
      <c r="AZ35" s="375"/>
      <c r="BA35" s="4"/>
      <c r="BB35" s="375"/>
      <c r="BC35" s="375"/>
      <c r="BD35" s="448"/>
      <c r="BE35" s="375">
        <f t="shared" si="231"/>
        <v>0</v>
      </c>
      <c r="BF35" s="375">
        <f t="shared" si="232"/>
        <v>0</v>
      </c>
      <c r="BG35" s="7">
        <f t="shared" si="71"/>
        <v>0</v>
      </c>
      <c r="BH35" s="375">
        <f t="shared" si="233"/>
        <v>0</v>
      </c>
      <c r="BI35" s="388">
        <f t="shared" si="234"/>
        <v>0</v>
      </c>
      <c r="BJ35" s="7">
        <f t="shared" si="72"/>
        <v>0</v>
      </c>
      <c r="BK35" s="375">
        <v>0</v>
      </c>
      <c r="BL35" s="282"/>
      <c r="BN35" s="375"/>
      <c r="BO35" s="4"/>
      <c r="BP35" s="375"/>
      <c r="BQ35" s="4"/>
      <c r="BR35" s="375"/>
      <c r="BS35" s="4"/>
      <c r="BT35" s="375"/>
      <c r="BU35" s="7">
        <f t="shared" si="73"/>
        <v>0</v>
      </c>
      <c r="BV35" s="375"/>
      <c r="BW35" s="7"/>
      <c r="BX35" s="375"/>
      <c r="BY35" s="7"/>
      <c r="BZ35" s="375">
        <f t="shared" si="236"/>
        <v>0</v>
      </c>
      <c r="CA35" s="7"/>
      <c r="CB35" s="375">
        <f t="shared" si="237"/>
        <v>0</v>
      </c>
      <c r="CC35" s="7">
        <f t="shared" si="158"/>
        <v>0</v>
      </c>
      <c r="CD35" s="375">
        <f t="shared" si="238"/>
        <v>0</v>
      </c>
      <c r="CE35" s="7">
        <f t="shared" si="75"/>
        <v>0</v>
      </c>
      <c r="CF35" s="375">
        <f t="shared" si="239"/>
        <v>0</v>
      </c>
      <c r="CG35" s="7">
        <f t="shared" si="76"/>
        <v>0</v>
      </c>
      <c r="CH35" s="375"/>
      <c r="CI35" s="7">
        <f t="shared" si="76"/>
        <v>0</v>
      </c>
      <c r="CJ35" s="375"/>
      <c r="CK35" s="7">
        <f t="shared" si="76"/>
        <v>0</v>
      </c>
      <c r="CL35" s="375">
        <f t="shared" si="240"/>
        <v>0</v>
      </c>
      <c r="CM35" s="7">
        <f t="shared" si="76"/>
        <v>0</v>
      </c>
      <c r="CN35" s="375">
        <f t="shared" si="288"/>
        <v>0</v>
      </c>
      <c r="CO35" s="7">
        <f t="shared" si="241"/>
        <v>0</v>
      </c>
      <c r="CP35" s="375">
        <f t="shared" si="242"/>
        <v>0</v>
      </c>
      <c r="CQ35" s="7">
        <f t="shared" si="26"/>
        <v>0</v>
      </c>
      <c r="CR35" s="375">
        <f t="shared" si="243"/>
        <v>0</v>
      </c>
      <c r="CS35" s="7">
        <f t="shared" si="244"/>
        <v>0</v>
      </c>
      <c r="CT35" s="375">
        <f t="shared" si="245"/>
        <v>0</v>
      </c>
      <c r="CU35" s="7">
        <f t="shared" si="199"/>
        <v>0</v>
      </c>
      <c r="CV35" s="375">
        <f t="shared" si="246"/>
        <v>0</v>
      </c>
      <c r="CW35" s="7">
        <f t="shared" si="80"/>
        <v>0</v>
      </c>
      <c r="CX35" s="375">
        <f t="shared" si="247"/>
        <v>0</v>
      </c>
      <c r="CY35" s="7">
        <f t="shared" si="30"/>
        <v>0</v>
      </c>
      <c r="CZ35" s="375">
        <f t="shared" si="248"/>
        <v>0</v>
      </c>
      <c r="DA35" s="7">
        <f t="shared" si="81"/>
        <v>0</v>
      </c>
      <c r="DB35" s="375">
        <f t="shared" si="249"/>
        <v>0</v>
      </c>
      <c r="DC35" s="7">
        <f t="shared" si="250"/>
        <v>0</v>
      </c>
      <c r="DD35" s="375"/>
      <c r="DE35" s="7">
        <f t="shared" si="251"/>
        <v>0</v>
      </c>
      <c r="DF35" s="375"/>
      <c r="DG35" s="7">
        <f t="shared" si="252"/>
        <v>0</v>
      </c>
      <c r="DH35" s="375">
        <f t="shared" si="253"/>
        <v>0</v>
      </c>
      <c r="DI35" s="7">
        <f t="shared" si="33"/>
        <v>0</v>
      </c>
      <c r="DJ35" s="375"/>
      <c r="DK35" s="7">
        <f t="shared" si="254"/>
        <v>0</v>
      </c>
      <c r="DL35" s="375"/>
      <c r="DM35" s="7">
        <f t="shared" si="255"/>
        <v>0</v>
      </c>
      <c r="DN35" s="375"/>
      <c r="DO35" s="7">
        <f t="shared" si="256"/>
        <v>0</v>
      </c>
      <c r="DP35" s="375"/>
      <c r="DQ35" s="7">
        <f t="shared" si="257"/>
        <v>0</v>
      </c>
      <c r="DR35" s="375">
        <f t="shared" si="258"/>
        <v>0</v>
      </c>
      <c r="DS35" s="7">
        <f t="shared" si="35"/>
        <v>0</v>
      </c>
      <c r="DT35" s="375">
        <f t="shared" si="259"/>
        <v>0</v>
      </c>
      <c r="DU35" s="7">
        <f t="shared" si="83"/>
        <v>0</v>
      </c>
      <c r="DV35" s="375"/>
      <c r="DW35" s="7">
        <f t="shared" si="260"/>
        <v>0</v>
      </c>
      <c r="DX35" s="375"/>
      <c r="DY35" s="7">
        <f t="shared" si="261"/>
        <v>0</v>
      </c>
      <c r="DZ35" s="375"/>
      <c r="EA35" s="7">
        <f t="shared" si="262"/>
        <v>0</v>
      </c>
      <c r="EB35" s="375">
        <f>+DV35+DX35+DZ35</f>
        <v>0</v>
      </c>
      <c r="EC35" s="7">
        <f t="shared" si="37"/>
        <v>0</v>
      </c>
      <c r="ED35" s="375"/>
      <c r="EE35" s="7">
        <f t="shared" si="85"/>
        <v>0</v>
      </c>
      <c r="EF35" s="375"/>
      <c r="EG35" s="7">
        <f t="shared" si="264"/>
        <v>0</v>
      </c>
      <c r="EH35" s="375"/>
      <c r="EI35" s="7">
        <f t="shared" si="265"/>
        <v>0</v>
      </c>
      <c r="EJ35" s="375"/>
      <c r="EK35" s="7">
        <f t="shared" si="266"/>
        <v>0</v>
      </c>
      <c r="EL35" s="375">
        <f>+EF35+EH35+EJ35</f>
        <v>0</v>
      </c>
      <c r="EM35" s="7">
        <f t="shared" si="39"/>
        <v>0</v>
      </c>
      <c r="EN35" s="375">
        <f t="shared" si="268"/>
        <v>0</v>
      </c>
      <c r="EO35" s="7">
        <f t="shared" si="108"/>
        <v>0</v>
      </c>
      <c r="EP35" s="373"/>
      <c r="EQ35" s="373"/>
      <c r="ER35" s="373"/>
      <c r="ES35" s="373"/>
      <c r="ET35" s="375"/>
      <c r="EU35" s="7">
        <f t="shared" si="269"/>
        <v>0</v>
      </c>
      <c r="EV35" s="375"/>
      <c r="EW35" s="7">
        <f t="shared" si="270"/>
        <v>0</v>
      </c>
      <c r="EX35" s="375"/>
      <c r="EY35" s="7">
        <f t="shared" si="271"/>
        <v>0</v>
      </c>
      <c r="EZ35" s="375">
        <f t="shared" si="272"/>
        <v>0</v>
      </c>
      <c r="FA35" s="7">
        <f t="shared" si="42"/>
        <v>0</v>
      </c>
      <c r="FB35" s="375"/>
      <c r="FC35" s="7">
        <f t="shared" si="273"/>
        <v>0</v>
      </c>
      <c r="FD35" s="375"/>
      <c r="FE35" s="7">
        <f t="shared" si="200"/>
        <v>0</v>
      </c>
      <c r="FF35" s="375"/>
      <c r="FG35" s="7">
        <f t="shared" si="44"/>
        <v>0</v>
      </c>
      <c r="FH35" s="375">
        <f t="shared" si="274"/>
        <v>0</v>
      </c>
      <c r="FI35" s="7">
        <f t="shared" si="46"/>
        <v>0</v>
      </c>
      <c r="FJ35" s="375">
        <f t="shared" si="275"/>
        <v>0</v>
      </c>
      <c r="FK35" s="7">
        <f t="shared" si="89"/>
        <v>0</v>
      </c>
      <c r="FL35" s="375"/>
      <c r="FM35" s="7">
        <f t="shared" si="276"/>
        <v>0</v>
      </c>
      <c r="FN35" s="375"/>
      <c r="FO35" s="7">
        <f t="shared" si="48"/>
        <v>0</v>
      </c>
      <c r="FP35" s="375"/>
      <c r="FQ35" s="7">
        <f t="shared" si="49"/>
        <v>0</v>
      </c>
      <c r="FR35" s="375">
        <f t="shared" si="277"/>
        <v>0</v>
      </c>
      <c r="FS35" s="7">
        <f t="shared" si="51"/>
        <v>0</v>
      </c>
      <c r="FT35" s="375">
        <f t="shared" si="278"/>
        <v>0</v>
      </c>
      <c r="FU35" s="7">
        <f t="shared" si="90"/>
        <v>0</v>
      </c>
      <c r="FV35" s="375"/>
      <c r="FW35" s="7">
        <f t="shared" si="279"/>
        <v>0</v>
      </c>
      <c r="FX35" s="375"/>
      <c r="FY35" s="7">
        <f t="shared" si="53"/>
        <v>0</v>
      </c>
      <c r="FZ35" s="375"/>
      <c r="GA35" s="7">
        <f t="shared" si="54"/>
        <v>0</v>
      </c>
      <c r="GB35" s="375">
        <f t="shared" si="280"/>
        <v>0</v>
      </c>
      <c r="GC35" s="7">
        <f t="shared" si="56"/>
        <v>0</v>
      </c>
      <c r="GD35" s="375">
        <f t="shared" si="281"/>
        <v>0</v>
      </c>
      <c r="GE35" s="7">
        <f t="shared" si="91"/>
        <v>0</v>
      </c>
      <c r="GF35" s="566">
        <f t="shared" si="282"/>
        <v>0</v>
      </c>
      <c r="GG35" s="525">
        <f t="shared" si="58"/>
        <v>0</v>
      </c>
      <c r="GH35" s="528">
        <f t="shared" si="283"/>
        <v>0</v>
      </c>
      <c r="GI35" s="525">
        <f t="shared" si="60"/>
        <v>0</v>
      </c>
      <c r="GJ35" s="528"/>
      <c r="GK35" s="525">
        <f t="shared" si="61"/>
        <v>0</v>
      </c>
      <c r="GL35" s="528">
        <f t="shared" si="284"/>
        <v>0</v>
      </c>
      <c r="GM35" s="565">
        <f t="shared" si="92"/>
        <v>0</v>
      </c>
      <c r="GO35" s="586"/>
      <c r="GQ35" s="586"/>
      <c r="GT35" s="551">
        <f t="shared" si="182"/>
        <v>0</v>
      </c>
      <c r="GU35" s="551">
        <f t="shared" si="94"/>
        <v>0</v>
      </c>
      <c r="GV35" s="550">
        <f t="shared" si="63"/>
        <v>0</v>
      </c>
      <c r="GW35" s="527"/>
      <c r="GX35" s="525">
        <f t="shared" si="285"/>
        <v>0</v>
      </c>
      <c r="GY35" s="528"/>
      <c r="GZ35" s="525">
        <f t="shared" si="286"/>
        <v>0</v>
      </c>
      <c r="HA35" s="528"/>
      <c r="HB35" s="526">
        <f t="shared" si="287"/>
        <v>0</v>
      </c>
      <c r="HD35" s="527"/>
      <c r="HE35" s="525">
        <v>0</v>
      </c>
      <c r="HF35" s="528"/>
      <c r="HG35" s="525">
        <v>0</v>
      </c>
      <c r="HH35" s="528"/>
      <c r="HI35" s="526">
        <v>0</v>
      </c>
    </row>
    <row r="36" spans="1:217" ht="15" customHeight="1" outlineLevel="1">
      <c r="A36" s="386" t="s">
        <v>33</v>
      </c>
      <c r="B36" s="386" t="s">
        <v>37</v>
      </c>
      <c r="C36" s="375">
        <v>0</v>
      </c>
      <c r="D36" s="4"/>
      <c r="E36" s="375">
        <v>0</v>
      </c>
      <c r="F36" s="4"/>
      <c r="G36" s="375"/>
      <c r="H36" s="375"/>
      <c r="I36" s="4"/>
      <c r="J36" s="375"/>
      <c r="K36" s="375"/>
      <c r="L36" s="4"/>
      <c r="M36" s="375"/>
      <c r="N36" s="375">
        <v>0</v>
      </c>
      <c r="O36" s="4"/>
      <c r="P36" s="375">
        <f t="shared" si="13"/>
        <v>0</v>
      </c>
      <c r="Q36" s="375">
        <f t="shared" si="13"/>
        <v>0</v>
      </c>
      <c r="R36" s="7">
        <f t="shared" si="64"/>
        <v>0</v>
      </c>
      <c r="S36" s="375"/>
      <c r="T36" s="375"/>
      <c r="U36" s="4"/>
      <c r="V36" s="375"/>
      <c r="W36" s="375"/>
      <c r="X36" s="4"/>
      <c r="Y36" s="375"/>
      <c r="Z36" s="375"/>
      <c r="AA36" s="4"/>
      <c r="AB36" s="375">
        <f t="shared" si="224"/>
        <v>0</v>
      </c>
      <c r="AC36" s="375">
        <f t="shared" si="225"/>
        <v>0</v>
      </c>
      <c r="AD36" s="7">
        <f t="shared" si="65"/>
        <v>0</v>
      </c>
      <c r="AE36" s="375">
        <f t="shared" si="226"/>
        <v>0</v>
      </c>
      <c r="AF36" s="375">
        <f t="shared" si="227"/>
        <v>0</v>
      </c>
      <c r="AG36" s="4"/>
      <c r="AH36" s="375"/>
      <c r="AI36" s="375"/>
      <c r="AJ36" s="4"/>
      <c r="AK36" s="375"/>
      <c r="AL36" s="375"/>
      <c r="AM36" s="4"/>
      <c r="AN36" s="375"/>
      <c r="AO36" s="375"/>
      <c r="AP36" s="4"/>
      <c r="AQ36" s="375">
        <f t="shared" si="228"/>
        <v>0</v>
      </c>
      <c r="AR36" s="375">
        <f t="shared" si="229"/>
        <v>0</v>
      </c>
      <c r="AS36" s="7">
        <f t="shared" si="68"/>
        <v>0</v>
      </c>
      <c r="AT36" s="375">
        <f t="shared" si="230"/>
        <v>0</v>
      </c>
      <c r="AU36" s="4"/>
      <c r="AV36" s="375"/>
      <c r="AW36" s="375"/>
      <c r="AX36" s="4"/>
      <c r="AY36" s="375"/>
      <c r="AZ36" s="375"/>
      <c r="BA36" s="4"/>
      <c r="BB36" s="375"/>
      <c r="BC36" s="375"/>
      <c r="BD36" s="448"/>
      <c r="BE36" s="375">
        <f t="shared" si="231"/>
        <v>0</v>
      </c>
      <c r="BF36" s="375">
        <f t="shared" si="232"/>
        <v>0</v>
      </c>
      <c r="BG36" s="7">
        <f t="shared" si="71"/>
        <v>0</v>
      </c>
      <c r="BH36" s="375">
        <f t="shared" si="233"/>
        <v>0</v>
      </c>
      <c r="BI36" s="388">
        <f t="shared" si="234"/>
        <v>0</v>
      </c>
      <c r="BJ36" s="7">
        <f t="shared" si="72"/>
        <v>0</v>
      </c>
      <c r="BK36" s="375">
        <v>0</v>
      </c>
      <c r="BL36" s="282"/>
      <c r="BN36" s="375"/>
      <c r="BO36" s="4"/>
      <c r="BP36" s="375"/>
      <c r="BQ36" s="4"/>
      <c r="BR36" s="375"/>
      <c r="BS36" s="4"/>
      <c r="BT36" s="375"/>
      <c r="BU36" s="7">
        <f t="shared" si="73"/>
        <v>0</v>
      </c>
      <c r="BV36" s="375"/>
      <c r="BW36" s="7"/>
      <c r="BX36" s="375"/>
      <c r="BY36" s="7"/>
      <c r="BZ36" s="375">
        <f t="shared" si="236"/>
        <v>0</v>
      </c>
      <c r="CA36" s="7"/>
      <c r="CB36" s="375">
        <f t="shared" si="237"/>
        <v>0</v>
      </c>
      <c r="CC36" s="7">
        <f t="shared" si="158"/>
        <v>0</v>
      </c>
      <c r="CD36" s="375">
        <f t="shared" si="238"/>
        <v>0</v>
      </c>
      <c r="CE36" s="7">
        <f t="shared" si="75"/>
        <v>0</v>
      </c>
      <c r="CF36" s="375">
        <f t="shared" si="239"/>
        <v>0</v>
      </c>
      <c r="CG36" s="7">
        <f t="shared" si="76"/>
        <v>0</v>
      </c>
      <c r="CH36" s="375"/>
      <c r="CI36" s="7">
        <f t="shared" si="76"/>
        <v>0</v>
      </c>
      <c r="CJ36" s="375"/>
      <c r="CK36" s="7">
        <f t="shared" si="76"/>
        <v>0</v>
      </c>
      <c r="CL36" s="375">
        <f t="shared" si="240"/>
        <v>0</v>
      </c>
      <c r="CM36" s="7">
        <f t="shared" si="76"/>
        <v>0</v>
      </c>
      <c r="CN36" s="375">
        <f t="shared" si="288"/>
        <v>0</v>
      </c>
      <c r="CO36" s="7">
        <f t="shared" si="241"/>
        <v>0</v>
      </c>
      <c r="CP36" s="375">
        <f t="shared" si="242"/>
        <v>0</v>
      </c>
      <c r="CQ36" s="7">
        <f t="shared" si="26"/>
        <v>0</v>
      </c>
      <c r="CR36" s="375">
        <f t="shared" si="243"/>
        <v>0</v>
      </c>
      <c r="CS36" s="7">
        <f t="shared" si="244"/>
        <v>0</v>
      </c>
      <c r="CT36" s="375">
        <f t="shared" si="245"/>
        <v>0</v>
      </c>
      <c r="CU36" s="7">
        <f t="shared" si="199"/>
        <v>0</v>
      </c>
      <c r="CV36" s="375">
        <f t="shared" si="246"/>
        <v>0</v>
      </c>
      <c r="CW36" s="7">
        <f t="shared" si="80"/>
        <v>0</v>
      </c>
      <c r="CX36" s="375">
        <f t="shared" si="247"/>
        <v>0</v>
      </c>
      <c r="CY36" s="7">
        <f t="shared" si="30"/>
        <v>0</v>
      </c>
      <c r="CZ36" s="375">
        <f t="shared" si="248"/>
        <v>0</v>
      </c>
      <c r="DA36" s="7">
        <f t="shared" si="81"/>
        <v>0</v>
      </c>
      <c r="DB36" s="375">
        <f t="shared" si="249"/>
        <v>0</v>
      </c>
      <c r="DC36" s="7">
        <f t="shared" si="250"/>
        <v>0</v>
      </c>
      <c r="DD36" s="375"/>
      <c r="DE36" s="7">
        <f t="shared" si="251"/>
        <v>0</v>
      </c>
      <c r="DF36" s="375"/>
      <c r="DG36" s="7">
        <f t="shared" si="252"/>
        <v>0</v>
      </c>
      <c r="DH36" s="375">
        <f t="shared" si="253"/>
        <v>0</v>
      </c>
      <c r="DI36" s="7">
        <f t="shared" si="33"/>
        <v>0</v>
      </c>
      <c r="DJ36" s="375"/>
      <c r="DK36" s="7">
        <f t="shared" si="254"/>
        <v>0</v>
      </c>
      <c r="DL36" s="375"/>
      <c r="DM36" s="7">
        <f t="shared" si="255"/>
        <v>0</v>
      </c>
      <c r="DN36" s="375"/>
      <c r="DO36" s="7">
        <f t="shared" si="256"/>
        <v>0</v>
      </c>
      <c r="DP36" s="375"/>
      <c r="DQ36" s="7">
        <f t="shared" si="257"/>
        <v>0</v>
      </c>
      <c r="DR36" s="375">
        <f t="shared" si="258"/>
        <v>0</v>
      </c>
      <c r="DS36" s="7">
        <f t="shared" si="35"/>
        <v>0</v>
      </c>
      <c r="DT36" s="375">
        <f t="shared" si="259"/>
        <v>0</v>
      </c>
      <c r="DU36" s="7">
        <f t="shared" si="83"/>
        <v>0</v>
      </c>
      <c r="DV36" s="375"/>
      <c r="DW36" s="7">
        <f t="shared" si="260"/>
        <v>0</v>
      </c>
      <c r="DX36" s="375"/>
      <c r="DY36" s="7">
        <f t="shared" si="261"/>
        <v>0</v>
      </c>
      <c r="DZ36" s="375"/>
      <c r="EA36" s="7">
        <f t="shared" si="262"/>
        <v>0</v>
      </c>
      <c r="EB36" s="375">
        <f t="shared" si="263"/>
        <v>0</v>
      </c>
      <c r="EC36" s="7">
        <f t="shared" si="37"/>
        <v>0</v>
      </c>
      <c r="ED36" s="375"/>
      <c r="EE36" s="7">
        <f t="shared" si="85"/>
        <v>0</v>
      </c>
      <c r="EF36" s="375"/>
      <c r="EG36" s="7">
        <f t="shared" si="264"/>
        <v>0</v>
      </c>
      <c r="EH36" s="375"/>
      <c r="EI36" s="7">
        <f t="shared" si="265"/>
        <v>0</v>
      </c>
      <c r="EJ36" s="375"/>
      <c r="EK36" s="7">
        <f t="shared" si="266"/>
        <v>0</v>
      </c>
      <c r="EL36" s="375">
        <f t="shared" ref="EL36:EL47" si="289">+EF36+EH36+EJ36</f>
        <v>0</v>
      </c>
      <c r="EM36" s="7">
        <f t="shared" si="39"/>
        <v>0</v>
      </c>
      <c r="EN36" s="375">
        <f t="shared" si="268"/>
        <v>0</v>
      </c>
      <c r="EO36" s="7">
        <f t="shared" si="108"/>
        <v>0</v>
      </c>
      <c r="EP36" s="373"/>
      <c r="EQ36" s="373"/>
      <c r="ER36" s="373"/>
      <c r="ES36" s="373"/>
      <c r="ET36" s="375"/>
      <c r="EU36" s="7">
        <f t="shared" si="269"/>
        <v>0</v>
      </c>
      <c r="EV36" s="375"/>
      <c r="EW36" s="7">
        <f t="shared" si="270"/>
        <v>0</v>
      </c>
      <c r="EX36" s="375"/>
      <c r="EY36" s="7">
        <f t="shared" si="271"/>
        <v>0</v>
      </c>
      <c r="EZ36" s="375">
        <f t="shared" si="272"/>
        <v>0</v>
      </c>
      <c r="FA36" s="7">
        <f t="shared" si="42"/>
        <v>0</v>
      </c>
      <c r="FB36" s="375"/>
      <c r="FC36" s="7">
        <f t="shared" si="273"/>
        <v>0</v>
      </c>
      <c r="FD36" s="375"/>
      <c r="FE36" s="7">
        <f t="shared" si="200"/>
        <v>0</v>
      </c>
      <c r="FF36" s="375"/>
      <c r="FG36" s="7">
        <f t="shared" si="44"/>
        <v>0</v>
      </c>
      <c r="FH36" s="375">
        <f t="shared" si="274"/>
        <v>0</v>
      </c>
      <c r="FI36" s="7">
        <f t="shared" si="46"/>
        <v>0</v>
      </c>
      <c r="FJ36" s="375">
        <f t="shared" si="275"/>
        <v>0</v>
      </c>
      <c r="FK36" s="7">
        <f t="shared" si="89"/>
        <v>0</v>
      </c>
      <c r="FL36" s="375"/>
      <c r="FM36" s="7">
        <f t="shared" si="276"/>
        <v>0</v>
      </c>
      <c r="FN36" s="375"/>
      <c r="FO36" s="7">
        <f t="shared" si="48"/>
        <v>0</v>
      </c>
      <c r="FP36" s="375"/>
      <c r="FQ36" s="7">
        <f t="shared" si="49"/>
        <v>0</v>
      </c>
      <c r="FR36" s="375">
        <f t="shared" si="277"/>
        <v>0</v>
      </c>
      <c r="FS36" s="7">
        <f t="shared" si="51"/>
        <v>0</v>
      </c>
      <c r="FT36" s="375">
        <f t="shared" si="278"/>
        <v>0</v>
      </c>
      <c r="FU36" s="7">
        <f t="shared" si="90"/>
        <v>0</v>
      </c>
      <c r="FV36" s="375"/>
      <c r="FW36" s="7">
        <f t="shared" si="279"/>
        <v>0</v>
      </c>
      <c r="FX36" s="375"/>
      <c r="FY36" s="7">
        <f t="shared" si="53"/>
        <v>0</v>
      </c>
      <c r="FZ36" s="375"/>
      <c r="GA36" s="7">
        <f t="shared" si="54"/>
        <v>0</v>
      </c>
      <c r="GB36" s="375">
        <f t="shared" si="280"/>
        <v>0</v>
      </c>
      <c r="GC36" s="7">
        <f t="shared" si="56"/>
        <v>0</v>
      </c>
      <c r="GD36" s="375">
        <f t="shared" si="281"/>
        <v>0</v>
      </c>
      <c r="GE36" s="7">
        <f t="shared" si="91"/>
        <v>0</v>
      </c>
      <c r="GF36" s="566">
        <f t="shared" si="282"/>
        <v>0</v>
      </c>
      <c r="GG36" s="525">
        <f t="shared" si="58"/>
        <v>0</v>
      </c>
      <c r="GH36" s="528">
        <f t="shared" si="283"/>
        <v>0</v>
      </c>
      <c r="GI36" s="525">
        <f t="shared" si="60"/>
        <v>0</v>
      </c>
      <c r="GJ36" s="528"/>
      <c r="GK36" s="525">
        <f t="shared" si="61"/>
        <v>0</v>
      </c>
      <c r="GL36" s="528">
        <f t="shared" si="284"/>
        <v>0</v>
      </c>
      <c r="GM36" s="565">
        <f t="shared" si="92"/>
        <v>0</v>
      </c>
      <c r="GO36" s="586"/>
      <c r="GQ36" s="586"/>
      <c r="GT36" s="551">
        <f t="shared" si="182"/>
        <v>0</v>
      </c>
      <c r="GU36" s="551">
        <f t="shared" si="94"/>
        <v>0</v>
      </c>
      <c r="GV36" s="550">
        <f t="shared" si="63"/>
        <v>0</v>
      </c>
      <c r="GW36" s="527"/>
      <c r="GX36" s="525">
        <f t="shared" si="285"/>
        <v>0</v>
      </c>
      <c r="GY36" s="528"/>
      <c r="GZ36" s="525">
        <f t="shared" si="286"/>
        <v>0</v>
      </c>
      <c r="HA36" s="528"/>
      <c r="HB36" s="526">
        <f t="shared" si="287"/>
        <v>0</v>
      </c>
      <c r="HD36" s="527"/>
      <c r="HE36" s="525">
        <v>0</v>
      </c>
      <c r="HF36" s="528"/>
      <c r="HG36" s="525">
        <v>0</v>
      </c>
      <c r="HH36" s="528"/>
      <c r="HI36" s="526">
        <v>0</v>
      </c>
    </row>
    <row r="37" spans="1:217" ht="15" customHeight="1" outlineLevel="1">
      <c r="A37" s="386" t="s">
        <v>33</v>
      </c>
      <c r="B37" s="386" t="s">
        <v>38</v>
      </c>
      <c r="C37" s="375">
        <v>0</v>
      </c>
      <c r="D37" s="4"/>
      <c r="E37" s="375">
        <v>0</v>
      </c>
      <c r="F37" s="4"/>
      <c r="G37" s="375"/>
      <c r="H37" s="375"/>
      <c r="I37" s="4"/>
      <c r="J37" s="375"/>
      <c r="K37" s="375"/>
      <c r="L37" s="4"/>
      <c r="M37" s="375"/>
      <c r="N37" s="375">
        <v>0</v>
      </c>
      <c r="O37" s="4"/>
      <c r="P37" s="375">
        <f t="shared" si="13"/>
        <v>0</v>
      </c>
      <c r="Q37" s="375">
        <f t="shared" si="13"/>
        <v>0</v>
      </c>
      <c r="R37" s="7">
        <f t="shared" si="64"/>
        <v>0</v>
      </c>
      <c r="S37" s="375"/>
      <c r="T37" s="375"/>
      <c r="U37" s="4"/>
      <c r="V37" s="375"/>
      <c r="W37" s="375"/>
      <c r="X37" s="4"/>
      <c r="Y37" s="375"/>
      <c r="Z37" s="375"/>
      <c r="AA37" s="4"/>
      <c r="AB37" s="375">
        <f t="shared" si="224"/>
        <v>0</v>
      </c>
      <c r="AC37" s="375">
        <f t="shared" si="225"/>
        <v>0</v>
      </c>
      <c r="AD37" s="7">
        <f t="shared" si="65"/>
        <v>0</v>
      </c>
      <c r="AE37" s="375">
        <f t="shared" si="226"/>
        <v>0</v>
      </c>
      <c r="AF37" s="375">
        <f t="shared" si="227"/>
        <v>0</v>
      </c>
      <c r="AG37" s="4"/>
      <c r="AH37" s="375"/>
      <c r="AI37" s="375"/>
      <c r="AJ37" s="4"/>
      <c r="AK37" s="375"/>
      <c r="AL37" s="375"/>
      <c r="AM37" s="4"/>
      <c r="AN37" s="375"/>
      <c r="AO37" s="375"/>
      <c r="AP37" s="4"/>
      <c r="AQ37" s="375">
        <f t="shared" si="228"/>
        <v>0</v>
      </c>
      <c r="AR37" s="375">
        <f t="shared" si="229"/>
        <v>0</v>
      </c>
      <c r="AS37" s="7">
        <f t="shared" si="68"/>
        <v>0</v>
      </c>
      <c r="AT37" s="375">
        <f t="shared" si="230"/>
        <v>0</v>
      </c>
      <c r="AU37" s="4"/>
      <c r="AV37" s="375"/>
      <c r="AW37" s="375"/>
      <c r="AX37" s="4"/>
      <c r="AY37" s="375"/>
      <c r="AZ37" s="375"/>
      <c r="BA37" s="4"/>
      <c r="BB37" s="375"/>
      <c r="BC37" s="375"/>
      <c r="BD37" s="448"/>
      <c r="BE37" s="375">
        <f t="shared" si="231"/>
        <v>0</v>
      </c>
      <c r="BF37" s="375">
        <f t="shared" si="232"/>
        <v>0</v>
      </c>
      <c r="BG37" s="7">
        <f t="shared" si="71"/>
        <v>0</v>
      </c>
      <c r="BH37" s="375">
        <f t="shared" si="233"/>
        <v>0</v>
      </c>
      <c r="BI37" s="388">
        <f t="shared" si="234"/>
        <v>0</v>
      </c>
      <c r="BJ37" s="7">
        <f t="shared" si="72"/>
        <v>0</v>
      </c>
      <c r="BK37" s="375">
        <v>0</v>
      </c>
      <c r="BL37" s="282"/>
      <c r="BN37" s="375"/>
      <c r="BO37" s="4"/>
      <c r="BP37" s="375"/>
      <c r="BQ37" s="4"/>
      <c r="BR37" s="375"/>
      <c r="BS37" s="4"/>
      <c r="BT37" s="375"/>
      <c r="BU37" s="7">
        <f t="shared" si="73"/>
        <v>0</v>
      </c>
      <c r="BV37" s="375"/>
      <c r="BW37" s="7"/>
      <c r="BX37" s="375"/>
      <c r="BY37" s="7"/>
      <c r="BZ37" s="375">
        <f t="shared" si="236"/>
        <v>0</v>
      </c>
      <c r="CA37" s="7"/>
      <c r="CB37" s="375">
        <f t="shared" si="237"/>
        <v>0</v>
      </c>
      <c r="CC37" s="7">
        <f t="shared" si="158"/>
        <v>0</v>
      </c>
      <c r="CD37" s="375">
        <f t="shared" si="238"/>
        <v>0</v>
      </c>
      <c r="CE37" s="7">
        <f t="shared" si="75"/>
        <v>0</v>
      </c>
      <c r="CF37" s="375">
        <f t="shared" si="239"/>
        <v>0</v>
      </c>
      <c r="CG37" s="7">
        <f t="shared" si="76"/>
        <v>0</v>
      </c>
      <c r="CH37" s="375"/>
      <c r="CI37" s="7">
        <f t="shared" si="76"/>
        <v>0</v>
      </c>
      <c r="CJ37" s="375"/>
      <c r="CK37" s="7">
        <f t="shared" si="76"/>
        <v>0</v>
      </c>
      <c r="CL37" s="375">
        <f t="shared" si="240"/>
        <v>0</v>
      </c>
      <c r="CM37" s="7">
        <f t="shared" si="76"/>
        <v>0</v>
      </c>
      <c r="CN37" s="375">
        <f t="shared" si="288"/>
        <v>0</v>
      </c>
      <c r="CO37" s="7">
        <f t="shared" si="241"/>
        <v>0</v>
      </c>
      <c r="CP37" s="375">
        <f t="shared" si="242"/>
        <v>0</v>
      </c>
      <c r="CQ37" s="7">
        <f t="shared" si="26"/>
        <v>0</v>
      </c>
      <c r="CR37" s="375">
        <f t="shared" si="243"/>
        <v>0</v>
      </c>
      <c r="CS37" s="7">
        <f t="shared" si="244"/>
        <v>0</v>
      </c>
      <c r="CT37" s="375">
        <f t="shared" si="245"/>
        <v>0</v>
      </c>
      <c r="CU37" s="7">
        <f t="shared" si="199"/>
        <v>0</v>
      </c>
      <c r="CV37" s="375">
        <f t="shared" si="246"/>
        <v>0</v>
      </c>
      <c r="CW37" s="7">
        <f t="shared" si="80"/>
        <v>0</v>
      </c>
      <c r="CX37" s="375">
        <f t="shared" si="247"/>
        <v>0</v>
      </c>
      <c r="CY37" s="7">
        <f t="shared" si="30"/>
        <v>0</v>
      </c>
      <c r="CZ37" s="375">
        <f t="shared" si="248"/>
        <v>0</v>
      </c>
      <c r="DA37" s="7">
        <f t="shared" si="81"/>
        <v>0</v>
      </c>
      <c r="DB37" s="375">
        <f t="shared" si="249"/>
        <v>0</v>
      </c>
      <c r="DC37" s="7">
        <f t="shared" si="250"/>
        <v>0</v>
      </c>
      <c r="DD37" s="375"/>
      <c r="DE37" s="7">
        <f t="shared" si="251"/>
        <v>0</v>
      </c>
      <c r="DF37" s="375"/>
      <c r="DG37" s="7">
        <f t="shared" si="252"/>
        <v>0</v>
      </c>
      <c r="DH37" s="375">
        <f t="shared" si="253"/>
        <v>0</v>
      </c>
      <c r="DI37" s="7">
        <f t="shared" si="33"/>
        <v>0</v>
      </c>
      <c r="DJ37" s="375"/>
      <c r="DK37" s="7">
        <f t="shared" si="254"/>
        <v>0</v>
      </c>
      <c r="DL37" s="375"/>
      <c r="DM37" s="7">
        <f t="shared" si="255"/>
        <v>0</v>
      </c>
      <c r="DN37" s="375"/>
      <c r="DO37" s="7">
        <f t="shared" si="256"/>
        <v>0</v>
      </c>
      <c r="DP37" s="375"/>
      <c r="DQ37" s="7">
        <f t="shared" si="257"/>
        <v>0</v>
      </c>
      <c r="DR37" s="375">
        <f t="shared" si="258"/>
        <v>0</v>
      </c>
      <c r="DS37" s="7">
        <f t="shared" si="35"/>
        <v>0</v>
      </c>
      <c r="DT37" s="375">
        <f t="shared" si="259"/>
        <v>0</v>
      </c>
      <c r="DU37" s="7">
        <f t="shared" si="83"/>
        <v>0</v>
      </c>
      <c r="DV37" s="375"/>
      <c r="DW37" s="7">
        <f t="shared" si="260"/>
        <v>0</v>
      </c>
      <c r="DX37" s="375"/>
      <c r="DY37" s="7">
        <f t="shared" si="261"/>
        <v>0</v>
      </c>
      <c r="DZ37" s="375"/>
      <c r="EA37" s="7">
        <f t="shared" si="262"/>
        <v>0</v>
      </c>
      <c r="EB37" s="375">
        <f t="shared" si="263"/>
        <v>0</v>
      </c>
      <c r="EC37" s="7">
        <f t="shared" si="37"/>
        <v>0</v>
      </c>
      <c r="ED37" s="375"/>
      <c r="EE37" s="7">
        <f t="shared" si="85"/>
        <v>0</v>
      </c>
      <c r="EF37" s="375"/>
      <c r="EG37" s="7">
        <f t="shared" si="264"/>
        <v>0</v>
      </c>
      <c r="EH37" s="375"/>
      <c r="EI37" s="7">
        <f t="shared" si="265"/>
        <v>0</v>
      </c>
      <c r="EJ37" s="375"/>
      <c r="EK37" s="7">
        <f t="shared" si="266"/>
        <v>0</v>
      </c>
      <c r="EL37" s="375">
        <f t="shared" si="289"/>
        <v>0</v>
      </c>
      <c r="EM37" s="7">
        <f t="shared" si="39"/>
        <v>0</v>
      </c>
      <c r="EN37" s="375">
        <f t="shared" si="268"/>
        <v>0</v>
      </c>
      <c r="EO37" s="7">
        <f t="shared" si="108"/>
        <v>0</v>
      </c>
      <c r="EP37" s="373"/>
      <c r="EQ37" s="373"/>
      <c r="ER37" s="373"/>
      <c r="ES37" s="373"/>
      <c r="ET37" s="375"/>
      <c r="EU37" s="7">
        <f t="shared" si="269"/>
        <v>0</v>
      </c>
      <c r="EV37" s="375"/>
      <c r="EW37" s="7">
        <f t="shared" si="270"/>
        <v>0</v>
      </c>
      <c r="EX37" s="375"/>
      <c r="EY37" s="7">
        <f t="shared" si="271"/>
        <v>0</v>
      </c>
      <c r="EZ37" s="375">
        <f t="shared" si="272"/>
        <v>0</v>
      </c>
      <c r="FA37" s="7">
        <f t="shared" si="42"/>
        <v>0</v>
      </c>
      <c r="FB37" s="375"/>
      <c r="FC37" s="7">
        <f t="shared" si="273"/>
        <v>0</v>
      </c>
      <c r="FD37" s="375"/>
      <c r="FE37" s="7">
        <f t="shared" si="200"/>
        <v>0</v>
      </c>
      <c r="FF37" s="375"/>
      <c r="FG37" s="7">
        <f t="shared" si="44"/>
        <v>0</v>
      </c>
      <c r="FH37" s="375">
        <f t="shared" si="274"/>
        <v>0</v>
      </c>
      <c r="FI37" s="7">
        <f t="shared" si="46"/>
        <v>0</v>
      </c>
      <c r="FJ37" s="375">
        <f t="shared" si="275"/>
        <v>0</v>
      </c>
      <c r="FK37" s="7">
        <f t="shared" si="89"/>
        <v>0</v>
      </c>
      <c r="FL37" s="375"/>
      <c r="FM37" s="7">
        <f t="shared" si="276"/>
        <v>0</v>
      </c>
      <c r="FN37" s="375"/>
      <c r="FO37" s="7">
        <f t="shared" si="48"/>
        <v>0</v>
      </c>
      <c r="FP37" s="375"/>
      <c r="FQ37" s="7">
        <f t="shared" si="49"/>
        <v>0</v>
      </c>
      <c r="FR37" s="375">
        <f t="shared" si="277"/>
        <v>0</v>
      </c>
      <c r="FS37" s="7">
        <f t="shared" si="51"/>
        <v>0</v>
      </c>
      <c r="FT37" s="375">
        <f t="shared" si="278"/>
        <v>0</v>
      </c>
      <c r="FU37" s="7">
        <f t="shared" si="90"/>
        <v>0</v>
      </c>
      <c r="FV37" s="375"/>
      <c r="FW37" s="7">
        <f t="shared" si="279"/>
        <v>0</v>
      </c>
      <c r="FX37" s="375"/>
      <c r="FY37" s="7">
        <f t="shared" si="53"/>
        <v>0</v>
      </c>
      <c r="FZ37" s="375"/>
      <c r="GA37" s="7">
        <f t="shared" si="54"/>
        <v>0</v>
      </c>
      <c r="GB37" s="375">
        <f t="shared" si="280"/>
        <v>0</v>
      </c>
      <c r="GC37" s="7">
        <f t="shared" si="56"/>
        <v>0</v>
      </c>
      <c r="GD37" s="375">
        <f t="shared" si="281"/>
        <v>0</v>
      </c>
      <c r="GE37" s="7">
        <f t="shared" si="91"/>
        <v>0</v>
      </c>
      <c r="GF37" s="566">
        <f t="shared" si="282"/>
        <v>0</v>
      </c>
      <c r="GG37" s="525">
        <f t="shared" si="58"/>
        <v>0</v>
      </c>
      <c r="GH37" s="528">
        <f t="shared" si="283"/>
        <v>0</v>
      </c>
      <c r="GI37" s="525">
        <f t="shared" si="60"/>
        <v>0</v>
      </c>
      <c r="GJ37" s="528"/>
      <c r="GK37" s="525">
        <f t="shared" si="61"/>
        <v>0</v>
      </c>
      <c r="GL37" s="528">
        <f t="shared" si="284"/>
        <v>0</v>
      </c>
      <c r="GM37" s="565">
        <f t="shared" si="92"/>
        <v>0</v>
      </c>
      <c r="GO37" s="586"/>
      <c r="GQ37" s="586"/>
      <c r="GT37" s="551">
        <f t="shared" si="182"/>
        <v>0</v>
      </c>
      <c r="GU37" s="551">
        <f t="shared" si="94"/>
        <v>0</v>
      </c>
      <c r="GV37" s="550">
        <f t="shared" si="63"/>
        <v>0</v>
      </c>
      <c r="GW37" s="527"/>
      <c r="GX37" s="525">
        <f t="shared" si="285"/>
        <v>0</v>
      </c>
      <c r="GY37" s="528"/>
      <c r="GZ37" s="525">
        <f t="shared" si="286"/>
        <v>0</v>
      </c>
      <c r="HA37" s="528"/>
      <c r="HB37" s="526">
        <f t="shared" si="287"/>
        <v>0</v>
      </c>
      <c r="HD37" s="527"/>
      <c r="HE37" s="525">
        <v>0</v>
      </c>
      <c r="HF37" s="528"/>
      <c r="HG37" s="525">
        <v>0</v>
      </c>
      <c r="HH37" s="528"/>
      <c r="HI37" s="526">
        <v>0</v>
      </c>
    </row>
    <row r="38" spans="1:217" ht="15" customHeight="1" outlineLevel="1">
      <c r="A38" s="386" t="s">
        <v>33</v>
      </c>
      <c r="B38" s="386" t="s">
        <v>39</v>
      </c>
      <c r="C38" s="375">
        <v>0</v>
      </c>
      <c r="D38" s="4"/>
      <c r="E38" s="375">
        <v>0</v>
      </c>
      <c r="F38" s="4"/>
      <c r="G38" s="375"/>
      <c r="H38" s="375"/>
      <c r="I38" s="4"/>
      <c r="J38" s="375"/>
      <c r="K38" s="375"/>
      <c r="L38" s="4"/>
      <c r="M38" s="375"/>
      <c r="N38" s="375">
        <v>0</v>
      </c>
      <c r="O38" s="4"/>
      <c r="P38" s="375">
        <f t="shared" si="13"/>
        <v>0</v>
      </c>
      <c r="Q38" s="375">
        <f t="shared" si="13"/>
        <v>0</v>
      </c>
      <c r="R38" s="7">
        <f t="shared" si="64"/>
        <v>0</v>
      </c>
      <c r="S38" s="375"/>
      <c r="T38" s="375"/>
      <c r="U38" s="4"/>
      <c r="V38" s="375"/>
      <c r="W38" s="375"/>
      <c r="X38" s="4"/>
      <c r="Y38" s="375"/>
      <c r="Z38" s="375"/>
      <c r="AA38" s="4"/>
      <c r="AB38" s="375">
        <f t="shared" si="224"/>
        <v>0</v>
      </c>
      <c r="AC38" s="375">
        <f t="shared" si="225"/>
        <v>0</v>
      </c>
      <c r="AD38" s="7">
        <f t="shared" si="65"/>
        <v>0</v>
      </c>
      <c r="AE38" s="375">
        <f t="shared" si="226"/>
        <v>0</v>
      </c>
      <c r="AF38" s="375">
        <f t="shared" si="227"/>
        <v>0</v>
      </c>
      <c r="AG38" s="4"/>
      <c r="AH38" s="375"/>
      <c r="AI38" s="375"/>
      <c r="AJ38" s="4"/>
      <c r="AK38" s="375"/>
      <c r="AL38" s="375"/>
      <c r="AM38" s="4"/>
      <c r="AN38" s="375"/>
      <c r="AO38" s="375"/>
      <c r="AP38" s="4"/>
      <c r="AQ38" s="375">
        <f t="shared" si="228"/>
        <v>0</v>
      </c>
      <c r="AR38" s="375">
        <f t="shared" si="229"/>
        <v>0</v>
      </c>
      <c r="AS38" s="7">
        <f t="shared" si="68"/>
        <v>0</v>
      </c>
      <c r="AT38" s="375">
        <f t="shared" si="230"/>
        <v>0</v>
      </c>
      <c r="AU38" s="4"/>
      <c r="AV38" s="375"/>
      <c r="AW38" s="375"/>
      <c r="AX38" s="4"/>
      <c r="AY38" s="375"/>
      <c r="AZ38" s="375"/>
      <c r="BA38" s="4"/>
      <c r="BB38" s="375"/>
      <c r="BC38" s="375"/>
      <c r="BD38" s="448"/>
      <c r="BE38" s="375">
        <f t="shared" si="231"/>
        <v>0</v>
      </c>
      <c r="BF38" s="375">
        <f t="shared" si="232"/>
        <v>0</v>
      </c>
      <c r="BG38" s="7">
        <f t="shared" si="71"/>
        <v>0</v>
      </c>
      <c r="BH38" s="375">
        <f t="shared" si="233"/>
        <v>0</v>
      </c>
      <c r="BI38" s="388">
        <f t="shared" si="234"/>
        <v>0</v>
      </c>
      <c r="BJ38" s="7">
        <f t="shared" si="72"/>
        <v>0</v>
      </c>
      <c r="BK38" s="375">
        <v>0</v>
      </c>
      <c r="BL38" s="282"/>
      <c r="BN38" s="375"/>
      <c r="BO38" s="4"/>
      <c r="BP38" s="375"/>
      <c r="BQ38" s="4"/>
      <c r="BR38" s="375"/>
      <c r="BS38" s="4"/>
      <c r="BT38" s="375"/>
      <c r="BU38" s="7">
        <f t="shared" si="73"/>
        <v>0</v>
      </c>
      <c r="BV38" s="375"/>
      <c r="BW38" s="7"/>
      <c r="BX38" s="375"/>
      <c r="BY38" s="7"/>
      <c r="BZ38" s="375">
        <f t="shared" si="236"/>
        <v>0</v>
      </c>
      <c r="CA38" s="7"/>
      <c r="CB38" s="375">
        <f t="shared" si="237"/>
        <v>0</v>
      </c>
      <c r="CC38" s="7">
        <f t="shared" si="158"/>
        <v>0</v>
      </c>
      <c r="CD38" s="375">
        <f t="shared" si="238"/>
        <v>0</v>
      </c>
      <c r="CE38" s="7">
        <f t="shared" si="75"/>
        <v>0</v>
      </c>
      <c r="CF38" s="375">
        <f t="shared" si="239"/>
        <v>0</v>
      </c>
      <c r="CG38" s="7">
        <f t="shared" si="76"/>
        <v>0</v>
      </c>
      <c r="CH38" s="375"/>
      <c r="CI38" s="7">
        <f t="shared" si="76"/>
        <v>0</v>
      </c>
      <c r="CJ38" s="375"/>
      <c r="CK38" s="7">
        <f t="shared" si="76"/>
        <v>0</v>
      </c>
      <c r="CL38" s="375">
        <f t="shared" si="240"/>
        <v>0</v>
      </c>
      <c r="CM38" s="7">
        <f t="shared" si="76"/>
        <v>0</v>
      </c>
      <c r="CN38" s="375">
        <f t="shared" si="288"/>
        <v>0</v>
      </c>
      <c r="CO38" s="7">
        <f t="shared" si="241"/>
        <v>0</v>
      </c>
      <c r="CP38" s="375">
        <f t="shared" si="242"/>
        <v>0</v>
      </c>
      <c r="CQ38" s="7">
        <f t="shared" si="26"/>
        <v>0</v>
      </c>
      <c r="CR38" s="375">
        <f t="shared" si="243"/>
        <v>0</v>
      </c>
      <c r="CS38" s="7">
        <f t="shared" si="244"/>
        <v>0</v>
      </c>
      <c r="CT38" s="375">
        <f t="shared" si="245"/>
        <v>0</v>
      </c>
      <c r="CU38" s="7">
        <f t="shared" si="199"/>
        <v>0</v>
      </c>
      <c r="CV38" s="375">
        <f t="shared" si="246"/>
        <v>0</v>
      </c>
      <c r="CW38" s="7">
        <f t="shared" si="80"/>
        <v>0</v>
      </c>
      <c r="CX38" s="375">
        <f t="shared" si="247"/>
        <v>0</v>
      </c>
      <c r="CY38" s="7">
        <f t="shared" si="30"/>
        <v>0</v>
      </c>
      <c r="CZ38" s="375">
        <f t="shared" si="248"/>
        <v>0</v>
      </c>
      <c r="DA38" s="7">
        <f t="shared" si="81"/>
        <v>0</v>
      </c>
      <c r="DB38" s="375">
        <f t="shared" si="249"/>
        <v>0</v>
      </c>
      <c r="DC38" s="7">
        <f t="shared" si="250"/>
        <v>0</v>
      </c>
      <c r="DD38" s="375"/>
      <c r="DE38" s="7">
        <f t="shared" si="251"/>
        <v>0</v>
      </c>
      <c r="DF38" s="375"/>
      <c r="DG38" s="7">
        <f t="shared" si="252"/>
        <v>0</v>
      </c>
      <c r="DH38" s="375">
        <f t="shared" si="253"/>
        <v>0</v>
      </c>
      <c r="DI38" s="7">
        <f t="shared" si="33"/>
        <v>0</v>
      </c>
      <c r="DJ38" s="375"/>
      <c r="DK38" s="7">
        <f t="shared" si="254"/>
        <v>0</v>
      </c>
      <c r="DL38" s="375"/>
      <c r="DM38" s="7">
        <f t="shared" si="255"/>
        <v>0</v>
      </c>
      <c r="DN38" s="375"/>
      <c r="DO38" s="7">
        <f t="shared" si="256"/>
        <v>0</v>
      </c>
      <c r="DP38" s="375"/>
      <c r="DQ38" s="7">
        <f t="shared" si="257"/>
        <v>0</v>
      </c>
      <c r="DR38" s="375">
        <f t="shared" si="258"/>
        <v>0</v>
      </c>
      <c r="DS38" s="7">
        <f t="shared" si="35"/>
        <v>0</v>
      </c>
      <c r="DT38" s="375">
        <f t="shared" si="259"/>
        <v>0</v>
      </c>
      <c r="DU38" s="7">
        <f t="shared" si="83"/>
        <v>0</v>
      </c>
      <c r="DV38" s="375"/>
      <c r="DW38" s="7">
        <f t="shared" si="260"/>
        <v>0</v>
      </c>
      <c r="DX38" s="375"/>
      <c r="DY38" s="7">
        <f t="shared" si="261"/>
        <v>0</v>
      </c>
      <c r="DZ38" s="375"/>
      <c r="EA38" s="7">
        <f t="shared" si="262"/>
        <v>0</v>
      </c>
      <c r="EB38" s="375">
        <f t="shared" si="263"/>
        <v>0</v>
      </c>
      <c r="EC38" s="7">
        <f t="shared" si="37"/>
        <v>0</v>
      </c>
      <c r="ED38" s="375"/>
      <c r="EE38" s="7">
        <f t="shared" si="85"/>
        <v>0</v>
      </c>
      <c r="EF38" s="375"/>
      <c r="EG38" s="7">
        <f t="shared" si="264"/>
        <v>0</v>
      </c>
      <c r="EH38" s="375"/>
      <c r="EI38" s="7">
        <f t="shared" si="265"/>
        <v>0</v>
      </c>
      <c r="EJ38" s="375"/>
      <c r="EK38" s="7">
        <f t="shared" si="266"/>
        <v>0</v>
      </c>
      <c r="EL38" s="375">
        <f t="shared" si="289"/>
        <v>0</v>
      </c>
      <c r="EM38" s="7">
        <f t="shared" si="39"/>
        <v>0</v>
      </c>
      <c r="EN38" s="375">
        <f t="shared" si="268"/>
        <v>0</v>
      </c>
      <c r="EO38" s="7">
        <f t="shared" si="108"/>
        <v>0</v>
      </c>
      <c r="EP38" s="373"/>
      <c r="EQ38" s="373"/>
      <c r="ER38" s="373"/>
      <c r="ES38" s="373"/>
      <c r="ET38" s="375"/>
      <c r="EU38" s="7">
        <f t="shared" si="269"/>
        <v>0</v>
      </c>
      <c r="EV38" s="375"/>
      <c r="EW38" s="7">
        <f t="shared" si="270"/>
        <v>0</v>
      </c>
      <c r="EX38" s="375"/>
      <c r="EY38" s="7">
        <f t="shared" si="271"/>
        <v>0</v>
      </c>
      <c r="EZ38" s="375">
        <f t="shared" si="272"/>
        <v>0</v>
      </c>
      <c r="FA38" s="7">
        <f t="shared" si="42"/>
        <v>0</v>
      </c>
      <c r="FB38" s="375"/>
      <c r="FC38" s="7">
        <f t="shared" si="273"/>
        <v>0</v>
      </c>
      <c r="FD38" s="375"/>
      <c r="FE38" s="7">
        <f t="shared" si="200"/>
        <v>0</v>
      </c>
      <c r="FF38" s="375"/>
      <c r="FG38" s="7">
        <f t="shared" si="44"/>
        <v>0</v>
      </c>
      <c r="FH38" s="375">
        <f t="shared" si="274"/>
        <v>0</v>
      </c>
      <c r="FI38" s="7">
        <f t="shared" si="46"/>
        <v>0</v>
      </c>
      <c r="FJ38" s="375">
        <f t="shared" si="275"/>
        <v>0</v>
      </c>
      <c r="FK38" s="7">
        <f t="shared" si="89"/>
        <v>0</v>
      </c>
      <c r="FL38" s="375"/>
      <c r="FM38" s="7">
        <f t="shared" si="276"/>
        <v>0</v>
      </c>
      <c r="FN38" s="375"/>
      <c r="FO38" s="7">
        <f t="shared" si="48"/>
        <v>0</v>
      </c>
      <c r="FP38" s="375"/>
      <c r="FQ38" s="7">
        <f t="shared" si="49"/>
        <v>0</v>
      </c>
      <c r="FR38" s="375">
        <f t="shared" si="277"/>
        <v>0</v>
      </c>
      <c r="FS38" s="7">
        <f t="shared" si="51"/>
        <v>0</v>
      </c>
      <c r="FT38" s="375">
        <f t="shared" si="278"/>
        <v>0</v>
      </c>
      <c r="FU38" s="7">
        <f t="shared" si="90"/>
        <v>0</v>
      </c>
      <c r="FV38" s="375"/>
      <c r="FW38" s="7">
        <f t="shared" si="279"/>
        <v>0</v>
      </c>
      <c r="FX38" s="375"/>
      <c r="FY38" s="7">
        <f t="shared" si="53"/>
        <v>0</v>
      </c>
      <c r="FZ38" s="375"/>
      <c r="GA38" s="7">
        <f t="shared" si="54"/>
        <v>0</v>
      </c>
      <c r="GB38" s="375">
        <f t="shared" si="280"/>
        <v>0</v>
      </c>
      <c r="GC38" s="7">
        <f t="shared" si="56"/>
        <v>0</v>
      </c>
      <c r="GD38" s="375">
        <f t="shared" si="281"/>
        <v>0</v>
      </c>
      <c r="GE38" s="7">
        <f t="shared" si="91"/>
        <v>0</v>
      </c>
      <c r="GF38" s="566">
        <f t="shared" si="282"/>
        <v>0</v>
      </c>
      <c r="GG38" s="525">
        <f t="shared" si="58"/>
        <v>0</v>
      </c>
      <c r="GH38" s="528">
        <f t="shared" si="283"/>
        <v>0</v>
      </c>
      <c r="GI38" s="525">
        <f t="shared" si="60"/>
        <v>0</v>
      </c>
      <c r="GJ38" s="528"/>
      <c r="GK38" s="525">
        <f t="shared" si="61"/>
        <v>0</v>
      </c>
      <c r="GL38" s="528">
        <f t="shared" si="284"/>
        <v>0</v>
      </c>
      <c r="GM38" s="565">
        <f t="shared" si="92"/>
        <v>0</v>
      </c>
      <c r="GO38" s="586"/>
      <c r="GQ38" s="586"/>
      <c r="GT38" s="551">
        <f t="shared" si="182"/>
        <v>0</v>
      </c>
      <c r="GU38" s="551">
        <f t="shared" si="94"/>
        <v>0</v>
      </c>
      <c r="GV38" s="550">
        <f t="shared" si="63"/>
        <v>0</v>
      </c>
      <c r="GW38" s="527"/>
      <c r="GX38" s="525">
        <f t="shared" si="285"/>
        <v>0</v>
      </c>
      <c r="GY38" s="528"/>
      <c r="GZ38" s="525">
        <f t="shared" si="286"/>
        <v>0</v>
      </c>
      <c r="HA38" s="528"/>
      <c r="HB38" s="526">
        <f t="shared" si="287"/>
        <v>0</v>
      </c>
      <c r="HD38" s="527"/>
      <c r="HE38" s="525">
        <v>0</v>
      </c>
      <c r="HF38" s="528"/>
      <c r="HG38" s="525">
        <v>0</v>
      </c>
      <c r="HH38" s="528"/>
      <c r="HI38" s="526">
        <v>0</v>
      </c>
    </row>
    <row r="39" spans="1:217" ht="15" customHeight="1" outlineLevel="1">
      <c r="A39" s="386" t="s">
        <v>33</v>
      </c>
      <c r="B39" s="386" t="s">
        <v>40</v>
      </c>
      <c r="C39" s="375">
        <v>0</v>
      </c>
      <c r="D39" s="4"/>
      <c r="E39" s="375">
        <v>0</v>
      </c>
      <c r="F39" s="4"/>
      <c r="G39" s="375"/>
      <c r="H39" s="375"/>
      <c r="I39" s="4"/>
      <c r="J39" s="375"/>
      <c r="K39" s="375"/>
      <c r="L39" s="4"/>
      <c r="M39" s="375"/>
      <c r="N39" s="375">
        <v>0</v>
      </c>
      <c r="O39" s="4"/>
      <c r="P39" s="375">
        <f t="shared" si="13"/>
        <v>0</v>
      </c>
      <c r="Q39" s="375">
        <f t="shared" si="13"/>
        <v>0</v>
      </c>
      <c r="R39" s="7">
        <f t="shared" si="64"/>
        <v>0</v>
      </c>
      <c r="S39" s="375"/>
      <c r="T39" s="375"/>
      <c r="U39" s="4"/>
      <c r="V39" s="375"/>
      <c r="W39" s="375"/>
      <c r="X39" s="4"/>
      <c r="Y39" s="375"/>
      <c r="Z39" s="375"/>
      <c r="AA39" s="4"/>
      <c r="AB39" s="375">
        <f t="shared" si="224"/>
        <v>0</v>
      </c>
      <c r="AC39" s="375">
        <f t="shared" si="225"/>
        <v>0</v>
      </c>
      <c r="AD39" s="7">
        <f t="shared" si="65"/>
        <v>0</v>
      </c>
      <c r="AE39" s="375">
        <f t="shared" si="226"/>
        <v>0</v>
      </c>
      <c r="AF39" s="375">
        <f t="shared" si="227"/>
        <v>0</v>
      </c>
      <c r="AG39" s="4"/>
      <c r="AH39" s="375"/>
      <c r="AI39" s="375"/>
      <c r="AJ39" s="4"/>
      <c r="AK39" s="375"/>
      <c r="AL39" s="375"/>
      <c r="AM39" s="4"/>
      <c r="AN39" s="375"/>
      <c r="AO39" s="375"/>
      <c r="AP39" s="4"/>
      <c r="AQ39" s="375">
        <f t="shared" si="228"/>
        <v>0</v>
      </c>
      <c r="AR39" s="375">
        <f t="shared" si="229"/>
        <v>0</v>
      </c>
      <c r="AS39" s="7">
        <f t="shared" si="68"/>
        <v>0</v>
      </c>
      <c r="AT39" s="375">
        <f t="shared" si="230"/>
        <v>0</v>
      </c>
      <c r="AU39" s="4"/>
      <c r="AV39" s="375"/>
      <c r="AW39" s="375"/>
      <c r="AX39" s="4"/>
      <c r="AY39" s="375"/>
      <c r="AZ39" s="375"/>
      <c r="BA39" s="4"/>
      <c r="BB39" s="375"/>
      <c r="BC39" s="375"/>
      <c r="BD39" s="448"/>
      <c r="BE39" s="375">
        <f t="shared" si="231"/>
        <v>0</v>
      </c>
      <c r="BF39" s="375">
        <f t="shared" si="232"/>
        <v>0</v>
      </c>
      <c r="BG39" s="7">
        <f t="shared" si="71"/>
        <v>0</v>
      </c>
      <c r="BH39" s="375">
        <f t="shared" si="233"/>
        <v>0</v>
      </c>
      <c r="BI39" s="388">
        <f t="shared" si="234"/>
        <v>0</v>
      </c>
      <c r="BJ39" s="7">
        <f t="shared" si="72"/>
        <v>0</v>
      </c>
      <c r="BK39" s="375">
        <v>0</v>
      </c>
      <c r="BL39" s="282"/>
      <c r="BN39" s="375"/>
      <c r="BO39" s="4"/>
      <c r="BP39" s="375"/>
      <c r="BQ39" s="4"/>
      <c r="BR39" s="375"/>
      <c r="BS39" s="4"/>
      <c r="BT39" s="375"/>
      <c r="BU39" s="7">
        <f t="shared" si="73"/>
        <v>0</v>
      </c>
      <c r="BV39" s="375"/>
      <c r="BW39" s="7"/>
      <c r="BX39" s="375"/>
      <c r="BY39" s="7"/>
      <c r="BZ39" s="375">
        <f t="shared" si="236"/>
        <v>0</v>
      </c>
      <c r="CA39" s="7"/>
      <c r="CB39" s="375">
        <f t="shared" si="237"/>
        <v>0</v>
      </c>
      <c r="CC39" s="7">
        <f t="shared" si="158"/>
        <v>0</v>
      </c>
      <c r="CD39" s="375">
        <f t="shared" si="238"/>
        <v>0</v>
      </c>
      <c r="CE39" s="7">
        <f t="shared" si="75"/>
        <v>0</v>
      </c>
      <c r="CF39" s="375">
        <f t="shared" si="239"/>
        <v>0</v>
      </c>
      <c r="CG39" s="7">
        <f t="shared" si="76"/>
        <v>0</v>
      </c>
      <c r="CH39" s="375"/>
      <c r="CI39" s="7">
        <f t="shared" si="76"/>
        <v>0</v>
      </c>
      <c r="CJ39" s="375"/>
      <c r="CK39" s="7">
        <f t="shared" si="76"/>
        <v>0</v>
      </c>
      <c r="CL39" s="375">
        <f t="shared" si="240"/>
        <v>0</v>
      </c>
      <c r="CM39" s="7">
        <f t="shared" si="76"/>
        <v>0</v>
      </c>
      <c r="CN39" s="375">
        <f t="shared" si="288"/>
        <v>0</v>
      </c>
      <c r="CO39" s="7">
        <f t="shared" si="241"/>
        <v>0</v>
      </c>
      <c r="CP39" s="375">
        <f t="shared" si="242"/>
        <v>0</v>
      </c>
      <c r="CQ39" s="7">
        <f t="shared" si="26"/>
        <v>0</v>
      </c>
      <c r="CR39" s="375">
        <f t="shared" si="243"/>
        <v>0</v>
      </c>
      <c r="CS39" s="7">
        <f t="shared" si="244"/>
        <v>0</v>
      </c>
      <c r="CT39" s="375">
        <f t="shared" si="245"/>
        <v>0</v>
      </c>
      <c r="CU39" s="7">
        <f t="shared" si="199"/>
        <v>0</v>
      </c>
      <c r="CV39" s="375">
        <f t="shared" si="246"/>
        <v>0</v>
      </c>
      <c r="CW39" s="7">
        <f t="shared" si="80"/>
        <v>0</v>
      </c>
      <c r="CX39" s="375">
        <f t="shared" si="247"/>
        <v>0</v>
      </c>
      <c r="CY39" s="7">
        <f t="shared" si="30"/>
        <v>0</v>
      </c>
      <c r="CZ39" s="375">
        <f t="shared" si="248"/>
        <v>0</v>
      </c>
      <c r="DA39" s="7">
        <f t="shared" si="81"/>
        <v>0</v>
      </c>
      <c r="DB39" s="375">
        <f t="shared" si="249"/>
        <v>0</v>
      </c>
      <c r="DC39" s="7">
        <f t="shared" si="250"/>
        <v>0</v>
      </c>
      <c r="DD39" s="375"/>
      <c r="DE39" s="7">
        <f t="shared" si="251"/>
        <v>0</v>
      </c>
      <c r="DF39" s="375"/>
      <c r="DG39" s="7">
        <f t="shared" si="252"/>
        <v>0</v>
      </c>
      <c r="DH39" s="375">
        <f t="shared" si="253"/>
        <v>0</v>
      </c>
      <c r="DI39" s="7">
        <f t="shared" si="33"/>
        <v>0</v>
      </c>
      <c r="DJ39" s="375"/>
      <c r="DK39" s="7">
        <f t="shared" si="254"/>
        <v>0</v>
      </c>
      <c r="DL39" s="375"/>
      <c r="DM39" s="7">
        <f t="shared" si="255"/>
        <v>0</v>
      </c>
      <c r="DN39" s="375"/>
      <c r="DO39" s="7">
        <f t="shared" si="256"/>
        <v>0</v>
      </c>
      <c r="DP39" s="375"/>
      <c r="DQ39" s="7">
        <f t="shared" si="257"/>
        <v>0</v>
      </c>
      <c r="DR39" s="375">
        <f t="shared" si="258"/>
        <v>0</v>
      </c>
      <c r="DS39" s="7">
        <f t="shared" si="35"/>
        <v>0</v>
      </c>
      <c r="DT39" s="375">
        <f t="shared" si="259"/>
        <v>0</v>
      </c>
      <c r="DU39" s="7">
        <f t="shared" si="83"/>
        <v>0</v>
      </c>
      <c r="DV39" s="375"/>
      <c r="DW39" s="7">
        <f t="shared" si="260"/>
        <v>0</v>
      </c>
      <c r="DX39" s="375"/>
      <c r="DY39" s="7">
        <f t="shared" si="261"/>
        <v>0</v>
      </c>
      <c r="DZ39" s="375"/>
      <c r="EA39" s="7">
        <f t="shared" si="262"/>
        <v>0</v>
      </c>
      <c r="EB39" s="375">
        <f t="shared" si="263"/>
        <v>0</v>
      </c>
      <c r="EC39" s="7">
        <f t="shared" si="37"/>
        <v>0</v>
      </c>
      <c r="ED39" s="375"/>
      <c r="EE39" s="7">
        <f t="shared" si="85"/>
        <v>0</v>
      </c>
      <c r="EF39" s="375"/>
      <c r="EG39" s="7">
        <f t="shared" si="264"/>
        <v>0</v>
      </c>
      <c r="EH39" s="375"/>
      <c r="EI39" s="7">
        <f t="shared" si="265"/>
        <v>0</v>
      </c>
      <c r="EJ39" s="375"/>
      <c r="EK39" s="7">
        <f t="shared" si="266"/>
        <v>0</v>
      </c>
      <c r="EL39" s="375">
        <f t="shared" si="289"/>
        <v>0</v>
      </c>
      <c r="EM39" s="7">
        <f t="shared" si="39"/>
        <v>0</v>
      </c>
      <c r="EN39" s="375">
        <f t="shared" si="268"/>
        <v>0</v>
      </c>
      <c r="EO39" s="7">
        <f t="shared" si="108"/>
        <v>0</v>
      </c>
      <c r="EP39" s="373"/>
      <c r="EQ39" s="373"/>
      <c r="ER39" s="373"/>
      <c r="ES39" s="373"/>
      <c r="ET39" s="375"/>
      <c r="EU39" s="7">
        <f t="shared" si="269"/>
        <v>0</v>
      </c>
      <c r="EV39" s="375"/>
      <c r="EW39" s="7">
        <f t="shared" si="270"/>
        <v>0</v>
      </c>
      <c r="EX39" s="375"/>
      <c r="EY39" s="7">
        <f t="shared" si="271"/>
        <v>0</v>
      </c>
      <c r="EZ39" s="375">
        <f t="shared" si="272"/>
        <v>0</v>
      </c>
      <c r="FA39" s="7">
        <f t="shared" si="42"/>
        <v>0</v>
      </c>
      <c r="FB39" s="375"/>
      <c r="FC39" s="7">
        <f t="shared" si="273"/>
        <v>0</v>
      </c>
      <c r="FD39" s="375"/>
      <c r="FE39" s="7">
        <f t="shared" si="200"/>
        <v>0</v>
      </c>
      <c r="FF39" s="375"/>
      <c r="FG39" s="7">
        <f t="shared" si="44"/>
        <v>0</v>
      </c>
      <c r="FH39" s="375">
        <f t="shared" si="274"/>
        <v>0</v>
      </c>
      <c r="FI39" s="7">
        <f t="shared" si="46"/>
        <v>0</v>
      </c>
      <c r="FJ39" s="375">
        <f t="shared" si="275"/>
        <v>0</v>
      </c>
      <c r="FK39" s="7">
        <f t="shared" si="89"/>
        <v>0</v>
      </c>
      <c r="FL39" s="375"/>
      <c r="FM39" s="7">
        <f t="shared" si="276"/>
        <v>0</v>
      </c>
      <c r="FN39" s="375"/>
      <c r="FO39" s="7">
        <f t="shared" si="48"/>
        <v>0</v>
      </c>
      <c r="FP39" s="375"/>
      <c r="FQ39" s="7">
        <f t="shared" si="49"/>
        <v>0</v>
      </c>
      <c r="FR39" s="375">
        <f t="shared" si="277"/>
        <v>0</v>
      </c>
      <c r="FS39" s="7">
        <f t="shared" si="51"/>
        <v>0</v>
      </c>
      <c r="FT39" s="375">
        <f t="shared" si="278"/>
        <v>0</v>
      </c>
      <c r="FU39" s="7">
        <f t="shared" si="90"/>
        <v>0</v>
      </c>
      <c r="FV39" s="375"/>
      <c r="FW39" s="7">
        <f t="shared" si="279"/>
        <v>0</v>
      </c>
      <c r="FX39" s="375"/>
      <c r="FY39" s="7">
        <f t="shared" si="53"/>
        <v>0</v>
      </c>
      <c r="FZ39" s="375"/>
      <c r="GA39" s="7">
        <f t="shared" si="54"/>
        <v>0</v>
      </c>
      <c r="GB39" s="375">
        <f t="shared" si="280"/>
        <v>0</v>
      </c>
      <c r="GC39" s="7">
        <f t="shared" si="56"/>
        <v>0</v>
      </c>
      <c r="GD39" s="375">
        <f t="shared" si="281"/>
        <v>0</v>
      </c>
      <c r="GE39" s="7">
        <f t="shared" si="91"/>
        <v>0</v>
      </c>
      <c r="GF39" s="566">
        <f t="shared" si="282"/>
        <v>0</v>
      </c>
      <c r="GG39" s="525">
        <f t="shared" si="58"/>
        <v>0</v>
      </c>
      <c r="GH39" s="528">
        <f t="shared" si="283"/>
        <v>0</v>
      </c>
      <c r="GI39" s="525">
        <f t="shared" si="60"/>
        <v>0</v>
      </c>
      <c r="GJ39" s="528"/>
      <c r="GK39" s="525">
        <f t="shared" si="61"/>
        <v>0</v>
      </c>
      <c r="GL39" s="528">
        <f t="shared" si="284"/>
        <v>0</v>
      </c>
      <c r="GM39" s="565">
        <f t="shared" si="92"/>
        <v>0</v>
      </c>
      <c r="GO39" s="586"/>
      <c r="GQ39" s="586"/>
      <c r="GT39" s="551">
        <f t="shared" si="182"/>
        <v>0</v>
      </c>
      <c r="GU39" s="551">
        <f t="shared" si="94"/>
        <v>0</v>
      </c>
      <c r="GV39" s="550">
        <f t="shared" si="63"/>
        <v>0</v>
      </c>
      <c r="GW39" s="527"/>
      <c r="GX39" s="525">
        <f t="shared" si="285"/>
        <v>0</v>
      </c>
      <c r="GY39" s="528"/>
      <c r="GZ39" s="525">
        <f t="shared" si="286"/>
        <v>0</v>
      </c>
      <c r="HA39" s="528"/>
      <c r="HB39" s="526">
        <f t="shared" si="287"/>
        <v>0</v>
      </c>
      <c r="HD39" s="527"/>
      <c r="HE39" s="525">
        <v>0</v>
      </c>
      <c r="HF39" s="528"/>
      <c r="HG39" s="525">
        <v>0</v>
      </c>
      <c r="HH39" s="528"/>
      <c r="HI39" s="526">
        <v>0</v>
      </c>
    </row>
    <row r="40" spans="1:217" ht="15" customHeight="1" outlineLevel="1">
      <c r="A40" s="386" t="s">
        <v>33</v>
      </c>
      <c r="B40" s="386" t="s">
        <v>41</v>
      </c>
      <c r="C40" s="375">
        <v>0</v>
      </c>
      <c r="D40" s="4"/>
      <c r="E40" s="375">
        <v>0</v>
      </c>
      <c r="F40" s="4"/>
      <c r="G40" s="375"/>
      <c r="H40" s="375"/>
      <c r="I40" s="4"/>
      <c r="J40" s="375"/>
      <c r="K40" s="375"/>
      <c r="L40" s="4"/>
      <c r="M40" s="375"/>
      <c r="N40" s="375">
        <v>0</v>
      </c>
      <c r="O40" s="4"/>
      <c r="P40" s="375">
        <f t="shared" si="13"/>
        <v>0</v>
      </c>
      <c r="Q40" s="375">
        <f t="shared" si="13"/>
        <v>0</v>
      </c>
      <c r="R40" s="7">
        <f t="shared" si="64"/>
        <v>0</v>
      </c>
      <c r="S40" s="375"/>
      <c r="T40" s="375"/>
      <c r="U40" s="4"/>
      <c r="V40" s="375"/>
      <c r="W40" s="375"/>
      <c r="X40" s="4"/>
      <c r="Y40" s="375"/>
      <c r="Z40" s="375"/>
      <c r="AA40" s="4"/>
      <c r="AB40" s="375">
        <f t="shared" si="224"/>
        <v>0</v>
      </c>
      <c r="AC40" s="375">
        <f t="shared" si="225"/>
        <v>0</v>
      </c>
      <c r="AD40" s="7">
        <f t="shared" si="65"/>
        <v>0</v>
      </c>
      <c r="AE40" s="375">
        <f t="shared" si="226"/>
        <v>0</v>
      </c>
      <c r="AF40" s="375">
        <f t="shared" si="227"/>
        <v>0</v>
      </c>
      <c r="AG40" s="4"/>
      <c r="AH40" s="375"/>
      <c r="AI40" s="375"/>
      <c r="AJ40" s="4"/>
      <c r="AK40" s="375"/>
      <c r="AL40" s="375"/>
      <c r="AM40" s="4"/>
      <c r="AN40" s="375"/>
      <c r="AO40" s="375"/>
      <c r="AP40" s="4"/>
      <c r="AQ40" s="375">
        <f t="shared" si="228"/>
        <v>0</v>
      </c>
      <c r="AR40" s="375">
        <f t="shared" si="229"/>
        <v>0</v>
      </c>
      <c r="AS40" s="7">
        <f t="shared" si="68"/>
        <v>0</v>
      </c>
      <c r="AT40" s="375">
        <f t="shared" si="230"/>
        <v>0</v>
      </c>
      <c r="AU40" s="4"/>
      <c r="AV40" s="375"/>
      <c r="AW40" s="375"/>
      <c r="AX40" s="4"/>
      <c r="AY40" s="375"/>
      <c r="AZ40" s="375"/>
      <c r="BA40" s="4"/>
      <c r="BB40" s="375"/>
      <c r="BC40" s="375"/>
      <c r="BD40" s="448"/>
      <c r="BE40" s="375">
        <f t="shared" si="231"/>
        <v>0</v>
      </c>
      <c r="BF40" s="375">
        <f t="shared" si="232"/>
        <v>0</v>
      </c>
      <c r="BG40" s="7">
        <f t="shared" si="71"/>
        <v>0</v>
      </c>
      <c r="BH40" s="375">
        <f t="shared" si="233"/>
        <v>0</v>
      </c>
      <c r="BI40" s="388">
        <f t="shared" si="234"/>
        <v>0</v>
      </c>
      <c r="BJ40" s="7">
        <f t="shared" si="72"/>
        <v>0</v>
      </c>
      <c r="BK40" s="375">
        <v>0</v>
      </c>
      <c r="BL40" s="282"/>
      <c r="BN40" s="375"/>
      <c r="BO40" s="4"/>
      <c r="BP40" s="375"/>
      <c r="BQ40" s="4"/>
      <c r="BR40" s="375"/>
      <c r="BS40" s="4"/>
      <c r="BT40" s="375"/>
      <c r="BU40" s="7">
        <f t="shared" si="73"/>
        <v>0</v>
      </c>
      <c r="BV40" s="375"/>
      <c r="BW40" s="7"/>
      <c r="BX40" s="375"/>
      <c r="BY40" s="7"/>
      <c r="BZ40" s="375">
        <f t="shared" si="236"/>
        <v>0</v>
      </c>
      <c r="CA40" s="7"/>
      <c r="CB40" s="375">
        <f t="shared" si="237"/>
        <v>0</v>
      </c>
      <c r="CC40" s="7">
        <f t="shared" si="158"/>
        <v>0</v>
      </c>
      <c r="CD40" s="375">
        <f t="shared" si="238"/>
        <v>0</v>
      </c>
      <c r="CE40" s="7">
        <f t="shared" si="75"/>
        <v>0</v>
      </c>
      <c r="CF40" s="375">
        <f t="shared" si="239"/>
        <v>0</v>
      </c>
      <c r="CG40" s="7">
        <f t="shared" si="76"/>
        <v>0</v>
      </c>
      <c r="CH40" s="375"/>
      <c r="CI40" s="7">
        <f t="shared" si="76"/>
        <v>0</v>
      </c>
      <c r="CJ40" s="375"/>
      <c r="CK40" s="7">
        <f t="shared" si="76"/>
        <v>0</v>
      </c>
      <c r="CL40" s="375">
        <f t="shared" si="240"/>
        <v>0</v>
      </c>
      <c r="CM40" s="7">
        <f t="shared" si="76"/>
        <v>0</v>
      </c>
      <c r="CN40" s="375">
        <f t="shared" si="288"/>
        <v>0</v>
      </c>
      <c r="CO40" s="7">
        <f t="shared" si="241"/>
        <v>0</v>
      </c>
      <c r="CP40" s="375">
        <f t="shared" si="242"/>
        <v>0</v>
      </c>
      <c r="CQ40" s="7">
        <f t="shared" si="26"/>
        <v>0</v>
      </c>
      <c r="CR40" s="375">
        <f t="shared" si="243"/>
        <v>0</v>
      </c>
      <c r="CS40" s="7">
        <f t="shared" si="244"/>
        <v>0</v>
      </c>
      <c r="CT40" s="375">
        <f t="shared" si="245"/>
        <v>0</v>
      </c>
      <c r="CU40" s="7">
        <f t="shared" si="199"/>
        <v>0</v>
      </c>
      <c r="CV40" s="375">
        <f t="shared" si="246"/>
        <v>0</v>
      </c>
      <c r="CW40" s="7">
        <f t="shared" si="80"/>
        <v>0</v>
      </c>
      <c r="CX40" s="375">
        <f t="shared" si="247"/>
        <v>0</v>
      </c>
      <c r="CY40" s="7">
        <f t="shared" si="30"/>
        <v>0</v>
      </c>
      <c r="CZ40" s="375">
        <f t="shared" si="248"/>
        <v>0</v>
      </c>
      <c r="DA40" s="7">
        <f t="shared" si="81"/>
        <v>0</v>
      </c>
      <c r="DB40" s="375">
        <f t="shared" si="249"/>
        <v>0</v>
      </c>
      <c r="DC40" s="7">
        <f t="shared" si="250"/>
        <v>0</v>
      </c>
      <c r="DD40" s="375"/>
      <c r="DE40" s="7">
        <f t="shared" si="251"/>
        <v>0</v>
      </c>
      <c r="DF40" s="375"/>
      <c r="DG40" s="7">
        <f t="shared" si="252"/>
        <v>0</v>
      </c>
      <c r="DH40" s="375">
        <f t="shared" si="253"/>
        <v>0</v>
      </c>
      <c r="DI40" s="7">
        <f t="shared" si="33"/>
        <v>0</v>
      </c>
      <c r="DJ40" s="375"/>
      <c r="DK40" s="7">
        <f t="shared" si="254"/>
        <v>0</v>
      </c>
      <c r="DL40" s="375"/>
      <c r="DM40" s="7">
        <f t="shared" si="255"/>
        <v>0</v>
      </c>
      <c r="DN40" s="375"/>
      <c r="DO40" s="7">
        <f t="shared" si="256"/>
        <v>0</v>
      </c>
      <c r="DP40" s="375"/>
      <c r="DQ40" s="7">
        <f t="shared" si="257"/>
        <v>0</v>
      </c>
      <c r="DR40" s="375">
        <f t="shared" si="258"/>
        <v>0</v>
      </c>
      <c r="DS40" s="7">
        <f t="shared" si="35"/>
        <v>0</v>
      </c>
      <c r="DT40" s="375">
        <f t="shared" si="259"/>
        <v>0</v>
      </c>
      <c r="DU40" s="7">
        <f t="shared" si="83"/>
        <v>0</v>
      </c>
      <c r="DV40" s="375"/>
      <c r="DW40" s="7">
        <f t="shared" si="260"/>
        <v>0</v>
      </c>
      <c r="DX40" s="375"/>
      <c r="DY40" s="7">
        <f t="shared" si="261"/>
        <v>0</v>
      </c>
      <c r="DZ40" s="375"/>
      <c r="EA40" s="7">
        <f t="shared" si="262"/>
        <v>0</v>
      </c>
      <c r="EB40" s="375">
        <f t="shared" si="263"/>
        <v>0</v>
      </c>
      <c r="EC40" s="7">
        <f t="shared" si="37"/>
        <v>0</v>
      </c>
      <c r="ED40" s="375"/>
      <c r="EE40" s="7">
        <f t="shared" si="85"/>
        <v>0</v>
      </c>
      <c r="EF40" s="375"/>
      <c r="EG40" s="7">
        <f t="shared" si="264"/>
        <v>0</v>
      </c>
      <c r="EH40" s="375"/>
      <c r="EI40" s="7">
        <f t="shared" si="265"/>
        <v>0</v>
      </c>
      <c r="EJ40" s="375"/>
      <c r="EK40" s="7">
        <f t="shared" si="266"/>
        <v>0</v>
      </c>
      <c r="EL40" s="375">
        <f t="shared" si="289"/>
        <v>0</v>
      </c>
      <c r="EM40" s="7">
        <f t="shared" si="39"/>
        <v>0</v>
      </c>
      <c r="EN40" s="375">
        <f t="shared" si="268"/>
        <v>0</v>
      </c>
      <c r="EO40" s="7">
        <f t="shared" si="108"/>
        <v>0</v>
      </c>
      <c r="EP40" s="373"/>
      <c r="EQ40" s="373"/>
      <c r="ER40" s="373"/>
      <c r="ES40" s="373"/>
      <c r="ET40" s="375"/>
      <c r="EU40" s="7">
        <f t="shared" si="269"/>
        <v>0</v>
      </c>
      <c r="EV40" s="375"/>
      <c r="EW40" s="7">
        <f t="shared" si="270"/>
        <v>0</v>
      </c>
      <c r="EX40" s="375"/>
      <c r="EY40" s="7">
        <f t="shared" si="271"/>
        <v>0</v>
      </c>
      <c r="EZ40" s="375">
        <f t="shared" si="272"/>
        <v>0</v>
      </c>
      <c r="FA40" s="7">
        <f t="shared" si="42"/>
        <v>0</v>
      </c>
      <c r="FB40" s="375"/>
      <c r="FC40" s="7">
        <f t="shared" si="273"/>
        <v>0</v>
      </c>
      <c r="FD40" s="375"/>
      <c r="FE40" s="7">
        <f t="shared" si="200"/>
        <v>0</v>
      </c>
      <c r="FF40" s="375"/>
      <c r="FG40" s="7">
        <f t="shared" si="44"/>
        <v>0</v>
      </c>
      <c r="FH40" s="375">
        <f t="shared" si="274"/>
        <v>0</v>
      </c>
      <c r="FI40" s="7">
        <f t="shared" si="46"/>
        <v>0</v>
      </c>
      <c r="FJ40" s="375">
        <f t="shared" si="275"/>
        <v>0</v>
      </c>
      <c r="FK40" s="7">
        <f t="shared" si="89"/>
        <v>0</v>
      </c>
      <c r="FL40" s="375"/>
      <c r="FM40" s="7">
        <f t="shared" si="276"/>
        <v>0</v>
      </c>
      <c r="FN40" s="375"/>
      <c r="FO40" s="7">
        <f t="shared" si="48"/>
        <v>0</v>
      </c>
      <c r="FP40" s="375"/>
      <c r="FQ40" s="7">
        <f t="shared" si="49"/>
        <v>0</v>
      </c>
      <c r="FR40" s="375">
        <f t="shared" si="277"/>
        <v>0</v>
      </c>
      <c r="FS40" s="7">
        <f t="shared" si="51"/>
        <v>0</v>
      </c>
      <c r="FT40" s="375">
        <f t="shared" si="278"/>
        <v>0</v>
      </c>
      <c r="FU40" s="7">
        <f t="shared" si="90"/>
        <v>0</v>
      </c>
      <c r="FV40" s="375"/>
      <c r="FW40" s="7">
        <f t="shared" si="279"/>
        <v>0</v>
      </c>
      <c r="FX40" s="375"/>
      <c r="FY40" s="7">
        <f t="shared" si="53"/>
        <v>0</v>
      </c>
      <c r="FZ40" s="375"/>
      <c r="GA40" s="7">
        <f t="shared" si="54"/>
        <v>0</v>
      </c>
      <c r="GB40" s="375">
        <f t="shared" si="280"/>
        <v>0</v>
      </c>
      <c r="GC40" s="7">
        <f t="shared" si="56"/>
        <v>0</v>
      </c>
      <c r="GD40" s="375">
        <f t="shared" si="281"/>
        <v>0</v>
      </c>
      <c r="GE40" s="7">
        <f t="shared" si="91"/>
        <v>0</v>
      </c>
      <c r="GF40" s="566">
        <f t="shared" si="282"/>
        <v>0</v>
      </c>
      <c r="GG40" s="525">
        <f t="shared" si="58"/>
        <v>0</v>
      </c>
      <c r="GH40" s="528">
        <f t="shared" si="283"/>
        <v>0</v>
      </c>
      <c r="GI40" s="525">
        <f t="shared" si="60"/>
        <v>0</v>
      </c>
      <c r="GJ40" s="528"/>
      <c r="GK40" s="525">
        <f t="shared" si="61"/>
        <v>0</v>
      </c>
      <c r="GL40" s="528">
        <f t="shared" si="284"/>
        <v>0</v>
      </c>
      <c r="GM40" s="565">
        <f t="shared" si="92"/>
        <v>0</v>
      </c>
      <c r="GO40" s="586"/>
      <c r="GQ40" s="586"/>
      <c r="GT40" s="551">
        <f t="shared" si="182"/>
        <v>0</v>
      </c>
      <c r="GU40" s="551">
        <f t="shared" si="94"/>
        <v>0</v>
      </c>
      <c r="GV40" s="550">
        <f t="shared" si="63"/>
        <v>0</v>
      </c>
      <c r="GW40" s="527"/>
      <c r="GX40" s="525">
        <f t="shared" si="285"/>
        <v>0</v>
      </c>
      <c r="GY40" s="528"/>
      <c r="GZ40" s="525">
        <f t="shared" si="286"/>
        <v>0</v>
      </c>
      <c r="HA40" s="528"/>
      <c r="HB40" s="526">
        <f t="shared" si="287"/>
        <v>0</v>
      </c>
      <c r="HD40" s="527"/>
      <c r="HE40" s="525">
        <v>0</v>
      </c>
      <c r="HF40" s="528"/>
      <c r="HG40" s="525">
        <v>0</v>
      </c>
      <c r="HH40" s="528"/>
      <c r="HI40" s="526">
        <v>0</v>
      </c>
    </row>
    <row r="41" spans="1:217" ht="15" customHeight="1" outlineLevel="1">
      <c r="A41" s="386" t="s">
        <v>33</v>
      </c>
      <c r="B41" s="386" t="s">
        <v>42</v>
      </c>
      <c r="C41" s="375">
        <v>0</v>
      </c>
      <c r="D41" s="4"/>
      <c r="E41" s="375">
        <v>0</v>
      </c>
      <c r="F41" s="4"/>
      <c r="G41" s="375"/>
      <c r="H41" s="375"/>
      <c r="I41" s="4"/>
      <c r="J41" s="375"/>
      <c r="K41" s="375"/>
      <c r="L41" s="4"/>
      <c r="M41" s="375"/>
      <c r="N41" s="375">
        <v>0</v>
      </c>
      <c r="O41" s="4"/>
      <c r="P41" s="375">
        <f t="shared" si="13"/>
        <v>0</v>
      </c>
      <c r="Q41" s="375">
        <f t="shared" si="13"/>
        <v>0</v>
      </c>
      <c r="R41" s="7">
        <f t="shared" si="64"/>
        <v>0</v>
      </c>
      <c r="S41" s="375"/>
      <c r="T41" s="375"/>
      <c r="U41" s="4"/>
      <c r="V41" s="375"/>
      <c r="W41" s="375"/>
      <c r="X41" s="4"/>
      <c r="Y41" s="375"/>
      <c r="Z41" s="375"/>
      <c r="AA41" s="4"/>
      <c r="AB41" s="375">
        <f t="shared" si="224"/>
        <v>0</v>
      </c>
      <c r="AC41" s="375">
        <f t="shared" si="225"/>
        <v>0</v>
      </c>
      <c r="AD41" s="7">
        <f t="shared" si="65"/>
        <v>0</v>
      </c>
      <c r="AE41" s="375">
        <f t="shared" si="226"/>
        <v>0</v>
      </c>
      <c r="AF41" s="375">
        <f t="shared" si="227"/>
        <v>0</v>
      </c>
      <c r="AG41" s="4"/>
      <c r="AH41" s="375"/>
      <c r="AI41" s="375"/>
      <c r="AJ41" s="4"/>
      <c r="AK41" s="375"/>
      <c r="AL41" s="375"/>
      <c r="AM41" s="4"/>
      <c r="AN41" s="375"/>
      <c r="AO41" s="375"/>
      <c r="AP41" s="4"/>
      <c r="AQ41" s="375">
        <f t="shared" si="228"/>
        <v>0</v>
      </c>
      <c r="AR41" s="375">
        <f t="shared" si="229"/>
        <v>0</v>
      </c>
      <c r="AS41" s="7">
        <f t="shared" si="68"/>
        <v>0</v>
      </c>
      <c r="AT41" s="375">
        <f t="shared" si="230"/>
        <v>0</v>
      </c>
      <c r="AU41" s="4"/>
      <c r="AV41" s="375"/>
      <c r="AW41" s="375"/>
      <c r="AX41" s="4"/>
      <c r="AY41" s="375"/>
      <c r="AZ41" s="375"/>
      <c r="BA41" s="4"/>
      <c r="BB41" s="375"/>
      <c r="BC41" s="375"/>
      <c r="BD41" s="448"/>
      <c r="BE41" s="375">
        <f t="shared" si="231"/>
        <v>0</v>
      </c>
      <c r="BF41" s="375">
        <f t="shared" si="232"/>
        <v>0</v>
      </c>
      <c r="BG41" s="7">
        <f t="shared" si="71"/>
        <v>0</v>
      </c>
      <c r="BH41" s="375">
        <f t="shared" si="233"/>
        <v>0</v>
      </c>
      <c r="BI41" s="388">
        <f t="shared" si="234"/>
        <v>0</v>
      </c>
      <c r="BJ41" s="7">
        <f t="shared" si="72"/>
        <v>0</v>
      </c>
      <c r="BK41" s="375">
        <v>0</v>
      </c>
      <c r="BL41" s="282"/>
      <c r="BN41" s="375"/>
      <c r="BO41" s="4"/>
      <c r="BP41" s="375"/>
      <c r="BQ41" s="4"/>
      <c r="BR41" s="375"/>
      <c r="BS41" s="4"/>
      <c r="BT41" s="375"/>
      <c r="BU41" s="7">
        <f t="shared" si="73"/>
        <v>0</v>
      </c>
      <c r="BV41" s="375"/>
      <c r="BW41" s="7"/>
      <c r="BX41" s="375"/>
      <c r="BY41" s="7"/>
      <c r="BZ41" s="375">
        <f t="shared" si="236"/>
        <v>0</v>
      </c>
      <c r="CA41" s="7"/>
      <c r="CB41" s="375">
        <f t="shared" si="237"/>
        <v>0</v>
      </c>
      <c r="CC41" s="7">
        <f t="shared" si="158"/>
        <v>0</v>
      </c>
      <c r="CD41" s="375">
        <f t="shared" si="238"/>
        <v>0</v>
      </c>
      <c r="CE41" s="7">
        <f t="shared" si="75"/>
        <v>0</v>
      </c>
      <c r="CF41" s="375">
        <f t="shared" si="239"/>
        <v>0</v>
      </c>
      <c r="CG41" s="7">
        <f t="shared" si="76"/>
        <v>0</v>
      </c>
      <c r="CH41" s="375"/>
      <c r="CI41" s="7">
        <f t="shared" si="76"/>
        <v>0</v>
      </c>
      <c r="CJ41" s="375"/>
      <c r="CK41" s="7">
        <f t="shared" si="76"/>
        <v>0</v>
      </c>
      <c r="CL41" s="375">
        <f t="shared" si="240"/>
        <v>0</v>
      </c>
      <c r="CM41" s="7">
        <f t="shared" si="76"/>
        <v>0</v>
      </c>
      <c r="CN41" s="375">
        <f t="shared" si="288"/>
        <v>0</v>
      </c>
      <c r="CO41" s="7">
        <f t="shared" si="241"/>
        <v>0</v>
      </c>
      <c r="CP41" s="375">
        <f t="shared" si="242"/>
        <v>0</v>
      </c>
      <c r="CQ41" s="7">
        <f t="shared" ref="CQ41:CQ72" si="290">+CP41/CP$8</f>
        <v>0</v>
      </c>
      <c r="CR41" s="375">
        <f t="shared" si="243"/>
        <v>0</v>
      </c>
      <c r="CS41" s="7">
        <f t="shared" si="244"/>
        <v>0</v>
      </c>
      <c r="CT41" s="375">
        <f t="shared" si="245"/>
        <v>0</v>
      </c>
      <c r="CU41" s="7">
        <f t="shared" si="199"/>
        <v>0</v>
      </c>
      <c r="CV41" s="375">
        <f t="shared" si="246"/>
        <v>0</v>
      </c>
      <c r="CW41" s="7">
        <f t="shared" si="80"/>
        <v>0</v>
      </c>
      <c r="CX41" s="375">
        <f t="shared" si="247"/>
        <v>0</v>
      </c>
      <c r="CY41" s="7">
        <f t="shared" ref="CY41:CY72" si="291">+CX41/CX$8</f>
        <v>0</v>
      </c>
      <c r="CZ41" s="375">
        <f t="shared" si="248"/>
        <v>0</v>
      </c>
      <c r="DA41" s="7">
        <f t="shared" si="81"/>
        <v>0</v>
      </c>
      <c r="DB41" s="375">
        <f t="shared" si="249"/>
        <v>0</v>
      </c>
      <c r="DC41" s="7">
        <f t="shared" si="250"/>
        <v>0</v>
      </c>
      <c r="DD41" s="375"/>
      <c r="DE41" s="7">
        <f t="shared" si="251"/>
        <v>0</v>
      </c>
      <c r="DF41" s="375"/>
      <c r="DG41" s="7">
        <f t="shared" si="252"/>
        <v>0</v>
      </c>
      <c r="DH41" s="375">
        <f t="shared" si="253"/>
        <v>0</v>
      </c>
      <c r="DI41" s="7">
        <f t="shared" ref="DI41:DI72" si="292">+DH41/DH$8</f>
        <v>0</v>
      </c>
      <c r="DJ41" s="375"/>
      <c r="DK41" s="7">
        <f t="shared" si="254"/>
        <v>0</v>
      </c>
      <c r="DL41" s="375"/>
      <c r="DM41" s="7">
        <f t="shared" si="255"/>
        <v>0</v>
      </c>
      <c r="DN41" s="375"/>
      <c r="DO41" s="7">
        <f t="shared" si="256"/>
        <v>0</v>
      </c>
      <c r="DP41" s="375"/>
      <c r="DQ41" s="7">
        <f t="shared" si="257"/>
        <v>0</v>
      </c>
      <c r="DR41" s="375">
        <f t="shared" si="258"/>
        <v>0</v>
      </c>
      <c r="DS41" s="7">
        <f t="shared" ref="DS41:DS72" si="293">+DR41/DR$8</f>
        <v>0</v>
      </c>
      <c r="DT41" s="375">
        <f t="shared" si="259"/>
        <v>0</v>
      </c>
      <c r="DU41" s="7">
        <f t="shared" si="83"/>
        <v>0</v>
      </c>
      <c r="DV41" s="375"/>
      <c r="DW41" s="7">
        <f t="shared" si="260"/>
        <v>0</v>
      </c>
      <c r="DX41" s="375"/>
      <c r="DY41" s="7">
        <f t="shared" si="261"/>
        <v>0</v>
      </c>
      <c r="DZ41" s="375"/>
      <c r="EA41" s="7">
        <f t="shared" si="262"/>
        <v>0</v>
      </c>
      <c r="EB41" s="375">
        <f t="shared" si="263"/>
        <v>0</v>
      </c>
      <c r="EC41" s="7">
        <f t="shared" si="37"/>
        <v>0</v>
      </c>
      <c r="ED41" s="375"/>
      <c r="EE41" s="7">
        <f t="shared" si="85"/>
        <v>0</v>
      </c>
      <c r="EF41" s="375"/>
      <c r="EG41" s="7">
        <f t="shared" si="264"/>
        <v>0</v>
      </c>
      <c r="EH41" s="375"/>
      <c r="EI41" s="7">
        <f t="shared" si="265"/>
        <v>0</v>
      </c>
      <c r="EJ41" s="375"/>
      <c r="EK41" s="7">
        <f t="shared" si="266"/>
        <v>0</v>
      </c>
      <c r="EL41" s="375">
        <f t="shared" si="289"/>
        <v>0</v>
      </c>
      <c r="EM41" s="7">
        <f t="shared" si="39"/>
        <v>0</v>
      </c>
      <c r="EN41" s="375">
        <f t="shared" si="268"/>
        <v>0</v>
      </c>
      <c r="EO41" s="7">
        <f t="shared" si="108"/>
        <v>0</v>
      </c>
      <c r="EP41" s="373"/>
      <c r="EQ41" s="373"/>
      <c r="ER41" s="373"/>
      <c r="ES41" s="373"/>
      <c r="ET41" s="375"/>
      <c r="EU41" s="7">
        <f t="shared" si="269"/>
        <v>0</v>
      </c>
      <c r="EV41" s="375"/>
      <c r="EW41" s="7">
        <f t="shared" si="270"/>
        <v>0</v>
      </c>
      <c r="EX41" s="375"/>
      <c r="EY41" s="7">
        <f t="shared" si="271"/>
        <v>0</v>
      </c>
      <c r="EZ41" s="375">
        <f t="shared" si="272"/>
        <v>0</v>
      </c>
      <c r="FA41" s="7">
        <f t="shared" si="42"/>
        <v>0</v>
      </c>
      <c r="FB41" s="375"/>
      <c r="FC41" s="7">
        <f t="shared" si="273"/>
        <v>0</v>
      </c>
      <c r="FD41" s="375"/>
      <c r="FE41" s="7">
        <f t="shared" si="200"/>
        <v>0</v>
      </c>
      <c r="FF41" s="375"/>
      <c r="FG41" s="7">
        <f t="shared" si="44"/>
        <v>0</v>
      </c>
      <c r="FH41" s="375">
        <f t="shared" si="274"/>
        <v>0</v>
      </c>
      <c r="FI41" s="7">
        <f t="shared" si="46"/>
        <v>0</v>
      </c>
      <c r="FJ41" s="375">
        <f t="shared" si="275"/>
        <v>0</v>
      </c>
      <c r="FK41" s="7">
        <f t="shared" si="89"/>
        <v>0</v>
      </c>
      <c r="FL41" s="375"/>
      <c r="FM41" s="7">
        <f t="shared" si="276"/>
        <v>0</v>
      </c>
      <c r="FN41" s="375"/>
      <c r="FO41" s="7">
        <f t="shared" si="48"/>
        <v>0</v>
      </c>
      <c r="FP41" s="375"/>
      <c r="FQ41" s="7">
        <f t="shared" si="49"/>
        <v>0</v>
      </c>
      <c r="FR41" s="375">
        <f t="shared" si="277"/>
        <v>0</v>
      </c>
      <c r="FS41" s="7">
        <f t="shared" si="51"/>
        <v>0</v>
      </c>
      <c r="FT41" s="375">
        <f t="shared" si="278"/>
        <v>0</v>
      </c>
      <c r="FU41" s="7">
        <f t="shared" si="90"/>
        <v>0</v>
      </c>
      <c r="FV41" s="375"/>
      <c r="FW41" s="7">
        <f t="shared" si="279"/>
        <v>0</v>
      </c>
      <c r="FX41" s="375"/>
      <c r="FY41" s="7">
        <f t="shared" si="53"/>
        <v>0</v>
      </c>
      <c r="FZ41" s="375"/>
      <c r="GA41" s="7">
        <f t="shared" si="54"/>
        <v>0</v>
      </c>
      <c r="GB41" s="375">
        <f t="shared" si="280"/>
        <v>0</v>
      </c>
      <c r="GC41" s="7">
        <f t="shared" si="56"/>
        <v>0</v>
      </c>
      <c r="GD41" s="375">
        <f t="shared" si="281"/>
        <v>0</v>
      </c>
      <c r="GE41" s="7">
        <f t="shared" si="91"/>
        <v>0</v>
      </c>
      <c r="GF41" s="566">
        <f t="shared" si="282"/>
        <v>0</v>
      </c>
      <c r="GG41" s="525">
        <f t="shared" si="58"/>
        <v>0</v>
      </c>
      <c r="GH41" s="528">
        <f t="shared" si="283"/>
        <v>0</v>
      </c>
      <c r="GI41" s="525">
        <f t="shared" si="60"/>
        <v>0</v>
      </c>
      <c r="GJ41" s="528"/>
      <c r="GK41" s="525">
        <f t="shared" si="61"/>
        <v>0</v>
      </c>
      <c r="GL41" s="528">
        <f t="shared" si="284"/>
        <v>0</v>
      </c>
      <c r="GM41" s="565">
        <f t="shared" si="92"/>
        <v>0</v>
      </c>
      <c r="GO41" s="586"/>
      <c r="GQ41" s="586"/>
      <c r="GT41" s="551">
        <f t="shared" si="182"/>
        <v>0</v>
      </c>
      <c r="GU41" s="551">
        <f t="shared" si="94"/>
        <v>0</v>
      </c>
      <c r="GV41" s="550">
        <f t="shared" ref="GV41:GV72" si="294">+GW41-FJ41</f>
        <v>0</v>
      </c>
      <c r="GW41" s="527"/>
      <c r="GX41" s="525">
        <f t="shared" si="285"/>
        <v>0</v>
      </c>
      <c r="GY41" s="528"/>
      <c r="GZ41" s="525">
        <f t="shared" si="286"/>
        <v>0</v>
      </c>
      <c r="HA41" s="528"/>
      <c r="HB41" s="526">
        <f t="shared" si="287"/>
        <v>0</v>
      </c>
      <c r="HD41" s="527"/>
      <c r="HE41" s="525">
        <v>0</v>
      </c>
      <c r="HF41" s="528"/>
      <c r="HG41" s="525">
        <v>0</v>
      </c>
      <c r="HH41" s="528"/>
      <c r="HI41" s="526">
        <v>0</v>
      </c>
    </row>
    <row r="42" spans="1:217" ht="15" customHeight="1" outlineLevel="1">
      <c r="A42" s="386" t="s">
        <v>33</v>
      </c>
      <c r="B42" s="386" t="s">
        <v>43</v>
      </c>
      <c r="C42" s="375">
        <v>0</v>
      </c>
      <c r="D42" s="4"/>
      <c r="E42" s="375">
        <v>0</v>
      </c>
      <c r="F42" s="4"/>
      <c r="G42" s="375"/>
      <c r="H42" s="375"/>
      <c r="I42" s="4"/>
      <c r="J42" s="375"/>
      <c r="K42" s="375"/>
      <c r="L42" s="4"/>
      <c r="M42" s="375"/>
      <c r="N42" s="375">
        <v>0</v>
      </c>
      <c r="O42" s="4"/>
      <c r="P42" s="375">
        <f t="shared" si="13"/>
        <v>0</v>
      </c>
      <c r="Q42" s="375">
        <f t="shared" si="13"/>
        <v>0</v>
      </c>
      <c r="R42" s="7">
        <f t="shared" si="64"/>
        <v>0</v>
      </c>
      <c r="S42" s="375"/>
      <c r="T42" s="375"/>
      <c r="U42" s="4"/>
      <c r="V42" s="375"/>
      <c r="W42" s="375"/>
      <c r="X42" s="4"/>
      <c r="Y42" s="375"/>
      <c r="Z42" s="375"/>
      <c r="AA42" s="4"/>
      <c r="AB42" s="375">
        <f t="shared" si="224"/>
        <v>0</v>
      </c>
      <c r="AC42" s="375">
        <f t="shared" si="225"/>
        <v>0</v>
      </c>
      <c r="AD42" s="7">
        <f t="shared" si="65"/>
        <v>0</v>
      </c>
      <c r="AE42" s="375">
        <f t="shared" si="226"/>
        <v>0</v>
      </c>
      <c r="AF42" s="375">
        <f t="shared" si="227"/>
        <v>0</v>
      </c>
      <c r="AG42" s="4"/>
      <c r="AH42" s="375"/>
      <c r="AI42" s="375"/>
      <c r="AJ42" s="4"/>
      <c r="AK42" s="375"/>
      <c r="AL42" s="375"/>
      <c r="AM42" s="4"/>
      <c r="AN42" s="375"/>
      <c r="AO42" s="375"/>
      <c r="AP42" s="4"/>
      <c r="AQ42" s="375">
        <f t="shared" si="228"/>
        <v>0</v>
      </c>
      <c r="AR42" s="375">
        <f t="shared" si="229"/>
        <v>0</v>
      </c>
      <c r="AS42" s="7">
        <f t="shared" si="68"/>
        <v>0</v>
      </c>
      <c r="AT42" s="375">
        <f t="shared" si="230"/>
        <v>0</v>
      </c>
      <c r="AU42" s="4"/>
      <c r="AV42" s="375"/>
      <c r="AW42" s="375"/>
      <c r="AX42" s="4"/>
      <c r="AY42" s="375"/>
      <c r="AZ42" s="375"/>
      <c r="BA42" s="4"/>
      <c r="BB42" s="375"/>
      <c r="BC42" s="375"/>
      <c r="BD42" s="448"/>
      <c r="BE42" s="375">
        <f t="shared" si="231"/>
        <v>0</v>
      </c>
      <c r="BF42" s="375">
        <f t="shared" si="232"/>
        <v>0</v>
      </c>
      <c r="BG42" s="7">
        <f t="shared" si="71"/>
        <v>0</v>
      </c>
      <c r="BH42" s="375">
        <f t="shared" si="233"/>
        <v>0</v>
      </c>
      <c r="BI42" s="388">
        <f t="shared" si="234"/>
        <v>0</v>
      </c>
      <c r="BJ42" s="7">
        <f t="shared" si="72"/>
        <v>0</v>
      </c>
      <c r="BK42" s="375">
        <v>0</v>
      </c>
      <c r="BL42" s="282"/>
      <c r="BN42" s="375"/>
      <c r="BO42" s="4"/>
      <c r="BP42" s="375"/>
      <c r="BQ42" s="4"/>
      <c r="BR42" s="375"/>
      <c r="BS42" s="4"/>
      <c r="BT42" s="375"/>
      <c r="BU42" s="7">
        <f t="shared" si="73"/>
        <v>0</v>
      </c>
      <c r="BV42" s="375"/>
      <c r="BW42" s="7"/>
      <c r="BX42" s="375"/>
      <c r="BY42" s="7"/>
      <c r="BZ42" s="375">
        <f t="shared" si="236"/>
        <v>0</v>
      </c>
      <c r="CA42" s="7"/>
      <c r="CB42" s="375">
        <f t="shared" si="237"/>
        <v>0</v>
      </c>
      <c r="CC42" s="7">
        <f t="shared" si="158"/>
        <v>0</v>
      </c>
      <c r="CD42" s="375">
        <f t="shared" si="238"/>
        <v>0</v>
      </c>
      <c r="CE42" s="7">
        <f t="shared" si="75"/>
        <v>0</v>
      </c>
      <c r="CF42" s="375">
        <f t="shared" si="239"/>
        <v>0</v>
      </c>
      <c r="CG42" s="7">
        <f t="shared" si="76"/>
        <v>0</v>
      </c>
      <c r="CH42" s="375"/>
      <c r="CI42" s="7">
        <f t="shared" si="76"/>
        <v>0</v>
      </c>
      <c r="CJ42" s="375"/>
      <c r="CK42" s="7">
        <f t="shared" si="76"/>
        <v>0</v>
      </c>
      <c r="CL42" s="375">
        <f t="shared" si="240"/>
        <v>0</v>
      </c>
      <c r="CM42" s="7">
        <f t="shared" si="76"/>
        <v>0</v>
      </c>
      <c r="CN42" s="375">
        <f t="shared" si="288"/>
        <v>0</v>
      </c>
      <c r="CO42" s="7">
        <f t="shared" si="241"/>
        <v>0</v>
      </c>
      <c r="CP42" s="375">
        <f t="shared" si="242"/>
        <v>0</v>
      </c>
      <c r="CQ42" s="7">
        <f t="shared" si="290"/>
        <v>0</v>
      </c>
      <c r="CR42" s="375">
        <f t="shared" si="243"/>
        <v>0</v>
      </c>
      <c r="CS42" s="7">
        <f t="shared" si="244"/>
        <v>0</v>
      </c>
      <c r="CT42" s="375">
        <f t="shared" si="245"/>
        <v>0</v>
      </c>
      <c r="CU42" s="7">
        <f t="shared" si="199"/>
        <v>0</v>
      </c>
      <c r="CV42" s="375">
        <f t="shared" si="246"/>
        <v>0</v>
      </c>
      <c r="CW42" s="7">
        <f t="shared" si="80"/>
        <v>0</v>
      </c>
      <c r="CX42" s="375">
        <f t="shared" si="247"/>
        <v>0</v>
      </c>
      <c r="CY42" s="7">
        <f t="shared" si="291"/>
        <v>0</v>
      </c>
      <c r="CZ42" s="375">
        <f t="shared" si="248"/>
        <v>0</v>
      </c>
      <c r="DA42" s="7">
        <f t="shared" si="81"/>
        <v>0</v>
      </c>
      <c r="DB42" s="375">
        <f t="shared" si="249"/>
        <v>0</v>
      </c>
      <c r="DC42" s="7">
        <f t="shared" si="250"/>
        <v>0</v>
      </c>
      <c r="DD42" s="375"/>
      <c r="DE42" s="7">
        <f t="shared" si="251"/>
        <v>0</v>
      </c>
      <c r="DF42" s="375"/>
      <c r="DG42" s="7">
        <f t="shared" si="252"/>
        <v>0</v>
      </c>
      <c r="DH42" s="375">
        <f t="shared" si="253"/>
        <v>0</v>
      </c>
      <c r="DI42" s="7">
        <f t="shared" si="292"/>
        <v>0</v>
      </c>
      <c r="DJ42" s="375"/>
      <c r="DK42" s="7">
        <f t="shared" si="254"/>
        <v>0</v>
      </c>
      <c r="DL42" s="375"/>
      <c r="DM42" s="7">
        <f t="shared" si="255"/>
        <v>0</v>
      </c>
      <c r="DN42" s="375"/>
      <c r="DO42" s="7">
        <f t="shared" si="256"/>
        <v>0</v>
      </c>
      <c r="DP42" s="375"/>
      <c r="DQ42" s="7">
        <f t="shared" si="257"/>
        <v>0</v>
      </c>
      <c r="DR42" s="375">
        <f t="shared" si="258"/>
        <v>0</v>
      </c>
      <c r="DS42" s="7">
        <f t="shared" si="293"/>
        <v>0</v>
      </c>
      <c r="DT42" s="375">
        <f t="shared" si="259"/>
        <v>0</v>
      </c>
      <c r="DU42" s="7">
        <f t="shared" si="83"/>
        <v>0</v>
      </c>
      <c r="DV42" s="375"/>
      <c r="DW42" s="7">
        <f t="shared" si="260"/>
        <v>0</v>
      </c>
      <c r="DX42" s="375"/>
      <c r="DY42" s="7">
        <f t="shared" si="261"/>
        <v>0</v>
      </c>
      <c r="DZ42" s="375"/>
      <c r="EA42" s="7">
        <f t="shared" si="262"/>
        <v>0</v>
      </c>
      <c r="EB42" s="375">
        <f t="shared" si="263"/>
        <v>0</v>
      </c>
      <c r="EC42" s="7">
        <f t="shared" si="37"/>
        <v>0</v>
      </c>
      <c r="ED42" s="375"/>
      <c r="EE42" s="7">
        <f t="shared" si="85"/>
        <v>0</v>
      </c>
      <c r="EF42" s="375"/>
      <c r="EG42" s="7">
        <f t="shared" si="264"/>
        <v>0</v>
      </c>
      <c r="EH42" s="375"/>
      <c r="EI42" s="7">
        <f t="shared" si="265"/>
        <v>0</v>
      </c>
      <c r="EJ42" s="375"/>
      <c r="EK42" s="7">
        <f t="shared" si="266"/>
        <v>0</v>
      </c>
      <c r="EL42" s="375">
        <f t="shared" si="289"/>
        <v>0</v>
      </c>
      <c r="EM42" s="7">
        <f t="shared" si="39"/>
        <v>0</v>
      </c>
      <c r="EN42" s="375">
        <f t="shared" si="268"/>
        <v>0</v>
      </c>
      <c r="EO42" s="7">
        <f t="shared" si="108"/>
        <v>0</v>
      </c>
      <c r="EP42" s="373"/>
      <c r="EQ42" s="373"/>
      <c r="ER42" s="373"/>
      <c r="ES42" s="373"/>
      <c r="ET42" s="375"/>
      <c r="EU42" s="7">
        <f t="shared" si="269"/>
        <v>0</v>
      </c>
      <c r="EV42" s="375"/>
      <c r="EW42" s="7">
        <f t="shared" si="270"/>
        <v>0</v>
      </c>
      <c r="EX42" s="375"/>
      <c r="EY42" s="7">
        <f t="shared" si="271"/>
        <v>0</v>
      </c>
      <c r="EZ42" s="375">
        <f t="shared" si="272"/>
        <v>0</v>
      </c>
      <c r="FA42" s="7">
        <f t="shared" si="42"/>
        <v>0</v>
      </c>
      <c r="FB42" s="375"/>
      <c r="FC42" s="7">
        <f t="shared" si="273"/>
        <v>0</v>
      </c>
      <c r="FD42" s="375"/>
      <c r="FE42" s="7">
        <f t="shared" si="200"/>
        <v>0</v>
      </c>
      <c r="FF42" s="375"/>
      <c r="FG42" s="7">
        <f t="shared" si="44"/>
        <v>0</v>
      </c>
      <c r="FH42" s="375">
        <f t="shared" si="274"/>
        <v>0</v>
      </c>
      <c r="FI42" s="7">
        <f t="shared" si="46"/>
        <v>0</v>
      </c>
      <c r="FJ42" s="375">
        <f t="shared" si="275"/>
        <v>0</v>
      </c>
      <c r="FK42" s="7">
        <f t="shared" si="89"/>
        <v>0</v>
      </c>
      <c r="FL42" s="375"/>
      <c r="FM42" s="7">
        <f t="shared" si="276"/>
        <v>0</v>
      </c>
      <c r="FN42" s="375"/>
      <c r="FO42" s="7">
        <f t="shared" si="48"/>
        <v>0</v>
      </c>
      <c r="FP42" s="375"/>
      <c r="FQ42" s="7">
        <f t="shared" si="49"/>
        <v>0</v>
      </c>
      <c r="FR42" s="375">
        <f t="shared" si="277"/>
        <v>0</v>
      </c>
      <c r="FS42" s="7">
        <f t="shared" si="51"/>
        <v>0</v>
      </c>
      <c r="FT42" s="375">
        <f t="shared" si="278"/>
        <v>0</v>
      </c>
      <c r="FU42" s="7">
        <f t="shared" si="90"/>
        <v>0</v>
      </c>
      <c r="FV42" s="375"/>
      <c r="FW42" s="7">
        <f t="shared" si="279"/>
        <v>0</v>
      </c>
      <c r="FX42" s="375"/>
      <c r="FY42" s="7">
        <f t="shared" si="53"/>
        <v>0</v>
      </c>
      <c r="FZ42" s="375"/>
      <c r="GA42" s="7">
        <f t="shared" si="54"/>
        <v>0</v>
      </c>
      <c r="GB42" s="375">
        <f t="shared" si="280"/>
        <v>0</v>
      </c>
      <c r="GC42" s="7">
        <f t="shared" si="56"/>
        <v>0</v>
      </c>
      <c r="GD42" s="375">
        <f t="shared" si="281"/>
        <v>0</v>
      </c>
      <c r="GE42" s="7">
        <f t="shared" si="91"/>
        <v>0</v>
      </c>
      <c r="GF42" s="566">
        <f t="shared" si="282"/>
        <v>0</v>
      </c>
      <c r="GG42" s="525">
        <f t="shared" si="58"/>
        <v>0</v>
      </c>
      <c r="GH42" s="528">
        <f t="shared" si="283"/>
        <v>0</v>
      </c>
      <c r="GI42" s="525">
        <f t="shared" si="60"/>
        <v>0</v>
      </c>
      <c r="GJ42" s="528"/>
      <c r="GK42" s="525">
        <f t="shared" si="61"/>
        <v>0</v>
      </c>
      <c r="GL42" s="528">
        <f t="shared" si="284"/>
        <v>0</v>
      </c>
      <c r="GM42" s="565">
        <f t="shared" si="92"/>
        <v>0</v>
      </c>
      <c r="GO42" s="586"/>
      <c r="GQ42" s="586"/>
      <c r="GT42" s="551">
        <f t="shared" si="182"/>
        <v>0</v>
      </c>
      <c r="GU42" s="551">
        <f t="shared" si="94"/>
        <v>0</v>
      </c>
      <c r="GV42" s="550">
        <f t="shared" si="294"/>
        <v>0</v>
      </c>
      <c r="GW42" s="527"/>
      <c r="GX42" s="525">
        <f t="shared" si="285"/>
        <v>0</v>
      </c>
      <c r="GY42" s="528"/>
      <c r="GZ42" s="525">
        <f t="shared" si="286"/>
        <v>0</v>
      </c>
      <c r="HA42" s="528"/>
      <c r="HB42" s="526">
        <f t="shared" si="287"/>
        <v>0</v>
      </c>
      <c r="HD42" s="527"/>
      <c r="HE42" s="525">
        <v>0</v>
      </c>
      <c r="HF42" s="528"/>
      <c r="HG42" s="525">
        <v>0</v>
      </c>
      <c r="HH42" s="528"/>
      <c r="HI42" s="526">
        <v>0</v>
      </c>
    </row>
    <row r="43" spans="1:217" ht="15" customHeight="1" outlineLevel="1">
      <c r="A43" s="386" t="s">
        <v>33</v>
      </c>
      <c r="B43" s="386" t="s">
        <v>44</v>
      </c>
      <c r="C43" s="375">
        <v>0</v>
      </c>
      <c r="D43" s="4"/>
      <c r="E43" s="375">
        <v>0</v>
      </c>
      <c r="F43" s="4"/>
      <c r="G43" s="375"/>
      <c r="H43" s="375"/>
      <c r="I43" s="4"/>
      <c r="J43" s="375"/>
      <c r="K43" s="375"/>
      <c r="L43" s="4"/>
      <c r="M43" s="375"/>
      <c r="N43" s="375">
        <v>0</v>
      </c>
      <c r="O43" s="4"/>
      <c r="P43" s="375">
        <f t="shared" si="13"/>
        <v>0</v>
      </c>
      <c r="Q43" s="375">
        <f t="shared" si="13"/>
        <v>0</v>
      </c>
      <c r="R43" s="7">
        <f t="shared" si="64"/>
        <v>0</v>
      </c>
      <c r="S43" s="375"/>
      <c r="T43" s="375"/>
      <c r="U43" s="4"/>
      <c r="V43" s="375"/>
      <c r="W43" s="375"/>
      <c r="X43" s="4"/>
      <c r="Y43" s="375"/>
      <c r="Z43" s="375"/>
      <c r="AA43" s="4"/>
      <c r="AB43" s="375">
        <f t="shared" si="224"/>
        <v>0</v>
      </c>
      <c r="AC43" s="375">
        <f t="shared" si="225"/>
        <v>0</v>
      </c>
      <c r="AD43" s="7">
        <f t="shared" si="65"/>
        <v>0</v>
      </c>
      <c r="AE43" s="375">
        <f t="shared" si="226"/>
        <v>0</v>
      </c>
      <c r="AF43" s="375">
        <f t="shared" si="227"/>
        <v>0</v>
      </c>
      <c r="AG43" s="4"/>
      <c r="AH43" s="375"/>
      <c r="AI43" s="375"/>
      <c r="AJ43" s="4"/>
      <c r="AK43" s="375"/>
      <c r="AL43" s="375"/>
      <c r="AM43" s="4"/>
      <c r="AN43" s="375"/>
      <c r="AO43" s="375"/>
      <c r="AP43" s="4"/>
      <c r="AQ43" s="375">
        <f t="shared" si="228"/>
        <v>0</v>
      </c>
      <c r="AR43" s="375">
        <f t="shared" si="229"/>
        <v>0</v>
      </c>
      <c r="AS43" s="7">
        <f t="shared" si="68"/>
        <v>0</v>
      </c>
      <c r="AT43" s="375">
        <f t="shared" si="230"/>
        <v>0</v>
      </c>
      <c r="AU43" s="4"/>
      <c r="AV43" s="375"/>
      <c r="AW43" s="375"/>
      <c r="AX43" s="4"/>
      <c r="AY43" s="375"/>
      <c r="AZ43" s="375"/>
      <c r="BA43" s="4"/>
      <c r="BB43" s="375"/>
      <c r="BC43" s="375"/>
      <c r="BD43" s="448"/>
      <c r="BE43" s="375">
        <f t="shared" si="231"/>
        <v>0</v>
      </c>
      <c r="BF43" s="375">
        <f t="shared" si="232"/>
        <v>0</v>
      </c>
      <c r="BG43" s="7">
        <f t="shared" si="71"/>
        <v>0</v>
      </c>
      <c r="BH43" s="375">
        <f t="shared" si="233"/>
        <v>0</v>
      </c>
      <c r="BI43" s="388">
        <f t="shared" si="234"/>
        <v>0</v>
      </c>
      <c r="BJ43" s="7">
        <f t="shared" si="72"/>
        <v>0</v>
      </c>
      <c r="BK43" s="375">
        <v>0</v>
      </c>
      <c r="BL43" s="282"/>
      <c r="BN43" s="375"/>
      <c r="BO43" s="4"/>
      <c r="BP43" s="375"/>
      <c r="BQ43" s="4"/>
      <c r="BR43" s="375"/>
      <c r="BS43" s="4"/>
      <c r="BT43" s="375"/>
      <c r="BU43" s="7">
        <f t="shared" si="73"/>
        <v>0</v>
      </c>
      <c r="BV43" s="375"/>
      <c r="BW43" s="7"/>
      <c r="BX43" s="375"/>
      <c r="BY43" s="7"/>
      <c r="BZ43" s="375">
        <f t="shared" si="236"/>
        <v>0</v>
      </c>
      <c r="CA43" s="7"/>
      <c r="CB43" s="375">
        <f t="shared" si="237"/>
        <v>0</v>
      </c>
      <c r="CC43" s="7">
        <f t="shared" si="158"/>
        <v>0</v>
      </c>
      <c r="CD43" s="375">
        <f t="shared" si="238"/>
        <v>0</v>
      </c>
      <c r="CE43" s="7">
        <f t="shared" si="75"/>
        <v>0</v>
      </c>
      <c r="CF43" s="375">
        <f t="shared" si="239"/>
        <v>0</v>
      </c>
      <c r="CG43" s="7">
        <f t="shared" si="76"/>
        <v>0</v>
      </c>
      <c r="CH43" s="375"/>
      <c r="CI43" s="7">
        <f t="shared" si="76"/>
        <v>0</v>
      </c>
      <c r="CJ43" s="375"/>
      <c r="CK43" s="7">
        <f t="shared" si="76"/>
        <v>0</v>
      </c>
      <c r="CL43" s="375">
        <f t="shared" si="240"/>
        <v>0</v>
      </c>
      <c r="CM43" s="7">
        <f t="shared" si="76"/>
        <v>0</v>
      </c>
      <c r="CN43" s="375">
        <f t="shared" si="288"/>
        <v>0</v>
      </c>
      <c r="CO43" s="7">
        <f t="shared" si="241"/>
        <v>0</v>
      </c>
      <c r="CP43" s="375">
        <f t="shared" si="242"/>
        <v>0</v>
      </c>
      <c r="CQ43" s="7">
        <f t="shared" si="290"/>
        <v>0</v>
      </c>
      <c r="CR43" s="375">
        <f t="shared" si="243"/>
        <v>0</v>
      </c>
      <c r="CS43" s="7">
        <f t="shared" si="244"/>
        <v>0</v>
      </c>
      <c r="CT43" s="375">
        <f t="shared" si="245"/>
        <v>0</v>
      </c>
      <c r="CU43" s="7">
        <f t="shared" si="199"/>
        <v>0</v>
      </c>
      <c r="CV43" s="375">
        <f t="shared" si="246"/>
        <v>0</v>
      </c>
      <c r="CW43" s="7">
        <f t="shared" si="80"/>
        <v>0</v>
      </c>
      <c r="CX43" s="375">
        <f t="shared" si="247"/>
        <v>0</v>
      </c>
      <c r="CY43" s="7">
        <f t="shared" si="291"/>
        <v>0</v>
      </c>
      <c r="CZ43" s="375">
        <f t="shared" si="248"/>
        <v>0</v>
      </c>
      <c r="DA43" s="7">
        <f t="shared" si="81"/>
        <v>0</v>
      </c>
      <c r="DB43" s="375">
        <f t="shared" si="249"/>
        <v>0</v>
      </c>
      <c r="DC43" s="7">
        <f t="shared" si="250"/>
        <v>0</v>
      </c>
      <c r="DD43" s="375"/>
      <c r="DE43" s="7">
        <f t="shared" si="251"/>
        <v>0</v>
      </c>
      <c r="DF43" s="375"/>
      <c r="DG43" s="7">
        <f t="shared" si="252"/>
        <v>0</v>
      </c>
      <c r="DH43" s="375">
        <f t="shared" si="253"/>
        <v>0</v>
      </c>
      <c r="DI43" s="7">
        <f t="shared" si="292"/>
        <v>0</v>
      </c>
      <c r="DJ43" s="375"/>
      <c r="DK43" s="7">
        <f t="shared" si="254"/>
        <v>0</v>
      </c>
      <c r="DL43" s="375"/>
      <c r="DM43" s="7">
        <f t="shared" si="255"/>
        <v>0</v>
      </c>
      <c r="DN43" s="375"/>
      <c r="DO43" s="7">
        <f t="shared" si="256"/>
        <v>0</v>
      </c>
      <c r="DP43" s="375"/>
      <c r="DQ43" s="7">
        <f t="shared" si="257"/>
        <v>0</v>
      </c>
      <c r="DR43" s="375">
        <f t="shared" si="258"/>
        <v>0</v>
      </c>
      <c r="DS43" s="7">
        <f t="shared" si="293"/>
        <v>0</v>
      </c>
      <c r="DT43" s="375">
        <f t="shared" si="259"/>
        <v>0</v>
      </c>
      <c r="DU43" s="7">
        <f t="shared" si="83"/>
        <v>0</v>
      </c>
      <c r="DV43" s="375"/>
      <c r="DW43" s="7">
        <f t="shared" si="260"/>
        <v>0</v>
      </c>
      <c r="DX43" s="375"/>
      <c r="DY43" s="7">
        <f t="shared" si="261"/>
        <v>0</v>
      </c>
      <c r="DZ43" s="375"/>
      <c r="EA43" s="7">
        <f t="shared" si="262"/>
        <v>0</v>
      </c>
      <c r="EB43" s="375">
        <f t="shared" si="263"/>
        <v>0</v>
      </c>
      <c r="EC43" s="7">
        <f t="shared" si="37"/>
        <v>0</v>
      </c>
      <c r="ED43" s="375"/>
      <c r="EE43" s="7">
        <f t="shared" si="85"/>
        <v>0</v>
      </c>
      <c r="EF43" s="375"/>
      <c r="EG43" s="7">
        <f t="shared" si="264"/>
        <v>0</v>
      </c>
      <c r="EH43" s="375"/>
      <c r="EI43" s="7">
        <f t="shared" si="265"/>
        <v>0</v>
      </c>
      <c r="EJ43" s="375"/>
      <c r="EK43" s="7">
        <f t="shared" si="266"/>
        <v>0</v>
      </c>
      <c r="EL43" s="375">
        <f t="shared" si="289"/>
        <v>0</v>
      </c>
      <c r="EM43" s="7">
        <f t="shared" si="39"/>
        <v>0</v>
      </c>
      <c r="EN43" s="375">
        <f t="shared" si="268"/>
        <v>0</v>
      </c>
      <c r="EO43" s="7">
        <f t="shared" si="108"/>
        <v>0</v>
      </c>
      <c r="EP43" s="373"/>
      <c r="EQ43" s="373"/>
      <c r="ER43" s="373"/>
      <c r="ES43" s="373"/>
      <c r="ET43" s="375"/>
      <c r="EU43" s="7">
        <f t="shared" si="269"/>
        <v>0</v>
      </c>
      <c r="EV43" s="375"/>
      <c r="EW43" s="7">
        <f t="shared" si="270"/>
        <v>0</v>
      </c>
      <c r="EX43" s="375"/>
      <c r="EY43" s="7">
        <f t="shared" si="271"/>
        <v>0</v>
      </c>
      <c r="EZ43" s="375">
        <f t="shared" si="272"/>
        <v>0</v>
      </c>
      <c r="FA43" s="7">
        <f t="shared" si="42"/>
        <v>0</v>
      </c>
      <c r="FB43" s="375"/>
      <c r="FC43" s="7">
        <f t="shared" si="273"/>
        <v>0</v>
      </c>
      <c r="FD43" s="375"/>
      <c r="FE43" s="7">
        <f t="shared" si="200"/>
        <v>0</v>
      </c>
      <c r="FF43" s="375"/>
      <c r="FG43" s="7">
        <f t="shared" si="44"/>
        <v>0</v>
      </c>
      <c r="FH43" s="375">
        <f t="shared" si="274"/>
        <v>0</v>
      </c>
      <c r="FI43" s="7">
        <f t="shared" si="46"/>
        <v>0</v>
      </c>
      <c r="FJ43" s="375">
        <f t="shared" si="275"/>
        <v>0</v>
      </c>
      <c r="FK43" s="7">
        <f t="shared" si="89"/>
        <v>0</v>
      </c>
      <c r="FL43" s="375"/>
      <c r="FM43" s="7">
        <f t="shared" si="276"/>
        <v>0</v>
      </c>
      <c r="FN43" s="375"/>
      <c r="FO43" s="7">
        <f t="shared" si="48"/>
        <v>0</v>
      </c>
      <c r="FP43" s="375"/>
      <c r="FQ43" s="7">
        <f t="shared" si="49"/>
        <v>0</v>
      </c>
      <c r="FR43" s="375">
        <f t="shared" si="277"/>
        <v>0</v>
      </c>
      <c r="FS43" s="7">
        <f t="shared" si="51"/>
        <v>0</v>
      </c>
      <c r="FT43" s="375">
        <f t="shared" si="278"/>
        <v>0</v>
      </c>
      <c r="FU43" s="7">
        <f t="shared" si="90"/>
        <v>0</v>
      </c>
      <c r="FV43" s="375"/>
      <c r="FW43" s="7">
        <f t="shared" si="279"/>
        <v>0</v>
      </c>
      <c r="FX43" s="375"/>
      <c r="FY43" s="7">
        <f t="shared" si="53"/>
        <v>0</v>
      </c>
      <c r="FZ43" s="375"/>
      <c r="GA43" s="7">
        <f t="shared" si="54"/>
        <v>0</v>
      </c>
      <c r="GB43" s="375">
        <f t="shared" si="280"/>
        <v>0</v>
      </c>
      <c r="GC43" s="7">
        <f t="shared" si="56"/>
        <v>0</v>
      </c>
      <c r="GD43" s="375">
        <f t="shared" si="281"/>
        <v>0</v>
      </c>
      <c r="GE43" s="7">
        <f t="shared" si="91"/>
        <v>0</v>
      </c>
      <c r="GF43" s="566">
        <f t="shared" si="282"/>
        <v>0</v>
      </c>
      <c r="GG43" s="525">
        <f t="shared" si="58"/>
        <v>0</v>
      </c>
      <c r="GH43" s="528">
        <f t="shared" si="283"/>
        <v>0</v>
      </c>
      <c r="GI43" s="525">
        <f t="shared" si="60"/>
        <v>0</v>
      </c>
      <c r="GJ43" s="528"/>
      <c r="GK43" s="525">
        <f t="shared" si="61"/>
        <v>0</v>
      </c>
      <c r="GL43" s="528">
        <f t="shared" si="284"/>
        <v>0</v>
      </c>
      <c r="GM43" s="565">
        <f t="shared" si="92"/>
        <v>0</v>
      </c>
      <c r="GO43" s="586"/>
      <c r="GQ43" s="586"/>
      <c r="GT43" s="551">
        <f t="shared" si="182"/>
        <v>0</v>
      </c>
      <c r="GU43" s="551">
        <f t="shared" si="94"/>
        <v>0</v>
      </c>
      <c r="GV43" s="550">
        <f t="shared" si="294"/>
        <v>0</v>
      </c>
      <c r="GW43" s="527"/>
      <c r="GX43" s="525">
        <f t="shared" si="285"/>
        <v>0</v>
      </c>
      <c r="GY43" s="528"/>
      <c r="GZ43" s="525">
        <f t="shared" si="286"/>
        <v>0</v>
      </c>
      <c r="HA43" s="528"/>
      <c r="HB43" s="526">
        <f t="shared" si="287"/>
        <v>0</v>
      </c>
      <c r="HD43" s="527"/>
      <c r="HE43" s="525">
        <v>0</v>
      </c>
      <c r="HF43" s="528"/>
      <c r="HG43" s="525">
        <v>0</v>
      </c>
      <c r="HH43" s="528"/>
      <c r="HI43" s="526">
        <v>0</v>
      </c>
    </row>
    <row r="44" spans="1:217" ht="15" customHeight="1" outlineLevel="1">
      <c r="A44" s="386" t="s">
        <v>33</v>
      </c>
      <c r="B44" s="386" t="s">
        <v>45</v>
      </c>
      <c r="C44" s="375">
        <v>0</v>
      </c>
      <c r="D44" s="4"/>
      <c r="E44" s="375">
        <v>0</v>
      </c>
      <c r="F44" s="4"/>
      <c r="G44" s="375"/>
      <c r="H44" s="375"/>
      <c r="I44" s="4"/>
      <c r="J44" s="375"/>
      <c r="K44" s="375"/>
      <c r="L44" s="4"/>
      <c r="M44" s="375"/>
      <c r="N44" s="375">
        <v>0</v>
      </c>
      <c r="O44" s="4"/>
      <c r="P44" s="375">
        <f t="shared" si="13"/>
        <v>0</v>
      </c>
      <c r="Q44" s="375">
        <f t="shared" si="13"/>
        <v>0</v>
      </c>
      <c r="R44" s="7">
        <f t="shared" si="64"/>
        <v>0</v>
      </c>
      <c r="S44" s="375"/>
      <c r="T44" s="375"/>
      <c r="U44" s="4"/>
      <c r="V44" s="375"/>
      <c r="W44" s="375"/>
      <c r="X44" s="4"/>
      <c r="Y44" s="375"/>
      <c r="Z44" s="375"/>
      <c r="AA44" s="4"/>
      <c r="AB44" s="375">
        <f t="shared" si="224"/>
        <v>0</v>
      </c>
      <c r="AC44" s="375">
        <f t="shared" si="225"/>
        <v>0</v>
      </c>
      <c r="AD44" s="7">
        <f t="shared" si="65"/>
        <v>0</v>
      </c>
      <c r="AE44" s="375">
        <f t="shared" si="226"/>
        <v>0</v>
      </c>
      <c r="AF44" s="375">
        <f t="shared" si="227"/>
        <v>0</v>
      </c>
      <c r="AG44" s="4"/>
      <c r="AH44" s="375"/>
      <c r="AI44" s="375"/>
      <c r="AJ44" s="4"/>
      <c r="AK44" s="375"/>
      <c r="AL44" s="375"/>
      <c r="AM44" s="4"/>
      <c r="AN44" s="375"/>
      <c r="AO44" s="375"/>
      <c r="AP44" s="4"/>
      <c r="AQ44" s="375">
        <f t="shared" si="228"/>
        <v>0</v>
      </c>
      <c r="AR44" s="375">
        <f t="shared" si="229"/>
        <v>0</v>
      </c>
      <c r="AS44" s="7">
        <f t="shared" si="68"/>
        <v>0</v>
      </c>
      <c r="AT44" s="375">
        <f t="shared" si="230"/>
        <v>0</v>
      </c>
      <c r="AU44" s="4"/>
      <c r="AV44" s="375"/>
      <c r="AW44" s="375"/>
      <c r="AX44" s="4"/>
      <c r="AY44" s="375"/>
      <c r="AZ44" s="375"/>
      <c r="BA44" s="4"/>
      <c r="BB44" s="375"/>
      <c r="BC44" s="375"/>
      <c r="BD44" s="448"/>
      <c r="BE44" s="375">
        <f t="shared" si="231"/>
        <v>0</v>
      </c>
      <c r="BF44" s="375">
        <f t="shared" si="232"/>
        <v>0</v>
      </c>
      <c r="BG44" s="7">
        <f t="shared" si="71"/>
        <v>0</v>
      </c>
      <c r="BH44" s="375">
        <f t="shared" si="233"/>
        <v>0</v>
      </c>
      <c r="BI44" s="388">
        <f t="shared" si="234"/>
        <v>0</v>
      </c>
      <c r="BJ44" s="7">
        <f t="shared" si="72"/>
        <v>0</v>
      </c>
      <c r="BK44" s="375">
        <v>0</v>
      </c>
      <c r="BL44" s="282"/>
      <c r="BN44" s="375"/>
      <c r="BO44" s="4"/>
      <c r="BP44" s="375"/>
      <c r="BQ44" s="4"/>
      <c r="BR44" s="375"/>
      <c r="BS44" s="4"/>
      <c r="BT44" s="375"/>
      <c r="BU44" s="7">
        <f t="shared" si="73"/>
        <v>0</v>
      </c>
      <c r="BV44" s="375"/>
      <c r="BW44" s="7"/>
      <c r="BX44" s="375"/>
      <c r="BY44" s="7"/>
      <c r="BZ44" s="375">
        <f t="shared" si="236"/>
        <v>0</v>
      </c>
      <c r="CA44" s="7"/>
      <c r="CB44" s="375">
        <f t="shared" si="237"/>
        <v>0</v>
      </c>
      <c r="CC44" s="7">
        <f t="shared" si="158"/>
        <v>0</v>
      </c>
      <c r="CD44" s="375">
        <f t="shared" si="238"/>
        <v>0</v>
      </c>
      <c r="CE44" s="7">
        <f t="shared" si="75"/>
        <v>0</v>
      </c>
      <c r="CF44" s="375">
        <f t="shared" si="239"/>
        <v>0</v>
      </c>
      <c r="CG44" s="7">
        <f t="shared" si="76"/>
        <v>0</v>
      </c>
      <c r="CH44" s="375"/>
      <c r="CI44" s="7">
        <f t="shared" si="76"/>
        <v>0</v>
      </c>
      <c r="CJ44" s="375"/>
      <c r="CK44" s="7">
        <f t="shared" si="76"/>
        <v>0</v>
      </c>
      <c r="CL44" s="375">
        <f t="shared" si="240"/>
        <v>0</v>
      </c>
      <c r="CM44" s="7">
        <f t="shared" si="76"/>
        <v>0</v>
      </c>
      <c r="CN44" s="375">
        <f t="shared" si="288"/>
        <v>0</v>
      </c>
      <c r="CO44" s="7">
        <f t="shared" si="241"/>
        <v>0</v>
      </c>
      <c r="CP44" s="375">
        <f t="shared" si="242"/>
        <v>0</v>
      </c>
      <c r="CQ44" s="7">
        <f t="shared" si="290"/>
        <v>0</v>
      </c>
      <c r="CR44" s="375">
        <f t="shared" si="243"/>
        <v>0</v>
      </c>
      <c r="CS44" s="7">
        <f t="shared" si="244"/>
        <v>0</v>
      </c>
      <c r="CT44" s="375">
        <f t="shared" si="245"/>
        <v>0</v>
      </c>
      <c r="CU44" s="7">
        <f t="shared" si="199"/>
        <v>0</v>
      </c>
      <c r="CV44" s="375">
        <f t="shared" si="246"/>
        <v>0</v>
      </c>
      <c r="CW44" s="7">
        <f t="shared" si="80"/>
        <v>0</v>
      </c>
      <c r="CX44" s="375">
        <f t="shared" si="247"/>
        <v>0</v>
      </c>
      <c r="CY44" s="7">
        <f t="shared" si="291"/>
        <v>0</v>
      </c>
      <c r="CZ44" s="375">
        <f t="shared" si="248"/>
        <v>0</v>
      </c>
      <c r="DA44" s="7">
        <f t="shared" si="81"/>
        <v>0</v>
      </c>
      <c r="DB44" s="375">
        <f t="shared" si="249"/>
        <v>0</v>
      </c>
      <c r="DC44" s="7">
        <f t="shared" si="250"/>
        <v>0</v>
      </c>
      <c r="DD44" s="375"/>
      <c r="DE44" s="7">
        <f t="shared" si="251"/>
        <v>0</v>
      </c>
      <c r="DF44" s="375"/>
      <c r="DG44" s="7">
        <f t="shared" si="252"/>
        <v>0</v>
      </c>
      <c r="DH44" s="375">
        <f t="shared" si="253"/>
        <v>0</v>
      </c>
      <c r="DI44" s="7">
        <f t="shared" si="292"/>
        <v>0</v>
      </c>
      <c r="DJ44" s="375"/>
      <c r="DK44" s="7">
        <f t="shared" si="254"/>
        <v>0</v>
      </c>
      <c r="DL44" s="375"/>
      <c r="DM44" s="7">
        <f t="shared" si="255"/>
        <v>0</v>
      </c>
      <c r="DN44" s="375"/>
      <c r="DO44" s="7">
        <f t="shared" si="256"/>
        <v>0</v>
      </c>
      <c r="DP44" s="375"/>
      <c r="DQ44" s="7">
        <f t="shared" si="257"/>
        <v>0</v>
      </c>
      <c r="DR44" s="375">
        <f t="shared" si="258"/>
        <v>0</v>
      </c>
      <c r="DS44" s="7">
        <f t="shared" si="293"/>
        <v>0</v>
      </c>
      <c r="DT44" s="375">
        <f t="shared" si="259"/>
        <v>0</v>
      </c>
      <c r="DU44" s="7">
        <f t="shared" si="83"/>
        <v>0</v>
      </c>
      <c r="DV44" s="375"/>
      <c r="DW44" s="7">
        <f t="shared" si="260"/>
        <v>0</v>
      </c>
      <c r="DX44" s="375"/>
      <c r="DY44" s="7">
        <f t="shared" si="261"/>
        <v>0</v>
      </c>
      <c r="DZ44" s="375"/>
      <c r="EA44" s="7">
        <f t="shared" si="262"/>
        <v>0</v>
      </c>
      <c r="EB44" s="375">
        <f t="shared" si="263"/>
        <v>0</v>
      </c>
      <c r="EC44" s="7">
        <f t="shared" si="37"/>
        <v>0</v>
      </c>
      <c r="ED44" s="375"/>
      <c r="EE44" s="7">
        <f t="shared" si="85"/>
        <v>0</v>
      </c>
      <c r="EF44" s="375"/>
      <c r="EG44" s="7">
        <f t="shared" si="264"/>
        <v>0</v>
      </c>
      <c r="EH44" s="375"/>
      <c r="EI44" s="7">
        <f t="shared" si="265"/>
        <v>0</v>
      </c>
      <c r="EJ44" s="375"/>
      <c r="EK44" s="7">
        <f t="shared" si="266"/>
        <v>0</v>
      </c>
      <c r="EL44" s="375">
        <f t="shared" si="289"/>
        <v>0</v>
      </c>
      <c r="EM44" s="7">
        <f t="shared" si="39"/>
        <v>0</v>
      </c>
      <c r="EN44" s="375">
        <f t="shared" si="268"/>
        <v>0</v>
      </c>
      <c r="EO44" s="7">
        <f t="shared" si="108"/>
        <v>0</v>
      </c>
      <c r="EP44" s="373"/>
      <c r="EQ44" s="373"/>
      <c r="ER44" s="373"/>
      <c r="ES44" s="373"/>
      <c r="ET44" s="375"/>
      <c r="EU44" s="7">
        <f t="shared" si="269"/>
        <v>0</v>
      </c>
      <c r="EV44" s="375"/>
      <c r="EW44" s="7">
        <f t="shared" si="270"/>
        <v>0</v>
      </c>
      <c r="EX44" s="375"/>
      <c r="EY44" s="7">
        <f t="shared" si="271"/>
        <v>0</v>
      </c>
      <c r="EZ44" s="375">
        <f t="shared" si="272"/>
        <v>0</v>
      </c>
      <c r="FA44" s="7">
        <f t="shared" si="42"/>
        <v>0</v>
      </c>
      <c r="FB44" s="375"/>
      <c r="FC44" s="7">
        <f t="shared" si="273"/>
        <v>0</v>
      </c>
      <c r="FD44" s="375"/>
      <c r="FE44" s="7">
        <f t="shared" si="200"/>
        <v>0</v>
      </c>
      <c r="FF44" s="375"/>
      <c r="FG44" s="7">
        <f t="shared" si="44"/>
        <v>0</v>
      </c>
      <c r="FH44" s="375">
        <f t="shared" si="274"/>
        <v>0</v>
      </c>
      <c r="FI44" s="7">
        <f t="shared" si="46"/>
        <v>0</v>
      </c>
      <c r="FJ44" s="375">
        <f t="shared" si="275"/>
        <v>0</v>
      </c>
      <c r="FK44" s="7">
        <f t="shared" si="89"/>
        <v>0</v>
      </c>
      <c r="FL44" s="375"/>
      <c r="FM44" s="7">
        <f t="shared" si="276"/>
        <v>0</v>
      </c>
      <c r="FN44" s="375"/>
      <c r="FO44" s="7">
        <f t="shared" si="48"/>
        <v>0</v>
      </c>
      <c r="FP44" s="375"/>
      <c r="FQ44" s="7">
        <f t="shared" si="49"/>
        <v>0</v>
      </c>
      <c r="FR44" s="375">
        <f t="shared" si="277"/>
        <v>0</v>
      </c>
      <c r="FS44" s="7">
        <f t="shared" si="51"/>
        <v>0</v>
      </c>
      <c r="FT44" s="375">
        <f t="shared" si="278"/>
        <v>0</v>
      </c>
      <c r="FU44" s="7">
        <f t="shared" si="90"/>
        <v>0</v>
      </c>
      <c r="FV44" s="375"/>
      <c r="FW44" s="7">
        <f t="shared" si="279"/>
        <v>0</v>
      </c>
      <c r="FX44" s="375"/>
      <c r="FY44" s="7">
        <f t="shared" si="53"/>
        <v>0</v>
      </c>
      <c r="FZ44" s="375"/>
      <c r="GA44" s="7">
        <f t="shared" si="54"/>
        <v>0</v>
      </c>
      <c r="GB44" s="375">
        <f t="shared" si="280"/>
        <v>0</v>
      </c>
      <c r="GC44" s="7">
        <f t="shared" si="56"/>
        <v>0</v>
      </c>
      <c r="GD44" s="375">
        <f t="shared" si="281"/>
        <v>0</v>
      </c>
      <c r="GE44" s="7">
        <f t="shared" si="91"/>
        <v>0</v>
      </c>
      <c r="GF44" s="566">
        <f t="shared" si="282"/>
        <v>0</v>
      </c>
      <c r="GG44" s="525">
        <f t="shared" si="58"/>
        <v>0</v>
      </c>
      <c r="GH44" s="528">
        <f t="shared" si="283"/>
        <v>0</v>
      </c>
      <c r="GI44" s="525">
        <f t="shared" si="60"/>
        <v>0</v>
      </c>
      <c r="GJ44" s="528"/>
      <c r="GK44" s="525">
        <f t="shared" si="61"/>
        <v>0</v>
      </c>
      <c r="GL44" s="528">
        <f t="shared" si="284"/>
        <v>0</v>
      </c>
      <c r="GM44" s="565">
        <f t="shared" si="92"/>
        <v>0</v>
      </c>
      <c r="GO44" s="586"/>
      <c r="GQ44" s="586"/>
      <c r="GT44" s="551">
        <f t="shared" si="182"/>
        <v>0</v>
      </c>
      <c r="GU44" s="551">
        <f t="shared" si="94"/>
        <v>0</v>
      </c>
      <c r="GV44" s="550">
        <f t="shared" si="294"/>
        <v>0</v>
      </c>
      <c r="GW44" s="527"/>
      <c r="GX44" s="525">
        <f t="shared" si="285"/>
        <v>0</v>
      </c>
      <c r="GY44" s="528"/>
      <c r="GZ44" s="525">
        <f t="shared" si="286"/>
        <v>0</v>
      </c>
      <c r="HA44" s="528"/>
      <c r="HB44" s="526">
        <f t="shared" si="287"/>
        <v>0</v>
      </c>
      <c r="HD44" s="527"/>
      <c r="HE44" s="525">
        <v>0</v>
      </c>
      <c r="HF44" s="528"/>
      <c r="HG44" s="525">
        <v>0</v>
      </c>
      <c r="HH44" s="528"/>
      <c r="HI44" s="526">
        <v>0</v>
      </c>
    </row>
    <row r="45" spans="1:217" ht="15" customHeight="1" outlineLevel="1">
      <c r="A45" s="386" t="s">
        <v>33</v>
      </c>
      <c r="B45" s="386" t="s">
        <v>46</v>
      </c>
      <c r="C45" s="375">
        <v>0</v>
      </c>
      <c r="D45" s="4"/>
      <c r="E45" s="375">
        <v>0</v>
      </c>
      <c r="F45" s="4"/>
      <c r="G45" s="375"/>
      <c r="H45" s="375"/>
      <c r="I45" s="4"/>
      <c r="J45" s="375"/>
      <c r="K45" s="375"/>
      <c r="L45" s="4"/>
      <c r="M45" s="375"/>
      <c r="N45" s="375">
        <v>0</v>
      </c>
      <c r="O45" s="4"/>
      <c r="P45" s="375">
        <f t="shared" si="13"/>
        <v>0</v>
      </c>
      <c r="Q45" s="375">
        <f t="shared" si="13"/>
        <v>0</v>
      </c>
      <c r="R45" s="7">
        <f t="shared" si="64"/>
        <v>0</v>
      </c>
      <c r="S45" s="375"/>
      <c r="T45" s="375"/>
      <c r="U45" s="4"/>
      <c r="V45" s="375"/>
      <c r="W45" s="375"/>
      <c r="X45" s="4"/>
      <c r="Y45" s="375"/>
      <c r="Z45" s="375"/>
      <c r="AA45" s="4"/>
      <c r="AB45" s="375">
        <f t="shared" si="224"/>
        <v>0</v>
      </c>
      <c r="AC45" s="375">
        <f t="shared" si="225"/>
        <v>0</v>
      </c>
      <c r="AD45" s="7">
        <f t="shared" si="65"/>
        <v>0</v>
      </c>
      <c r="AE45" s="375">
        <f t="shared" si="226"/>
        <v>0</v>
      </c>
      <c r="AF45" s="375">
        <f t="shared" si="227"/>
        <v>0</v>
      </c>
      <c r="AG45" s="4"/>
      <c r="AH45" s="375"/>
      <c r="AI45" s="375"/>
      <c r="AJ45" s="4"/>
      <c r="AK45" s="375"/>
      <c r="AL45" s="375"/>
      <c r="AM45" s="4"/>
      <c r="AN45" s="375"/>
      <c r="AO45" s="375"/>
      <c r="AP45" s="4"/>
      <c r="AQ45" s="375">
        <f t="shared" si="228"/>
        <v>0</v>
      </c>
      <c r="AR45" s="375">
        <f t="shared" si="229"/>
        <v>0</v>
      </c>
      <c r="AS45" s="7">
        <f t="shared" si="68"/>
        <v>0</v>
      </c>
      <c r="AT45" s="375">
        <f t="shared" si="230"/>
        <v>0</v>
      </c>
      <c r="AU45" s="4"/>
      <c r="AV45" s="375"/>
      <c r="AW45" s="375"/>
      <c r="AX45" s="4"/>
      <c r="AY45" s="375"/>
      <c r="AZ45" s="375"/>
      <c r="BA45" s="4"/>
      <c r="BB45" s="375"/>
      <c r="BC45" s="375"/>
      <c r="BD45" s="448"/>
      <c r="BE45" s="375">
        <f t="shared" si="231"/>
        <v>0</v>
      </c>
      <c r="BF45" s="375">
        <f t="shared" si="232"/>
        <v>0</v>
      </c>
      <c r="BG45" s="7">
        <f t="shared" si="71"/>
        <v>0</v>
      </c>
      <c r="BH45" s="375">
        <f t="shared" si="233"/>
        <v>0</v>
      </c>
      <c r="BI45" s="388">
        <f t="shared" si="234"/>
        <v>0</v>
      </c>
      <c r="BJ45" s="7">
        <f t="shared" si="72"/>
        <v>0</v>
      </c>
      <c r="BK45" s="375">
        <v>0</v>
      </c>
      <c r="BL45" s="282"/>
      <c r="BN45" s="375"/>
      <c r="BO45" s="4"/>
      <c r="BP45" s="375"/>
      <c r="BQ45" s="4"/>
      <c r="BR45" s="375"/>
      <c r="BS45" s="4"/>
      <c r="BT45" s="375"/>
      <c r="BU45" s="7">
        <f t="shared" si="73"/>
        <v>0</v>
      </c>
      <c r="BV45" s="375"/>
      <c r="BW45" s="7"/>
      <c r="BX45" s="375"/>
      <c r="BY45" s="7"/>
      <c r="BZ45" s="375">
        <f t="shared" si="236"/>
        <v>0</v>
      </c>
      <c r="CA45" s="7"/>
      <c r="CB45" s="375">
        <f t="shared" si="237"/>
        <v>0</v>
      </c>
      <c r="CC45" s="7">
        <f t="shared" si="158"/>
        <v>0</v>
      </c>
      <c r="CD45" s="375">
        <f>BT45+CB45</f>
        <v>0</v>
      </c>
      <c r="CE45" s="7">
        <f t="shared" si="75"/>
        <v>0</v>
      </c>
      <c r="CF45" s="375">
        <f t="shared" si="239"/>
        <v>0</v>
      </c>
      <c r="CG45" s="7">
        <f t="shared" si="76"/>
        <v>0</v>
      </c>
      <c r="CH45" s="375"/>
      <c r="CI45" s="7">
        <f t="shared" si="76"/>
        <v>0</v>
      </c>
      <c r="CJ45" s="375"/>
      <c r="CK45" s="7">
        <f t="shared" si="76"/>
        <v>0</v>
      </c>
      <c r="CL45" s="375">
        <f t="shared" si="240"/>
        <v>0</v>
      </c>
      <c r="CM45" s="7">
        <f t="shared" si="76"/>
        <v>0</v>
      </c>
      <c r="CN45" s="375">
        <f t="shared" si="288"/>
        <v>0</v>
      </c>
      <c r="CO45" s="7">
        <f t="shared" si="241"/>
        <v>0</v>
      </c>
      <c r="CP45" s="375">
        <f t="shared" si="242"/>
        <v>0</v>
      </c>
      <c r="CQ45" s="7">
        <f t="shared" si="290"/>
        <v>0</v>
      </c>
      <c r="CR45" s="375">
        <f t="shared" si="243"/>
        <v>0</v>
      </c>
      <c r="CS45" s="7">
        <f t="shared" si="244"/>
        <v>0</v>
      </c>
      <c r="CT45" s="375">
        <f t="shared" si="245"/>
        <v>0</v>
      </c>
      <c r="CU45" s="7">
        <f t="shared" si="199"/>
        <v>0</v>
      </c>
      <c r="CV45" s="375">
        <f t="shared" si="246"/>
        <v>0</v>
      </c>
      <c r="CW45" s="7">
        <f t="shared" si="80"/>
        <v>0</v>
      </c>
      <c r="CX45" s="375">
        <f t="shared" si="247"/>
        <v>0</v>
      </c>
      <c r="CY45" s="7">
        <f t="shared" si="291"/>
        <v>0</v>
      </c>
      <c r="CZ45" s="375">
        <f t="shared" si="248"/>
        <v>0</v>
      </c>
      <c r="DA45" s="7">
        <f t="shared" si="81"/>
        <v>0</v>
      </c>
      <c r="DB45" s="375">
        <f t="shared" si="249"/>
        <v>0</v>
      </c>
      <c r="DC45" s="7">
        <f t="shared" si="250"/>
        <v>0</v>
      </c>
      <c r="DD45" s="375"/>
      <c r="DE45" s="7">
        <f t="shared" si="251"/>
        <v>0</v>
      </c>
      <c r="DF45" s="375"/>
      <c r="DG45" s="7">
        <f t="shared" si="252"/>
        <v>0</v>
      </c>
      <c r="DH45" s="375">
        <f t="shared" si="253"/>
        <v>0</v>
      </c>
      <c r="DI45" s="7">
        <f t="shared" si="292"/>
        <v>0</v>
      </c>
      <c r="DJ45" s="375"/>
      <c r="DK45" s="7">
        <f t="shared" si="254"/>
        <v>0</v>
      </c>
      <c r="DL45" s="375"/>
      <c r="DM45" s="7">
        <f t="shared" si="255"/>
        <v>0</v>
      </c>
      <c r="DN45" s="375"/>
      <c r="DO45" s="7">
        <f t="shared" si="256"/>
        <v>0</v>
      </c>
      <c r="DP45" s="375"/>
      <c r="DQ45" s="7">
        <f t="shared" si="257"/>
        <v>0</v>
      </c>
      <c r="DR45" s="375">
        <f t="shared" si="258"/>
        <v>0</v>
      </c>
      <c r="DS45" s="7">
        <f t="shared" si="293"/>
        <v>0</v>
      </c>
      <c r="DT45" s="375">
        <f t="shared" si="259"/>
        <v>0</v>
      </c>
      <c r="DU45" s="7">
        <f t="shared" si="83"/>
        <v>0</v>
      </c>
      <c r="DV45" s="375"/>
      <c r="DW45" s="7">
        <f t="shared" si="260"/>
        <v>0</v>
      </c>
      <c r="DX45" s="375"/>
      <c r="DY45" s="7">
        <f t="shared" si="261"/>
        <v>0</v>
      </c>
      <c r="DZ45" s="375"/>
      <c r="EA45" s="7">
        <f t="shared" si="262"/>
        <v>0</v>
      </c>
      <c r="EB45" s="375">
        <f t="shared" si="263"/>
        <v>0</v>
      </c>
      <c r="EC45" s="7">
        <f t="shared" si="37"/>
        <v>0</v>
      </c>
      <c r="ED45" s="375"/>
      <c r="EE45" s="7">
        <f t="shared" si="85"/>
        <v>0</v>
      </c>
      <c r="EF45" s="375"/>
      <c r="EG45" s="7">
        <f t="shared" si="264"/>
        <v>0</v>
      </c>
      <c r="EH45" s="375"/>
      <c r="EI45" s="7">
        <f t="shared" si="265"/>
        <v>0</v>
      </c>
      <c r="EJ45" s="375"/>
      <c r="EK45" s="7">
        <f t="shared" si="266"/>
        <v>0</v>
      </c>
      <c r="EL45" s="375">
        <f t="shared" si="289"/>
        <v>0</v>
      </c>
      <c r="EM45" s="7">
        <f t="shared" si="39"/>
        <v>0</v>
      </c>
      <c r="EN45" s="375">
        <f t="shared" si="268"/>
        <v>0</v>
      </c>
      <c r="EO45" s="7">
        <f t="shared" si="108"/>
        <v>0</v>
      </c>
      <c r="EP45" s="373"/>
      <c r="EQ45" s="373"/>
      <c r="ER45" s="373"/>
      <c r="ES45" s="373"/>
      <c r="ET45" s="375"/>
      <c r="EU45" s="7">
        <f t="shared" si="269"/>
        <v>0</v>
      </c>
      <c r="EV45" s="375"/>
      <c r="EW45" s="7">
        <f t="shared" si="270"/>
        <v>0</v>
      </c>
      <c r="EX45" s="375"/>
      <c r="EY45" s="7">
        <f t="shared" si="271"/>
        <v>0</v>
      </c>
      <c r="EZ45" s="375">
        <f t="shared" si="272"/>
        <v>0</v>
      </c>
      <c r="FA45" s="7">
        <f t="shared" si="42"/>
        <v>0</v>
      </c>
      <c r="FB45" s="375"/>
      <c r="FC45" s="7">
        <f t="shared" si="273"/>
        <v>0</v>
      </c>
      <c r="FD45" s="375"/>
      <c r="FE45" s="7">
        <f t="shared" si="200"/>
        <v>0</v>
      </c>
      <c r="FF45" s="375"/>
      <c r="FG45" s="7">
        <f t="shared" si="44"/>
        <v>0</v>
      </c>
      <c r="FH45" s="375">
        <f t="shared" si="274"/>
        <v>0</v>
      </c>
      <c r="FI45" s="7">
        <f t="shared" si="46"/>
        <v>0</v>
      </c>
      <c r="FJ45" s="375">
        <f>EZ45+FH45</f>
        <v>0</v>
      </c>
      <c r="FK45" s="7">
        <f t="shared" si="89"/>
        <v>0</v>
      </c>
      <c r="FL45" s="375"/>
      <c r="FM45" s="7">
        <f t="shared" si="276"/>
        <v>0</v>
      </c>
      <c r="FN45" s="375"/>
      <c r="FO45" s="7">
        <f t="shared" si="48"/>
        <v>0</v>
      </c>
      <c r="FP45" s="375"/>
      <c r="FQ45" s="7">
        <f t="shared" si="49"/>
        <v>0</v>
      </c>
      <c r="FR45" s="375">
        <f t="shared" si="277"/>
        <v>0</v>
      </c>
      <c r="FS45" s="7">
        <f t="shared" si="51"/>
        <v>0</v>
      </c>
      <c r="FT45" s="375">
        <f>FJ45+FR45</f>
        <v>0</v>
      </c>
      <c r="FU45" s="7">
        <f t="shared" si="90"/>
        <v>0</v>
      </c>
      <c r="FV45" s="375"/>
      <c r="FW45" s="7">
        <f t="shared" si="279"/>
        <v>0</v>
      </c>
      <c r="FX45" s="375"/>
      <c r="FY45" s="7">
        <f t="shared" si="53"/>
        <v>0</v>
      </c>
      <c r="FZ45" s="375"/>
      <c r="GA45" s="7">
        <f t="shared" si="54"/>
        <v>0</v>
      </c>
      <c r="GB45" s="375">
        <f t="shared" si="280"/>
        <v>0</v>
      </c>
      <c r="GC45" s="7">
        <f t="shared" si="56"/>
        <v>0</v>
      </c>
      <c r="GD45" s="375">
        <f>FT45+GB45</f>
        <v>0</v>
      </c>
      <c r="GE45" s="7">
        <f t="shared" si="91"/>
        <v>0</v>
      </c>
      <c r="GF45" s="566">
        <f t="shared" si="282"/>
        <v>0</v>
      </c>
      <c r="GG45" s="525">
        <f t="shared" si="58"/>
        <v>0</v>
      </c>
      <c r="GH45" s="528">
        <f t="shared" si="283"/>
        <v>0</v>
      </c>
      <c r="GI45" s="525">
        <f t="shared" si="60"/>
        <v>0</v>
      </c>
      <c r="GJ45" s="528"/>
      <c r="GK45" s="525">
        <f t="shared" si="61"/>
        <v>0</v>
      </c>
      <c r="GL45" s="528">
        <f t="shared" si="284"/>
        <v>0</v>
      </c>
      <c r="GM45" s="565">
        <f t="shared" si="92"/>
        <v>0</v>
      </c>
      <c r="GO45" s="586"/>
      <c r="GQ45" s="586"/>
      <c r="GT45" s="551">
        <f t="shared" si="182"/>
        <v>0</v>
      </c>
      <c r="GU45" s="551">
        <f t="shared" si="94"/>
        <v>0</v>
      </c>
      <c r="GV45" s="550">
        <f t="shared" si="294"/>
        <v>0</v>
      </c>
      <c r="GW45" s="527"/>
      <c r="GX45" s="525">
        <f t="shared" si="285"/>
        <v>0</v>
      </c>
      <c r="GY45" s="528"/>
      <c r="GZ45" s="525">
        <f t="shared" si="286"/>
        <v>0</v>
      </c>
      <c r="HA45" s="528"/>
      <c r="HB45" s="526">
        <f t="shared" si="287"/>
        <v>0</v>
      </c>
      <c r="HD45" s="527"/>
      <c r="HE45" s="525">
        <v>0</v>
      </c>
      <c r="HF45" s="528"/>
      <c r="HG45" s="525">
        <v>0</v>
      </c>
      <c r="HH45" s="528"/>
      <c r="HI45" s="526">
        <v>0</v>
      </c>
    </row>
    <row r="46" spans="1:217" ht="15" customHeight="1" outlineLevel="1">
      <c r="A46" s="386" t="s">
        <v>33</v>
      </c>
      <c r="B46" s="386" t="s">
        <v>47</v>
      </c>
      <c r="C46" s="375">
        <v>0</v>
      </c>
      <c r="D46" s="4"/>
      <c r="E46" s="375">
        <v>0</v>
      </c>
      <c r="F46" s="4"/>
      <c r="G46" s="375"/>
      <c r="H46" s="375"/>
      <c r="I46" s="4"/>
      <c r="J46" s="375"/>
      <c r="K46" s="375"/>
      <c r="L46" s="4"/>
      <c r="M46" s="375"/>
      <c r="N46" s="375">
        <v>0</v>
      </c>
      <c r="O46" s="4"/>
      <c r="P46" s="375">
        <f t="shared" si="13"/>
        <v>0</v>
      </c>
      <c r="Q46" s="375">
        <f t="shared" si="13"/>
        <v>0</v>
      </c>
      <c r="R46" s="7">
        <f t="shared" si="64"/>
        <v>0</v>
      </c>
      <c r="S46" s="375"/>
      <c r="T46" s="375"/>
      <c r="U46" s="4"/>
      <c r="V46" s="375"/>
      <c r="W46" s="375"/>
      <c r="X46" s="4"/>
      <c r="Y46" s="375"/>
      <c r="Z46" s="375"/>
      <c r="AA46" s="4"/>
      <c r="AB46" s="375">
        <f t="shared" si="224"/>
        <v>0</v>
      </c>
      <c r="AC46" s="375">
        <f t="shared" si="225"/>
        <v>0</v>
      </c>
      <c r="AD46" s="7">
        <f t="shared" si="65"/>
        <v>0</v>
      </c>
      <c r="AE46" s="375">
        <f t="shared" si="226"/>
        <v>0</v>
      </c>
      <c r="AF46" s="375">
        <f t="shared" si="227"/>
        <v>0</v>
      </c>
      <c r="AG46" s="4"/>
      <c r="AH46" s="375"/>
      <c r="AI46" s="375"/>
      <c r="AJ46" s="4"/>
      <c r="AK46" s="375"/>
      <c r="AL46" s="375"/>
      <c r="AM46" s="4"/>
      <c r="AN46" s="375"/>
      <c r="AO46" s="375"/>
      <c r="AP46" s="4"/>
      <c r="AQ46" s="375">
        <f t="shared" si="228"/>
        <v>0</v>
      </c>
      <c r="AR46" s="375">
        <f t="shared" si="229"/>
        <v>0</v>
      </c>
      <c r="AS46" s="7">
        <f t="shared" si="68"/>
        <v>0</v>
      </c>
      <c r="AT46" s="375">
        <f t="shared" si="230"/>
        <v>0</v>
      </c>
      <c r="AU46" s="4"/>
      <c r="AV46" s="375"/>
      <c r="AW46" s="375"/>
      <c r="AX46" s="4"/>
      <c r="AY46" s="375"/>
      <c r="AZ46" s="375"/>
      <c r="BA46" s="4"/>
      <c r="BB46" s="375"/>
      <c r="BC46" s="375"/>
      <c r="BD46" s="448"/>
      <c r="BE46" s="375">
        <f t="shared" si="231"/>
        <v>0</v>
      </c>
      <c r="BF46" s="375">
        <f t="shared" si="232"/>
        <v>0</v>
      </c>
      <c r="BG46" s="7">
        <f t="shared" si="71"/>
        <v>0</v>
      </c>
      <c r="BH46" s="375">
        <f t="shared" si="233"/>
        <v>0</v>
      </c>
      <c r="BI46" s="388">
        <f t="shared" si="234"/>
        <v>0</v>
      </c>
      <c r="BJ46" s="7">
        <f t="shared" si="72"/>
        <v>0</v>
      </c>
      <c r="BK46" s="375">
        <v>0</v>
      </c>
      <c r="BL46" s="282"/>
      <c r="BN46" s="375"/>
      <c r="BO46" s="4"/>
      <c r="BP46" s="375"/>
      <c r="BQ46" s="4"/>
      <c r="BR46" s="375"/>
      <c r="BS46" s="4"/>
      <c r="BT46" s="375"/>
      <c r="BU46" s="7">
        <f t="shared" si="73"/>
        <v>0</v>
      </c>
      <c r="BV46" s="375"/>
      <c r="BW46" s="7"/>
      <c r="BX46" s="375"/>
      <c r="BY46" s="7"/>
      <c r="BZ46" s="375">
        <f t="shared" si="236"/>
        <v>0</v>
      </c>
      <c r="CA46" s="7"/>
      <c r="CB46" s="375">
        <f t="shared" si="237"/>
        <v>0</v>
      </c>
      <c r="CC46" s="7">
        <f t="shared" si="158"/>
        <v>0</v>
      </c>
      <c r="CD46" s="375">
        <f t="shared" si="238"/>
        <v>0</v>
      </c>
      <c r="CE46" s="7">
        <f t="shared" si="75"/>
        <v>0</v>
      </c>
      <c r="CF46" s="375">
        <f t="shared" si="239"/>
        <v>0</v>
      </c>
      <c r="CG46" s="7">
        <f t="shared" si="76"/>
        <v>0</v>
      </c>
      <c r="CH46" s="375"/>
      <c r="CI46" s="7">
        <f t="shared" si="76"/>
        <v>0</v>
      </c>
      <c r="CJ46" s="375"/>
      <c r="CK46" s="7">
        <f t="shared" si="76"/>
        <v>0</v>
      </c>
      <c r="CL46" s="375">
        <f t="shared" si="240"/>
        <v>0</v>
      </c>
      <c r="CM46" s="7">
        <f t="shared" si="76"/>
        <v>0</v>
      </c>
      <c r="CN46" s="375">
        <f t="shared" si="288"/>
        <v>0</v>
      </c>
      <c r="CO46" s="7">
        <f t="shared" si="241"/>
        <v>0</v>
      </c>
      <c r="CP46" s="375">
        <f t="shared" si="242"/>
        <v>0</v>
      </c>
      <c r="CQ46" s="7">
        <f t="shared" si="290"/>
        <v>0</v>
      </c>
      <c r="CR46" s="375">
        <f t="shared" si="243"/>
        <v>0</v>
      </c>
      <c r="CS46" s="7">
        <f t="shared" si="244"/>
        <v>0</v>
      </c>
      <c r="CT46" s="375">
        <f t="shared" si="245"/>
        <v>0</v>
      </c>
      <c r="CU46" s="7">
        <f t="shared" si="199"/>
        <v>0</v>
      </c>
      <c r="CV46" s="375">
        <f t="shared" si="246"/>
        <v>0</v>
      </c>
      <c r="CW46" s="7">
        <f t="shared" si="80"/>
        <v>0</v>
      </c>
      <c r="CX46" s="375">
        <f t="shared" si="247"/>
        <v>0</v>
      </c>
      <c r="CY46" s="7">
        <f t="shared" si="291"/>
        <v>0</v>
      </c>
      <c r="CZ46" s="375">
        <f t="shared" si="248"/>
        <v>0</v>
      </c>
      <c r="DA46" s="7">
        <f t="shared" si="81"/>
        <v>0</v>
      </c>
      <c r="DB46" s="375">
        <f t="shared" si="249"/>
        <v>0</v>
      </c>
      <c r="DC46" s="7">
        <f t="shared" si="250"/>
        <v>0</v>
      </c>
      <c r="DD46" s="375"/>
      <c r="DE46" s="7">
        <f t="shared" si="251"/>
        <v>0</v>
      </c>
      <c r="DF46" s="375"/>
      <c r="DG46" s="7">
        <f t="shared" si="252"/>
        <v>0</v>
      </c>
      <c r="DH46" s="375">
        <f t="shared" si="253"/>
        <v>0</v>
      </c>
      <c r="DI46" s="7">
        <f t="shared" si="292"/>
        <v>0</v>
      </c>
      <c r="DJ46" s="375"/>
      <c r="DK46" s="7">
        <f t="shared" si="254"/>
        <v>0</v>
      </c>
      <c r="DL46" s="375"/>
      <c r="DM46" s="7">
        <f t="shared" si="255"/>
        <v>0</v>
      </c>
      <c r="DN46" s="375"/>
      <c r="DO46" s="7">
        <f t="shared" si="256"/>
        <v>0</v>
      </c>
      <c r="DP46" s="375"/>
      <c r="DQ46" s="7">
        <f t="shared" si="257"/>
        <v>0</v>
      </c>
      <c r="DR46" s="375">
        <f t="shared" si="258"/>
        <v>0</v>
      </c>
      <c r="DS46" s="7">
        <f t="shared" si="293"/>
        <v>0</v>
      </c>
      <c r="DT46" s="375">
        <f t="shared" si="259"/>
        <v>0</v>
      </c>
      <c r="DU46" s="7">
        <f t="shared" si="83"/>
        <v>0</v>
      </c>
      <c r="DV46" s="375"/>
      <c r="DW46" s="7">
        <f t="shared" si="260"/>
        <v>0</v>
      </c>
      <c r="DX46" s="375"/>
      <c r="DY46" s="7">
        <f t="shared" si="261"/>
        <v>0</v>
      </c>
      <c r="DZ46" s="375"/>
      <c r="EA46" s="7">
        <f t="shared" si="262"/>
        <v>0</v>
      </c>
      <c r="EB46" s="375">
        <f t="shared" si="263"/>
        <v>0</v>
      </c>
      <c r="EC46" s="7">
        <f t="shared" si="37"/>
        <v>0</v>
      </c>
      <c r="ED46" s="375"/>
      <c r="EE46" s="7">
        <f t="shared" si="85"/>
        <v>0</v>
      </c>
      <c r="EF46" s="375"/>
      <c r="EG46" s="7">
        <f t="shared" si="264"/>
        <v>0</v>
      </c>
      <c r="EH46" s="375"/>
      <c r="EI46" s="7">
        <f t="shared" si="265"/>
        <v>0</v>
      </c>
      <c r="EJ46" s="375"/>
      <c r="EK46" s="7">
        <f t="shared" si="266"/>
        <v>0</v>
      </c>
      <c r="EL46" s="375">
        <f t="shared" si="289"/>
        <v>0</v>
      </c>
      <c r="EM46" s="7">
        <f t="shared" si="39"/>
        <v>0</v>
      </c>
      <c r="EN46" s="375">
        <f t="shared" si="268"/>
        <v>0</v>
      </c>
      <c r="EO46" s="7">
        <f t="shared" si="108"/>
        <v>0</v>
      </c>
      <c r="EP46" s="373"/>
      <c r="EQ46" s="373"/>
      <c r="ER46" s="373"/>
      <c r="ES46" s="373"/>
      <c r="ET46" s="375"/>
      <c r="EU46" s="7">
        <f t="shared" si="269"/>
        <v>0</v>
      </c>
      <c r="EV46" s="375"/>
      <c r="EW46" s="7">
        <f t="shared" si="270"/>
        <v>0</v>
      </c>
      <c r="EX46" s="375"/>
      <c r="EY46" s="7">
        <f t="shared" si="271"/>
        <v>0</v>
      </c>
      <c r="EZ46" s="375">
        <f t="shared" si="272"/>
        <v>0</v>
      </c>
      <c r="FA46" s="7">
        <f t="shared" si="42"/>
        <v>0</v>
      </c>
      <c r="FB46" s="375"/>
      <c r="FC46" s="7">
        <f t="shared" si="273"/>
        <v>0</v>
      </c>
      <c r="FD46" s="375"/>
      <c r="FE46" s="7">
        <f t="shared" si="200"/>
        <v>0</v>
      </c>
      <c r="FF46" s="375"/>
      <c r="FG46" s="7">
        <f t="shared" si="44"/>
        <v>0</v>
      </c>
      <c r="FH46" s="375">
        <f t="shared" si="274"/>
        <v>0</v>
      </c>
      <c r="FI46" s="7">
        <f t="shared" si="46"/>
        <v>0</v>
      </c>
      <c r="FJ46" s="375">
        <f t="shared" ref="FJ46" si="295">EZ46+FH46</f>
        <v>0</v>
      </c>
      <c r="FK46" s="7">
        <f t="shared" si="89"/>
        <v>0</v>
      </c>
      <c r="FL46" s="375"/>
      <c r="FM46" s="7">
        <f t="shared" si="276"/>
        <v>0</v>
      </c>
      <c r="FN46" s="375"/>
      <c r="FO46" s="7">
        <f t="shared" si="48"/>
        <v>0</v>
      </c>
      <c r="FP46" s="375"/>
      <c r="FQ46" s="7">
        <f t="shared" si="49"/>
        <v>0</v>
      </c>
      <c r="FR46" s="375">
        <f t="shared" si="277"/>
        <v>0</v>
      </c>
      <c r="FS46" s="7">
        <f t="shared" si="51"/>
        <v>0</v>
      </c>
      <c r="FT46" s="375">
        <f t="shared" ref="FT46" si="296">FJ46+FR46</f>
        <v>0</v>
      </c>
      <c r="FU46" s="7">
        <f t="shared" si="90"/>
        <v>0</v>
      </c>
      <c r="FV46" s="375"/>
      <c r="FW46" s="7">
        <f t="shared" si="279"/>
        <v>0</v>
      </c>
      <c r="FX46" s="375"/>
      <c r="FY46" s="7">
        <f t="shared" si="53"/>
        <v>0</v>
      </c>
      <c r="FZ46" s="375"/>
      <c r="GA46" s="7">
        <f t="shared" si="54"/>
        <v>0</v>
      </c>
      <c r="GB46" s="375">
        <f t="shared" si="280"/>
        <v>0</v>
      </c>
      <c r="GC46" s="7">
        <f t="shared" si="56"/>
        <v>0</v>
      </c>
      <c r="GD46" s="375">
        <f t="shared" ref="GD46" si="297">FT46+GB46</f>
        <v>0</v>
      </c>
      <c r="GE46" s="7">
        <f t="shared" si="91"/>
        <v>0</v>
      </c>
      <c r="GF46" s="566">
        <f t="shared" si="282"/>
        <v>0</v>
      </c>
      <c r="GG46" s="525">
        <f t="shared" si="58"/>
        <v>0</v>
      </c>
      <c r="GH46" s="528">
        <f t="shared" si="283"/>
        <v>0</v>
      </c>
      <c r="GI46" s="525">
        <f t="shared" si="60"/>
        <v>0</v>
      </c>
      <c r="GJ46" s="528"/>
      <c r="GK46" s="525">
        <f t="shared" si="61"/>
        <v>0</v>
      </c>
      <c r="GL46" s="528">
        <f t="shared" si="284"/>
        <v>0</v>
      </c>
      <c r="GM46" s="565">
        <f t="shared" si="92"/>
        <v>0</v>
      </c>
      <c r="GO46" s="586"/>
      <c r="GQ46" s="586"/>
      <c r="GT46" s="551">
        <f t="shared" si="182"/>
        <v>0</v>
      </c>
      <c r="GU46" s="551">
        <f t="shared" si="94"/>
        <v>0</v>
      </c>
      <c r="GV46" s="550">
        <f t="shared" si="294"/>
        <v>0</v>
      </c>
      <c r="GW46" s="527"/>
      <c r="GX46" s="525">
        <f t="shared" si="285"/>
        <v>0</v>
      </c>
      <c r="GY46" s="528"/>
      <c r="GZ46" s="525">
        <f t="shared" si="286"/>
        <v>0</v>
      </c>
      <c r="HA46" s="528"/>
      <c r="HB46" s="526">
        <f t="shared" si="287"/>
        <v>0</v>
      </c>
      <c r="HD46" s="527"/>
      <c r="HE46" s="525">
        <v>0</v>
      </c>
      <c r="HF46" s="528"/>
      <c r="HG46" s="525">
        <v>0</v>
      </c>
      <c r="HH46" s="528"/>
      <c r="HI46" s="526">
        <v>0</v>
      </c>
    </row>
    <row r="47" spans="1:217">
      <c r="A47" s="386" t="s">
        <v>33</v>
      </c>
      <c r="B47" s="386"/>
      <c r="C47" s="389">
        <v>0</v>
      </c>
      <c r="D47" s="4"/>
      <c r="E47" s="389">
        <v>0</v>
      </c>
      <c r="F47" s="4"/>
      <c r="G47" s="389"/>
      <c r="H47" s="389"/>
      <c r="I47" s="4"/>
      <c r="J47" s="389"/>
      <c r="K47" s="389"/>
      <c r="L47" s="4"/>
      <c r="M47" s="389"/>
      <c r="N47" s="389">
        <v>0</v>
      </c>
      <c r="O47" s="4"/>
      <c r="P47" s="389">
        <f t="shared" si="13"/>
        <v>0</v>
      </c>
      <c r="Q47" s="389">
        <f>+H47+K47+N47</f>
        <v>0</v>
      </c>
      <c r="R47" s="7">
        <f t="shared" si="64"/>
        <v>0</v>
      </c>
      <c r="S47" s="389">
        <f t="shared" ref="S47:T47" si="298">+J47+M47+P47</f>
        <v>0</v>
      </c>
      <c r="T47" s="389">
        <f t="shared" si="298"/>
        <v>0</v>
      </c>
      <c r="U47" s="4"/>
      <c r="V47" s="389">
        <f>SUM(V30:V46)</f>
        <v>0</v>
      </c>
      <c r="W47" s="389">
        <f>SUM(W30:W46)</f>
        <v>0</v>
      </c>
      <c r="X47" s="4"/>
      <c r="Y47" s="389"/>
      <c r="Z47" s="389">
        <f>SUM(Z30:Z46)</f>
        <v>0</v>
      </c>
      <c r="AA47" s="4"/>
      <c r="AB47" s="375">
        <f>+T47+V47+Y47</f>
        <v>0</v>
      </c>
      <c r="AC47" s="375">
        <f>+T47+W47+Z47</f>
        <v>0</v>
      </c>
      <c r="AD47" s="7">
        <f t="shared" si="65"/>
        <v>0</v>
      </c>
      <c r="AE47" s="375">
        <f t="shared" si="226"/>
        <v>0</v>
      </c>
      <c r="AF47" s="375">
        <f t="shared" si="227"/>
        <v>0</v>
      </c>
      <c r="AG47" s="4"/>
      <c r="AH47" s="389"/>
      <c r="AI47" s="389"/>
      <c r="AJ47" s="4"/>
      <c r="AK47" s="389"/>
      <c r="AL47" s="389"/>
      <c r="AM47" s="4"/>
      <c r="AN47" s="389"/>
      <c r="AO47" s="389"/>
      <c r="AP47" s="4"/>
      <c r="AQ47" s="389">
        <f>SUM(AQ30:AQ46)</f>
        <v>0</v>
      </c>
      <c r="AR47" s="389">
        <f>SUM(AR30:AR46)</f>
        <v>0</v>
      </c>
      <c r="AS47" s="7">
        <f t="shared" si="68"/>
        <v>0</v>
      </c>
      <c r="AT47" s="375">
        <f t="shared" si="230"/>
        <v>0</v>
      </c>
      <c r="AU47" s="4"/>
      <c r="AV47" s="389"/>
      <c r="AW47" s="389"/>
      <c r="AX47" s="4"/>
      <c r="AY47" s="389"/>
      <c r="AZ47" s="389"/>
      <c r="BA47" s="4"/>
      <c r="BB47" s="389"/>
      <c r="BC47" s="389"/>
      <c r="BD47" s="448"/>
      <c r="BE47" s="389">
        <f>SUM(BE30:BE46)</f>
        <v>0</v>
      </c>
      <c r="BF47" s="389">
        <f>SUM(BF30:BF46)</f>
        <v>0</v>
      </c>
      <c r="BG47" s="7">
        <f t="shared" si="71"/>
        <v>0</v>
      </c>
      <c r="BH47" s="375">
        <f t="shared" ref="BH47" si="299">W47+AH47+AN47+AQ47+AV47</f>
        <v>0</v>
      </c>
      <c r="BI47" s="388">
        <f t="shared" ref="BI47" si="300">AZ47+AI47+W47</f>
        <v>0</v>
      </c>
      <c r="BJ47" s="7">
        <f t="shared" si="72"/>
        <v>0</v>
      </c>
      <c r="BK47" s="389">
        <v>0</v>
      </c>
      <c r="BL47" s="282"/>
      <c r="BN47" s="389"/>
      <c r="BO47" s="4"/>
      <c r="BP47" s="389"/>
      <c r="BQ47" s="4"/>
      <c r="BR47" s="389"/>
      <c r="BS47" s="4"/>
      <c r="BT47" s="389"/>
      <c r="BU47" s="7">
        <f t="shared" si="73"/>
        <v>0</v>
      </c>
      <c r="BV47" s="389"/>
      <c r="BW47" s="7"/>
      <c r="BX47" s="389"/>
      <c r="BY47" s="7"/>
      <c r="BZ47" s="375">
        <f t="shared" si="236"/>
        <v>0</v>
      </c>
      <c r="CA47" s="7"/>
      <c r="CB47" s="375">
        <f t="shared" si="237"/>
        <v>0</v>
      </c>
      <c r="CC47" s="7">
        <f t="shared" si="158"/>
        <v>0</v>
      </c>
      <c r="CD47" s="375">
        <f>BT47+CB47</f>
        <v>0</v>
      </c>
      <c r="CE47" s="7">
        <f t="shared" si="75"/>
        <v>0</v>
      </c>
      <c r="CF47" s="375">
        <f t="shared" si="239"/>
        <v>0</v>
      </c>
      <c r="CG47" s="7">
        <f t="shared" si="76"/>
        <v>0</v>
      </c>
      <c r="CH47" s="375"/>
      <c r="CI47" s="7">
        <f t="shared" si="76"/>
        <v>0</v>
      </c>
      <c r="CJ47" s="375"/>
      <c r="CK47" s="7">
        <f t="shared" si="76"/>
        <v>0</v>
      </c>
      <c r="CL47" s="375">
        <f t="shared" ref="CL47:CL58" si="301">+CF47+CH47+CJ47</f>
        <v>0</v>
      </c>
      <c r="CM47" s="7">
        <f t="shared" si="76"/>
        <v>0</v>
      </c>
      <c r="CN47" s="375">
        <f t="shared" si="288"/>
        <v>0</v>
      </c>
      <c r="CO47" s="7">
        <f t="shared" si="241"/>
        <v>0</v>
      </c>
      <c r="CP47" s="375">
        <f t="shared" si="242"/>
        <v>0</v>
      </c>
      <c r="CQ47" s="7">
        <f t="shared" si="290"/>
        <v>0</v>
      </c>
      <c r="CR47" s="375">
        <f t="shared" si="243"/>
        <v>0</v>
      </c>
      <c r="CS47" s="7">
        <f t="shared" si="244"/>
        <v>0</v>
      </c>
      <c r="CT47" s="375">
        <f t="shared" si="245"/>
        <v>0</v>
      </c>
      <c r="CU47" s="7">
        <f t="shared" si="199"/>
        <v>0</v>
      </c>
      <c r="CV47" s="375">
        <f>+CN47+CP47+CT47</f>
        <v>0</v>
      </c>
      <c r="CW47" s="7">
        <f t="shared" si="80"/>
        <v>0</v>
      </c>
      <c r="CX47" s="375">
        <f t="shared" si="247"/>
        <v>0</v>
      </c>
      <c r="CY47" s="7">
        <f t="shared" si="291"/>
        <v>0</v>
      </c>
      <c r="CZ47" s="375">
        <f t="shared" si="248"/>
        <v>0</v>
      </c>
      <c r="DA47" s="7">
        <f t="shared" si="81"/>
        <v>0</v>
      </c>
      <c r="DB47" s="375">
        <f t="shared" si="249"/>
        <v>0</v>
      </c>
      <c r="DC47" s="7">
        <f t="shared" si="250"/>
        <v>0</v>
      </c>
      <c r="DD47" s="375"/>
      <c r="DE47" s="7">
        <f t="shared" si="251"/>
        <v>0</v>
      </c>
      <c r="DF47" s="375"/>
      <c r="DG47" s="7">
        <f t="shared" si="252"/>
        <v>0</v>
      </c>
      <c r="DH47" s="375">
        <f t="shared" si="253"/>
        <v>0</v>
      </c>
      <c r="DI47" s="7">
        <f t="shared" si="292"/>
        <v>0</v>
      </c>
      <c r="DJ47" s="375"/>
      <c r="DK47" s="7">
        <f t="shared" si="254"/>
        <v>0</v>
      </c>
      <c r="DL47" s="375"/>
      <c r="DM47" s="7">
        <f t="shared" si="255"/>
        <v>0</v>
      </c>
      <c r="DN47" s="375"/>
      <c r="DO47" s="7">
        <f t="shared" si="256"/>
        <v>0</v>
      </c>
      <c r="DP47" s="375"/>
      <c r="DQ47" s="7">
        <f t="shared" si="257"/>
        <v>0</v>
      </c>
      <c r="DR47" s="375">
        <f t="shared" si="258"/>
        <v>0</v>
      </c>
      <c r="DS47" s="7">
        <f t="shared" si="293"/>
        <v>0</v>
      </c>
      <c r="DT47" s="375">
        <f t="shared" si="259"/>
        <v>0</v>
      </c>
      <c r="DU47" s="7">
        <f t="shared" si="83"/>
        <v>0</v>
      </c>
      <c r="DV47" s="375">
        <f>SUM(DV30:DV46)</f>
        <v>0</v>
      </c>
      <c r="DW47" s="7">
        <f t="shared" si="260"/>
        <v>0</v>
      </c>
      <c r="DX47" s="375">
        <f>SUM(DX30:DX46)</f>
        <v>0</v>
      </c>
      <c r="DY47" s="7">
        <f t="shared" si="261"/>
        <v>0</v>
      </c>
      <c r="DZ47" s="375">
        <f>SUM(DZ30:DZ46)</f>
        <v>0</v>
      </c>
      <c r="EA47" s="7">
        <f t="shared" si="262"/>
        <v>0</v>
      </c>
      <c r="EB47" s="375">
        <f t="shared" si="263"/>
        <v>0</v>
      </c>
      <c r="EC47" s="7">
        <f t="shared" si="37"/>
        <v>0</v>
      </c>
      <c r="ED47" s="375">
        <f>SUM(ED30:ED46)</f>
        <v>0</v>
      </c>
      <c r="EE47" s="7">
        <f t="shared" si="85"/>
        <v>0</v>
      </c>
      <c r="EF47" s="375">
        <f>SUM(EF30:EF46)</f>
        <v>0</v>
      </c>
      <c r="EG47" s="7">
        <f t="shared" si="264"/>
        <v>0</v>
      </c>
      <c r="EH47" s="375">
        <f>SUM(EH30:EH46)</f>
        <v>0</v>
      </c>
      <c r="EI47" s="7">
        <f t="shared" si="265"/>
        <v>0</v>
      </c>
      <c r="EJ47" s="375"/>
      <c r="EK47" s="7">
        <f t="shared" si="266"/>
        <v>0</v>
      </c>
      <c r="EL47" s="375">
        <f t="shared" si="289"/>
        <v>0</v>
      </c>
      <c r="EM47" s="7">
        <f t="shared" si="39"/>
        <v>0</v>
      </c>
      <c r="EN47" s="375">
        <f>SUM(EN30:EN46)</f>
        <v>0</v>
      </c>
      <c r="EO47" s="7">
        <f t="shared" si="108"/>
        <v>0</v>
      </c>
      <c r="EP47" s="373"/>
      <c r="EQ47" s="373"/>
      <c r="ER47" s="373"/>
      <c r="ES47" s="373"/>
      <c r="ET47" s="375">
        <f>SUM(ET30:ET46)</f>
        <v>0</v>
      </c>
      <c r="EU47" s="7">
        <f t="shared" si="269"/>
        <v>0</v>
      </c>
      <c r="EV47" s="375">
        <f>SUM(EV30:EV46)</f>
        <v>0</v>
      </c>
      <c r="EW47" s="7">
        <f t="shared" si="270"/>
        <v>0</v>
      </c>
      <c r="EX47" s="375">
        <f>SUM(EX30:EX46)</f>
        <v>0</v>
      </c>
      <c r="EY47" s="7">
        <f t="shared" si="271"/>
        <v>0</v>
      </c>
      <c r="EZ47" s="375">
        <f t="shared" si="272"/>
        <v>0</v>
      </c>
      <c r="FA47" s="7">
        <f t="shared" si="42"/>
        <v>0</v>
      </c>
      <c r="FB47" s="375">
        <f>SUM(FB30:FB46)</f>
        <v>0</v>
      </c>
      <c r="FC47" s="7">
        <f t="shared" si="273"/>
        <v>0</v>
      </c>
      <c r="FD47" s="375">
        <f t="shared" ref="FD47" si="302">SUM(FD30:FD46)</f>
        <v>0</v>
      </c>
      <c r="FE47" s="7">
        <f t="shared" si="200"/>
        <v>0</v>
      </c>
      <c r="FF47" s="375">
        <f t="shared" ref="FF47" si="303">SUM(FF30:FF46)</f>
        <v>0</v>
      </c>
      <c r="FG47" s="7">
        <f t="shared" si="44"/>
        <v>0</v>
      </c>
      <c r="FH47" s="375">
        <f t="shared" si="274"/>
        <v>0</v>
      </c>
      <c r="FI47" s="7">
        <f t="shared" si="46"/>
        <v>0</v>
      </c>
      <c r="FJ47" s="375">
        <f>EZ47+FH47</f>
        <v>0</v>
      </c>
      <c r="FK47" s="7">
        <f t="shared" si="89"/>
        <v>0</v>
      </c>
      <c r="FL47" s="375">
        <f>SUM(FL30:FL46)</f>
        <v>0</v>
      </c>
      <c r="FM47" s="7">
        <f t="shared" si="276"/>
        <v>0</v>
      </c>
      <c r="FN47" s="375">
        <f t="shared" ref="FN47" si="304">SUM(FN30:FN46)</f>
        <v>0</v>
      </c>
      <c r="FO47" s="7">
        <f t="shared" si="48"/>
        <v>0</v>
      </c>
      <c r="FP47" s="375">
        <f t="shared" ref="FP47" si="305">SUM(FP30:FP46)</f>
        <v>0</v>
      </c>
      <c r="FQ47" s="7">
        <f t="shared" si="49"/>
        <v>0</v>
      </c>
      <c r="FR47" s="375">
        <f t="shared" si="277"/>
        <v>0</v>
      </c>
      <c r="FS47" s="7">
        <f t="shared" si="51"/>
        <v>0</v>
      </c>
      <c r="FT47" s="375">
        <f>FJ47+FR47</f>
        <v>0</v>
      </c>
      <c r="FU47" s="7">
        <f t="shared" si="90"/>
        <v>0</v>
      </c>
      <c r="FV47" s="375">
        <f>SUM(FV30:FV46)</f>
        <v>0</v>
      </c>
      <c r="FW47" s="7">
        <f t="shared" si="279"/>
        <v>0</v>
      </c>
      <c r="FX47" s="375">
        <f t="shared" ref="FX47" si="306">SUM(FX30:FX46)</f>
        <v>0</v>
      </c>
      <c r="FY47" s="7">
        <f t="shared" si="53"/>
        <v>0</v>
      </c>
      <c r="FZ47" s="375">
        <f t="shared" ref="FZ47" si="307">SUM(FZ30:FZ46)</f>
        <v>0</v>
      </c>
      <c r="GA47" s="7">
        <f t="shared" si="54"/>
        <v>0</v>
      </c>
      <c r="GB47" s="375">
        <f t="shared" si="280"/>
        <v>0</v>
      </c>
      <c r="GC47" s="7">
        <f t="shared" si="56"/>
        <v>0</v>
      </c>
      <c r="GD47" s="375">
        <f>FT47+GB47</f>
        <v>0</v>
      </c>
      <c r="GE47" s="7">
        <f t="shared" si="91"/>
        <v>0</v>
      </c>
      <c r="GF47" s="566">
        <f>SUM(GF30:GF46)</f>
        <v>0</v>
      </c>
      <c r="GG47" s="525">
        <f t="shared" si="58"/>
        <v>0</v>
      </c>
      <c r="GH47" s="528">
        <f>SUM(GH30:GH46)</f>
        <v>0</v>
      </c>
      <c r="GI47" s="525">
        <f t="shared" si="60"/>
        <v>0</v>
      </c>
      <c r="GJ47" s="528">
        <f>SUM(GJ30:GJ46)</f>
        <v>0</v>
      </c>
      <c r="GK47" s="525">
        <f t="shared" si="61"/>
        <v>0</v>
      </c>
      <c r="GL47" s="528">
        <f t="shared" si="284"/>
        <v>0</v>
      </c>
      <c r="GM47" s="565">
        <f t="shared" si="92"/>
        <v>0</v>
      </c>
      <c r="GO47" s="586">
        <f t="shared" ref="GO47" si="308">SUM(GO30:GO46)</f>
        <v>0</v>
      </c>
      <c r="GQ47" s="586">
        <f t="shared" ref="GQ47" si="309">SUM(GQ30:GQ46)</f>
        <v>0</v>
      </c>
      <c r="GT47" s="551">
        <f t="shared" si="182"/>
        <v>0</v>
      </c>
      <c r="GU47" s="551">
        <f t="shared" si="94"/>
        <v>0</v>
      </c>
      <c r="GV47" s="550">
        <f t="shared" si="294"/>
        <v>0</v>
      </c>
      <c r="GW47" s="527"/>
      <c r="GX47" s="525">
        <f t="shared" si="285"/>
        <v>0</v>
      </c>
      <c r="GY47" s="528"/>
      <c r="GZ47" s="525">
        <f t="shared" si="286"/>
        <v>0</v>
      </c>
      <c r="HA47" s="528"/>
      <c r="HB47" s="526">
        <f t="shared" si="287"/>
        <v>0</v>
      </c>
      <c r="HD47" s="527"/>
      <c r="HE47" s="525">
        <v>0</v>
      </c>
      <c r="HF47" s="528"/>
      <c r="HG47" s="525">
        <v>0</v>
      </c>
      <c r="HH47" s="528"/>
      <c r="HI47" s="526">
        <v>0</v>
      </c>
    </row>
    <row r="48" spans="1:217" ht="15" customHeight="1" outlineLevel="1">
      <c r="A48" s="386" t="s">
        <v>48</v>
      </c>
      <c r="B48" s="386" t="s">
        <v>14</v>
      </c>
      <c r="C48" s="375">
        <v>-914102.6</v>
      </c>
      <c r="D48" s="4"/>
      <c r="E48" s="375">
        <v>-205431.63</v>
      </c>
      <c r="F48" s="4"/>
      <c r="G48" s="375">
        <v>-264848.73</v>
      </c>
      <c r="H48" s="375">
        <v>-106493</v>
      </c>
      <c r="I48" s="4"/>
      <c r="J48" s="375">
        <v>-264848.73</v>
      </c>
      <c r="K48" s="375">
        <v>-113390</v>
      </c>
      <c r="L48" s="4"/>
      <c r="M48" s="375">
        <v>-264848.73</v>
      </c>
      <c r="N48" s="375">
        <v>-260231</v>
      </c>
      <c r="O48" s="4"/>
      <c r="P48" s="375">
        <f t="shared" si="13"/>
        <v>-794546.19</v>
      </c>
      <c r="Q48" s="375">
        <f t="shared" si="13"/>
        <v>-480114</v>
      </c>
      <c r="R48" s="7">
        <f t="shared" si="64"/>
        <v>-1.3201522692422928E-2</v>
      </c>
      <c r="S48" s="375">
        <v>-226506.5</v>
      </c>
      <c r="T48" s="375">
        <v>-226506.5</v>
      </c>
      <c r="U48" s="4"/>
      <c r="V48" s="375">
        <v>-229034</v>
      </c>
      <c r="W48" s="375">
        <v>-229034</v>
      </c>
      <c r="X48" s="4"/>
      <c r="Y48" s="375">
        <v>-249011.77</v>
      </c>
      <c r="Z48" s="375">
        <v>-249011.77</v>
      </c>
      <c r="AA48" s="4"/>
      <c r="AB48" s="375">
        <f t="shared" si="224"/>
        <v>-704552.27</v>
      </c>
      <c r="AC48" s="375">
        <f>+T48+W48+Z48</f>
        <v>-704552.27</v>
      </c>
      <c r="AD48" s="7">
        <f t="shared" si="65"/>
        <v>-1.8997111659921861E-2</v>
      </c>
      <c r="AE48" s="375">
        <f t="shared" si="226"/>
        <v>-1184666.27</v>
      </c>
      <c r="AF48" s="375">
        <f t="shared" si="227"/>
        <v>-1184666.27</v>
      </c>
      <c r="AG48" s="4"/>
      <c r="AH48" s="375">
        <v>-217561.5</v>
      </c>
      <c r="AI48" s="375">
        <v>-217561.5</v>
      </c>
      <c r="AJ48" s="4"/>
      <c r="AK48" s="375">
        <v>-216326</v>
      </c>
      <c r="AL48" s="375">
        <v>-216326</v>
      </c>
      <c r="AM48" s="4"/>
      <c r="AN48" s="375">
        <v>-217252.59</v>
      </c>
      <c r="AO48" s="375">
        <v>-217252.59</v>
      </c>
      <c r="AP48" s="4"/>
      <c r="AQ48" s="375">
        <f t="shared" ref="AQ48:AQ58" si="310">AN48+AK48+AH48</f>
        <v>-651140.09</v>
      </c>
      <c r="AR48" s="375">
        <f t="shared" ref="AR48:AR58" si="311">AO48+AL48+AI48</f>
        <v>-651140.09</v>
      </c>
      <c r="AS48" s="7">
        <f t="shared" si="68"/>
        <v>-2.4458131741881779E-2</v>
      </c>
      <c r="AT48" s="375">
        <f t="shared" si="230"/>
        <v>-1835806.3599999999</v>
      </c>
      <c r="AU48" s="4"/>
      <c r="AV48" s="375">
        <v>-266422.76</v>
      </c>
      <c r="AW48" s="388">
        <v>-214905</v>
      </c>
      <c r="AX48" s="4"/>
      <c r="AY48" s="375">
        <v>-266422.76</v>
      </c>
      <c r="AZ48" s="388">
        <v>-217993</v>
      </c>
      <c r="BA48" s="4"/>
      <c r="BB48" s="375">
        <v>-403518.06125000003</v>
      </c>
      <c r="BC48" s="375">
        <v>-219348.19</v>
      </c>
      <c r="BD48" s="448"/>
      <c r="BE48" s="375">
        <f t="shared" ref="BE48:BE58" si="312">BB48+AY48+AV48</f>
        <v>-936363.58125000005</v>
      </c>
      <c r="BF48" s="375">
        <f t="shared" ref="BF48:BF58" si="313">BC48+AZ48+AW48</f>
        <v>-652246.18999999994</v>
      </c>
      <c r="BG48" s="7">
        <f t="shared" si="71"/>
        <v>-2.0772391651555533E-2</v>
      </c>
      <c r="BH48" s="375">
        <f t="shared" ref="BH48:BH58" si="314">Q48+AB48+AQ48+BE48</f>
        <v>-2772169.9412500001</v>
      </c>
      <c r="BI48" s="388">
        <f t="shared" ref="BI48:BI58" si="315">Q48+AC48+AR48+BF48</f>
        <v>-2488052.5499999998</v>
      </c>
      <c r="BJ48" s="7">
        <f t="shared" si="72"/>
        <v>-1.8923757457419869E-2</v>
      </c>
      <c r="BK48" s="375">
        <v>-4505516.5200000005</v>
      </c>
      <c r="BL48" s="282"/>
      <c r="BN48" s="375">
        <v>-205723</v>
      </c>
      <c r="BO48" s="4"/>
      <c r="BP48" s="375">
        <v>-195535</v>
      </c>
      <c r="BQ48" s="4"/>
      <c r="BR48" s="375">
        <v>-266841.09999999998</v>
      </c>
      <c r="BS48" s="4"/>
      <c r="BT48" s="375">
        <f t="shared" ref="BT48:BT58" si="316">SUM(BN48:BS48)</f>
        <v>-668099.1</v>
      </c>
      <c r="BU48" s="7">
        <f t="shared" si="73"/>
        <v>-1.2323027208799874E-2</v>
      </c>
      <c r="BV48" s="375">
        <v>-224297</v>
      </c>
      <c r="BW48" s="7"/>
      <c r="BX48" s="375">
        <v>-227656</v>
      </c>
      <c r="BY48" s="7"/>
      <c r="BZ48" s="375">
        <v>-225094.14</v>
      </c>
      <c r="CA48" s="7"/>
      <c r="CB48" s="375">
        <f t="shared" si="237"/>
        <v>-677047.14</v>
      </c>
      <c r="CC48" s="7">
        <f t="shared" si="158"/>
        <v>-1.9771858446267023E-2</v>
      </c>
      <c r="CD48" s="375">
        <f t="shared" si="238"/>
        <v>-1345146.24</v>
      </c>
      <c r="CE48" s="7">
        <f t="shared" si="75"/>
        <v>-1.5206528321769866E-2</v>
      </c>
      <c r="CF48" s="375">
        <v>-223936</v>
      </c>
      <c r="CG48" s="7">
        <f t="shared" si="76"/>
        <v>-4.4335910969271315E-2</v>
      </c>
      <c r="CH48" s="375">
        <v>-308173</v>
      </c>
      <c r="CI48" s="7">
        <f t="shared" si="76"/>
        <v>-8.3109831587010515E-3</v>
      </c>
      <c r="CJ48" s="375">
        <v>-234751.92</v>
      </c>
      <c r="CK48" s="7">
        <f t="shared" si="76"/>
        <v>-8.3356838941126415E-3</v>
      </c>
      <c r="CL48" s="375">
        <f t="shared" si="301"/>
        <v>-766860.92</v>
      </c>
      <c r="CM48" s="7">
        <f t="shared" si="76"/>
        <v>-1.0909431309901751E-2</v>
      </c>
      <c r="CN48" s="375">
        <f t="shared" si="288"/>
        <v>-2112007.16</v>
      </c>
      <c r="CO48" s="7">
        <f t="shared" si="241"/>
        <v>-1.3303826098048395E-2</v>
      </c>
      <c r="CP48" s="472">
        <v>-235853</v>
      </c>
      <c r="CQ48" s="7">
        <f t="shared" si="290"/>
        <v>-1.2039400394522125E-2</v>
      </c>
      <c r="CR48" s="375">
        <f t="shared" si="243"/>
        <v>-2347860.16</v>
      </c>
      <c r="CS48" s="7">
        <f t="shared" si="244"/>
        <v>-1.316493438487243E-2</v>
      </c>
      <c r="CT48" s="375">
        <v>-150282</v>
      </c>
      <c r="CU48" s="7">
        <f t="shared" si="199"/>
        <v>-9.5937266166998027E-3</v>
      </c>
      <c r="CV48" s="375">
        <v>-41066.400000000001</v>
      </c>
      <c r="CW48" s="7">
        <f>+CV48/CV$8</f>
        <v>-6.5631720872532078E-4</v>
      </c>
      <c r="CX48" s="375">
        <f t="shared" si="247"/>
        <v>-427201.4</v>
      </c>
      <c r="CY48" s="7">
        <f t="shared" si="291"/>
        <v>-4.3669662569786683E-3</v>
      </c>
      <c r="CZ48" s="375">
        <f t="shared" si="248"/>
        <v>-2539208.56</v>
      </c>
      <c r="DA48" s="7">
        <f t="shared" si="81"/>
        <v>-9.8964571982232651E-3</v>
      </c>
      <c r="DB48" s="375">
        <v>-215617</v>
      </c>
      <c r="DC48" s="7">
        <f t="shared" si="250"/>
        <v>-1.1232211669080353E-2</v>
      </c>
      <c r="DD48" s="375">
        <v>-191718</v>
      </c>
      <c r="DE48" s="7">
        <f t="shared" si="251"/>
        <v>-7.3830803770299049E-3</v>
      </c>
      <c r="DF48" s="72">
        <v>-190418.1</v>
      </c>
      <c r="DG48" s="7">
        <f t="shared" si="252"/>
        <v>-6.1385198339235997E-3</v>
      </c>
      <c r="DH48" s="375">
        <f>+DB48+DD48+DF48</f>
        <v>-597753.1</v>
      </c>
      <c r="DI48" s="7">
        <f t="shared" si="292"/>
        <v>-7.8462055550635908E-3</v>
      </c>
      <c r="DJ48" s="375">
        <v>-1277356.3897500001</v>
      </c>
      <c r="DK48" s="7">
        <f t="shared" si="254"/>
        <v>-2.4287071310881109E-2</v>
      </c>
      <c r="DL48" s="72">
        <v>-190947</v>
      </c>
      <c r="DM48" s="7">
        <f t="shared" si="255"/>
        <v>-2.2013762584214641E-2</v>
      </c>
      <c r="DN48" s="72">
        <v>-197974</v>
      </c>
      <c r="DO48" s="7">
        <f t="shared" si="256"/>
        <v>-1.1536502446735101E-2</v>
      </c>
      <c r="DP48" s="72">
        <v>-194676.59</v>
      </c>
      <c r="DQ48" s="7">
        <f t="shared" si="257"/>
        <v>-2.3201885753114026E-3</v>
      </c>
      <c r="DR48" s="375">
        <f>+DL48+DN48+DP48</f>
        <v>-583597.59</v>
      </c>
      <c r="DS48" s="7">
        <f t="shared" si="293"/>
        <v>-5.3179953629159749E-3</v>
      </c>
      <c r="DT48" s="375">
        <f t="shared" si="259"/>
        <v>-1181350.69</v>
      </c>
      <c r="DU48" s="7">
        <f t="shared" si="83"/>
        <v>-6.3539487125246546E-3</v>
      </c>
      <c r="DV48" s="375">
        <v>-301695.84999999998</v>
      </c>
      <c r="DW48" s="7">
        <f t="shared" si="260"/>
        <v>-6.6281574749938585E-3</v>
      </c>
      <c r="DX48" s="375">
        <v>-263521.5</v>
      </c>
      <c r="DY48" s="7">
        <f t="shared" si="261"/>
        <v>-1.0193283972136393E-2</v>
      </c>
      <c r="DZ48" s="375">
        <f>-253090.2-301139.5</f>
        <v>-554229.69999999995</v>
      </c>
      <c r="EA48" s="7">
        <f t="shared" si="262"/>
        <v>-4.5301156232981808E-3</v>
      </c>
      <c r="EB48" s="375">
        <f>+DV48+DX48+DZ48</f>
        <v>-1119447.0499999998</v>
      </c>
      <c r="EC48" s="7">
        <f t="shared" si="37"/>
        <v>-5.7788901705808802E-3</v>
      </c>
      <c r="ED48" s="375">
        <f t="shared" ref="ED48:ED58" si="317">+EB48+DT48</f>
        <v>-2300797.7399999998</v>
      </c>
      <c r="EE48" s="7">
        <f t="shared" si="85"/>
        <v>-6.0605199916293597E-3</v>
      </c>
      <c r="EF48" s="375">
        <v>-242216.5</v>
      </c>
      <c r="EG48" s="7">
        <f t="shared" si="264"/>
        <v>-1.6391804219838962E-2</v>
      </c>
      <c r="EH48" s="375">
        <v>-295762.40000000002</v>
      </c>
      <c r="EI48" s="7">
        <f t="shared" si="265"/>
        <v>-2.3199494642298799E-2</v>
      </c>
      <c r="EJ48" s="375">
        <v>-277834.26</v>
      </c>
      <c r="EK48" s="7">
        <f t="shared" si="266"/>
        <v>-1.7791294664297578E-3</v>
      </c>
      <c r="EL48" s="375">
        <f>+EF48+EH48+EJ48</f>
        <v>-815813.16</v>
      </c>
      <c r="EM48" s="7">
        <f t="shared" si="39"/>
        <v>-4.4412889568210259E-3</v>
      </c>
      <c r="EN48" s="375">
        <f t="shared" ref="EN48:EN58" si="318">+EL48+ED48</f>
        <v>-3116610.9</v>
      </c>
      <c r="EO48" s="7">
        <f t="shared" si="108"/>
        <v>-5.5325233433363413E-3</v>
      </c>
      <c r="EP48" s="373"/>
      <c r="EQ48" s="373"/>
      <c r="ER48" s="373"/>
      <c r="ES48" s="373"/>
      <c r="ET48" s="375">
        <v>-398886</v>
      </c>
      <c r="EU48" s="7">
        <f t="shared" si="269"/>
        <v>-5.4079496013143082E-2</v>
      </c>
      <c r="EV48" s="375">
        <v>-396259</v>
      </c>
      <c r="EW48" s="7">
        <f t="shared" si="270"/>
        <v>-6.5019970900166882E-2</v>
      </c>
      <c r="EX48" s="375">
        <v>-587462.07999999996</v>
      </c>
      <c r="EY48" s="7">
        <f t="shared" si="271"/>
        <v>-2.5733477668747227E-3</v>
      </c>
      <c r="EZ48" s="375">
        <f>+ET48+EV48+EX48</f>
        <v>-1382607.08</v>
      </c>
      <c r="FA48" s="7">
        <f t="shared" si="42"/>
        <v>-5.7189848097748521E-3</v>
      </c>
      <c r="FB48" s="375">
        <v>-419978.85</v>
      </c>
      <c r="FC48" s="7">
        <f t="shared" si="273"/>
        <v>-4.6345287806675108E-2</v>
      </c>
      <c r="FD48" s="375">
        <v>-402802</v>
      </c>
      <c r="FE48" s="7">
        <f t="shared" si="200"/>
        <v>-3.8269618185508528E-3</v>
      </c>
      <c r="FF48" s="375">
        <v>-402133.02</v>
      </c>
      <c r="FG48" s="7">
        <f t="shared" si="44"/>
        <v>-2.5026664686267643E-3</v>
      </c>
      <c r="FH48" s="375">
        <f>+FB48+FD48+FF48</f>
        <v>-1224913.8700000001</v>
      </c>
      <c r="FI48" s="7">
        <f t="shared" si="46"/>
        <v>-4.4542726042622284E-3</v>
      </c>
      <c r="FJ48" s="375">
        <f t="shared" ref="FJ48:FJ58" si="319">EZ48+FH48</f>
        <v>-2607520.9500000002</v>
      </c>
      <c r="FK48" s="7">
        <f t="shared" si="89"/>
        <v>-5.0459526264424893E-3</v>
      </c>
      <c r="FL48" s="375">
        <v>-435472.58</v>
      </c>
      <c r="FM48" s="7">
        <f t="shared" si="276"/>
        <v>-3.9826238384090246E-2</v>
      </c>
      <c r="FN48" s="375">
        <v>-600221</v>
      </c>
      <c r="FO48" s="7">
        <f t="shared" si="48"/>
        <v>-0.12562115126149642</v>
      </c>
      <c r="FP48" s="375">
        <v>-598627.5</v>
      </c>
      <c r="FQ48" s="7">
        <f t="shared" si="49"/>
        <v>-2.1639024322187427E-3</v>
      </c>
      <c r="FR48" s="375">
        <f>+FL48+FN48+FP48</f>
        <v>-1634321.08</v>
      </c>
      <c r="FS48" s="7">
        <f t="shared" si="51"/>
        <v>-5.5901957165210483E-3</v>
      </c>
      <c r="FT48" s="375">
        <f t="shared" ref="FT48:FT58" si="320">FJ48+FR48</f>
        <v>-4241842.03</v>
      </c>
      <c r="FU48" s="7">
        <f t="shared" si="90"/>
        <v>-5.2426034695493657E-3</v>
      </c>
      <c r="FV48" s="375">
        <v>-273335.81</v>
      </c>
      <c r="FW48" s="7">
        <f t="shared" si="279"/>
        <v>-9.8499604140584816E-3</v>
      </c>
      <c r="FX48" s="375">
        <v>-433375.5</v>
      </c>
      <c r="FY48" s="7">
        <f t="shared" si="53"/>
        <v>-1.6881696367904965E-2</v>
      </c>
      <c r="FZ48" s="375">
        <v>-457300.8</v>
      </c>
      <c r="GA48" s="7">
        <f t="shared" si="54"/>
        <v>-1.5817570483431151E-3</v>
      </c>
      <c r="GB48" s="375">
        <f>+FV48+FX48+FZ48</f>
        <v>-1164012.1100000001</v>
      </c>
      <c r="GC48" s="7">
        <f t="shared" si="56"/>
        <v>-3.39827145112509E-3</v>
      </c>
      <c r="GD48" s="375">
        <f t="shared" ref="GD48:GD58" si="321">FT48+GB48</f>
        <v>-5405854.1400000006</v>
      </c>
      <c r="GE48" s="7">
        <f t="shared" si="91"/>
        <v>-4.6940466535358794E-3</v>
      </c>
      <c r="GF48" s="566">
        <f t="shared" si="282"/>
        <v>0</v>
      </c>
      <c r="GG48" s="525">
        <f t="shared" si="58"/>
        <v>0</v>
      </c>
      <c r="GH48" s="528">
        <f t="shared" ref="GH48:GH58" si="322">+GQ48*$GO$2</f>
        <v>0</v>
      </c>
      <c r="GI48" s="525">
        <f t="shared" si="60"/>
        <v>0</v>
      </c>
      <c r="GJ48" s="528"/>
      <c r="GK48" s="525">
        <f t="shared" si="61"/>
        <v>0</v>
      </c>
      <c r="GL48" s="528">
        <f t="shared" si="284"/>
        <v>-5405854.1400000006</v>
      </c>
      <c r="GM48" s="565">
        <f t="shared" si="92"/>
        <v>-4.6649017153730862E-3</v>
      </c>
      <c r="GO48" s="586"/>
      <c r="GQ48" s="586"/>
      <c r="GT48" s="551">
        <f t="shared" si="182"/>
        <v>-1345953.2840672233</v>
      </c>
      <c r="GU48" s="551">
        <f t="shared" si="94"/>
        <v>-1576954.085932777</v>
      </c>
      <c r="GV48" s="550">
        <f t="shared" si="294"/>
        <v>-2922907.37</v>
      </c>
      <c r="GW48" s="527">
        <f>+EZ48*4</f>
        <v>-5530428.3200000003</v>
      </c>
      <c r="GX48" s="525">
        <f t="shared" si="285"/>
        <v>-4.6705162242494129E-3</v>
      </c>
      <c r="GY48" s="528">
        <f>+GW48</f>
        <v>-5530428.3200000003</v>
      </c>
      <c r="GZ48" s="525">
        <f t="shared" si="286"/>
        <v>-6.1435541230438085E-3</v>
      </c>
      <c r="HA48" s="528">
        <f>+GY48</f>
        <v>-5530428.3200000003</v>
      </c>
      <c r="HB48" s="526">
        <f t="shared" si="287"/>
        <v>-7.5974115710837585E-3</v>
      </c>
      <c r="HD48" s="527">
        <v>-5530428.3200000003</v>
      </c>
      <c r="HE48" s="525">
        <v>-4.6554940462325963E-3</v>
      </c>
      <c r="HF48" s="528">
        <v>-5530428.3200000003</v>
      </c>
      <c r="HG48" s="525">
        <v>-6.1435541230438085E-3</v>
      </c>
      <c r="HH48" s="528">
        <v>-5530428.3200000003</v>
      </c>
      <c r="HI48" s="526">
        <v>-7.5974115710837585E-3</v>
      </c>
    </row>
    <row r="49" spans="1:218" ht="15" customHeight="1" outlineLevel="1">
      <c r="A49" s="386" t="s">
        <v>48</v>
      </c>
      <c r="B49" s="386" t="s">
        <v>49</v>
      </c>
      <c r="C49" s="375">
        <v>-133516.48000000001</v>
      </c>
      <c r="D49" s="4"/>
      <c r="E49" s="375">
        <v>-56138.6</v>
      </c>
      <c r="F49" s="4"/>
      <c r="G49" s="375"/>
      <c r="H49" s="375">
        <v>-5475</v>
      </c>
      <c r="I49" s="4"/>
      <c r="J49" s="375"/>
      <c r="K49" s="375">
        <v>-10069.14</v>
      </c>
      <c r="L49" s="4"/>
      <c r="M49" s="375"/>
      <c r="N49" s="375">
        <v>-7656</v>
      </c>
      <c r="O49" s="4"/>
      <c r="P49" s="375">
        <f t="shared" si="13"/>
        <v>0</v>
      </c>
      <c r="Q49" s="375">
        <f t="shared" si="13"/>
        <v>-23200.14</v>
      </c>
      <c r="R49" s="7">
        <f t="shared" si="64"/>
        <v>-6.3792593983384954E-4</v>
      </c>
      <c r="S49" s="375">
        <v>-19755.87</v>
      </c>
      <c r="T49" s="375">
        <v>-19755.87</v>
      </c>
      <c r="U49" s="4"/>
      <c r="V49" s="375">
        <v>-20076.95</v>
      </c>
      <c r="W49" s="375">
        <v>-20076.95</v>
      </c>
      <c r="X49" s="4"/>
      <c r="Y49" s="375">
        <v>-18517.75</v>
      </c>
      <c r="Z49" s="375">
        <v>-18517.75</v>
      </c>
      <c r="AA49" s="4"/>
      <c r="AB49" s="375">
        <f t="shared" si="224"/>
        <v>-58350.57</v>
      </c>
      <c r="AC49" s="375">
        <f t="shared" si="225"/>
        <v>-58350.57</v>
      </c>
      <c r="AD49" s="7">
        <f t="shared" si="65"/>
        <v>-1.5733286810786754E-3</v>
      </c>
      <c r="AE49" s="375">
        <f t="shared" si="226"/>
        <v>-81550.709999999992</v>
      </c>
      <c r="AF49" s="375">
        <f t="shared" si="227"/>
        <v>-81550.709999999992</v>
      </c>
      <c r="AG49" s="4"/>
      <c r="AH49" s="375">
        <v>-44448.06</v>
      </c>
      <c r="AI49" s="375">
        <v>-44448.06</v>
      </c>
      <c r="AJ49" s="4"/>
      <c r="AK49" s="375">
        <v>8556.99</v>
      </c>
      <c r="AL49" s="375">
        <v>8556.99</v>
      </c>
      <c r="AM49" s="4"/>
      <c r="AN49" s="375">
        <v>-17277.96</v>
      </c>
      <c r="AO49" s="375">
        <v>-17277.96</v>
      </c>
      <c r="AP49" s="4"/>
      <c r="AQ49" s="375">
        <f t="shared" si="310"/>
        <v>-53169.03</v>
      </c>
      <c r="AR49" s="375">
        <f t="shared" si="311"/>
        <v>-53169.03</v>
      </c>
      <c r="AS49" s="7">
        <f t="shared" si="68"/>
        <v>-1.9971357320788903E-3</v>
      </c>
      <c r="AT49" s="375">
        <f t="shared" si="230"/>
        <v>-134719.74</v>
      </c>
      <c r="AU49" s="4"/>
      <c r="AV49" s="375"/>
      <c r="AW49" s="375">
        <v>-21306.95</v>
      </c>
      <c r="AX49" s="4"/>
      <c r="AY49" s="375"/>
      <c r="AZ49" s="375">
        <v>-16988.57</v>
      </c>
      <c r="BA49" s="4"/>
      <c r="BB49" s="375"/>
      <c r="BC49" s="375">
        <v>-17690.78</v>
      </c>
      <c r="BD49" s="448"/>
      <c r="BE49" s="375">
        <f t="shared" si="312"/>
        <v>0</v>
      </c>
      <c r="BF49" s="375">
        <f t="shared" si="313"/>
        <v>-55986.3</v>
      </c>
      <c r="BG49" s="7">
        <f t="shared" si="71"/>
        <v>-1.7830220682798984E-3</v>
      </c>
      <c r="BH49" s="375">
        <f t="shared" si="314"/>
        <v>-134719.74</v>
      </c>
      <c r="BI49" s="388">
        <f t="shared" si="315"/>
        <v>-190706.03999999998</v>
      </c>
      <c r="BJ49" s="7">
        <f t="shared" si="72"/>
        <v>-1.450481761980876E-3</v>
      </c>
      <c r="BK49" s="375">
        <v>0</v>
      </c>
      <c r="BL49" s="282"/>
      <c r="BN49" s="375">
        <v>-15672.91</v>
      </c>
      <c r="BO49" s="4"/>
      <c r="BP49" s="375">
        <v>-15096.49</v>
      </c>
      <c r="BQ49" s="4"/>
      <c r="BR49" s="375">
        <v>-20079.07</v>
      </c>
      <c r="BS49" s="4"/>
      <c r="BT49" s="375">
        <f t="shared" si="316"/>
        <v>-50848.47</v>
      </c>
      <c r="BU49" s="7">
        <f t="shared" si="73"/>
        <v>-9.3789541003100308E-4</v>
      </c>
      <c r="BV49" s="375">
        <v>-17393.36</v>
      </c>
      <c r="BW49" s="7"/>
      <c r="BX49" s="375">
        <v>-18003.37</v>
      </c>
      <c r="BY49" s="7"/>
      <c r="BZ49" s="375">
        <v>-17862.93</v>
      </c>
      <c r="CA49" s="7"/>
      <c r="CB49" s="375">
        <f t="shared" si="237"/>
        <v>-53259.659999999996</v>
      </c>
      <c r="CC49" s="7">
        <f t="shared" si="158"/>
        <v>-1.5553458484682617E-3</v>
      </c>
      <c r="CD49" s="375">
        <f t="shared" si="238"/>
        <v>-104108.13</v>
      </c>
      <c r="CE49" s="7">
        <f t="shared" si="75"/>
        <v>-1.1769153273412853E-3</v>
      </c>
      <c r="CF49" s="375">
        <v>-18154.12</v>
      </c>
      <c r="CG49" s="7">
        <f t="shared" si="76"/>
        <v>-3.5942387469878345E-3</v>
      </c>
      <c r="CH49" s="375">
        <v>-24162.12</v>
      </c>
      <c r="CI49" s="7">
        <f t="shared" si="76"/>
        <v>-6.5161767058929184E-4</v>
      </c>
      <c r="CJ49" s="375">
        <v>-18746.099999999999</v>
      </c>
      <c r="CK49" s="7">
        <f t="shared" si="76"/>
        <v>-6.656455199489954E-4</v>
      </c>
      <c r="CL49" s="375">
        <f t="shared" si="301"/>
        <v>-61062.34</v>
      </c>
      <c r="CM49" s="7">
        <f t="shared" si="76"/>
        <v>-8.6867825244226296E-4</v>
      </c>
      <c r="CN49" s="375">
        <f t="shared" si="288"/>
        <v>-165170.47</v>
      </c>
      <c r="CO49" s="7">
        <f t="shared" si="241"/>
        <v>-1.0404317045084824E-3</v>
      </c>
      <c r="CP49" s="472">
        <v>-18092.59</v>
      </c>
      <c r="CQ49" s="7">
        <f t="shared" si="290"/>
        <v>-9.2355804328936688E-4</v>
      </c>
      <c r="CR49" s="375">
        <f t="shared" si="243"/>
        <v>-183263.06</v>
      </c>
      <c r="CS49" s="7">
        <f t="shared" si="244"/>
        <v>-1.0275936366120455E-3</v>
      </c>
      <c r="CT49" s="375">
        <v>-11469.46</v>
      </c>
      <c r="CU49" s="7">
        <f t="shared" ref="CU49" si="323">+CT49/CT$8</f>
        <v>-7.3218924209934454E-4</v>
      </c>
      <c r="CV49" s="375">
        <v>-5970.57</v>
      </c>
      <c r="CW49" s="7">
        <f>+CV49/CV$8</f>
        <v>-9.5420777981491882E-5</v>
      </c>
      <c r="CX49" s="375">
        <f t="shared" si="247"/>
        <v>-35532.619999999995</v>
      </c>
      <c r="CY49" s="7">
        <f t="shared" si="291"/>
        <v>-3.6322388588156627E-4</v>
      </c>
      <c r="CZ49" s="375">
        <f t="shared" si="248"/>
        <v>-200703.09</v>
      </c>
      <c r="DA49" s="7">
        <f t="shared" si="81"/>
        <v>-7.8223174379033747E-4</v>
      </c>
      <c r="DB49" s="375">
        <v>-16345.29</v>
      </c>
      <c r="DC49" s="7">
        <f t="shared" si="250"/>
        <v>-8.5148089933772576E-4</v>
      </c>
      <c r="DD49" s="375">
        <v>-13538.54</v>
      </c>
      <c r="DE49" s="7">
        <f t="shared" si="251"/>
        <v>-5.213706016526067E-4</v>
      </c>
      <c r="DF49" s="72">
        <v>-13082.51</v>
      </c>
      <c r="DG49" s="7">
        <f t="shared" si="252"/>
        <v>-4.2174166800584519E-4</v>
      </c>
      <c r="DH49" s="375">
        <f>+DB49+DD49+DF49</f>
        <v>-42966.340000000004</v>
      </c>
      <c r="DI49" s="7">
        <f t="shared" si="292"/>
        <v>-5.6398324925249408E-4</v>
      </c>
      <c r="DJ49" s="375"/>
      <c r="DK49" s="7">
        <f t="shared" si="254"/>
        <v>0</v>
      </c>
      <c r="DL49" s="72">
        <v>-12789.85</v>
      </c>
      <c r="DM49" s="7">
        <f t="shared" si="255"/>
        <v>-1.4745071741777437E-3</v>
      </c>
      <c r="DN49" s="72">
        <v>-13056.78</v>
      </c>
      <c r="DO49" s="7">
        <f t="shared" si="256"/>
        <v>-7.6085533664259917E-4</v>
      </c>
      <c r="DP49" s="72">
        <v>-12596.96</v>
      </c>
      <c r="DQ49" s="7">
        <f t="shared" si="257"/>
        <v>-1.5013270304177161E-4</v>
      </c>
      <c r="DR49" s="375">
        <f>+DL49+DN49+DP49</f>
        <v>-38443.589999999997</v>
      </c>
      <c r="DS49" s="7">
        <f t="shared" si="293"/>
        <v>-3.5031473202938162E-4</v>
      </c>
      <c r="DT49" s="375">
        <f t="shared" si="259"/>
        <v>-81409.929999999993</v>
      </c>
      <c r="DU49" s="7">
        <f t="shared" si="83"/>
        <v>-4.378670316011093E-4</v>
      </c>
      <c r="DV49" s="375">
        <v>-15782.1</v>
      </c>
      <c r="DW49" s="7">
        <f t="shared" si="260"/>
        <v>-3.4672748758758393E-4</v>
      </c>
      <c r="DX49" s="375">
        <v>-16825.509999999998</v>
      </c>
      <c r="DY49" s="7">
        <f t="shared" si="261"/>
        <v>-6.5082811613481476E-4</v>
      </c>
      <c r="DZ49" s="375">
        <v>-16608.21</v>
      </c>
      <c r="EA49" s="7">
        <f t="shared" si="262"/>
        <v>-1.3575077552866092E-4</v>
      </c>
      <c r="EB49" s="375">
        <f>+DV49+DX49+DZ49</f>
        <v>-49215.82</v>
      </c>
      <c r="EC49" s="7">
        <f t="shared" si="37"/>
        <v>-2.5406544993358815E-4</v>
      </c>
      <c r="ED49" s="375">
        <f t="shared" si="317"/>
        <v>-130625.75</v>
      </c>
      <c r="EE49" s="7">
        <f t="shared" si="85"/>
        <v>-3.4408064452313785E-4</v>
      </c>
      <c r="EF49" s="375">
        <v>-15779.93</v>
      </c>
      <c r="EG49" s="7">
        <f t="shared" si="264"/>
        <v>-1.06789390137651E-3</v>
      </c>
      <c r="EH49" s="375">
        <v>-17858.05</v>
      </c>
      <c r="EI49" s="7">
        <f t="shared" si="265"/>
        <v>-1.4007789201632933E-3</v>
      </c>
      <c r="EJ49" s="375">
        <v>-18856.32</v>
      </c>
      <c r="EK49" s="7">
        <f t="shared" si="266"/>
        <v>-1.2074765200097629E-4</v>
      </c>
      <c r="EL49" s="375">
        <f>+EF49+EH49+EJ49</f>
        <v>-52494.299999999996</v>
      </c>
      <c r="EM49" s="7">
        <f t="shared" si="39"/>
        <v>-2.8577910521331864E-4</v>
      </c>
      <c r="EN49" s="375">
        <f t="shared" si="318"/>
        <v>-183120.05</v>
      </c>
      <c r="EO49" s="7">
        <f t="shared" si="108"/>
        <v>-3.2506975806890679E-4</v>
      </c>
      <c r="EP49" s="381"/>
      <c r="EQ49" s="373"/>
      <c r="ER49" s="373"/>
      <c r="ES49" s="373"/>
      <c r="ET49" s="375">
        <v>-22713.19</v>
      </c>
      <c r="EU49" s="7">
        <f t="shared" si="269"/>
        <v>-3.0793707175753504E-3</v>
      </c>
      <c r="EV49" s="375">
        <v>-22713.19</v>
      </c>
      <c r="EW49" s="7">
        <f t="shared" si="270"/>
        <v>-3.7268830559052573E-3</v>
      </c>
      <c r="EX49" s="375">
        <v>-21213.19</v>
      </c>
      <c r="EY49" s="7">
        <f t="shared" si="271"/>
        <v>-9.2923300027789361E-5</v>
      </c>
      <c r="EZ49" s="375">
        <f>+ET49+EV49+EX49</f>
        <v>-66639.569999999992</v>
      </c>
      <c r="FA49" s="7">
        <f t="shared" si="42"/>
        <v>-2.7564641760689367E-4</v>
      </c>
      <c r="FB49" s="375">
        <v>-21213.19</v>
      </c>
      <c r="FC49" s="7">
        <f t="shared" si="273"/>
        <v>-2.3409069191167179E-3</v>
      </c>
      <c r="FD49" s="375">
        <v>-23013.19</v>
      </c>
      <c r="FE49" s="7">
        <f t="shared" si="200"/>
        <v>-2.1864489116999491E-4</v>
      </c>
      <c r="FF49" s="375">
        <v>-23013.19</v>
      </c>
      <c r="FG49" s="7">
        <f t="shared" si="44"/>
        <v>-1.4322210831912475E-4</v>
      </c>
      <c r="FH49" s="375">
        <f>+FB49+FD49+FF49</f>
        <v>-67239.569999999992</v>
      </c>
      <c r="FI49" s="7">
        <f t="shared" si="46"/>
        <v>-2.4450974220201487E-4</v>
      </c>
      <c r="FJ49" s="375">
        <f t="shared" si="319"/>
        <v>-133879.13999999998</v>
      </c>
      <c r="FK49" s="7">
        <f t="shared" si="89"/>
        <v>-2.5907665213921352E-4</v>
      </c>
      <c r="FL49" s="375">
        <v>-25376.19</v>
      </c>
      <c r="FM49" s="7">
        <f t="shared" si="276"/>
        <v>-2.3207849096261515E-3</v>
      </c>
      <c r="FN49" s="375">
        <v>-23013.69</v>
      </c>
      <c r="FO49" s="7">
        <f t="shared" si="48"/>
        <v>-4.8165696178160836E-3</v>
      </c>
      <c r="FP49" s="375">
        <v>-23013.69</v>
      </c>
      <c r="FQ49" s="7">
        <f t="shared" si="49"/>
        <v>-8.3189261711712461E-5</v>
      </c>
      <c r="FR49" s="375">
        <f>+FL49+FN49+FP49</f>
        <v>-71403.569999999992</v>
      </c>
      <c r="FS49" s="7">
        <f t="shared" si="51"/>
        <v>-2.4423593138645118E-4</v>
      </c>
      <c r="FT49" s="375">
        <f t="shared" si="320"/>
        <v>-205282.70999999996</v>
      </c>
      <c r="FU49" s="7">
        <f t="shared" si="90"/>
        <v>-2.537142684883284E-4</v>
      </c>
      <c r="FV49" s="375">
        <v>-37583</v>
      </c>
      <c r="FW49" s="7">
        <f t="shared" si="279"/>
        <v>-1.3543452730967081E-3</v>
      </c>
      <c r="FX49" s="375">
        <v>-24260.06</v>
      </c>
      <c r="FY49" s="7">
        <f t="shared" si="53"/>
        <v>-9.4502565739677618E-4</v>
      </c>
      <c r="FZ49" s="375">
        <v>-24260.06</v>
      </c>
      <c r="GA49" s="7">
        <f t="shared" si="54"/>
        <v>-8.3913084994005873E-5</v>
      </c>
      <c r="GB49" s="375">
        <f>+FV49+FX49+FZ49</f>
        <v>-86103.12</v>
      </c>
      <c r="GC49" s="7">
        <f t="shared" si="56"/>
        <v>-2.5137347973879561E-4</v>
      </c>
      <c r="GD49" s="375">
        <f t="shared" si="321"/>
        <v>-291385.82999999996</v>
      </c>
      <c r="GE49" s="7">
        <f t="shared" si="91"/>
        <v>-2.5301805131561954E-4</v>
      </c>
      <c r="GF49" s="566">
        <f t="shared" si="282"/>
        <v>0</v>
      </c>
      <c r="GG49" s="525">
        <f t="shared" si="58"/>
        <v>0</v>
      </c>
      <c r="GH49" s="528">
        <f t="shared" si="322"/>
        <v>0</v>
      </c>
      <c r="GI49" s="525">
        <f t="shared" si="60"/>
        <v>0</v>
      </c>
      <c r="GJ49" s="528"/>
      <c r="GK49" s="525">
        <f t="shared" si="61"/>
        <v>0</v>
      </c>
      <c r="GL49" s="528">
        <f t="shared" si="284"/>
        <v>-291385.82999999996</v>
      </c>
      <c r="GM49" s="565">
        <f t="shared" si="92"/>
        <v>-2.5144708366149333E-4</v>
      </c>
      <c r="GO49" s="586"/>
      <c r="GQ49" s="586"/>
      <c r="GT49" s="551">
        <f t="shared" si="182"/>
        <v>-61096.675879336835</v>
      </c>
      <c r="GU49" s="551">
        <f t="shared" si="94"/>
        <v>-71582.464120663164</v>
      </c>
      <c r="GV49" s="550">
        <f t="shared" si="294"/>
        <v>-132679.13999999998</v>
      </c>
      <c r="GW49" s="527">
        <f>+EZ49*4</f>
        <v>-266558.27999999997</v>
      </c>
      <c r="GX49" s="525">
        <f t="shared" si="285"/>
        <v>-2.2511181764091963E-4</v>
      </c>
      <c r="GY49" s="528">
        <f>+GW49</f>
        <v>-266558.27999999997</v>
      </c>
      <c r="GZ49" s="525">
        <f t="shared" si="286"/>
        <v>-2.9611001632608912E-4</v>
      </c>
      <c r="HA49" s="528">
        <f>+GY49</f>
        <v>-266558.27999999997</v>
      </c>
      <c r="HB49" s="526">
        <f t="shared" si="287"/>
        <v>-3.6618374629619722E-4</v>
      </c>
      <c r="HD49" s="527">
        <v>-266558.27999999997</v>
      </c>
      <c r="HE49" s="525">
        <v>-2.2438777138223556E-4</v>
      </c>
      <c r="HF49" s="528">
        <v>-266558.27999999997</v>
      </c>
      <c r="HG49" s="525">
        <v>-2.9611001632608912E-4</v>
      </c>
      <c r="HH49" s="528">
        <v>-266558.27999999997</v>
      </c>
      <c r="HI49" s="526">
        <v>-3.6618374629619722E-4</v>
      </c>
    </row>
    <row r="50" spans="1:218" ht="15" customHeight="1" outlineLevel="1">
      <c r="A50" s="386" t="s">
        <v>48</v>
      </c>
      <c r="B50" s="386" t="s">
        <v>27</v>
      </c>
      <c r="C50" s="375">
        <v>0</v>
      </c>
      <c r="D50" s="4"/>
      <c r="E50" s="375">
        <v>0</v>
      </c>
      <c r="F50" s="4"/>
      <c r="G50" s="375"/>
      <c r="H50" s="375"/>
      <c r="I50" s="4"/>
      <c r="J50" s="375"/>
      <c r="K50" s="375"/>
      <c r="L50" s="4"/>
      <c r="M50" s="375"/>
      <c r="N50" s="375">
        <v>0</v>
      </c>
      <c r="O50" s="4"/>
      <c r="P50" s="375">
        <f t="shared" si="13"/>
        <v>0</v>
      </c>
      <c r="Q50" s="375">
        <f t="shared" si="13"/>
        <v>0</v>
      </c>
      <c r="R50" s="7">
        <f t="shared" si="64"/>
        <v>0</v>
      </c>
      <c r="S50" s="375"/>
      <c r="T50" s="375"/>
      <c r="U50" s="4"/>
      <c r="V50" s="375"/>
      <c r="W50" s="375"/>
      <c r="X50" s="4"/>
      <c r="Y50" s="375"/>
      <c r="Z50" s="375"/>
      <c r="AA50" s="4"/>
      <c r="AB50" s="375">
        <f t="shared" si="224"/>
        <v>0</v>
      </c>
      <c r="AC50" s="375">
        <f t="shared" si="225"/>
        <v>0</v>
      </c>
      <c r="AD50" s="7">
        <f t="shared" si="65"/>
        <v>0</v>
      </c>
      <c r="AE50" s="375">
        <f t="shared" si="226"/>
        <v>0</v>
      </c>
      <c r="AF50" s="375">
        <f t="shared" si="227"/>
        <v>0</v>
      </c>
      <c r="AG50" s="4"/>
      <c r="AH50" s="375"/>
      <c r="AI50" s="375"/>
      <c r="AJ50" s="4"/>
      <c r="AK50" s="375"/>
      <c r="AL50" s="375"/>
      <c r="AM50" s="4"/>
      <c r="AN50" s="375"/>
      <c r="AO50" s="375"/>
      <c r="AP50" s="4"/>
      <c r="AQ50" s="375">
        <f t="shared" si="310"/>
        <v>0</v>
      </c>
      <c r="AR50" s="375">
        <f t="shared" si="311"/>
        <v>0</v>
      </c>
      <c r="AS50" s="7">
        <f t="shared" si="68"/>
        <v>0</v>
      </c>
      <c r="AT50" s="375">
        <f t="shared" si="230"/>
        <v>0</v>
      </c>
      <c r="AU50" s="4"/>
      <c r="AV50" s="375"/>
      <c r="AW50" s="375"/>
      <c r="AX50" s="4"/>
      <c r="AY50" s="375"/>
      <c r="AZ50" s="375"/>
      <c r="BA50" s="4"/>
      <c r="BB50" s="375"/>
      <c r="BC50" s="375"/>
      <c r="BD50" s="448"/>
      <c r="BE50" s="375">
        <f t="shared" si="312"/>
        <v>0</v>
      </c>
      <c r="BF50" s="375">
        <f t="shared" si="313"/>
        <v>0</v>
      </c>
      <c r="BG50" s="7">
        <f t="shared" si="71"/>
        <v>0</v>
      </c>
      <c r="BH50" s="375">
        <f t="shared" si="314"/>
        <v>0</v>
      </c>
      <c r="BI50" s="388">
        <f t="shared" si="315"/>
        <v>0</v>
      </c>
      <c r="BJ50" s="7">
        <f t="shared" si="72"/>
        <v>0</v>
      </c>
      <c r="BK50" s="375">
        <v>0</v>
      </c>
      <c r="BL50" s="282"/>
      <c r="BN50" s="375"/>
      <c r="BO50" s="4"/>
      <c r="BP50" s="375"/>
      <c r="BQ50" s="4"/>
      <c r="BR50" s="375"/>
      <c r="BS50" s="4"/>
      <c r="BT50" s="375">
        <f t="shared" si="316"/>
        <v>0</v>
      </c>
      <c r="BU50" s="7">
        <f t="shared" si="73"/>
        <v>0</v>
      </c>
      <c r="BV50" s="375"/>
      <c r="BW50" s="7"/>
      <c r="BX50" s="375"/>
      <c r="BY50" s="7"/>
      <c r="BZ50" s="375">
        <f t="shared" ref="BZ50:BZ57" si="324">+BT50+BV50+BX50</f>
        <v>0</v>
      </c>
      <c r="CA50" s="7"/>
      <c r="CB50" s="375">
        <f t="shared" si="237"/>
        <v>0</v>
      </c>
      <c r="CC50" s="7">
        <f t="shared" si="158"/>
        <v>0</v>
      </c>
      <c r="CD50" s="375">
        <f t="shared" si="238"/>
        <v>0</v>
      </c>
      <c r="CE50" s="7">
        <f t="shared" si="75"/>
        <v>0</v>
      </c>
      <c r="CF50" s="375">
        <f t="shared" ref="CF50:CF51" si="325">+BZ50+CB50+CD50</f>
        <v>0</v>
      </c>
      <c r="CG50" s="7">
        <f t="shared" si="76"/>
        <v>0</v>
      </c>
      <c r="CH50" s="375"/>
      <c r="CI50" s="7">
        <f t="shared" si="76"/>
        <v>0</v>
      </c>
      <c r="CJ50" s="375"/>
      <c r="CK50" s="7">
        <f t="shared" si="76"/>
        <v>0</v>
      </c>
      <c r="CL50" s="375">
        <f t="shared" si="301"/>
        <v>0</v>
      </c>
      <c r="CM50" s="7">
        <f t="shared" si="76"/>
        <v>0</v>
      </c>
      <c r="CN50" s="375">
        <f t="shared" si="288"/>
        <v>0</v>
      </c>
      <c r="CO50" s="7">
        <f t="shared" si="241"/>
        <v>0</v>
      </c>
      <c r="CP50" s="375">
        <v>0</v>
      </c>
      <c r="CQ50" s="7">
        <f t="shared" si="290"/>
        <v>0</v>
      </c>
      <c r="CR50" s="375">
        <f t="shared" si="243"/>
        <v>0</v>
      </c>
      <c r="CS50" s="7">
        <f t="shared" si="244"/>
        <v>0</v>
      </c>
      <c r="CT50" s="375">
        <v>0</v>
      </c>
      <c r="CU50" s="7">
        <f t="shared" si="199"/>
        <v>0</v>
      </c>
      <c r="CV50" s="375">
        <v>0</v>
      </c>
      <c r="CW50" s="7">
        <f t="shared" si="80"/>
        <v>0</v>
      </c>
      <c r="CX50" s="375">
        <f t="shared" si="247"/>
        <v>0</v>
      </c>
      <c r="CY50" s="7">
        <f t="shared" si="291"/>
        <v>0</v>
      </c>
      <c r="CZ50" s="375">
        <f t="shared" si="248"/>
        <v>0</v>
      </c>
      <c r="DA50" s="7">
        <f t="shared" si="81"/>
        <v>0</v>
      </c>
      <c r="DB50" s="375">
        <f t="shared" ref="DB50:DB51" si="326">+CV50+CX50+CZ50</f>
        <v>0</v>
      </c>
      <c r="DC50" s="7">
        <f t="shared" si="250"/>
        <v>0</v>
      </c>
      <c r="DD50" s="375"/>
      <c r="DE50" s="7">
        <f t="shared" si="251"/>
        <v>0</v>
      </c>
      <c r="DF50" s="375"/>
      <c r="DG50" s="7">
        <f t="shared" si="252"/>
        <v>0</v>
      </c>
      <c r="DH50" s="375">
        <f t="shared" si="253"/>
        <v>0</v>
      </c>
      <c r="DI50" s="7">
        <f t="shared" si="292"/>
        <v>0</v>
      </c>
      <c r="DJ50" s="375"/>
      <c r="DK50" s="7">
        <f t="shared" si="254"/>
        <v>0</v>
      </c>
      <c r="DL50" s="375"/>
      <c r="DM50" s="7">
        <f t="shared" si="255"/>
        <v>0</v>
      </c>
      <c r="DN50" s="375"/>
      <c r="DO50" s="7">
        <f t="shared" si="256"/>
        <v>0</v>
      </c>
      <c r="DP50" s="375"/>
      <c r="DQ50" s="7">
        <f t="shared" si="257"/>
        <v>0</v>
      </c>
      <c r="DR50" s="375">
        <f t="shared" ref="DR50:DR58" si="327">+DL50+DN50+DP50</f>
        <v>0</v>
      </c>
      <c r="DS50" s="7">
        <f t="shared" si="293"/>
        <v>0</v>
      </c>
      <c r="DT50" s="375">
        <f t="shared" si="259"/>
        <v>0</v>
      </c>
      <c r="DU50" s="7">
        <f t="shared" si="83"/>
        <v>0</v>
      </c>
      <c r="DV50" s="375"/>
      <c r="DW50" s="7">
        <f t="shared" si="260"/>
        <v>0</v>
      </c>
      <c r="DX50" s="375"/>
      <c r="DY50" s="7">
        <f t="shared" si="261"/>
        <v>0</v>
      </c>
      <c r="DZ50" s="375"/>
      <c r="EA50" s="7">
        <f t="shared" si="262"/>
        <v>0</v>
      </c>
      <c r="EB50" s="375">
        <f t="shared" ref="EB50:EB58" si="328">+DV50+DX50+DZ50</f>
        <v>0</v>
      </c>
      <c r="EC50" s="7">
        <f t="shared" si="37"/>
        <v>0</v>
      </c>
      <c r="ED50" s="375">
        <f t="shared" si="317"/>
        <v>0</v>
      </c>
      <c r="EE50" s="7">
        <f t="shared" si="85"/>
        <v>0</v>
      </c>
      <c r="EF50" s="375"/>
      <c r="EG50" s="7">
        <f t="shared" si="264"/>
        <v>0</v>
      </c>
      <c r="EH50" s="375"/>
      <c r="EI50" s="7">
        <f t="shared" si="265"/>
        <v>0</v>
      </c>
      <c r="EJ50" s="375"/>
      <c r="EK50" s="7">
        <f t="shared" si="266"/>
        <v>0</v>
      </c>
      <c r="EL50" s="375">
        <f t="shared" ref="EL50:EL58" si="329">+EF50+EH50+EJ50</f>
        <v>0</v>
      </c>
      <c r="EM50" s="7">
        <f t="shared" si="39"/>
        <v>0</v>
      </c>
      <c r="EN50" s="375">
        <f t="shared" si="318"/>
        <v>0</v>
      </c>
      <c r="EO50" s="7">
        <f t="shared" si="108"/>
        <v>0</v>
      </c>
      <c r="EP50" s="373"/>
      <c r="EQ50" s="373"/>
      <c r="ER50" s="373"/>
      <c r="ES50" s="373"/>
      <c r="ET50" s="375"/>
      <c r="EU50" s="7">
        <f t="shared" si="269"/>
        <v>0</v>
      </c>
      <c r="EV50" s="375"/>
      <c r="EW50" s="7">
        <f t="shared" si="270"/>
        <v>0</v>
      </c>
      <c r="EX50" s="375"/>
      <c r="EY50" s="7">
        <f t="shared" si="271"/>
        <v>0</v>
      </c>
      <c r="EZ50" s="375">
        <f t="shared" ref="EZ50:EZ58" si="330">+ET50+EV50+EX50</f>
        <v>0</v>
      </c>
      <c r="FA50" s="7">
        <f t="shared" si="42"/>
        <v>0</v>
      </c>
      <c r="FB50" s="375"/>
      <c r="FC50" s="7">
        <f t="shared" si="273"/>
        <v>0</v>
      </c>
      <c r="FD50" s="375"/>
      <c r="FE50" s="7">
        <f t="shared" si="200"/>
        <v>0</v>
      </c>
      <c r="FF50" s="375"/>
      <c r="FG50" s="7">
        <f t="shared" si="44"/>
        <v>0</v>
      </c>
      <c r="FH50" s="375">
        <f t="shared" ref="FH50:FH58" si="331">+FB50+FD50+FF50</f>
        <v>0</v>
      </c>
      <c r="FI50" s="7">
        <f t="shared" si="46"/>
        <v>0</v>
      </c>
      <c r="FJ50" s="375">
        <f t="shared" si="319"/>
        <v>0</v>
      </c>
      <c r="FK50" s="7">
        <f t="shared" si="89"/>
        <v>0</v>
      </c>
      <c r="FL50" s="375"/>
      <c r="FM50" s="7">
        <f t="shared" si="276"/>
        <v>0</v>
      </c>
      <c r="FN50" s="375"/>
      <c r="FO50" s="7">
        <f t="shared" si="48"/>
        <v>0</v>
      </c>
      <c r="FP50" s="375"/>
      <c r="FQ50" s="7">
        <f t="shared" si="49"/>
        <v>0</v>
      </c>
      <c r="FR50" s="375">
        <f t="shared" ref="FR50:FR58" si="332">+FL50+FN50+FP50</f>
        <v>0</v>
      </c>
      <c r="FS50" s="7">
        <f t="shared" si="51"/>
        <v>0</v>
      </c>
      <c r="FT50" s="375">
        <f t="shared" si="320"/>
        <v>0</v>
      </c>
      <c r="FU50" s="7">
        <f t="shared" si="90"/>
        <v>0</v>
      </c>
      <c r="FV50" s="375"/>
      <c r="FW50" s="7">
        <f t="shared" si="279"/>
        <v>0</v>
      </c>
      <c r="FX50" s="375"/>
      <c r="FY50" s="7">
        <f t="shared" si="53"/>
        <v>0</v>
      </c>
      <c r="FZ50" s="375">
        <v>0</v>
      </c>
      <c r="GA50" s="7">
        <f t="shared" si="54"/>
        <v>0</v>
      </c>
      <c r="GB50" s="375">
        <f t="shared" ref="GB50:GB58" si="333">+FV50+FX50+FZ50</f>
        <v>0</v>
      </c>
      <c r="GC50" s="7">
        <f t="shared" si="56"/>
        <v>0</v>
      </c>
      <c r="GD50" s="375">
        <f t="shared" si="321"/>
        <v>0</v>
      </c>
      <c r="GE50" s="7">
        <f t="shared" si="91"/>
        <v>0</v>
      </c>
      <c r="GF50" s="566">
        <f t="shared" si="282"/>
        <v>0</v>
      </c>
      <c r="GG50" s="525">
        <f t="shared" si="58"/>
        <v>0</v>
      </c>
      <c r="GH50" s="528">
        <f t="shared" si="322"/>
        <v>0</v>
      </c>
      <c r="GI50" s="525">
        <f t="shared" si="60"/>
        <v>0</v>
      </c>
      <c r="GJ50" s="528"/>
      <c r="GK50" s="525">
        <f t="shared" si="61"/>
        <v>0</v>
      </c>
      <c r="GL50" s="528">
        <f t="shared" si="284"/>
        <v>0</v>
      </c>
      <c r="GM50" s="565">
        <f t="shared" si="92"/>
        <v>0</v>
      </c>
      <c r="GO50" s="586"/>
      <c r="GQ50" s="586"/>
      <c r="GT50" s="551">
        <f t="shared" si="182"/>
        <v>0</v>
      </c>
      <c r="GU50" s="551">
        <f t="shared" si="94"/>
        <v>0</v>
      </c>
      <c r="GV50" s="550">
        <f t="shared" si="294"/>
        <v>0</v>
      </c>
      <c r="GW50" s="527"/>
      <c r="GX50" s="525">
        <f t="shared" si="285"/>
        <v>0</v>
      </c>
      <c r="GY50" s="528"/>
      <c r="GZ50" s="525">
        <f t="shared" si="286"/>
        <v>0</v>
      </c>
      <c r="HA50" s="528"/>
      <c r="HB50" s="526">
        <f t="shared" si="287"/>
        <v>0</v>
      </c>
      <c r="HD50" s="527"/>
      <c r="HE50" s="525">
        <v>0</v>
      </c>
      <c r="HF50" s="528"/>
      <c r="HG50" s="525">
        <v>0</v>
      </c>
      <c r="HH50" s="528"/>
      <c r="HI50" s="526">
        <v>0</v>
      </c>
    </row>
    <row r="51" spans="1:218" ht="15" customHeight="1" outlineLevel="1">
      <c r="A51" s="386" t="s">
        <v>48</v>
      </c>
      <c r="B51" s="386" t="s">
        <v>34</v>
      </c>
      <c r="C51" s="375">
        <v>0</v>
      </c>
      <c r="D51" s="4"/>
      <c r="E51" s="375">
        <v>0</v>
      </c>
      <c r="F51" s="4"/>
      <c r="G51" s="375"/>
      <c r="H51" s="375"/>
      <c r="I51" s="4"/>
      <c r="J51" s="375"/>
      <c r="K51" s="375"/>
      <c r="L51" s="4"/>
      <c r="M51" s="375"/>
      <c r="N51" s="375">
        <v>0</v>
      </c>
      <c r="O51" s="4"/>
      <c r="P51" s="375">
        <f t="shared" si="13"/>
        <v>0</v>
      </c>
      <c r="Q51" s="375">
        <f t="shared" si="13"/>
        <v>0</v>
      </c>
      <c r="R51" s="7">
        <f t="shared" si="64"/>
        <v>0</v>
      </c>
      <c r="S51" s="375"/>
      <c r="T51" s="375"/>
      <c r="U51" s="4"/>
      <c r="V51" s="375"/>
      <c r="W51" s="375"/>
      <c r="X51" s="4"/>
      <c r="Y51" s="375"/>
      <c r="Z51" s="375"/>
      <c r="AA51" s="4"/>
      <c r="AB51" s="375">
        <f t="shared" si="224"/>
        <v>0</v>
      </c>
      <c r="AC51" s="375">
        <f t="shared" si="225"/>
        <v>0</v>
      </c>
      <c r="AD51" s="7">
        <f t="shared" si="65"/>
        <v>0</v>
      </c>
      <c r="AE51" s="375">
        <f t="shared" si="226"/>
        <v>0</v>
      </c>
      <c r="AF51" s="375">
        <f t="shared" si="227"/>
        <v>0</v>
      </c>
      <c r="AG51" s="4"/>
      <c r="AH51" s="375"/>
      <c r="AI51" s="375"/>
      <c r="AJ51" s="4"/>
      <c r="AK51" s="375"/>
      <c r="AL51" s="375"/>
      <c r="AM51" s="4"/>
      <c r="AN51" s="375"/>
      <c r="AO51" s="375"/>
      <c r="AP51" s="4"/>
      <c r="AQ51" s="375">
        <f t="shared" si="310"/>
        <v>0</v>
      </c>
      <c r="AR51" s="375">
        <f t="shared" si="311"/>
        <v>0</v>
      </c>
      <c r="AS51" s="7">
        <f t="shared" si="68"/>
        <v>0</v>
      </c>
      <c r="AT51" s="375">
        <f t="shared" si="230"/>
        <v>0</v>
      </c>
      <c r="AU51" s="4"/>
      <c r="AV51" s="375"/>
      <c r="AW51" s="375"/>
      <c r="AX51" s="4"/>
      <c r="AY51" s="375"/>
      <c r="AZ51" s="375"/>
      <c r="BA51" s="4"/>
      <c r="BB51" s="375"/>
      <c r="BC51" s="375"/>
      <c r="BD51" s="448"/>
      <c r="BE51" s="375">
        <f t="shared" si="312"/>
        <v>0</v>
      </c>
      <c r="BF51" s="375">
        <f t="shared" si="313"/>
        <v>0</v>
      </c>
      <c r="BG51" s="7">
        <f t="shared" si="71"/>
        <v>0</v>
      </c>
      <c r="BH51" s="375">
        <f t="shared" si="314"/>
        <v>0</v>
      </c>
      <c r="BI51" s="388">
        <f t="shared" si="315"/>
        <v>0</v>
      </c>
      <c r="BJ51" s="7">
        <f t="shared" si="72"/>
        <v>0</v>
      </c>
      <c r="BK51" s="375">
        <v>0</v>
      </c>
      <c r="BL51" s="282"/>
      <c r="BN51" s="375"/>
      <c r="BO51" s="4"/>
      <c r="BP51" s="375"/>
      <c r="BQ51" s="4"/>
      <c r="BR51" s="375"/>
      <c r="BS51" s="4"/>
      <c r="BT51" s="375">
        <f t="shared" si="316"/>
        <v>0</v>
      </c>
      <c r="BU51" s="7">
        <f t="shared" si="73"/>
        <v>0</v>
      </c>
      <c r="BV51" s="375"/>
      <c r="BW51" s="7"/>
      <c r="BX51" s="375"/>
      <c r="BY51" s="7"/>
      <c r="BZ51" s="375">
        <f t="shared" si="324"/>
        <v>0</v>
      </c>
      <c r="CA51" s="7"/>
      <c r="CB51" s="375">
        <f t="shared" si="237"/>
        <v>0</v>
      </c>
      <c r="CC51" s="7">
        <f t="shared" si="158"/>
        <v>0</v>
      </c>
      <c r="CD51" s="375">
        <f t="shared" si="238"/>
        <v>0</v>
      </c>
      <c r="CE51" s="7">
        <f t="shared" si="75"/>
        <v>0</v>
      </c>
      <c r="CF51" s="375">
        <f t="shared" si="325"/>
        <v>0</v>
      </c>
      <c r="CG51" s="7">
        <f t="shared" si="76"/>
        <v>0</v>
      </c>
      <c r="CH51" s="375"/>
      <c r="CI51" s="7">
        <f t="shared" si="76"/>
        <v>0</v>
      </c>
      <c r="CJ51" s="375"/>
      <c r="CK51" s="7">
        <f t="shared" si="76"/>
        <v>0</v>
      </c>
      <c r="CL51" s="375">
        <f t="shared" si="301"/>
        <v>0</v>
      </c>
      <c r="CM51" s="7">
        <f t="shared" si="76"/>
        <v>0</v>
      </c>
      <c r="CN51" s="375">
        <f t="shared" si="288"/>
        <v>0</v>
      </c>
      <c r="CO51" s="7">
        <f t="shared" si="241"/>
        <v>0</v>
      </c>
      <c r="CP51" s="375">
        <v>0</v>
      </c>
      <c r="CQ51" s="7">
        <f t="shared" si="290"/>
        <v>0</v>
      </c>
      <c r="CR51" s="375">
        <f t="shared" si="243"/>
        <v>0</v>
      </c>
      <c r="CS51" s="7">
        <f t="shared" si="244"/>
        <v>0</v>
      </c>
      <c r="CT51" s="375">
        <v>0</v>
      </c>
      <c r="CU51" s="7">
        <f t="shared" si="199"/>
        <v>0</v>
      </c>
      <c r="CV51" s="375">
        <v>0</v>
      </c>
      <c r="CW51" s="7">
        <f t="shared" si="80"/>
        <v>0</v>
      </c>
      <c r="CX51" s="375">
        <f t="shared" si="247"/>
        <v>0</v>
      </c>
      <c r="CY51" s="7">
        <f t="shared" si="291"/>
        <v>0</v>
      </c>
      <c r="CZ51" s="375">
        <f t="shared" si="248"/>
        <v>0</v>
      </c>
      <c r="DA51" s="7">
        <f t="shared" si="81"/>
        <v>0</v>
      </c>
      <c r="DB51" s="375">
        <f t="shared" si="326"/>
        <v>0</v>
      </c>
      <c r="DC51" s="7">
        <f t="shared" si="250"/>
        <v>0</v>
      </c>
      <c r="DD51" s="375"/>
      <c r="DE51" s="7">
        <f t="shared" si="251"/>
        <v>0</v>
      </c>
      <c r="DF51" s="375"/>
      <c r="DG51" s="7">
        <f t="shared" si="252"/>
        <v>0</v>
      </c>
      <c r="DH51" s="375">
        <f t="shared" si="253"/>
        <v>0</v>
      </c>
      <c r="DI51" s="7">
        <f t="shared" si="292"/>
        <v>0</v>
      </c>
      <c r="DJ51" s="375"/>
      <c r="DK51" s="7">
        <f t="shared" si="254"/>
        <v>0</v>
      </c>
      <c r="DL51" s="375"/>
      <c r="DM51" s="7">
        <f t="shared" si="255"/>
        <v>0</v>
      </c>
      <c r="DN51" s="375"/>
      <c r="DO51" s="7">
        <f t="shared" si="256"/>
        <v>0</v>
      </c>
      <c r="DP51" s="375"/>
      <c r="DQ51" s="7">
        <f t="shared" si="257"/>
        <v>0</v>
      </c>
      <c r="DR51" s="375">
        <f t="shared" si="327"/>
        <v>0</v>
      </c>
      <c r="DS51" s="7">
        <f t="shared" si="293"/>
        <v>0</v>
      </c>
      <c r="DT51" s="375">
        <f t="shared" si="259"/>
        <v>0</v>
      </c>
      <c r="DU51" s="7">
        <f t="shared" si="83"/>
        <v>0</v>
      </c>
      <c r="DV51" s="375"/>
      <c r="DW51" s="7">
        <f t="shared" si="260"/>
        <v>0</v>
      </c>
      <c r="DX51" s="375"/>
      <c r="DY51" s="7">
        <f t="shared" si="261"/>
        <v>0</v>
      </c>
      <c r="DZ51" s="375"/>
      <c r="EA51" s="7">
        <f t="shared" si="262"/>
        <v>0</v>
      </c>
      <c r="EB51" s="375">
        <f t="shared" si="328"/>
        <v>0</v>
      </c>
      <c r="EC51" s="7">
        <f t="shared" si="37"/>
        <v>0</v>
      </c>
      <c r="ED51" s="375">
        <f t="shared" si="317"/>
        <v>0</v>
      </c>
      <c r="EE51" s="7">
        <f t="shared" si="85"/>
        <v>0</v>
      </c>
      <c r="EF51" s="375"/>
      <c r="EG51" s="7">
        <f t="shared" si="264"/>
        <v>0</v>
      </c>
      <c r="EH51" s="375"/>
      <c r="EI51" s="7">
        <f t="shared" si="265"/>
        <v>0</v>
      </c>
      <c r="EJ51" s="375"/>
      <c r="EK51" s="7">
        <f t="shared" si="266"/>
        <v>0</v>
      </c>
      <c r="EL51" s="375">
        <f t="shared" si="329"/>
        <v>0</v>
      </c>
      <c r="EM51" s="7">
        <f t="shared" si="39"/>
        <v>0</v>
      </c>
      <c r="EN51" s="375">
        <f t="shared" si="318"/>
        <v>0</v>
      </c>
      <c r="EO51" s="7">
        <f t="shared" si="108"/>
        <v>0</v>
      </c>
      <c r="EP51" s="373"/>
      <c r="EQ51" s="373"/>
      <c r="ER51" s="373"/>
      <c r="ES51" s="373"/>
      <c r="ET51" s="375">
        <v>-71970</v>
      </c>
      <c r="EU51" s="7">
        <f t="shared" si="269"/>
        <v>-9.7574277564665291E-3</v>
      </c>
      <c r="EV51" s="375"/>
      <c r="EW51" s="7">
        <f t="shared" si="270"/>
        <v>0</v>
      </c>
      <c r="EX51" s="375">
        <v>-26385.05</v>
      </c>
      <c r="EY51" s="7">
        <f t="shared" si="271"/>
        <v>-1.1557836975005757E-4</v>
      </c>
      <c r="EZ51" s="375">
        <f t="shared" si="330"/>
        <v>-98355.05</v>
      </c>
      <c r="FA51" s="7">
        <f t="shared" si="42"/>
        <v>-4.0683361531364791E-4</v>
      </c>
      <c r="FB51" s="375">
        <v>-8892</v>
      </c>
      <c r="FC51" s="7">
        <f t="shared" si="273"/>
        <v>-9.8124536313425091E-4</v>
      </c>
      <c r="FD51" s="375"/>
      <c r="FE51" s="7">
        <f t="shared" si="200"/>
        <v>0</v>
      </c>
      <c r="FF51" s="375">
        <v>-51100</v>
      </c>
      <c r="FG51" s="7">
        <f t="shared" si="44"/>
        <v>-3.1801978496276591E-4</v>
      </c>
      <c r="FH51" s="375">
        <f t="shared" si="331"/>
        <v>-59992</v>
      </c>
      <c r="FI51" s="7">
        <f t="shared" si="46"/>
        <v>-2.1815470346082339E-4</v>
      </c>
      <c r="FJ51" s="375">
        <f t="shared" si="319"/>
        <v>-158347.04999999999</v>
      </c>
      <c r="FK51" s="7">
        <f t="shared" si="89"/>
        <v>-3.0642580756136206E-4</v>
      </c>
      <c r="FL51" s="375"/>
      <c r="FM51" s="7">
        <f t="shared" si="276"/>
        <v>0</v>
      </c>
      <c r="FN51" s="375"/>
      <c r="FO51" s="7">
        <f t="shared" si="48"/>
        <v>0</v>
      </c>
      <c r="FP51" s="375"/>
      <c r="FQ51" s="7">
        <f t="shared" si="49"/>
        <v>0</v>
      </c>
      <c r="FR51" s="375">
        <f t="shared" si="332"/>
        <v>0</v>
      </c>
      <c r="FS51" s="7">
        <f t="shared" si="51"/>
        <v>0</v>
      </c>
      <c r="FT51" s="375">
        <f t="shared" si="320"/>
        <v>-158347.04999999999</v>
      </c>
      <c r="FU51" s="7">
        <f t="shared" si="90"/>
        <v>-1.9570525914254917E-4</v>
      </c>
      <c r="FV51" s="375"/>
      <c r="FW51" s="7">
        <f t="shared" si="279"/>
        <v>0</v>
      </c>
      <c r="FX51" s="375"/>
      <c r="FY51" s="7">
        <f t="shared" si="53"/>
        <v>0</v>
      </c>
      <c r="FZ51" s="375"/>
      <c r="GA51" s="7">
        <f t="shared" si="54"/>
        <v>0</v>
      </c>
      <c r="GB51" s="375">
        <f t="shared" si="333"/>
        <v>0</v>
      </c>
      <c r="GC51" s="7">
        <f t="shared" si="56"/>
        <v>0</v>
      </c>
      <c r="GD51" s="375">
        <f t="shared" si="321"/>
        <v>-158347.04999999999</v>
      </c>
      <c r="GE51" s="7">
        <f t="shared" si="91"/>
        <v>-1.3749694699490697E-4</v>
      </c>
      <c r="GF51" s="566">
        <f t="shared" si="282"/>
        <v>0</v>
      </c>
      <c r="GG51" s="525">
        <f t="shared" si="58"/>
        <v>0</v>
      </c>
      <c r="GH51" s="528">
        <f t="shared" si="322"/>
        <v>0</v>
      </c>
      <c r="GI51" s="525">
        <f t="shared" si="60"/>
        <v>0</v>
      </c>
      <c r="GJ51" s="528"/>
      <c r="GK51" s="525">
        <f t="shared" si="61"/>
        <v>0</v>
      </c>
      <c r="GL51" s="528">
        <f t="shared" si="284"/>
        <v>-158347.04999999999</v>
      </c>
      <c r="GM51" s="565">
        <f t="shared" si="92"/>
        <v>-1.3664324009475914E-4</v>
      </c>
      <c r="GO51" s="586"/>
      <c r="GQ51" s="586"/>
      <c r="GT51" s="551">
        <f t="shared" si="182"/>
        <v>27625.380895242273</v>
      </c>
      <c r="GU51" s="551">
        <f t="shared" si="94"/>
        <v>32366.619104757716</v>
      </c>
      <c r="GV51" s="550">
        <f t="shared" si="294"/>
        <v>59991.999999999985</v>
      </c>
      <c r="GW51" s="527">
        <f>+EZ51</f>
        <v>-98355.05</v>
      </c>
      <c r="GX51" s="525">
        <f t="shared" si="285"/>
        <v>-8.306207587947947E-5</v>
      </c>
      <c r="GY51" s="528">
        <f>+GW51</f>
        <v>-98355.05</v>
      </c>
      <c r="GZ51" s="525">
        <f t="shared" si="286"/>
        <v>-1.0925909133737402E-4</v>
      </c>
      <c r="HA51" s="528">
        <f>+GY51</f>
        <v>-98355.05</v>
      </c>
      <c r="HB51" s="526">
        <f t="shared" si="287"/>
        <v>-1.3511499502528976E-4</v>
      </c>
      <c r="HD51" s="527">
        <v>-98355.05</v>
      </c>
      <c r="HE51" s="525">
        <v>-8.2794916270049275E-5</v>
      </c>
      <c r="HF51" s="528">
        <v>-98355.05</v>
      </c>
      <c r="HG51" s="525">
        <v>-1.0925909133737402E-4</v>
      </c>
      <c r="HH51" s="528">
        <v>-98355.05</v>
      </c>
      <c r="HI51" s="526">
        <v>-1.3511499502528976E-4</v>
      </c>
    </row>
    <row r="52" spans="1:218" ht="15" customHeight="1" outlineLevel="1">
      <c r="A52" s="386" t="s">
        <v>48</v>
      </c>
      <c r="B52" s="386" t="s">
        <v>35</v>
      </c>
      <c r="C52" s="375">
        <v>-290511.46999999997</v>
      </c>
      <c r="D52" s="4"/>
      <c r="E52" s="375">
        <v>-14060</v>
      </c>
      <c r="F52" s="4"/>
      <c r="G52" s="375"/>
      <c r="H52" s="375">
        <v>-169242.48</v>
      </c>
      <c r="I52" s="4"/>
      <c r="J52" s="375"/>
      <c r="K52" s="375">
        <v>-3200</v>
      </c>
      <c r="L52" s="4"/>
      <c r="M52" s="375"/>
      <c r="N52" s="375">
        <v>-8880</v>
      </c>
      <c r="O52" s="4"/>
      <c r="P52" s="375">
        <f t="shared" si="13"/>
        <v>0</v>
      </c>
      <c r="Q52" s="375">
        <f t="shared" si="13"/>
        <v>-181322.48</v>
      </c>
      <c r="R52" s="7">
        <f t="shared" si="64"/>
        <v>-4.9857592870993193E-3</v>
      </c>
      <c r="S52" s="375">
        <v>-8800</v>
      </c>
      <c r="T52" s="375">
        <v>-8800</v>
      </c>
      <c r="U52" s="4"/>
      <c r="V52" s="375">
        <v>-8962</v>
      </c>
      <c r="W52" s="375"/>
      <c r="X52" s="4"/>
      <c r="Y52" s="375">
        <v>-9000</v>
      </c>
      <c r="Z52" s="375">
        <v>-9000</v>
      </c>
      <c r="AA52" s="4"/>
      <c r="AB52" s="375">
        <f t="shared" si="224"/>
        <v>-26762</v>
      </c>
      <c r="AC52" s="375">
        <f t="shared" si="225"/>
        <v>-17800</v>
      </c>
      <c r="AD52" s="7">
        <f t="shared" si="65"/>
        <v>-4.799481911350724E-4</v>
      </c>
      <c r="AE52" s="375">
        <f t="shared" si="226"/>
        <v>-208084.48000000001</v>
      </c>
      <c r="AF52" s="375">
        <f t="shared" si="227"/>
        <v>-199122.48</v>
      </c>
      <c r="AG52" s="4"/>
      <c r="AH52" s="375">
        <v>-25130</v>
      </c>
      <c r="AI52" s="375">
        <v>-25130</v>
      </c>
      <c r="AJ52" s="4"/>
      <c r="AK52" s="375">
        <v>-8702.5</v>
      </c>
      <c r="AL52" s="375">
        <v>-8702.5</v>
      </c>
      <c r="AM52" s="4"/>
      <c r="AN52" s="375">
        <v>-8846</v>
      </c>
      <c r="AO52" s="375">
        <v>-8846</v>
      </c>
      <c r="AP52" s="4"/>
      <c r="AQ52" s="375">
        <f t="shared" si="310"/>
        <v>-42678.5</v>
      </c>
      <c r="AR52" s="375">
        <f t="shared" si="311"/>
        <v>-42678.5</v>
      </c>
      <c r="AS52" s="7">
        <f t="shared" si="68"/>
        <v>-1.6030903204652957E-3</v>
      </c>
      <c r="AT52" s="375">
        <f t="shared" si="230"/>
        <v>-241800.98</v>
      </c>
      <c r="AU52" s="4"/>
      <c r="AV52" s="375"/>
      <c r="AW52" s="375">
        <v>-8800</v>
      </c>
      <c r="AX52" s="4"/>
      <c r="AY52" s="375"/>
      <c r="AZ52" s="375">
        <v>-8800</v>
      </c>
      <c r="BA52" s="4"/>
      <c r="BB52" s="375"/>
      <c r="BC52" s="375">
        <v>-9610</v>
      </c>
      <c r="BD52" s="448"/>
      <c r="BE52" s="375">
        <f t="shared" si="312"/>
        <v>0</v>
      </c>
      <c r="BF52" s="375">
        <f t="shared" si="313"/>
        <v>-27210</v>
      </c>
      <c r="BG52" s="7">
        <f t="shared" si="71"/>
        <v>-8.665696871894737E-4</v>
      </c>
      <c r="BH52" s="375">
        <f t="shared" si="314"/>
        <v>-250762.98</v>
      </c>
      <c r="BI52" s="388">
        <f t="shared" si="315"/>
        <v>-269010.98</v>
      </c>
      <c r="BJ52" s="7">
        <f t="shared" si="72"/>
        <v>-2.046057483352925E-3</v>
      </c>
      <c r="BK52" s="375">
        <v>0</v>
      </c>
      <c r="BL52" s="282"/>
      <c r="BN52" s="375">
        <v>-13338</v>
      </c>
      <c r="BO52" s="4"/>
      <c r="BP52" s="375">
        <v>-8800</v>
      </c>
      <c r="BQ52" s="4"/>
      <c r="BR52" s="375">
        <v>-8800</v>
      </c>
      <c r="BS52" s="4"/>
      <c r="BT52" s="375">
        <f t="shared" si="316"/>
        <v>-30938</v>
      </c>
      <c r="BU52" s="7">
        <f t="shared" si="73"/>
        <v>-5.7064859956531969E-4</v>
      </c>
      <c r="BV52" s="375">
        <v>-5600</v>
      </c>
      <c r="BW52" s="7"/>
      <c r="BX52" s="375">
        <v>-5600</v>
      </c>
      <c r="BY52" s="7"/>
      <c r="BZ52" s="375">
        <v>-5600</v>
      </c>
      <c r="CA52" s="7"/>
      <c r="CB52" s="375">
        <f t="shared" si="237"/>
        <v>-16800</v>
      </c>
      <c r="CC52" s="7">
        <f t="shared" si="158"/>
        <v>-4.9061166095064812E-4</v>
      </c>
      <c r="CD52" s="375">
        <f t="shared" si="238"/>
        <v>-47738</v>
      </c>
      <c r="CE52" s="7">
        <f t="shared" si="75"/>
        <v>-5.3966567161102866E-4</v>
      </c>
      <c r="CF52" s="375">
        <v>-8540</v>
      </c>
      <c r="CG52" s="7">
        <f t="shared" si="76"/>
        <v>-1.6907896884716038E-3</v>
      </c>
      <c r="CH52" s="375">
        <v>-15430</v>
      </c>
      <c r="CI52" s="7">
        <f t="shared" si="76"/>
        <v>-4.161249367684944E-4</v>
      </c>
      <c r="CJ52" s="375">
        <f>-5330</f>
        <v>-5330</v>
      </c>
      <c r="CK52" s="7">
        <f t="shared" si="76"/>
        <v>-1.8926019925894698E-4</v>
      </c>
      <c r="CL52" s="375">
        <f t="shared" si="301"/>
        <v>-29300</v>
      </c>
      <c r="CM52" s="7">
        <f t="shared" si="76"/>
        <v>-4.1682439285095044E-4</v>
      </c>
      <c r="CN52" s="375">
        <f t="shared" si="288"/>
        <v>-77038</v>
      </c>
      <c r="CO52" s="7">
        <f t="shared" si="241"/>
        <v>-4.8527304942538749E-4</v>
      </c>
      <c r="CP52" s="472">
        <v>-73370</v>
      </c>
      <c r="CQ52" s="7">
        <f t="shared" si="290"/>
        <v>-3.7452600007042026E-3</v>
      </c>
      <c r="CR52" s="375">
        <f t="shared" si="243"/>
        <v>-150408</v>
      </c>
      <c r="CS52" s="7">
        <f t="shared" si="244"/>
        <v>-8.4336856372225013E-4</v>
      </c>
      <c r="CT52" s="375">
        <v>-18000</v>
      </c>
      <c r="CU52" s="7">
        <f t="shared" si="199"/>
        <v>-1.1490869106120256E-3</v>
      </c>
      <c r="CV52" s="375">
        <v>0</v>
      </c>
      <c r="CW52" s="7">
        <f t="shared" si="80"/>
        <v>0</v>
      </c>
      <c r="CX52" s="375">
        <f t="shared" si="247"/>
        <v>-91370</v>
      </c>
      <c r="CY52" s="7">
        <f t="shared" si="291"/>
        <v>-9.3400842530043415E-4</v>
      </c>
      <c r="CZ52" s="375">
        <f t="shared" si="248"/>
        <v>-168408</v>
      </c>
      <c r="DA52" s="7">
        <f t="shared" si="81"/>
        <v>-6.5636300621103112E-4</v>
      </c>
      <c r="DB52" s="375"/>
      <c r="DC52" s="7">
        <f t="shared" si="250"/>
        <v>0</v>
      </c>
      <c r="DD52" s="375"/>
      <c r="DE52" s="7">
        <f t="shared" si="251"/>
        <v>0</v>
      </c>
      <c r="DF52" s="375"/>
      <c r="DG52" s="7">
        <f t="shared" si="252"/>
        <v>0</v>
      </c>
      <c r="DH52" s="375">
        <f t="shared" si="253"/>
        <v>0</v>
      </c>
      <c r="DI52" s="7">
        <f t="shared" si="292"/>
        <v>0</v>
      </c>
      <c r="DJ52" s="375"/>
      <c r="DK52" s="7">
        <f t="shared" si="254"/>
        <v>0</v>
      </c>
      <c r="DL52" s="375">
        <v>-59535</v>
      </c>
      <c r="DM52" s="7">
        <f t="shared" si="255"/>
        <v>-6.8636289412832814E-3</v>
      </c>
      <c r="DN52" s="375">
        <v>-60000</v>
      </c>
      <c r="DO52" s="7">
        <f t="shared" si="256"/>
        <v>-3.4963689514992172E-3</v>
      </c>
      <c r="DP52" s="375">
        <v>119535</v>
      </c>
      <c r="DQ52" s="7">
        <f t="shared" si="257"/>
        <v>1.4246383776798665E-3</v>
      </c>
      <c r="DR52" s="375">
        <f t="shared" si="327"/>
        <v>0</v>
      </c>
      <c r="DS52" s="7">
        <f t="shared" si="293"/>
        <v>0</v>
      </c>
      <c r="DT52" s="375">
        <f t="shared" si="259"/>
        <v>0</v>
      </c>
      <c r="DU52" s="7">
        <f t="shared" si="83"/>
        <v>0</v>
      </c>
      <c r="DV52" s="375">
        <v>-376197.25</v>
      </c>
      <c r="DW52" s="7">
        <f t="shared" si="260"/>
        <v>-8.2649284524783269E-3</v>
      </c>
      <c r="DX52" s="375">
        <v>-44929</v>
      </c>
      <c r="DY52" s="7">
        <f t="shared" si="261"/>
        <v>-1.737900154576063E-3</v>
      </c>
      <c r="DZ52" s="375">
        <v>-89149.82</v>
      </c>
      <c r="EA52" s="7">
        <f t="shared" si="262"/>
        <v>-7.2868522274468638E-4</v>
      </c>
      <c r="EB52" s="375">
        <f t="shared" si="328"/>
        <v>-510276.07</v>
      </c>
      <c r="EC52" s="7">
        <f t="shared" si="37"/>
        <v>-2.6341838724802942E-3</v>
      </c>
      <c r="ED52" s="375">
        <f t="shared" si="317"/>
        <v>-510276.07</v>
      </c>
      <c r="EE52" s="7">
        <f t="shared" si="85"/>
        <v>-1.3441156820177783E-3</v>
      </c>
      <c r="EF52" s="375">
        <v>-15900</v>
      </c>
      <c r="EG52" s="7">
        <f t="shared" si="264"/>
        <v>-1.0760195407639012E-3</v>
      </c>
      <c r="EH52" s="375">
        <v>-288675.65000000002</v>
      </c>
      <c r="EI52" s="7">
        <f t="shared" si="265"/>
        <v>-2.2643612560410396E-2</v>
      </c>
      <c r="EJ52" s="375">
        <v>-7000</v>
      </c>
      <c r="EK52" s="7">
        <f t="shared" si="266"/>
        <v>-4.4824948028397596E-5</v>
      </c>
      <c r="EL52" s="375">
        <f t="shared" si="329"/>
        <v>-311575.65000000002</v>
      </c>
      <c r="EM52" s="7">
        <f t="shared" si="39"/>
        <v>-1.6962186458959955E-3</v>
      </c>
      <c r="EN52" s="375">
        <f t="shared" si="318"/>
        <v>-821851.72</v>
      </c>
      <c r="EO52" s="7">
        <f t="shared" si="108"/>
        <v>-1.4589289364486027E-3</v>
      </c>
      <c r="EP52" s="373"/>
      <c r="EQ52" s="373"/>
      <c r="ER52" s="373"/>
      <c r="ES52" s="373"/>
      <c r="ET52" s="375">
        <v>-15196</v>
      </c>
      <c r="EU52" s="7">
        <f t="shared" si="269"/>
        <v>-2.0602177600009082E-3</v>
      </c>
      <c r="EV52" s="375">
        <v>-300</v>
      </c>
      <c r="EW52" s="7">
        <f t="shared" si="270"/>
        <v>-4.9225358338990571E-5</v>
      </c>
      <c r="EX52" s="375">
        <v>-942886.98</v>
      </c>
      <c r="EY52" s="7">
        <f t="shared" si="271"/>
        <v>-4.1302684666868223E-3</v>
      </c>
      <c r="EZ52" s="375">
        <f t="shared" si="330"/>
        <v>-958382.98</v>
      </c>
      <c r="FA52" s="7">
        <f t="shared" si="42"/>
        <v>-3.9642337898101575E-3</v>
      </c>
      <c r="FB52" s="375">
        <v>-39720.230000000003</v>
      </c>
      <c r="FC52" s="7">
        <f t="shared" si="273"/>
        <v>-4.3831861797262667E-3</v>
      </c>
      <c r="FD52" s="375">
        <v>-266585.51</v>
      </c>
      <c r="FE52" s="7">
        <f t="shared" si="200"/>
        <v>-2.5327892318034832E-3</v>
      </c>
      <c r="FF52" s="375"/>
      <c r="FG52" s="7">
        <f t="shared" si="44"/>
        <v>0</v>
      </c>
      <c r="FH52" s="375">
        <f t="shared" si="331"/>
        <v>-306305.74</v>
      </c>
      <c r="FI52" s="7">
        <f t="shared" si="46"/>
        <v>-1.1138491445200705E-3</v>
      </c>
      <c r="FJ52" s="375">
        <f t="shared" si="319"/>
        <v>-1264688.72</v>
      </c>
      <c r="FK52" s="7">
        <f t="shared" si="89"/>
        <v>-2.4473664797654603E-3</v>
      </c>
      <c r="FL52" s="375">
        <v>-300</v>
      </c>
      <c r="FM52" s="7">
        <f t="shared" si="276"/>
        <v>-2.7436564468024771E-5</v>
      </c>
      <c r="FN52" s="375"/>
      <c r="FO52" s="7">
        <f t="shared" si="48"/>
        <v>0</v>
      </c>
      <c r="FP52" s="375">
        <v>-26.5</v>
      </c>
      <c r="FQ52" s="7">
        <f t="shared" si="49"/>
        <v>-9.5791480434488351E-8</v>
      </c>
      <c r="FR52" s="375">
        <f t="shared" si="332"/>
        <v>-326.5</v>
      </c>
      <c r="FS52" s="7">
        <f t="shared" si="51"/>
        <v>-1.1167933423731659E-6</v>
      </c>
      <c r="FT52" s="375">
        <f t="shared" si="320"/>
        <v>-1265015.22</v>
      </c>
      <c r="FU52" s="7">
        <f t="shared" si="90"/>
        <v>-1.5634653847316313E-3</v>
      </c>
      <c r="FV52" s="375">
        <v>-175</v>
      </c>
      <c r="FW52" s="7">
        <f t="shared" si="279"/>
        <v>-6.3063199529554299E-6</v>
      </c>
      <c r="FX52" s="375">
        <v>-29865</v>
      </c>
      <c r="FY52" s="7">
        <f t="shared" si="53"/>
        <v>-1.1633603238472914E-3</v>
      </c>
      <c r="FZ52" s="375">
        <v>-9160.57</v>
      </c>
      <c r="GA52" s="7">
        <f t="shared" si="54"/>
        <v>-3.1685481775541376E-5</v>
      </c>
      <c r="GB52" s="375">
        <f t="shared" si="333"/>
        <v>-39200.57</v>
      </c>
      <c r="GC52" s="7">
        <f t="shared" si="56"/>
        <v>-1.1444397936618602E-4</v>
      </c>
      <c r="GD52" s="375">
        <f t="shared" si="321"/>
        <v>-1304215.79</v>
      </c>
      <c r="GE52" s="7">
        <f t="shared" si="91"/>
        <v>-1.1324851921620943E-3</v>
      </c>
      <c r="GF52" s="566">
        <f t="shared" si="282"/>
        <v>0</v>
      </c>
      <c r="GG52" s="525">
        <f t="shared" si="58"/>
        <v>0</v>
      </c>
      <c r="GH52" s="528">
        <f t="shared" si="322"/>
        <v>0</v>
      </c>
      <c r="GI52" s="525">
        <f t="shared" si="60"/>
        <v>0</v>
      </c>
      <c r="GJ52" s="528"/>
      <c r="GK52" s="525">
        <f t="shared" si="61"/>
        <v>0</v>
      </c>
      <c r="GL52" s="528">
        <f t="shared" si="284"/>
        <v>-1304215.79</v>
      </c>
      <c r="GM52" s="565">
        <f t="shared" si="92"/>
        <v>-1.1254536875069411E-3</v>
      </c>
      <c r="GO52" s="586"/>
      <c r="GQ52" s="586"/>
      <c r="GT52" s="551">
        <f t="shared" si="182"/>
        <v>-300271.40498930379</v>
      </c>
      <c r="GU52" s="551">
        <f t="shared" si="94"/>
        <v>-351805.8350106962</v>
      </c>
      <c r="GV52" s="550">
        <f t="shared" si="294"/>
        <v>-652077.24</v>
      </c>
      <c r="GW52" s="527">
        <f>+EZ52*2</f>
        <v>-1916765.96</v>
      </c>
      <c r="GX52" s="525">
        <f t="shared" si="285"/>
        <v>-1.618732943684369E-3</v>
      </c>
      <c r="GY52" s="528">
        <f>+GW52</f>
        <v>-1916765.96</v>
      </c>
      <c r="GZ52" s="525">
        <f t="shared" si="286"/>
        <v>-2.1292664392525791E-3</v>
      </c>
      <c r="HA52" s="528">
        <f>+GY52</f>
        <v>-1916765.96</v>
      </c>
      <c r="HB52" s="526">
        <f t="shared" si="287"/>
        <v>-2.6331522697618957E-3</v>
      </c>
      <c r="HD52" s="527">
        <v>-1916765.96</v>
      </c>
      <c r="HE52" s="525">
        <v>-1.613526475432432E-3</v>
      </c>
      <c r="HF52" s="528">
        <v>-1916765.96</v>
      </c>
      <c r="HG52" s="525">
        <v>-2.1292664392525791E-3</v>
      </c>
      <c r="HH52" s="528">
        <v>-1916765.96</v>
      </c>
      <c r="HI52" s="526">
        <v>-2.6331522697618957E-3</v>
      </c>
    </row>
    <row r="53" spans="1:218" ht="15" customHeight="1" outlineLevel="1">
      <c r="A53" s="386" t="s">
        <v>48</v>
      </c>
      <c r="B53" s="386" t="s">
        <v>51</v>
      </c>
      <c r="C53" s="375">
        <v>0</v>
      </c>
      <c r="D53" s="4"/>
      <c r="E53" s="375">
        <v>0</v>
      </c>
      <c r="F53" s="4"/>
      <c r="G53" s="375"/>
      <c r="H53" s="375"/>
      <c r="I53" s="4"/>
      <c r="J53" s="375"/>
      <c r="K53" s="375"/>
      <c r="L53" s="4"/>
      <c r="M53" s="375"/>
      <c r="N53" s="375">
        <v>0</v>
      </c>
      <c r="O53" s="4"/>
      <c r="P53" s="375">
        <f t="shared" si="13"/>
        <v>0</v>
      </c>
      <c r="Q53" s="375">
        <f t="shared" si="13"/>
        <v>0</v>
      </c>
      <c r="R53" s="7">
        <f t="shared" si="64"/>
        <v>0</v>
      </c>
      <c r="S53" s="375"/>
      <c r="T53" s="375"/>
      <c r="U53" s="4"/>
      <c r="V53" s="375"/>
      <c r="W53" s="375">
        <v>-8962</v>
      </c>
      <c r="X53" s="4"/>
      <c r="Y53" s="375"/>
      <c r="Z53" s="375"/>
      <c r="AA53" s="4"/>
      <c r="AB53" s="375">
        <f t="shared" si="224"/>
        <v>0</v>
      </c>
      <c r="AC53" s="375">
        <f t="shared" si="225"/>
        <v>-8962</v>
      </c>
      <c r="AD53" s="7">
        <f t="shared" si="65"/>
        <v>-2.4164582522205163E-4</v>
      </c>
      <c r="AE53" s="375">
        <f t="shared" si="226"/>
        <v>0</v>
      </c>
      <c r="AF53" s="375">
        <f t="shared" si="227"/>
        <v>-8962</v>
      </c>
      <c r="AG53" s="4"/>
      <c r="AH53" s="375"/>
      <c r="AI53" s="375"/>
      <c r="AJ53" s="4"/>
      <c r="AK53" s="375"/>
      <c r="AL53" s="375"/>
      <c r="AM53" s="4"/>
      <c r="AN53" s="375"/>
      <c r="AO53" s="375"/>
      <c r="AP53" s="4"/>
      <c r="AQ53" s="375">
        <f t="shared" si="310"/>
        <v>0</v>
      </c>
      <c r="AR53" s="375">
        <f t="shared" si="311"/>
        <v>0</v>
      </c>
      <c r="AS53" s="7">
        <f t="shared" si="68"/>
        <v>0</v>
      </c>
      <c r="AT53" s="375">
        <f t="shared" si="230"/>
        <v>-8962</v>
      </c>
      <c r="AU53" s="4"/>
      <c r="AV53" s="375"/>
      <c r="AW53" s="375"/>
      <c r="AX53" s="4"/>
      <c r="AY53" s="375"/>
      <c r="AZ53" s="375"/>
      <c r="BA53" s="4"/>
      <c r="BB53" s="375"/>
      <c r="BC53" s="375"/>
      <c r="BD53" s="448"/>
      <c r="BE53" s="375">
        <f t="shared" si="312"/>
        <v>0</v>
      </c>
      <c r="BF53" s="375">
        <f t="shared" si="313"/>
        <v>0</v>
      </c>
      <c r="BG53" s="7">
        <f t="shared" si="71"/>
        <v>0</v>
      </c>
      <c r="BH53" s="375">
        <f t="shared" si="314"/>
        <v>0</v>
      </c>
      <c r="BI53" s="388">
        <f t="shared" si="315"/>
        <v>-8962</v>
      </c>
      <c r="BJ53" s="7">
        <f t="shared" si="72"/>
        <v>-6.816363839798998E-5</v>
      </c>
      <c r="BK53" s="375">
        <v>0</v>
      </c>
      <c r="BL53" s="282"/>
      <c r="BN53" s="375"/>
      <c r="BO53" s="4"/>
      <c r="BP53" s="375"/>
      <c r="BQ53" s="4"/>
      <c r="BR53" s="375"/>
      <c r="BS53" s="4"/>
      <c r="BT53" s="375">
        <f t="shared" si="316"/>
        <v>0</v>
      </c>
      <c r="BU53" s="7">
        <f t="shared" si="73"/>
        <v>0</v>
      </c>
      <c r="BV53" s="375"/>
      <c r="BW53" s="7"/>
      <c r="BX53" s="375"/>
      <c r="BY53" s="7"/>
      <c r="BZ53" s="375">
        <f t="shared" si="324"/>
        <v>0</v>
      </c>
      <c r="CA53" s="7"/>
      <c r="CB53" s="375">
        <f t="shared" si="237"/>
        <v>0</v>
      </c>
      <c r="CC53" s="7">
        <f t="shared" si="158"/>
        <v>0</v>
      </c>
      <c r="CD53" s="375">
        <f t="shared" si="238"/>
        <v>0</v>
      </c>
      <c r="CE53" s="7">
        <f t="shared" si="75"/>
        <v>0</v>
      </c>
      <c r="CF53" s="375">
        <f t="shared" ref="CF53:CF55" si="334">+BZ53+CB53+CD53</f>
        <v>0</v>
      </c>
      <c r="CG53" s="7">
        <f t="shared" si="76"/>
        <v>0</v>
      </c>
      <c r="CH53" s="375"/>
      <c r="CI53" s="7">
        <f t="shared" si="76"/>
        <v>0</v>
      </c>
      <c r="CJ53" s="375"/>
      <c r="CK53" s="7">
        <f t="shared" si="76"/>
        <v>0</v>
      </c>
      <c r="CL53" s="375">
        <f t="shared" si="301"/>
        <v>0</v>
      </c>
      <c r="CM53" s="7">
        <f t="shared" si="76"/>
        <v>0</v>
      </c>
      <c r="CN53" s="375">
        <f t="shared" si="288"/>
        <v>0</v>
      </c>
      <c r="CO53" s="7">
        <f t="shared" si="241"/>
        <v>0</v>
      </c>
      <c r="CP53" s="375">
        <v>0</v>
      </c>
      <c r="CQ53" s="7">
        <f t="shared" si="290"/>
        <v>0</v>
      </c>
      <c r="CR53" s="375">
        <f t="shared" si="243"/>
        <v>0</v>
      </c>
      <c r="CS53" s="7">
        <f t="shared" si="244"/>
        <v>0</v>
      </c>
      <c r="CT53" s="375">
        <v>0</v>
      </c>
      <c r="CU53" s="7">
        <f t="shared" si="199"/>
        <v>0</v>
      </c>
      <c r="CV53" s="375">
        <v>0</v>
      </c>
      <c r="CW53" s="7">
        <f t="shared" si="80"/>
        <v>0</v>
      </c>
      <c r="CX53" s="375">
        <f t="shared" si="247"/>
        <v>0</v>
      </c>
      <c r="CY53" s="7">
        <f t="shared" si="291"/>
        <v>0</v>
      </c>
      <c r="CZ53" s="375">
        <f t="shared" si="248"/>
        <v>0</v>
      </c>
      <c r="DA53" s="7">
        <f t="shared" si="81"/>
        <v>0</v>
      </c>
      <c r="DB53" s="375">
        <f t="shared" ref="DB53:DB54" si="335">+CV53+CX53+CZ53</f>
        <v>0</v>
      </c>
      <c r="DC53" s="7">
        <f t="shared" si="250"/>
        <v>0</v>
      </c>
      <c r="DD53" s="375"/>
      <c r="DE53" s="7">
        <f t="shared" si="251"/>
        <v>0</v>
      </c>
      <c r="DF53" s="375"/>
      <c r="DG53" s="7">
        <f t="shared" si="252"/>
        <v>0</v>
      </c>
      <c r="DH53" s="375">
        <f t="shared" si="253"/>
        <v>0</v>
      </c>
      <c r="DI53" s="7">
        <f t="shared" si="292"/>
        <v>0</v>
      </c>
      <c r="DJ53" s="375"/>
      <c r="DK53" s="7">
        <f t="shared" si="254"/>
        <v>0</v>
      </c>
      <c r="DL53" s="375"/>
      <c r="DM53" s="7">
        <f t="shared" si="255"/>
        <v>0</v>
      </c>
      <c r="DN53" s="375"/>
      <c r="DO53" s="7">
        <f t="shared" si="256"/>
        <v>0</v>
      </c>
      <c r="DP53" s="375"/>
      <c r="DQ53" s="7">
        <f t="shared" si="257"/>
        <v>0</v>
      </c>
      <c r="DR53" s="375">
        <f t="shared" si="327"/>
        <v>0</v>
      </c>
      <c r="DS53" s="7">
        <f t="shared" si="293"/>
        <v>0</v>
      </c>
      <c r="DT53" s="375">
        <f t="shared" si="259"/>
        <v>0</v>
      </c>
      <c r="DU53" s="7">
        <f t="shared" si="83"/>
        <v>0</v>
      </c>
      <c r="DV53" s="375"/>
      <c r="DW53" s="7">
        <f t="shared" si="260"/>
        <v>0</v>
      </c>
      <c r="DX53" s="375"/>
      <c r="DY53" s="7">
        <f t="shared" si="261"/>
        <v>0</v>
      </c>
      <c r="DZ53" s="375"/>
      <c r="EA53" s="7">
        <f t="shared" si="262"/>
        <v>0</v>
      </c>
      <c r="EB53" s="375">
        <f t="shared" si="328"/>
        <v>0</v>
      </c>
      <c r="EC53" s="7">
        <f t="shared" si="37"/>
        <v>0</v>
      </c>
      <c r="ED53" s="375">
        <f t="shared" si="317"/>
        <v>0</v>
      </c>
      <c r="EE53" s="7">
        <f t="shared" si="85"/>
        <v>0</v>
      </c>
      <c r="EF53" s="375"/>
      <c r="EG53" s="7">
        <f t="shared" si="264"/>
        <v>0</v>
      </c>
      <c r="EH53" s="375"/>
      <c r="EI53" s="7">
        <f t="shared" si="265"/>
        <v>0</v>
      </c>
      <c r="EJ53" s="375"/>
      <c r="EK53" s="7">
        <f t="shared" si="266"/>
        <v>0</v>
      </c>
      <c r="EL53" s="375">
        <f t="shared" si="329"/>
        <v>0</v>
      </c>
      <c r="EM53" s="7">
        <f t="shared" si="39"/>
        <v>0</v>
      </c>
      <c r="EN53" s="375">
        <f t="shared" si="318"/>
        <v>0</v>
      </c>
      <c r="EO53" s="7">
        <f t="shared" si="108"/>
        <v>0</v>
      </c>
      <c r="EP53" s="373"/>
      <c r="EQ53" s="373"/>
      <c r="ER53" s="373"/>
      <c r="ES53" s="373"/>
      <c r="ET53" s="375"/>
      <c r="EU53" s="7">
        <f t="shared" si="269"/>
        <v>0</v>
      </c>
      <c r="EV53" s="375"/>
      <c r="EW53" s="7">
        <f t="shared" si="270"/>
        <v>0</v>
      </c>
      <c r="EX53" s="375"/>
      <c r="EY53" s="7">
        <f t="shared" si="271"/>
        <v>0</v>
      </c>
      <c r="EZ53" s="375">
        <f t="shared" si="330"/>
        <v>0</v>
      </c>
      <c r="FA53" s="7">
        <f t="shared" si="42"/>
        <v>0</v>
      </c>
      <c r="FB53" s="375"/>
      <c r="FC53" s="7">
        <f t="shared" si="273"/>
        <v>0</v>
      </c>
      <c r="FD53" s="375"/>
      <c r="FE53" s="7">
        <f t="shared" si="200"/>
        <v>0</v>
      </c>
      <c r="FF53" s="375"/>
      <c r="FG53" s="7">
        <f t="shared" si="44"/>
        <v>0</v>
      </c>
      <c r="FH53" s="375">
        <f t="shared" si="331"/>
        <v>0</v>
      </c>
      <c r="FI53" s="7">
        <f t="shared" si="46"/>
        <v>0</v>
      </c>
      <c r="FJ53" s="375">
        <f t="shared" si="319"/>
        <v>0</v>
      </c>
      <c r="FK53" s="7">
        <f t="shared" si="89"/>
        <v>0</v>
      </c>
      <c r="FL53" s="375"/>
      <c r="FM53" s="7">
        <f t="shared" si="276"/>
        <v>0</v>
      </c>
      <c r="FN53" s="375"/>
      <c r="FO53" s="7">
        <f t="shared" si="48"/>
        <v>0</v>
      </c>
      <c r="FP53" s="375"/>
      <c r="FQ53" s="7">
        <f t="shared" si="49"/>
        <v>0</v>
      </c>
      <c r="FR53" s="375">
        <f t="shared" si="332"/>
        <v>0</v>
      </c>
      <c r="FS53" s="7">
        <f t="shared" si="51"/>
        <v>0</v>
      </c>
      <c r="FT53" s="375">
        <f t="shared" si="320"/>
        <v>0</v>
      </c>
      <c r="FU53" s="7">
        <f t="shared" si="90"/>
        <v>0</v>
      </c>
      <c r="FV53" s="375"/>
      <c r="FW53" s="7">
        <f t="shared" si="279"/>
        <v>0</v>
      </c>
      <c r="FX53" s="375"/>
      <c r="FY53" s="7">
        <f t="shared" si="53"/>
        <v>0</v>
      </c>
      <c r="FZ53" s="375">
        <v>0</v>
      </c>
      <c r="GA53" s="7">
        <f t="shared" si="54"/>
        <v>0</v>
      </c>
      <c r="GB53" s="375">
        <f t="shared" si="333"/>
        <v>0</v>
      </c>
      <c r="GC53" s="7">
        <f t="shared" si="56"/>
        <v>0</v>
      </c>
      <c r="GD53" s="375">
        <f t="shared" si="321"/>
        <v>0</v>
      </c>
      <c r="GE53" s="7">
        <f t="shared" si="91"/>
        <v>0</v>
      </c>
      <c r="GF53" s="566">
        <f t="shared" si="282"/>
        <v>0</v>
      </c>
      <c r="GG53" s="525">
        <f t="shared" si="58"/>
        <v>0</v>
      </c>
      <c r="GH53" s="528">
        <f t="shared" si="322"/>
        <v>0</v>
      </c>
      <c r="GI53" s="525">
        <f t="shared" si="60"/>
        <v>0</v>
      </c>
      <c r="GJ53" s="528"/>
      <c r="GK53" s="525">
        <f t="shared" si="61"/>
        <v>0</v>
      </c>
      <c r="GL53" s="528">
        <f t="shared" si="284"/>
        <v>0</v>
      </c>
      <c r="GM53" s="565">
        <f t="shared" si="92"/>
        <v>0</v>
      </c>
      <c r="GO53" s="586"/>
      <c r="GQ53" s="586"/>
      <c r="GT53" s="551">
        <f t="shared" si="182"/>
        <v>0</v>
      </c>
      <c r="GU53" s="551">
        <f t="shared" si="94"/>
        <v>0</v>
      </c>
      <c r="GV53" s="550">
        <f t="shared" si="294"/>
        <v>0</v>
      </c>
      <c r="GW53" s="527"/>
      <c r="GX53" s="525">
        <f t="shared" si="285"/>
        <v>0</v>
      </c>
      <c r="GY53" s="528"/>
      <c r="GZ53" s="525">
        <f t="shared" si="286"/>
        <v>0</v>
      </c>
      <c r="HA53" s="528"/>
      <c r="HB53" s="526">
        <f t="shared" si="287"/>
        <v>0</v>
      </c>
      <c r="HD53" s="527"/>
      <c r="HE53" s="525">
        <v>0</v>
      </c>
      <c r="HF53" s="528"/>
      <c r="HG53" s="525">
        <v>0</v>
      </c>
      <c r="HH53" s="528"/>
      <c r="HI53" s="526">
        <v>0</v>
      </c>
    </row>
    <row r="54" spans="1:218" ht="15" customHeight="1" outlineLevel="1">
      <c r="A54" s="386" t="s">
        <v>48</v>
      </c>
      <c r="B54" s="386" t="s">
        <v>52</v>
      </c>
      <c r="C54" s="375">
        <v>0</v>
      </c>
      <c r="D54" s="4"/>
      <c r="E54" s="375">
        <v>0</v>
      </c>
      <c r="F54" s="4"/>
      <c r="G54" s="375"/>
      <c r="H54" s="375"/>
      <c r="I54" s="4"/>
      <c r="J54" s="375"/>
      <c r="K54" s="375"/>
      <c r="L54" s="4"/>
      <c r="M54" s="375"/>
      <c r="N54" s="375">
        <v>0</v>
      </c>
      <c r="O54" s="4"/>
      <c r="P54" s="375">
        <f t="shared" si="13"/>
        <v>0</v>
      </c>
      <c r="Q54" s="375">
        <f t="shared" si="13"/>
        <v>0</v>
      </c>
      <c r="R54" s="7">
        <f t="shared" si="64"/>
        <v>0</v>
      </c>
      <c r="S54" s="375"/>
      <c r="T54" s="375"/>
      <c r="U54" s="4"/>
      <c r="V54" s="375"/>
      <c r="W54" s="375"/>
      <c r="X54" s="4"/>
      <c r="Y54" s="375"/>
      <c r="Z54" s="375"/>
      <c r="AA54" s="4"/>
      <c r="AB54" s="375">
        <f t="shared" si="224"/>
        <v>0</v>
      </c>
      <c r="AC54" s="375">
        <f t="shared" si="225"/>
        <v>0</v>
      </c>
      <c r="AD54" s="7">
        <f t="shared" si="65"/>
        <v>0</v>
      </c>
      <c r="AE54" s="375">
        <f t="shared" si="226"/>
        <v>0</v>
      </c>
      <c r="AF54" s="375">
        <f t="shared" si="227"/>
        <v>0</v>
      </c>
      <c r="AG54" s="4"/>
      <c r="AH54" s="375"/>
      <c r="AI54" s="375"/>
      <c r="AJ54" s="4"/>
      <c r="AK54" s="375"/>
      <c r="AL54" s="375"/>
      <c r="AM54" s="4"/>
      <c r="AN54" s="375"/>
      <c r="AO54" s="375"/>
      <c r="AP54" s="4"/>
      <c r="AQ54" s="375">
        <f t="shared" si="310"/>
        <v>0</v>
      </c>
      <c r="AR54" s="375">
        <f t="shared" si="311"/>
        <v>0</v>
      </c>
      <c r="AS54" s="7">
        <f t="shared" si="68"/>
        <v>0</v>
      </c>
      <c r="AT54" s="375">
        <f t="shared" si="230"/>
        <v>0</v>
      </c>
      <c r="AU54" s="4"/>
      <c r="AV54" s="375"/>
      <c r="AW54" s="375"/>
      <c r="AX54" s="4"/>
      <c r="AY54" s="375"/>
      <c r="AZ54" s="375"/>
      <c r="BA54" s="4"/>
      <c r="BB54" s="375"/>
      <c r="BC54" s="375"/>
      <c r="BD54" s="448"/>
      <c r="BE54" s="375">
        <f t="shared" si="312"/>
        <v>0</v>
      </c>
      <c r="BF54" s="375">
        <f t="shared" si="313"/>
        <v>0</v>
      </c>
      <c r="BG54" s="7">
        <f t="shared" si="71"/>
        <v>0</v>
      </c>
      <c r="BH54" s="375">
        <f t="shared" si="314"/>
        <v>0</v>
      </c>
      <c r="BI54" s="388">
        <f t="shared" si="315"/>
        <v>0</v>
      </c>
      <c r="BJ54" s="7">
        <f t="shared" si="72"/>
        <v>0</v>
      </c>
      <c r="BK54" s="375">
        <v>0</v>
      </c>
      <c r="BL54" s="282"/>
      <c r="BN54" s="375"/>
      <c r="BO54" s="4"/>
      <c r="BP54" s="375"/>
      <c r="BQ54" s="4"/>
      <c r="BR54" s="375"/>
      <c r="BS54" s="4"/>
      <c r="BT54" s="375">
        <f t="shared" si="316"/>
        <v>0</v>
      </c>
      <c r="BU54" s="7">
        <f t="shared" si="73"/>
        <v>0</v>
      </c>
      <c r="BV54" s="375"/>
      <c r="BW54" s="7"/>
      <c r="BX54" s="375"/>
      <c r="BY54" s="7"/>
      <c r="BZ54" s="375">
        <f t="shared" si="324"/>
        <v>0</v>
      </c>
      <c r="CA54" s="7"/>
      <c r="CB54" s="375">
        <f t="shared" si="237"/>
        <v>0</v>
      </c>
      <c r="CC54" s="7">
        <f t="shared" si="158"/>
        <v>0</v>
      </c>
      <c r="CD54" s="375">
        <f t="shared" si="238"/>
        <v>0</v>
      </c>
      <c r="CE54" s="7">
        <f t="shared" si="75"/>
        <v>0</v>
      </c>
      <c r="CF54" s="375">
        <f t="shared" si="334"/>
        <v>0</v>
      </c>
      <c r="CG54" s="7">
        <f t="shared" si="76"/>
        <v>0</v>
      </c>
      <c r="CH54" s="375"/>
      <c r="CI54" s="7">
        <f t="shared" si="76"/>
        <v>0</v>
      </c>
      <c r="CJ54" s="375"/>
      <c r="CK54" s="7">
        <f t="shared" si="76"/>
        <v>0</v>
      </c>
      <c r="CL54" s="375">
        <f t="shared" si="301"/>
        <v>0</v>
      </c>
      <c r="CM54" s="7">
        <f t="shared" si="76"/>
        <v>0</v>
      </c>
      <c r="CN54" s="375">
        <f t="shared" si="288"/>
        <v>0</v>
      </c>
      <c r="CO54" s="7">
        <f t="shared" si="241"/>
        <v>0</v>
      </c>
      <c r="CP54" s="375">
        <v>0</v>
      </c>
      <c r="CQ54" s="7">
        <f t="shared" si="290"/>
        <v>0</v>
      </c>
      <c r="CR54" s="375">
        <f t="shared" si="243"/>
        <v>0</v>
      </c>
      <c r="CS54" s="7">
        <f t="shared" si="244"/>
        <v>0</v>
      </c>
      <c r="CT54" s="375">
        <v>0</v>
      </c>
      <c r="CU54" s="7">
        <f t="shared" si="199"/>
        <v>0</v>
      </c>
      <c r="CV54" s="375">
        <v>0</v>
      </c>
      <c r="CW54" s="7">
        <f t="shared" si="80"/>
        <v>0</v>
      </c>
      <c r="CX54" s="375">
        <f t="shared" si="247"/>
        <v>0</v>
      </c>
      <c r="CY54" s="7">
        <f t="shared" si="291"/>
        <v>0</v>
      </c>
      <c r="CZ54" s="375">
        <f t="shared" si="248"/>
        <v>0</v>
      </c>
      <c r="DA54" s="7">
        <f t="shared" si="81"/>
        <v>0</v>
      </c>
      <c r="DB54" s="375">
        <f t="shared" si="335"/>
        <v>0</v>
      </c>
      <c r="DC54" s="7">
        <f t="shared" si="250"/>
        <v>0</v>
      </c>
      <c r="DD54" s="375"/>
      <c r="DE54" s="7">
        <f t="shared" si="251"/>
        <v>0</v>
      </c>
      <c r="DF54" s="375"/>
      <c r="DG54" s="7">
        <f t="shared" si="252"/>
        <v>0</v>
      </c>
      <c r="DH54" s="375">
        <f t="shared" si="253"/>
        <v>0</v>
      </c>
      <c r="DI54" s="7">
        <f t="shared" si="292"/>
        <v>0</v>
      </c>
      <c r="DJ54" s="375"/>
      <c r="DK54" s="7">
        <f t="shared" si="254"/>
        <v>0</v>
      </c>
      <c r="DL54" s="375"/>
      <c r="DM54" s="7">
        <f t="shared" si="255"/>
        <v>0</v>
      </c>
      <c r="DN54" s="375"/>
      <c r="DO54" s="7">
        <f t="shared" si="256"/>
        <v>0</v>
      </c>
      <c r="DP54" s="375"/>
      <c r="DQ54" s="7">
        <f t="shared" si="257"/>
        <v>0</v>
      </c>
      <c r="DR54" s="375">
        <f t="shared" si="327"/>
        <v>0</v>
      </c>
      <c r="DS54" s="7">
        <f t="shared" si="293"/>
        <v>0</v>
      </c>
      <c r="DT54" s="375">
        <f t="shared" si="259"/>
        <v>0</v>
      </c>
      <c r="DU54" s="7">
        <f t="shared" si="83"/>
        <v>0</v>
      </c>
      <c r="DV54" s="375"/>
      <c r="DW54" s="7">
        <f t="shared" si="260"/>
        <v>0</v>
      </c>
      <c r="DX54" s="375"/>
      <c r="DY54" s="7">
        <f t="shared" si="261"/>
        <v>0</v>
      </c>
      <c r="DZ54" s="375"/>
      <c r="EA54" s="7">
        <f t="shared" si="262"/>
        <v>0</v>
      </c>
      <c r="EB54" s="375">
        <f t="shared" si="328"/>
        <v>0</v>
      </c>
      <c r="EC54" s="7">
        <f t="shared" si="37"/>
        <v>0</v>
      </c>
      <c r="ED54" s="375">
        <f t="shared" si="317"/>
        <v>0</v>
      </c>
      <c r="EE54" s="7">
        <f t="shared" si="85"/>
        <v>0</v>
      </c>
      <c r="EF54" s="375"/>
      <c r="EG54" s="7">
        <f t="shared" si="264"/>
        <v>0</v>
      </c>
      <c r="EH54" s="375"/>
      <c r="EI54" s="7">
        <f t="shared" si="265"/>
        <v>0</v>
      </c>
      <c r="EJ54" s="375"/>
      <c r="EK54" s="7">
        <f t="shared" si="266"/>
        <v>0</v>
      </c>
      <c r="EL54" s="375">
        <f t="shared" si="329"/>
        <v>0</v>
      </c>
      <c r="EM54" s="7">
        <f t="shared" si="39"/>
        <v>0</v>
      </c>
      <c r="EN54" s="375">
        <f t="shared" si="318"/>
        <v>0</v>
      </c>
      <c r="EO54" s="7">
        <f t="shared" si="108"/>
        <v>0</v>
      </c>
      <c r="EP54" s="373"/>
      <c r="EQ54" s="373"/>
      <c r="ER54" s="373"/>
      <c r="ES54" s="373"/>
      <c r="ET54" s="375"/>
      <c r="EU54" s="7">
        <f t="shared" si="269"/>
        <v>0</v>
      </c>
      <c r="EV54" s="375"/>
      <c r="EW54" s="7">
        <f t="shared" si="270"/>
        <v>0</v>
      </c>
      <c r="EX54" s="375"/>
      <c r="EY54" s="7">
        <f t="shared" si="271"/>
        <v>0</v>
      </c>
      <c r="EZ54" s="375">
        <f t="shared" si="330"/>
        <v>0</v>
      </c>
      <c r="FA54" s="7">
        <f t="shared" si="42"/>
        <v>0</v>
      </c>
      <c r="FB54" s="375"/>
      <c r="FC54" s="7">
        <f t="shared" si="273"/>
        <v>0</v>
      </c>
      <c r="FD54" s="375"/>
      <c r="FE54" s="7">
        <f t="shared" si="200"/>
        <v>0</v>
      </c>
      <c r="FF54" s="375"/>
      <c r="FG54" s="7">
        <f t="shared" si="44"/>
        <v>0</v>
      </c>
      <c r="FH54" s="375">
        <f t="shared" si="331"/>
        <v>0</v>
      </c>
      <c r="FI54" s="7">
        <f t="shared" si="46"/>
        <v>0</v>
      </c>
      <c r="FJ54" s="375">
        <f t="shared" si="319"/>
        <v>0</v>
      </c>
      <c r="FK54" s="7">
        <f t="shared" si="89"/>
        <v>0</v>
      </c>
      <c r="FL54" s="375"/>
      <c r="FM54" s="7">
        <f t="shared" si="276"/>
        <v>0</v>
      </c>
      <c r="FN54" s="375"/>
      <c r="FO54" s="7">
        <f t="shared" si="48"/>
        <v>0</v>
      </c>
      <c r="FP54" s="375"/>
      <c r="FQ54" s="7">
        <f t="shared" si="49"/>
        <v>0</v>
      </c>
      <c r="FR54" s="375">
        <f t="shared" si="332"/>
        <v>0</v>
      </c>
      <c r="FS54" s="7">
        <f t="shared" si="51"/>
        <v>0</v>
      </c>
      <c r="FT54" s="375">
        <f t="shared" si="320"/>
        <v>0</v>
      </c>
      <c r="FU54" s="7">
        <f t="shared" si="90"/>
        <v>0</v>
      </c>
      <c r="FV54" s="375"/>
      <c r="FW54" s="7">
        <f t="shared" si="279"/>
        <v>0</v>
      </c>
      <c r="FX54" s="375"/>
      <c r="FY54" s="7">
        <f t="shared" si="53"/>
        <v>0</v>
      </c>
      <c r="FZ54" s="375">
        <v>0</v>
      </c>
      <c r="GA54" s="7">
        <f t="shared" si="54"/>
        <v>0</v>
      </c>
      <c r="GB54" s="375">
        <f t="shared" si="333"/>
        <v>0</v>
      </c>
      <c r="GC54" s="7">
        <f t="shared" si="56"/>
        <v>0</v>
      </c>
      <c r="GD54" s="375">
        <f t="shared" si="321"/>
        <v>0</v>
      </c>
      <c r="GE54" s="7">
        <f t="shared" si="91"/>
        <v>0</v>
      </c>
      <c r="GF54" s="566">
        <f t="shared" si="282"/>
        <v>0</v>
      </c>
      <c r="GG54" s="525">
        <f t="shared" si="58"/>
        <v>0</v>
      </c>
      <c r="GH54" s="528">
        <f t="shared" si="322"/>
        <v>0</v>
      </c>
      <c r="GI54" s="525">
        <f t="shared" si="60"/>
        <v>0</v>
      </c>
      <c r="GJ54" s="528"/>
      <c r="GK54" s="525">
        <f t="shared" si="61"/>
        <v>0</v>
      </c>
      <c r="GL54" s="528">
        <f t="shared" si="284"/>
        <v>0</v>
      </c>
      <c r="GM54" s="565">
        <f t="shared" si="92"/>
        <v>0</v>
      </c>
      <c r="GO54" s="586"/>
      <c r="GQ54" s="586"/>
      <c r="GT54" s="551">
        <f t="shared" si="182"/>
        <v>0</v>
      </c>
      <c r="GU54" s="551">
        <f t="shared" si="94"/>
        <v>0</v>
      </c>
      <c r="GV54" s="550">
        <f t="shared" si="294"/>
        <v>0</v>
      </c>
      <c r="GW54" s="527"/>
      <c r="GX54" s="525">
        <f t="shared" si="285"/>
        <v>0</v>
      </c>
      <c r="GY54" s="528"/>
      <c r="GZ54" s="525">
        <f t="shared" si="286"/>
        <v>0</v>
      </c>
      <c r="HA54" s="528"/>
      <c r="HB54" s="526">
        <f t="shared" si="287"/>
        <v>0</v>
      </c>
      <c r="HD54" s="527"/>
      <c r="HE54" s="525">
        <v>0</v>
      </c>
      <c r="HF54" s="528"/>
      <c r="HG54" s="525">
        <v>0</v>
      </c>
      <c r="HH54" s="528"/>
      <c r="HI54" s="526">
        <v>0</v>
      </c>
    </row>
    <row r="55" spans="1:218" ht="15" customHeight="1" outlineLevel="1">
      <c r="A55" s="386" t="s">
        <v>48</v>
      </c>
      <c r="B55" s="386" t="s">
        <v>53</v>
      </c>
      <c r="C55" s="375">
        <v>0</v>
      </c>
      <c r="D55" s="4"/>
      <c r="E55" s="375">
        <v>0</v>
      </c>
      <c r="F55" s="4"/>
      <c r="G55" s="375"/>
      <c r="H55" s="375"/>
      <c r="I55" s="4"/>
      <c r="J55" s="375"/>
      <c r="K55" s="375">
        <v>-6519</v>
      </c>
      <c r="L55" s="4"/>
      <c r="M55" s="375"/>
      <c r="N55" s="375">
        <v>0</v>
      </c>
      <c r="O55" s="4"/>
      <c r="P55" s="375">
        <f t="shared" si="13"/>
        <v>0</v>
      </c>
      <c r="Q55" s="375">
        <f t="shared" si="13"/>
        <v>-6519</v>
      </c>
      <c r="R55" s="7">
        <f t="shared" si="64"/>
        <v>-1.7925060804705771E-4</v>
      </c>
      <c r="S55" s="375"/>
      <c r="T55" s="375"/>
      <c r="U55" s="4"/>
      <c r="V55" s="375"/>
      <c r="W55" s="375"/>
      <c r="X55" s="4"/>
      <c r="Y55" s="375"/>
      <c r="Z55" s="375"/>
      <c r="AA55" s="4"/>
      <c r="AB55" s="375">
        <f t="shared" si="224"/>
        <v>0</v>
      </c>
      <c r="AC55" s="375">
        <f t="shared" si="225"/>
        <v>0</v>
      </c>
      <c r="AD55" s="7">
        <f t="shared" si="65"/>
        <v>0</v>
      </c>
      <c r="AE55" s="375">
        <f t="shared" si="226"/>
        <v>-6519</v>
      </c>
      <c r="AF55" s="375">
        <f t="shared" si="227"/>
        <v>-6519</v>
      </c>
      <c r="AG55" s="4"/>
      <c r="AH55" s="375"/>
      <c r="AI55" s="375"/>
      <c r="AJ55" s="4"/>
      <c r="AK55" s="375"/>
      <c r="AL55" s="375"/>
      <c r="AM55" s="4"/>
      <c r="AN55" s="375"/>
      <c r="AO55" s="375"/>
      <c r="AP55" s="4"/>
      <c r="AQ55" s="375">
        <f t="shared" si="310"/>
        <v>0</v>
      </c>
      <c r="AR55" s="375">
        <f t="shared" si="311"/>
        <v>0</v>
      </c>
      <c r="AS55" s="7">
        <f t="shared" si="68"/>
        <v>0</v>
      </c>
      <c r="AT55" s="375">
        <f t="shared" si="230"/>
        <v>-6519</v>
      </c>
      <c r="AU55" s="4"/>
      <c r="AV55" s="375"/>
      <c r="AW55" s="375"/>
      <c r="AX55" s="4"/>
      <c r="AY55" s="375"/>
      <c r="AZ55" s="375"/>
      <c r="BA55" s="4"/>
      <c r="BB55" s="375"/>
      <c r="BC55" s="375"/>
      <c r="BD55" s="448"/>
      <c r="BE55" s="375">
        <f t="shared" si="312"/>
        <v>0</v>
      </c>
      <c r="BF55" s="375">
        <f t="shared" si="313"/>
        <v>0</v>
      </c>
      <c r="BG55" s="7">
        <f t="shared" si="71"/>
        <v>0</v>
      </c>
      <c r="BH55" s="375">
        <f t="shared" si="314"/>
        <v>-6519</v>
      </c>
      <c r="BI55" s="388">
        <f t="shared" si="315"/>
        <v>-6519</v>
      </c>
      <c r="BJ55" s="7">
        <f t="shared" si="72"/>
        <v>-4.9582543931767094E-5</v>
      </c>
      <c r="BK55" s="375">
        <v>0</v>
      </c>
      <c r="BL55" s="282"/>
      <c r="BN55" s="375"/>
      <c r="BO55" s="4"/>
      <c r="BP55" s="375"/>
      <c r="BQ55" s="4"/>
      <c r="BR55" s="375"/>
      <c r="BS55" s="4"/>
      <c r="BT55" s="375">
        <f t="shared" si="316"/>
        <v>0</v>
      </c>
      <c r="BU55" s="7">
        <f t="shared" si="73"/>
        <v>0</v>
      </c>
      <c r="BV55" s="375"/>
      <c r="BW55" s="7"/>
      <c r="BX55" s="375"/>
      <c r="BY55" s="7"/>
      <c r="BZ55" s="375">
        <f t="shared" si="324"/>
        <v>0</v>
      </c>
      <c r="CA55" s="7"/>
      <c r="CB55" s="375">
        <f t="shared" si="237"/>
        <v>0</v>
      </c>
      <c r="CC55" s="7">
        <f t="shared" si="158"/>
        <v>0</v>
      </c>
      <c r="CD55" s="375">
        <f t="shared" si="238"/>
        <v>0</v>
      </c>
      <c r="CE55" s="7">
        <f t="shared" si="75"/>
        <v>0</v>
      </c>
      <c r="CF55" s="375">
        <f t="shared" si="334"/>
        <v>0</v>
      </c>
      <c r="CG55" s="7">
        <f t="shared" si="76"/>
        <v>0</v>
      </c>
      <c r="CH55" s="375"/>
      <c r="CI55" s="7">
        <f t="shared" si="76"/>
        <v>0</v>
      </c>
      <c r="CJ55" s="375"/>
      <c r="CK55" s="7">
        <f t="shared" si="76"/>
        <v>0</v>
      </c>
      <c r="CL55" s="375">
        <f t="shared" si="301"/>
        <v>0</v>
      </c>
      <c r="CM55" s="7">
        <f t="shared" si="76"/>
        <v>0</v>
      </c>
      <c r="CN55" s="375">
        <f t="shared" si="288"/>
        <v>0</v>
      </c>
      <c r="CO55" s="7">
        <f t="shared" si="241"/>
        <v>0</v>
      </c>
      <c r="CP55" s="375">
        <v>0</v>
      </c>
      <c r="CQ55" s="7">
        <f t="shared" si="290"/>
        <v>0</v>
      </c>
      <c r="CR55" s="375">
        <f t="shared" si="243"/>
        <v>0</v>
      </c>
      <c r="CS55" s="7">
        <f t="shared" si="244"/>
        <v>0</v>
      </c>
      <c r="CT55" s="375">
        <v>-7290.12</v>
      </c>
      <c r="CU55" s="7">
        <f t="shared" si="199"/>
        <v>-4.6538785937727447E-4</v>
      </c>
      <c r="CV55" s="375">
        <v>0</v>
      </c>
      <c r="CW55" s="7">
        <f t="shared" si="80"/>
        <v>0</v>
      </c>
      <c r="CX55" s="375">
        <f t="shared" si="247"/>
        <v>-7290.12</v>
      </c>
      <c r="CY55" s="7">
        <f t="shared" si="291"/>
        <v>-7.4521544286431003E-5</v>
      </c>
      <c r="CZ55" s="375">
        <f t="shared" si="248"/>
        <v>-7290.12</v>
      </c>
      <c r="DA55" s="7">
        <f t="shared" si="81"/>
        <v>-2.8412932157849761E-5</v>
      </c>
      <c r="DB55" s="375">
        <v>-7290.12</v>
      </c>
      <c r="DC55" s="7">
        <f t="shared" si="250"/>
        <v>-3.797667666881371E-4</v>
      </c>
      <c r="DD55" s="375"/>
      <c r="DE55" s="7">
        <f t="shared" si="251"/>
        <v>0</v>
      </c>
      <c r="DF55" s="375"/>
      <c r="DG55" s="7">
        <f t="shared" si="252"/>
        <v>0</v>
      </c>
      <c r="DH55" s="375">
        <f t="shared" si="253"/>
        <v>-7290.12</v>
      </c>
      <c r="DI55" s="7">
        <f t="shared" si="292"/>
        <v>-9.569131476035873E-5</v>
      </c>
      <c r="DJ55" s="375"/>
      <c r="DK55" s="7">
        <f t="shared" si="254"/>
        <v>0</v>
      </c>
      <c r="DL55" s="375"/>
      <c r="DM55" s="7">
        <f t="shared" si="255"/>
        <v>0</v>
      </c>
      <c r="DN55" s="375"/>
      <c r="DO55" s="7">
        <f t="shared" si="256"/>
        <v>0</v>
      </c>
      <c r="DP55" s="375"/>
      <c r="DQ55" s="7">
        <f t="shared" si="257"/>
        <v>0</v>
      </c>
      <c r="DR55" s="375">
        <f t="shared" si="327"/>
        <v>0</v>
      </c>
      <c r="DS55" s="7">
        <f t="shared" si="293"/>
        <v>0</v>
      </c>
      <c r="DT55" s="375">
        <f t="shared" si="259"/>
        <v>-7290.12</v>
      </c>
      <c r="DU55" s="7">
        <f t="shared" si="83"/>
        <v>-3.9210243816889156E-5</v>
      </c>
      <c r="DV55" s="375"/>
      <c r="DW55" s="7">
        <f t="shared" si="260"/>
        <v>0</v>
      </c>
      <c r="DX55" s="375"/>
      <c r="DY55" s="7">
        <f t="shared" si="261"/>
        <v>0</v>
      </c>
      <c r="DZ55" s="375"/>
      <c r="EA55" s="7">
        <f t="shared" si="262"/>
        <v>0</v>
      </c>
      <c r="EB55" s="375">
        <f t="shared" si="328"/>
        <v>0</v>
      </c>
      <c r="EC55" s="7">
        <f t="shared" si="37"/>
        <v>0</v>
      </c>
      <c r="ED55" s="375">
        <f t="shared" si="317"/>
        <v>-7290.12</v>
      </c>
      <c r="EE55" s="7">
        <f t="shared" si="85"/>
        <v>-1.9202869175878552E-5</v>
      </c>
      <c r="EF55" s="375"/>
      <c r="EG55" s="7">
        <f t="shared" si="264"/>
        <v>0</v>
      </c>
      <c r="EH55" s="375"/>
      <c r="EI55" s="7">
        <f t="shared" si="265"/>
        <v>0</v>
      </c>
      <c r="EJ55" s="375"/>
      <c r="EK55" s="7">
        <f t="shared" si="266"/>
        <v>0</v>
      </c>
      <c r="EL55" s="375">
        <f t="shared" si="329"/>
        <v>0</v>
      </c>
      <c r="EM55" s="7">
        <f t="shared" si="39"/>
        <v>0</v>
      </c>
      <c r="EN55" s="375">
        <f t="shared" si="318"/>
        <v>-7290.12</v>
      </c>
      <c r="EO55" s="7">
        <f t="shared" si="108"/>
        <v>-1.29412237747494E-5</v>
      </c>
      <c r="EP55" s="373"/>
      <c r="EQ55" s="373"/>
      <c r="ER55" s="373"/>
      <c r="ES55" s="373"/>
      <c r="ET55" s="375"/>
      <c r="EU55" s="7">
        <f t="shared" si="269"/>
        <v>0</v>
      </c>
      <c r="EV55" s="375"/>
      <c r="EW55" s="7">
        <f t="shared" si="270"/>
        <v>0</v>
      </c>
      <c r="EX55" s="375"/>
      <c r="EY55" s="7">
        <f t="shared" si="271"/>
        <v>0</v>
      </c>
      <c r="EZ55" s="375">
        <f t="shared" si="330"/>
        <v>0</v>
      </c>
      <c r="FA55" s="7">
        <f t="shared" si="42"/>
        <v>0</v>
      </c>
      <c r="FB55" s="375"/>
      <c r="FC55" s="7">
        <f t="shared" si="273"/>
        <v>0</v>
      </c>
      <c r="FD55" s="375"/>
      <c r="FE55" s="7">
        <f t="shared" si="200"/>
        <v>0</v>
      </c>
      <c r="FF55" s="375"/>
      <c r="FG55" s="7">
        <f t="shared" si="44"/>
        <v>0</v>
      </c>
      <c r="FH55" s="375">
        <f t="shared" si="331"/>
        <v>0</v>
      </c>
      <c r="FI55" s="7">
        <f t="shared" si="46"/>
        <v>0</v>
      </c>
      <c r="FJ55" s="375">
        <f t="shared" si="319"/>
        <v>0</v>
      </c>
      <c r="FK55" s="7">
        <f t="shared" si="89"/>
        <v>0</v>
      </c>
      <c r="FL55" s="375"/>
      <c r="FM55" s="7">
        <f t="shared" si="276"/>
        <v>0</v>
      </c>
      <c r="FN55" s="375"/>
      <c r="FO55" s="7">
        <f t="shared" si="48"/>
        <v>0</v>
      </c>
      <c r="FP55" s="375"/>
      <c r="FQ55" s="7">
        <f t="shared" si="49"/>
        <v>0</v>
      </c>
      <c r="FR55" s="375">
        <f t="shared" si="332"/>
        <v>0</v>
      </c>
      <c r="FS55" s="7">
        <f t="shared" si="51"/>
        <v>0</v>
      </c>
      <c r="FT55" s="375">
        <f t="shared" si="320"/>
        <v>0</v>
      </c>
      <c r="FU55" s="7">
        <f t="shared" si="90"/>
        <v>0</v>
      </c>
      <c r="FV55" s="375"/>
      <c r="FW55" s="7">
        <f t="shared" si="279"/>
        <v>0</v>
      </c>
      <c r="FX55" s="375"/>
      <c r="FY55" s="7">
        <f t="shared" si="53"/>
        <v>0</v>
      </c>
      <c r="FZ55" s="375">
        <v>0</v>
      </c>
      <c r="GA55" s="7">
        <f t="shared" si="54"/>
        <v>0</v>
      </c>
      <c r="GB55" s="375">
        <f t="shared" si="333"/>
        <v>0</v>
      </c>
      <c r="GC55" s="7">
        <f t="shared" si="56"/>
        <v>0</v>
      </c>
      <c r="GD55" s="375">
        <f t="shared" si="321"/>
        <v>0</v>
      </c>
      <c r="GE55" s="7">
        <f t="shared" si="91"/>
        <v>0</v>
      </c>
      <c r="GF55" s="566">
        <f t="shared" si="282"/>
        <v>0</v>
      </c>
      <c r="GG55" s="525">
        <f t="shared" si="58"/>
        <v>0</v>
      </c>
      <c r="GH55" s="528">
        <f t="shared" si="322"/>
        <v>0</v>
      </c>
      <c r="GI55" s="525">
        <f t="shared" si="60"/>
        <v>0</v>
      </c>
      <c r="GJ55" s="528"/>
      <c r="GK55" s="525">
        <f t="shared" si="61"/>
        <v>0</v>
      </c>
      <c r="GL55" s="528">
        <f t="shared" si="284"/>
        <v>0</v>
      </c>
      <c r="GM55" s="565">
        <f t="shared" si="92"/>
        <v>0</v>
      </c>
      <c r="GO55" s="586"/>
      <c r="GQ55" s="586"/>
      <c r="GT55" s="551">
        <f t="shared" si="182"/>
        <v>0</v>
      </c>
      <c r="GU55" s="551">
        <f t="shared" si="94"/>
        <v>0</v>
      </c>
      <c r="GV55" s="550">
        <f t="shared" si="294"/>
        <v>0</v>
      </c>
      <c r="GW55" s="527"/>
      <c r="GX55" s="525">
        <f t="shared" si="285"/>
        <v>0</v>
      </c>
      <c r="GY55" s="528"/>
      <c r="GZ55" s="525">
        <f t="shared" si="286"/>
        <v>0</v>
      </c>
      <c r="HA55" s="528"/>
      <c r="HB55" s="526">
        <f t="shared" si="287"/>
        <v>0</v>
      </c>
      <c r="HD55" s="527"/>
      <c r="HE55" s="525">
        <v>0</v>
      </c>
      <c r="HF55" s="528"/>
      <c r="HG55" s="525">
        <v>0</v>
      </c>
      <c r="HH55" s="528"/>
      <c r="HI55" s="526">
        <v>0</v>
      </c>
    </row>
    <row r="56" spans="1:218" ht="15" customHeight="1" outlineLevel="1">
      <c r="A56" s="386" t="s">
        <v>48</v>
      </c>
      <c r="B56" s="386" t="s">
        <v>36</v>
      </c>
      <c r="C56" s="375">
        <v>-93966.2</v>
      </c>
      <c r="D56" s="4"/>
      <c r="E56" s="375">
        <v>-16316.05</v>
      </c>
      <c r="F56" s="4"/>
      <c r="G56" s="375"/>
      <c r="H56" s="375">
        <v>-10798.2</v>
      </c>
      <c r="I56" s="4"/>
      <c r="J56" s="375"/>
      <c r="K56" s="375">
        <v>-8837.2000000000007</v>
      </c>
      <c r="L56" s="4"/>
      <c r="M56" s="375"/>
      <c r="N56" s="375">
        <v>10944.35</v>
      </c>
      <c r="O56" s="4"/>
      <c r="P56" s="375">
        <f t="shared" si="13"/>
        <v>0</v>
      </c>
      <c r="Q56" s="375">
        <f t="shared" si="13"/>
        <v>-8691.0500000000011</v>
      </c>
      <c r="R56" s="7">
        <f t="shared" si="64"/>
        <v>-2.3897468891967804E-4</v>
      </c>
      <c r="S56" s="375">
        <v>-31861.200000000001</v>
      </c>
      <c r="T56" s="375">
        <v>-31861.200000000001</v>
      </c>
      <c r="U56" s="4"/>
      <c r="V56" s="375">
        <v>-10492.09</v>
      </c>
      <c r="W56" s="375">
        <v>-10492.09</v>
      </c>
      <c r="X56" s="4"/>
      <c r="Y56" s="375">
        <v>11960.9</v>
      </c>
      <c r="Z56" s="375">
        <v>11960.9</v>
      </c>
      <c r="AA56" s="4"/>
      <c r="AB56" s="375">
        <f t="shared" si="224"/>
        <v>-30392.39</v>
      </c>
      <c r="AC56" s="375">
        <f t="shared" si="225"/>
        <v>-30392.39</v>
      </c>
      <c r="AD56" s="7">
        <f t="shared" si="65"/>
        <v>-8.1948160700964399E-4</v>
      </c>
      <c r="AE56" s="375">
        <f t="shared" si="226"/>
        <v>-39083.440000000002</v>
      </c>
      <c r="AF56" s="375">
        <f t="shared" si="227"/>
        <v>-39083.440000000002</v>
      </c>
      <c r="AG56" s="4"/>
      <c r="AH56" s="375">
        <v>-32773.949999999997</v>
      </c>
      <c r="AI56" s="375">
        <v>-32773.949999999997</v>
      </c>
      <c r="AJ56" s="4"/>
      <c r="AK56" s="375">
        <v>-8226.4699999999993</v>
      </c>
      <c r="AL56" s="375">
        <v>-8226.4699999999993</v>
      </c>
      <c r="AM56" s="4"/>
      <c r="AN56" s="375">
        <v>43945.77</v>
      </c>
      <c r="AO56" s="375">
        <v>43945.77</v>
      </c>
      <c r="AP56" s="4"/>
      <c r="AQ56" s="375">
        <f t="shared" si="310"/>
        <v>2945.3499999999985</v>
      </c>
      <c r="AR56" s="375">
        <f t="shared" si="311"/>
        <v>2945.3499999999985</v>
      </c>
      <c r="AS56" s="7">
        <f t="shared" si="68"/>
        <v>1.106332714453989E-4</v>
      </c>
      <c r="AT56" s="375">
        <f t="shared" si="230"/>
        <v>-36138.090000000004</v>
      </c>
      <c r="AU56" s="4"/>
      <c r="AV56" s="375"/>
      <c r="AW56" s="375">
        <v>-10626.38</v>
      </c>
      <c r="AX56" s="4"/>
      <c r="AY56" s="375"/>
      <c r="AZ56" s="375">
        <v>-14077.38</v>
      </c>
      <c r="BA56" s="4"/>
      <c r="BB56" s="375"/>
      <c r="BC56" s="375">
        <v>4087.58</v>
      </c>
      <c r="BD56" s="448"/>
      <c r="BE56" s="375">
        <f t="shared" si="312"/>
        <v>0</v>
      </c>
      <c r="BF56" s="375">
        <f t="shared" si="313"/>
        <v>-20616.18</v>
      </c>
      <c r="BG56" s="7">
        <f t="shared" si="71"/>
        <v>-6.565731956501979E-4</v>
      </c>
      <c r="BH56" s="375">
        <f t="shared" si="314"/>
        <v>-36138.090000000004</v>
      </c>
      <c r="BI56" s="388">
        <f t="shared" si="315"/>
        <v>-56754.270000000004</v>
      </c>
      <c r="BJ56" s="7">
        <f t="shared" si="72"/>
        <v>-4.3166453222739243E-4</v>
      </c>
      <c r="BK56" s="375">
        <v>0</v>
      </c>
      <c r="BL56" s="282"/>
      <c r="BN56" s="375">
        <v>-6627.38</v>
      </c>
      <c r="BO56" s="4"/>
      <c r="BP56" s="375">
        <v>-9027.3799999999992</v>
      </c>
      <c r="BQ56" s="4"/>
      <c r="BR56" s="375">
        <v>1704.76</v>
      </c>
      <c r="BS56" s="4"/>
      <c r="BT56" s="375">
        <f t="shared" si="316"/>
        <v>-13949.999999999998</v>
      </c>
      <c r="BU56" s="7">
        <f t="shared" si="73"/>
        <v>-2.5730648276993368E-4</v>
      </c>
      <c r="BV56" s="375">
        <v>-18658.63</v>
      </c>
      <c r="BW56" s="7"/>
      <c r="BX56" s="375">
        <v>5403.87</v>
      </c>
      <c r="BY56" s="7"/>
      <c r="BZ56" s="375">
        <v>13254.76</v>
      </c>
      <c r="CA56" s="7"/>
      <c r="CB56" s="375">
        <f t="shared" si="237"/>
        <v>0</v>
      </c>
      <c r="CC56" s="7">
        <f t="shared" si="158"/>
        <v>0</v>
      </c>
      <c r="CD56" s="375">
        <f t="shared" si="238"/>
        <v>-13949.999999999998</v>
      </c>
      <c r="CE56" s="7">
        <f t="shared" si="75"/>
        <v>-1.5770112109794816E-4</v>
      </c>
      <c r="CF56" s="375">
        <v>-7905.12</v>
      </c>
      <c r="CG56" s="7">
        <f t="shared" si="76"/>
        <v>-1.5650931360808717E-3</v>
      </c>
      <c r="CH56" s="375">
        <v>-7290.12</v>
      </c>
      <c r="CI56" s="7">
        <f t="shared" si="76"/>
        <v>-1.9660406507030048E-4</v>
      </c>
      <c r="CJ56" s="375">
        <v>14580.24</v>
      </c>
      <c r="CK56" s="7">
        <f t="shared" si="76"/>
        <v>5.177221627848535E-4</v>
      </c>
      <c r="CL56" s="375">
        <f t="shared" si="301"/>
        <v>-615</v>
      </c>
      <c r="CM56" s="7">
        <f t="shared" si="76"/>
        <v>-8.7490444233219974E-6</v>
      </c>
      <c r="CN56" s="375">
        <f t="shared" si="288"/>
        <v>-14564.999999999998</v>
      </c>
      <c r="CO56" s="7">
        <f t="shared" si="241"/>
        <v>-9.1746955591795836E-5</v>
      </c>
      <c r="CP56" s="472">
        <v>-7290.12</v>
      </c>
      <c r="CQ56" s="7">
        <f t="shared" si="290"/>
        <v>-3.7213295401845062E-4</v>
      </c>
      <c r="CR56" s="375">
        <f t="shared" si="243"/>
        <v>-21855.119999999999</v>
      </c>
      <c r="CS56" s="7">
        <f t="shared" si="244"/>
        <v>-1.2254614890416348E-4</v>
      </c>
      <c r="CT56" s="375">
        <v>0</v>
      </c>
      <c r="CU56" s="7">
        <f t="shared" si="199"/>
        <v>0</v>
      </c>
      <c r="CV56" s="375">
        <v>-6809.76</v>
      </c>
      <c r="CW56" s="7">
        <f t="shared" si="80"/>
        <v>-1.0883259003198091E-4</v>
      </c>
      <c r="CX56" s="375">
        <f t="shared" si="247"/>
        <v>-14099.880000000001</v>
      </c>
      <c r="CY56" s="7">
        <f t="shared" si="291"/>
        <v>-1.4413272097761943E-4</v>
      </c>
      <c r="CZ56" s="375">
        <f t="shared" si="248"/>
        <v>-28664.879999999997</v>
      </c>
      <c r="DA56" s="7">
        <f t="shared" si="81"/>
        <v>-1.1172014874280594E-4</v>
      </c>
      <c r="DB56" s="375"/>
      <c r="DC56" s="7">
        <f t="shared" si="250"/>
        <v>0</v>
      </c>
      <c r="DD56" s="375">
        <v>-16490.12</v>
      </c>
      <c r="DE56" s="7">
        <f t="shared" si="251"/>
        <v>-6.3503625839445629E-4</v>
      </c>
      <c r="DF56" s="72">
        <v>14580.24</v>
      </c>
      <c r="DG56" s="7">
        <f t="shared" si="252"/>
        <v>4.7002408081671973E-4</v>
      </c>
      <c r="DH56" s="375">
        <f t="shared" si="253"/>
        <v>-1909.8799999999992</v>
      </c>
      <c r="DI56" s="7">
        <f t="shared" si="292"/>
        <v>-2.5069399164144602E-5</v>
      </c>
      <c r="DJ56" s="375"/>
      <c r="DK56" s="7">
        <f t="shared" si="254"/>
        <v>0</v>
      </c>
      <c r="DL56" s="72">
        <v>-7290.12</v>
      </c>
      <c r="DM56" s="7">
        <f t="shared" si="255"/>
        <v>-8.4045819463220075E-4</v>
      </c>
      <c r="DN56" s="72">
        <v>-10809.75</v>
      </c>
      <c r="DO56" s="7">
        <f t="shared" si="256"/>
        <v>-6.2991457122447774E-4</v>
      </c>
      <c r="DP56" s="72">
        <v>8174.65</v>
      </c>
      <c r="DQ56" s="7">
        <f t="shared" si="257"/>
        <v>9.7426863379769274E-5</v>
      </c>
      <c r="DR56" s="375">
        <f t="shared" si="327"/>
        <v>-9925.2199999999993</v>
      </c>
      <c r="DS56" s="7">
        <f t="shared" si="293"/>
        <v>-9.0442926496528016E-5</v>
      </c>
      <c r="DT56" s="375">
        <f t="shared" si="259"/>
        <v>-11835.099999999999</v>
      </c>
      <c r="DU56" s="7">
        <f t="shared" si="83"/>
        <v>-6.3655626601107358E-5</v>
      </c>
      <c r="DV56" s="375">
        <v>-8677.27</v>
      </c>
      <c r="DW56" s="7">
        <f t="shared" si="260"/>
        <v>-1.9063673568277443E-4</v>
      </c>
      <c r="DX56" s="375">
        <v>-8019.14</v>
      </c>
      <c r="DY56" s="7">
        <f t="shared" si="261"/>
        <v>-3.1018862306232258E-4</v>
      </c>
      <c r="DZ56" s="375">
        <v>9902.4599999999991</v>
      </c>
      <c r="EA56" s="7">
        <f t="shared" si="262"/>
        <v>8.0939886034770962E-5</v>
      </c>
      <c r="EB56" s="375">
        <f t="shared" si="328"/>
        <v>-6793.9500000000007</v>
      </c>
      <c r="EC56" s="7">
        <f t="shared" si="37"/>
        <v>-3.5072217908312839E-5</v>
      </c>
      <c r="ED56" s="375">
        <f t="shared" si="317"/>
        <v>-18629.05</v>
      </c>
      <c r="EE56" s="7">
        <f t="shared" si="85"/>
        <v>-4.9070688825547501E-5</v>
      </c>
      <c r="EF56" s="375">
        <v>-14651.02</v>
      </c>
      <c r="EG56" s="7">
        <f t="shared" si="264"/>
        <v>-9.9149583724042348E-4</v>
      </c>
      <c r="EH56" s="375">
        <v>-18371.96</v>
      </c>
      <c r="EI56" s="7">
        <f t="shared" si="265"/>
        <v>-1.4410898328811499E-3</v>
      </c>
      <c r="EJ56" s="375">
        <v>6763.71</v>
      </c>
      <c r="EK56" s="7">
        <f t="shared" si="266"/>
        <v>4.3311849889879013E-5</v>
      </c>
      <c r="EL56" s="375">
        <f t="shared" si="329"/>
        <v>-26259.269999999997</v>
      </c>
      <c r="EM56" s="7">
        <f t="shared" si="39"/>
        <v>-1.4295553391806238E-4</v>
      </c>
      <c r="EN56" s="375">
        <f t="shared" si="318"/>
        <v>-44888.319999999992</v>
      </c>
      <c r="EO56" s="7">
        <f t="shared" si="108"/>
        <v>-7.9684531117808606E-5</v>
      </c>
      <c r="EP56" s="373"/>
      <c r="EQ56" s="373"/>
      <c r="ER56" s="373"/>
      <c r="ES56" s="373"/>
      <c r="ET56" s="375">
        <v>-10896.68</v>
      </c>
      <c r="EU56" s="7">
        <f t="shared" si="269"/>
        <v>-1.4773317755361079E-3</v>
      </c>
      <c r="EV56" s="375">
        <v>-21932.94</v>
      </c>
      <c r="EW56" s="7">
        <f t="shared" si="270"/>
        <v>-3.5988561030919327E-3</v>
      </c>
      <c r="EX56" s="375">
        <v>63.99</v>
      </c>
      <c r="EY56" s="7">
        <f t="shared" si="271"/>
        <v>2.8030494087773886E-7</v>
      </c>
      <c r="EZ56" s="375">
        <f t="shared" si="330"/>
        <v>-32765.629999999994</v>
      </c>
      <c r="FA56" s="7">
        <f t="shared" si="42"/>
        <v>-1.3553101453285134E-4</v>
      </c>
      <c r="FB56" s="375">
        <v>-20804</v>
      </c>
      <c r="FC56" s="7">
        <f t="shared" si="273"/>
        <v>-2.29575219687865E-3</v>
      </c>
      <c r="FD56" s="375">
        <v>-20105.36</v>
      </c>
      <c r="FE56" s="7">
        <f t="shared" si="200"/>
        <v>-1.9101803136086607E-4</v>
      </c>
      <c r="FF56" s="375">
        <v>11964.07</v>
      </c>
      <c r="FG56" s="7">
        <f t="shared" si="44"/>
        <v>7.4458140287269646E-5</v>
      </c>
      <c r="FH56" s="375">
        <f t="shared" si="331"/>
        <v>-28945.29</v>
      </c>
      <c r="FI56" s="7">
        <f t="shared" si="46"/>
        <v>-1.0525655348275665E-4</v>
      </c>
      <c r="FJ56" s="375">
        <f t="shared" si="319"/>
        <v>-61710.92</v>
      </c>
      <c r="FK56" s="7">
        <f t="shared" si="89"/>
        <v>-1.1942008705785559E-4</v>
      </c>
      <c r="FL56" s="375">
        <v>-19770.8</v>
      </c>
      <c r="FM56" s="7">
        <f t="shared" si="276"/>
        <v>-1.808142762614747E-3</v>
      </c>
      <c r="FN56" s="375">
        <v>-19231.14</v>
      </c>
      <c r="FO56" s="7">
        <f t="shared" si="48"/>
        <v>-4.0249140681032722E-3</v>
      </c>
      <c r="FP56" s="375">
        <v>-12244.88</v>
      </c>
      <c r="FQ56" s="7">
        <f t="shared" si="49"/>
        <v>-4.42624597336852E-5</v>
      </c>
      <c r="FR56" s="375">
        <f t="shared" si="332"/>
        <v>-51246.82</v>
      </c>
      <c r="FS56" s="7">
        <f t="shared" si="51"/>
        <v>-1.7528976230871669E-4</v>
      </c>
      <c r="FT56" s="375">
        <f t="shared" si="320"/>
        <v>-112957.73999999999</v>
      </c>
      <c r="FU56" s="7">
        <f t="shared" si="90"/>
        <v>-1.3960742419171491E-4</v>
      </c>
      <c r="FV56" s="375">
        <v>-30292.7</v>
      </c>
      <c r="FW56" s="7">
        <f t="shared" si="279"/>
        <v>-1.0916311910793882E-3</v>
      </c>
      <c r="FX56" s="375">
        <v>-20724.79</v>
      </c>
      <c r="FY56" s="7">
        <f t="shared" si="53"/>
        <v>-8.0731285471512162E-4</v>
      </c>
      <c r="FZ56" s="375">
        <v>21761.15</v>
      </c>
      <c r="GA56" s="7">
        <f t="shared" si="54"/>
        <v>7.5269608958811762E-5</v>
      </c>
      <c r="GB56" s="375">
        <f t="shared" si="333"/>
        <v>-29256.340000000004</v>
      </c>
      <c r="GC56" s="7">
        <f t="shared" si="56"/>
        <v>-8.541232873119251E-5</v>
      </c>
      <c r="GD56" s="375">
        <f t="shared" si="321"/>
        <v>-142214.07999999999</v>
      </c>
      <c r="GE56" s="7">
        <f t="shared" si="91"/>
        <v>-1.2348826087817526E-4</v>
      </c>
      <c r="GF56" s="566">
        <f t="shared" si="282"/>
        <v>0</v>
      </c>
      <c r="GG56" s="525">
        <f t="shared" si="58"/>
        <v>0</v>
      </c>
      <c r="GH56" s="528">
        <f t="shared" si="322"/>
        <v>0</v>
      </c>
      <c r="GI56" s="525">
        <f t="shared" si="60"/>
        <v>0</v>
      </c>
      <c r="GJ56" s="528"/>
      <c r="GK56" s="525">
        <f t="shared" si="61"/>
        <v>0</v>
      </c>
      <c r="GL56" s="528">
        <f t="shared" si="284"/>
        <v>-142214.07999999999</v>
      </c>
      <c r="GM56" s="565">
        <f t="shared" si="92"/>
        <v>-1.2272153272381952E-4</v>
      </c>
      <c r="GO56" s="586"/>
      <c r="GQ56" s="586"/>
      <c r="GT56" s="551">
        <f t="shared" si="182"/>
        <v>-8421.836265227992</v>
      </c>
      <c r="GU56" s="551">
        <f t="shared" si="94"/>
        <v>-9867.2437347720097</v>
      </c>
      <c r="GV56" s="550">
        <f t="shared" si="294"/>
        <v>-18289.080000000002</v>
      </c>
      <c r="GW56" s="527">
        <v>-80000</v>
      </c>
      <c r="GX56" s="525">
        <f t="shared" si="285"/>
        <v>-6.7561005462946311E-5</v>
      </c>
      <c r="GY56" s="528">
        <f>+GW56</f>
        <v>-80000</v>
      </c>
      <c r="GZ56" s="525">
        <f t="shared" si="286"/>
        <v>-8.8869125753989462E-5</v>
      </c>
      <c r="HA56" s="528">
        <f>+GY56</f>
        <v>-80000</v>
      </c>
      <c r="HB56" s="526">
        <f t="shared" si="287"/>
        <v>-1.0989979265958566E-4</v>
      </c>
      <c r="HD56" s="527">
        <v>-80000</v>
      </c>
      <c r="HE56" s="525">
        <v>-6.7343703262861868E-5</v>
      </c>
      <c r="HF56" s="528">
        <v>-80000</v>
      </c>
      <c r="HG56" s="525">
        <v>-8.8869125753989462E-5</v>
      </c>
      <c r="HH56" s="528">
        <v>-80000</v>
      </c>
      <c r="HI56" s="526">
        <v>-1.0989979265958566E-4</v>
      </c>
    </row>
    <row r="57" spans="1:218" ht="15" customHeight="1" outlineLevel="1">
      <c r="A57" s="386" t="s">
        <v>48</v>
      </c>
      <c r="B57" s="386" t="s">
        <v>54</v>
      </c>
      <c r="C57" s="375">
        <v>0</v>
      </c>
      <c r="D57" s="4"/>
      <c r="E57" s="375">
        <v>0</v>
      </c>
      <c r="F57" s="4"/>
      <c r="G57" s="375"/>
      <c r="H57" s="375"/>
      <c r="I57" s="4"/>
      <c r="J57" s="375"/>
      <c r="K57" s="375"/>
      <c r="L57" s="4"/>
      <c r="M57" s="375"/>
      <c r="N57" s="375">
        <v>0</v>
      </c>
      <c r="O57" s="4"/>
      <c r="P57" s="375">
        <f t="shared" si="13"/>
        <v>0</v>
      </c>
      <c r="Q57" s="375">
        <f t="shared" si="13"/>
        <v>0</v>
      </c>
      <c r="R57" s="7">
        <f t="shared" si="64"/>
        <v>0</v>
      </c>
      <c r="S57" s="375"/>
      <c r="T57" s="375"/>
      <c r="U57" s="4"/>
      <c r="V57" s="375"/>
      <c r="W57" s="375"/>
      <c r="X57" s="4"/>
      <c r="Y57" s="375"/>
      <c r="Z57" s="375"/>
      <c r="AA57" s="4"/>
      <c r="AB57" s="375">
        <f t="shared" si="224"/>
        <v>0</v>
      </c>
      <c r="AC57" s="375">
        <f t="shared" si="225"/>
        <v>0</v>
      </c>
      <c r="AD57" s="7">
        <f t="shared" si="65"/>
        <v>0</v>
      </c>
      <c r="AE57" s="375">
        <f t="shared" si="226"/>
        <v>0</v>
      </c>
      <c r="AF57" s="375">
        <f t="shared" si="227"/>
        <v>0</v>
      </c>
      <c r="AG57" s="4"/>
      <c r="AH57" s="375"/>
      <c r="AI57" s="375"/>
      <c r="AJ57" s="4"/>
      <c r="AK57" s="375"/>
      <c r="AL57" s="375"/>
      <c r="AM57" s="4"/>
      <c r="AN57" s="375">
        <v>-52023.28</v>
      </c>
      <c r="AO57" s="375">
        <v>-52023.28</v>
      </c>
      <c r="AP57" s="4"/>
      <c r="AQ57" s="375">
        <f t="shared" si="310"/>
        <v>-52023.28</v>
      </c>
      <c r="AR57" s="375">
        <f t="shared" si="311"/>
        <v>-52023.28</v>
      </c>
      <c r="AS57" s="7">
        <f t="shared" si="68"/>
        <v>-1.9540990570628258E-3</v>
      </c>
      <c r="AT57" s="375">
        <f t="shared" si="230"/>
        <v>-52023.28</v>
      </c>
      <c r="AU57" s="4"/>
      <c r="AV57" s="375"/>
      <c r="AW57" s="375"/>
      <c r="AX57" s="4"/>
      <c r="AY57" s="375"/>
      <c r="AZ57" s="375"/>
      <c r="BA57" s="4"/>
      <c r="BB57" s="375"/>
      <c r="BC57" s="375"/>
      <c r="BD57" s="448"/>
      <c r="BE57" s="375">
        <f t="shared" si="312"/>
        <v>0</v>
      </c>
      <c r="BF57" s="375">
        <f t="shared" si="313"/>
        <v>0</v>
      </c>
      <c r="BG57" s="7">
        <f t="shared" si="71"/>
        <v>0</v>
      </c>
      <c r="BH57" s="375">
        <f t="shared" si="314"/>
        <v>-52023.28</v>
      </c>
      <c r="BI57" s="388">
        <f t="shared" si="315"/>
        <v>-52023.28</v>
      </c>
      <c r="BJ57" s="7">
        <f t="shared" si="72"/>
        <v>-3.9568132628848294E-4</v>
      </c>
      <c r="BK57" s="375">
        <v>0</v>
      </c>
      <c r="BL57" s="282"/>
      <c r="BN57" s="375"/>
      <c r="BO57" s="4"/>
      <c r="BP57" s="375"/>
      <c r="BQ57" s="4"/>
      <c r="BR57" s="375"/>
      <c r="BS57" s="4"/>
      <c r="BT57" s="375">
        <f t="shared" si="316"/>
        <v>0</v>
      </c>
      <c r="BU57" s="7">
        <f t="shared" si="73"/>
        <v>0</v>
      </c>
      <c r="BV57" s="375"/>
      <c r="BW57" s="7"/>
      <c r="BX57" s="375"/>
      <c r="BY57" s="7"/>
      <c r="BZ57" s="375">
        <f t="shared" si="324"/>
        <v>0</v>
      </c>
      <c r="CA57" s="7"/>
      <c r="CB57" s="375">
        <f t="shared" si="237"/>
        <v>0</v>
      </c>
      <c r="CC57" s="7">
        <f t="shared" si="158"/>
        <v>0</v>
      </c>
      <c r="CD57" s="375">
        <f t="shared" si="238"/>
        <v>0</v>
      </c>
      <c r="CE57" s="7">
        <f t="shared" si="75"/>
        <v>0</v>
      </c>
      <c r="CF57" s="375">
        <f t="shared" ref="CF57" si="336">+BZ57+CB57+CD57</f>
        <v>0</v>
      </c>
      <c r="CG57" s="7">
        <f t="shared" si="76"/>
        <v>0</v>
      </c>
      <c r="CH57" s="375"/>
      <c r="CI57" s="7">
        <f t="shared" si="76"/>
        <v>0</v>
      </c>
      <c r="CJ57" s="375"/>
      <c r="CK57" s="7">
        <f t="shared" si="76"/>
        <v>0</v>
      </c>
      <c r="CL57" s="375">
        <f t="shared" si="301"/>
        <v>0</v>
      </c>
      <c r="CM57" s="7">
        <f t="shared" si="76"/>
        <v>0</v>
      </c>
      <c r="CN57" s="375">
        <f t="shared" si="288"/>
        <v>0</v>
      </c>
      <c r="CO57" s="7">
        <f t="shared" si="241"/>
        <v>0</v>
      </c>
      <c r="CP57" s="375">
        <v>0</v>
      </c>
      <c r="CQ57" s="7">
        <f t="shared" si="290"/>
        <v>0</v>
      </c>
      <c r="CR57" s="375">
        <f t="shared" si="243"/>
        <v>0</v>
      </c>
      <c r="CS57" s="7">
        <f t="shared" si="244"/>
        <v>0</v>
      </c>
      <c r="CT57" s="375">
        <v>0</v>
      </c>
      <c r="CU57" s="7">
        <f t="shared" si="199"/>
        <v>0</v>
      </c>
      <c r="CV57" s="375">
        <v>0</v>
      </c>
      <c r="CW57" s="7">
        <f t="shared" si="80"/>
        <v>0</v>
      </c>
      <c r="CX57" s="375">
        <f t="shared" si="247"/>
        <v>0</v>
      </c>
      <c r="CY57" s="7">
        <f t="shared" si="291"/>
        <v>0</v>
      </c>
      <c r="CZ57" s="375">
        <f t="shared" si="248"/>
        <v>0</v>
      </c>
      <c r="DA57" s="7">
        <f t="shared" si="81"/>
        <v>0</v>
      </c>
      <c r="DB57" s="375">
        <f t="shared" ref="DB57" si="337">+CV57+CX57+CZ57</f>
        <v>0</v>
      </c>
      <c r="DC57" s="7">
        <f t="shared" si="250"/>
        <v>0</v>
      </c>
      <c r="DD57" s="375"/>
      <c r="DE57" s="7">
        <f t="shared" si="251"/>
        <v>0</v>
      </c>
      <c r="DF57" s="375"/>
      <c r="DG57" s="7">
        <f t="shared" si="252"/>
        <v>0</v>
      </c>
      <c r="DH57" s="375">
        <f t="shared" si="253"/>
        <v>0</v>
      </c>
      <c r="DI57" s="7">
        <f t="shared" si="292"/>
        <v>0</v>
      </c>
      <c r="DJ57" s="375"/>
      <c r="DK57" s="7">
        <f t="shared" si="254"/>
        <v>0</v>
      </c>
      <c r="DL57" s="375"/>
      <c r="DM57" s="7">
        <f t="shared" si="255"/>
        <v>0</v>
      </c>
      <c r="DN57" s="375"/>
      <c r="DO57" s="7">
        <f t="shared" si="256"/>
        <v>0</v>
      </c>
      <c r="DP57" s="375"/>
      <c r="DQ57" s="7">
        <f t="shared" si="257"/>
        <v>0</v>
      </c>
      <c r="DR57" s="375">
        <f t="shared" si="327"/>
        <v>0</v>
      </c>
      <c r="DS57" s="7">
        <f t="shared" si="293"/>
        <v>0</v>
      </c>
      <c r="DT57" s="375">
        <f t="shared" si="259"/>
        <v>0</v>
      </c>
      <c r="DU57" s="7">
        <f t="shared" si="83"/>
        <v>0</v>
      </c>
      <c r="DV57" s="375"/>
      <c r="DW57" s="7">
        <f t="shared" si="260"/>
        <v>0</v>
      </c>
      <c r="DX57" s="375"/>
      <c r="DY57" s="7">
        <f t="shared" si="261"/>
        <v>0</v>
      </c>
      <c r="DZ57" s="375"/>
      <c r="EA57" s="7">
        <f t="shared" si="262"/>
        <v>0</v>
      </c>
      <c r="EB57" s="375">
        <f t="shared" si="328"/>
        <v>0</v>
      </c>
      <c r="EC57" s="7">
        <f t="shared" si="37"/>
        <v>0</v>
      </c>
      <c r="ED57" s="375">
        <f t="shared" si="317"/>
        <v>0</v>
      </c>
      <c r="EE57" s="7">
        <f t="shared" si="85"/>
        <v>0</v>
      </c>
      <c r="EF57" s="375"/>
      <c r="EG57" s="7">
        <f t="shared" si="264"/>
        <v>0</v>
      </c>
      <c r="EH57" s="375"/>
      <c r="EI57" s="7">
        <f t="shared" si="265"/>
        <v>0</v>
      </c>
      <c r="EJ57" s="375"/>
      <c r="EK57" s="7">
        <f t="shared" si="266"/>
        <v>0</v>
      </c>
      <c r="EL57" s="375">
        <f t="shared" si="329"/>
        <v>0</v>
      </c>
      <c r="EM57" s="7">
        <f t="shared" si="39"/>
        <v>0</v>
      </c>
      <c r="EN57" s="375">
        <f t="shared" si="318"/>
        <v>0</v>
      </c>
      <c r="EO57" s="7">
        <f t="shared" si="108"/>
        <v>0</v>
      </c>
      <c r="EP57" s="373"/>
      <c r="EQ57" s="373"/>
      <c r="ER57" s="373"/>
      <c r="ES57" s="373"/>
      <c r="ET57" s="375"/>
      <c r="EU57" s="7">
        <f t="shared" si="269"/>
        <v>0</v>
      </c>
      <c r="EV57" s="375"/>
      <c r="EW57" s="7">
        <f t="shared" si="270"/>
        <v>0</v>
      </c>
      <c r="EX57" s="375"/>
      <c r="EY57" s="7">
        <f t="shared" si="271"/>
        <v>0</v>
      </c>
      <c r="EZ57" s="375">
        <f t="shared" si="330"/>
        <v>0</v>
      </c>
      <c r="FA57" s="7">
        <f t="shared" si="42"/>
        <v>0</v>
      </c>
      <c r="FB57" s="375"/>
      <c r="FC57" s="7">
        <f t="shared" si="273"/>
        <v>0</v>
      </c>
      <c r="FD57" s="375"/>
      <c r="FE57" s="7">
        <f t="shared" si="200"/>
        <v>0</v>
      </c>
      <c r="FF57" s="375"/>
      <c r="FG57" s="7">
        <f t="shared" si="44"/>
        <v>0</v>
      </c>
      <c r="FH57" s="375">
        <f t="shared" si="331"/>
        <v>0</v>
      </c>
      <c r="FI57" s="7">
        <f t="shared" si="46"/>
        <v>0</v>
      </c>
      <c r="FJ57" s="375">
        <f t="shared" si="319"/>
        <v>0</v>
      </c>
      <c r="FK57" s="7">
        <f t="shared" si="89"/>
        <v>0</v>
      </c>
      <c r="FL57" s="375"/>
      <c r="FM57" s="7">
        <f t="shared" si="276"/>
        <v>0</v>
      </c>
      <c r="FN57" s="375"/>
      <c r="FO57" s="7">
        <f t="shared" si="48"/>
        <v>0</v>
      </c>
      <c r="FP57" s="375"/>
      <c r="FQ57" s="7">
        <f t="shared" si="49"/>
        <v>0</v>
      </c>
      <c r="FR57" s="375">
        <f t="shared" si="332"/>
        <v>0</v>
      </c>
      <c r="FS57" s="7">
        <f t="shared" si="51"/>
        <v>0</v>
      </c>
      <c r="FT57" s="375">
        <f t="shared" si="320"/>
        <v>0</v>
      </c>
      <c r="FU57" s="7">
        <f t="shared" si="90"/>
        <v>0</v>
      </c>
      <c r="FV57" s="375"/>
      <c r="FW57" s="7">
        <f t="shared" si="279"/>
        <v>0</v>
      </c>
      <c r="FX57" s="375"/>
      <c r="FY57" s="7">
        <f t="shared" si="53"/>
        <v>0</v>
      </c>
      <c r="FZ57" s="375">
        <v>0</v>
      </c>
      <c r="GA57" s="7">
        <f t="shared" si="54"/>
        <v>0</v>
      </c>
      <c r="GB57" s="375">
        <f t="shared" si="333"/>
        <v>0</v>
      </c>
      <c r="GC57" s="7">
        <f t="shared" si="56"/>
        <v>0</v>
      </c>
      <c r="GD57" s="375">
        <f t="shared" si="321"/>
        <v>0</v>
      </c>
      <c r="GE57" s="7">
        <f t="shared" si="91"/>
        <v>0</v>
      </c>
      <c r="GF57" s="566">
        <f t="shared" si="282"/>
        <v>0</v>
      </c>
      <c r="GG57" s="525">
        <f t="shared" si="58"/>
        <v>0</v>
      </c>
      <c r="GH57" s="528">
        <f t="shared" si="322"/>
        <v>0</v>
      </c>
      <c r="GI57" s="525">
        <f t="shared" si="60"/>
        <v>0</v>
      </c>
      <c r="GJ57" s="528"/>
      <c r="GK57" s="525">
        <f t="shared" si="61"/>
        <v>0</v>
      </c>
      <c r="GL57" s="528">
        <f t="shared" si="284"/>
        <v>0</v>
      </c>
      <c r="GM57" s="565">
        <f t="shared" si="92"/>
        <v>0</v>
      </c>
      <c r="GO57" s="586"/>
      <c r="GQ57" s="586"/>
      <c r="GT57" s="551">
        <f t="shared" si="182"/>
        <v>0</v>
      </c>
      <c r="GU57" s="551">
        <f t="shared" si="94"/>
        <v>0</v>
      </c>
      <c r="GV57" s="550">
        <f t="shared" si="294"/>
        <v>0</v>
      </c>
      <c r="GW57" s="527"/>
      <c r="GX57" s="525">
        <f t="shared" si="285"/>
        <v>0</v>
      </c>
      <c r="GY57" s="528"/>
      <c r="GZ57" s="525">
        <f t="shared" si="286"/>
        <v>0</v>
      </c>
      <c r="HA57" s="528"/>
      <c r="HB57" s="526">
        <f t="shared" si="287"/>
        <v>0</v>
      </c>
      <c r="HD57" s="527"/>
      <c r="HE57" s="525">
        <v>0</v>
      </c>
      <c r="HF57" s="528"/>
      <c r="HG57" s="525">
        <v>0</v>
      </c>
      <c r="HH57" s="528"/>
      <c r="HI57" s="526">
        <v>0</v>
      </c>
    </row>
    <row r="58" spans="1:218" ht="15" customHeight="1" outlineLevel="1">
      <c r="A58" s="386" t="s">
        <v>48</v>
      </c>
      <c r="B58" s="386" t="s">
        <v>55</v>
      </c>
      <c r="C58" s="375">
        <v>-538115.79</v>
      </c>
      <c r="D58" s="4"/>
      <c r="E58" s="375">
        <v>-356446.87</v>
      </c>
      <c r="F58" s="4"/>
      <c r="G58" s="375">
        <v>-36991.67</v>
      </c>
      <c r="H58" s="375">
        <v>-17139.900000000001</v>
      </c>
      <c r="I58" s="4"/>
      <c r="J58" s="375">
        <v>-36991.67</v>
      </c>
      <c r="K58" s="375">
        <v>-2156</v>
      </c>
      <c r="L58" s="4"/>
      <c r="M58" s="375">
        <v>-36991.67</v>
      </c>
      <c r="N58" s="375">
        <v>-103094.74</v>
      </c>
      <c r="O58" s="4"/>
      <c r="P58" s="375">
        <f t="shared" si="13"/>
        <v>-110975.01</v>
      </c>
      <c r="Q58" s="375">
        <f t="shared" si="13"/>
        <v>-122390.64000000001</v>
      </c>
      <c r="R58" s="7">
        <f t="shared" si="64"/>
        <v>-3.3653315906225717E-3</v>
      </c>
      <c r="S58" s="375">
        <v>-12498.07</v>
      </c>
      <c r="T58" s="375">
        <v>-12498.07</v>
      </c>
      <c r="U58" s="4"/>
      <c r="V58" s="375">
        <v>-25781.54</v>
      </c>
      <c r="W58" s="375">
        <v>-25781.54</v>
      </c>
      <c r="X58" s="4"/>
      <c r="Y58" s="375">
        <v>-4719.5</v>
      </c>
      <c r="Z58" s="375">
        <v>-4719.5</v>
      </c>
      <c r="AA58" s="4"/>
      <c r="AB58" s="375">
        <f t="shared" si="224"/>
        <v>-42999.11</v>
      </c>
      <c r="AC58" s="375">
        <f>+T58+W58+Z58</f>
        <v>-42999.11</v>
      </c>
      <c r="AD58" s="7">
        <f t="shared" si="65"/>
        <v>-1.159401408141461E-3</v>
      </c>
      <c r="AE58" s="375">
        <f t="shared" si="226"/>
        <v>-165389.75</v>
      </c>
      <c r="AF58" s="375">
        <f t="shared" si="227"/>
        <v>-165389.75</v>
      </c>
      <c r="AG58" s="4"/>
      <c r="AH58" s="375">
        <v>-25771.32</v>
      </c>
      <c r="AI58" s="375">
        <v>-25771.32</v>
      </c>
      <c r="AJ58" s="4"/>
      <c r="AK58" s="375">
        <v>-121569.29</v>
      </c>
      <c r="AL58" s="375">
        <v>-121569.29</v>
      </c>
      <c r="AM58" s="4"/>
      <c r="AN58" s="375"/>
      <c r="AO58" s="375"/>
      <c r="AP58" s="4"/>
      <c r="AQ58" s="375">
        <f t="shared" si="310"/>
        <v>-147340.60999999999</v>
      </c>
      <c r="AR58" s="375">
        <f t="shared" si="311"/>
        <v>-147340.60999999999</v>
      </c>
      <c r="AS58" s="7">
        <f t="shared" si="68"/>
        <v>-5.5344097309524033E-3</v>
      </c>
      <c r="AT58" s="375">
        <f t="shared" si="230"/>
        <v>-312730.36</v>
      </c>
      <c r="AU58" s="4"/>
      <c r="AV58" s="375">
        <v>-44887.62</v>
      </c>
      <c r="AW58" s="375">
        <v>-70070.100000000006</v>
      </c>
      <c r="AX58" s="4"/>
      <c r="AY58" s="375">
        <v>-44887.62</v>
      </c>
      <c r="AZ58" s="375">
        <v>-45634.66</v>
      </c>
      <c r="BA58" s="4"/>
      <c r="BB58" s="375">
        <v>-48699.694999999992</v>
      </c>
      <c r="BC58" s="375">
        <v>-19655.98</v>
      </c>
      <c r="BD58" s="448"/>
      <c r="BE58" s="375">
        <f t="shared" si="312"/>
        <v>-138474.935</v>
      </c>
      <c r="BF58" s="375">
        <f t="shared" si="313"/>
        <v>-135360.74</v>
      </c>
      <c r="BG58" s="7">
        <f t="shared" si="71"/>
        <v>-4.310897248053498E-3</v>
      </c>
      <c r="BH58" s="375">
        <f t="shared" si="314"/>
        <v>-451205.29499999998</v>
      </c>
      <c r="BI58" s="388">
        <f t="shared" si="315"/>
        <v>-448091.1</v>
      </c>
      <c r="BJ58" s="7">
        <f t="shared" si="72"/>
        <v>-3.4081142278238746E-3</v>
      </c>
      <c r="BK58" s="375">
        <v>-566094.72</v>
      </c>
      <c r="BL58" s="282"/>
      <c r="BN58" s="375">
        <v>-5505.1</v>
      </c>
      <c r="BO58" s="4"/>
      <c r="BP58" s="375">
        <v>-31236.26</v>
      </c>
      <c r="BQ58" s="4"/>
      <c r="BR58" s="375">
        <v>-10443</v>
      </c>
      <c r="BS58" s="4"/>
      <c r="BT58" s="375">
        <f t="shared" si="316"/>
        <v>-47184.36</v>
      </c>
      <c r="BU58" s="7">
        <f t="shared" si="73"/>
        <v>-8.7031123393192474E-4</v>
      </c>
      <c r="BV58" s="375">
        <v>-13925.39</v>
      </c>
      <c r="BW58" s="7"/>
      <c r="BX58" s="375">
        <v>-10054.86</v>
      </c>
      <c r="BY58" s="7"/>
      <c r="BZ58" s="375">
        <v>-130095.76</v>
      </c>
      <c r="CA58" s="7"/>
      <c r="CB58" s="375">
        <f t="shared" si="237"/>
        <v>-154076.01</v>
      </c>
      <c r="CC58" s="7">
        <f t="shared" si="158"/>
        <v>-4.4994932844493263E-3</v>
      </c>
      <c r="CD58" s="375">
        <f t="shared" si="238"/>
        <v>-201260.37</v>
      </c>
      <c r="CE58" s="7">
        <f t="shared" si="75"/>
        <v>-2.2751961277123907E-3</v>
      </c>
      <c r="CF58" s="375">
        <v>12331.75</v>
      </c>
      <c r="CG58" s="7">
        <f t="shared" si="76"/>
        <v>2.4414983303055852E-3</v>
      </c>
      <c r="CH58" s="375">
        <v>-25161.34</v>
      </c>
      <c r="CI58" s="7">
        <f t="shared" si="76"/>
        <v>-6.7856519873691441E-4</v>
      </c>
      <c r="CJ58" s="375">
        <v>-27674.99</v>
      </c>
      <c r="CK58" s="7">
        <f t="shared" si="76"/>
        <v>-9.8269683337511536E-4</v>
      </c>
      <c r="CL58" s="375">
        <f t="shared" si="301"/>
        <v>-40504.58</v>
      </c>
      <c r="CM58" s="7">
        <f t="shared" si="76"/>
        <v>-5.7622173946016218E-4</v>
      </c>
      <c r="CN58" s="375">
        <f t="shared" si="288"/>
        <v>-241764.95</v>
      </c>
      <c r="CO58" s="7">
        <f t="shared" si="241"/>
        <v>-1.5229109599246649E-3</v>
      </c>
      <c r="CP58" s="472">
        <v>41821.57</v>
      </c>
      <c r="CQ58" s="7">
        <f t="shared" si="290"/>
        <v>2.1348324013581964E-3</v>
      </c>
      <c r="CR58" s="375">
        <f t="shared" si="243"/>
        <v>-199943.38</v>
      </c>
      <c r="CS58" s="7">
        <f t="shared" si="244"/>
        <v>-1.121123618533403E-3</v>
      </c>
      <c r="CT58" s="375">
        <v>-126436.4</v>
      </c>
      <c r="CU58" s="7">
        <f t="shared" si="199"/>
        <v>-8.0714673480503513E-3</v>
      </c>
      <c r="CV58" s="375">
        <v>25736.7</v>
      </c>
      <c r="CW58" s="7">
        <f t="shared" si="80"/>
        <v>4.1132018160347543E-4</v>
      </c>
      <c r="CX58" s="375">
        <f t="shared" si="247"/>
        <v>-58878.13</v>
      </c>
      <c r="CY58" s="7">
        <f t="shared" si="291"/>
        <v>-6.0186789412207777E-4</v>
      </c>
      <c r="CZ58" s="375">
        <f t="shared" si="248"/>
        <v>-300643.08</v>
      </c>
      <c r="DA58" s="7">
        <f t="shared" si="81"/>
        <v>-1.1717435976042916E-3</v>
      </c>
      <c r="DB58" s="375">
        <v>-29946.76</v>
      </c>
      <c r="DC58" s="7">
        <f t="shared" si="250"/>
        <v>-1.5600270253419198E-3</v>
      </c>
      <c r="DD58" s="375">
        <v>-20050.34</v>
      </c>
      <c r="DE58" s="7">
        <f t="shared" si="251"/>
        <v>-7.7214070565506513E-4</v>
      </c>
      <c r="DF58" s="72">
        <v>-9102.81</v>
      </c>
      <c r="DG58" s="7">
        <f t="shared" si="252"/>
        <v>-2.9344783783389331E-4</v>
      </c>
      <c r="DH58" s="375">
        <f t="shared" si="253"/>
        <v>-59099.909999999996</v>
      </c>
      <c r="DI58" s="7">
        <f t="shared" si="292"/>
        <v>-7.7575514396455365E-4</v>
      </c>
      <c r="DJ58" s="375">
        <v>-141928.48775</v>
      </c>
      <c r="DK58" s="7">
        <f t="shared" si="254"/>
        <v>-2.6985634789867896E-3</v>
      </c>
      <c r="DL58" s="72">
        <v>-15065.89</v>
      </c>
      <c r="DM58" s="7">
        <f t="shared" si="255"/>
        <v>-1.7369056627226064E-3</v>
      </c>
      <c r="DN58" s="72">
        <v>-25026.23</v>
      </c>
      <c r="DO58" s="7">
        <f t="shared" si="256"/>
        <v>-1.4583488924179708E-3</v>
      </c>
      <c r="DP58" s="72">
        <v>-23036.81</v>
      </c>
      <c r="DQ58" s="7">
        <f t="shared" si="257"/>
        <v>-2.7455660371706469E-4</v>
      </c>
      <c r="DR58" s="375">
        <f t="shared" si="327"/>
        <v>-63128.929999999993</v>
      </c>
      <c r="DS58" s="7">
        <f t="shared" si="293"/>
        <v>-5.7525829914041821E-4</v>
      </c>
      <c r="DT58" s="375">
        <f t="shared" si="259"/>
        <v>-122228.84</v>
      </c>
      <c r="DU58" s="7">
        <f t="shared" si="83"/>
        <v>-6.5741340579517679E-4</v>
      </c>
      <c r="DV58" s="375">
        <v>-37509.449999999997</v>
      </c>
      <c r="DW58" s="7">
        <f t="shared" si="260"/>
        <v>-8.2407014017729565E-4</v>
      </c>
      <c r="DX58" s="473">
        <v>-106628.71</v>
      </c>
      <c r="DY58" s="7">
        <f t="shared" si="261"/>
        <v>-4.1245087046505868E-3</v>
      </c>
      <c r="DZ58" s="375">
        <v>-19121.63</v>
      </c>
      <c r="EA58" s="7">
        <f t="shared" si="262"/>
        <v>-1.5629475433367646E-4</v>
      </c>
      <c r="EB58" s="375">
        <f t="shared" si="328"/>
        <v>-163259.79</v>
      </c>
      <c r="EC58" s="7">
        <f t="shared" si="37"/>
        <v>-8.4279144393841485E-4</v>
      </c>
      <c r="ED58" s="375">
        <f t="shared" si="317"/>
        <v>-285488.63</v>
      </c>
      <c r="EE58" s="7">
        <f t="shared" si="85"/>
        <v>-7.5200419377058217E-4</v>
      </c>
      <c r="EF58" s="375">
        <v>-42503</v>
      </c>
      <c r="EG58" s="7">
        <f t="shared" si="264"/>
        <v>-2.8763558830873018E-3</v>
      </c>
      <c r="EH58" s="375">
        <v>-36763.769999999997</v>
      </c>
      <c r="EI58" s="7">
        <f t="shared" si="265"/>
        <v>-2.883736692512994E-3</v>
      </c>
      <c r="EJ58" s="375">
        <v>-137062.63</v>
      </c>
      <c r="EK58" s="7">
        <f t="shared" si="266"/>
        <v>-8.7768932376935558E-4</v>
      </c>
      <c r="EL58" s="375">
        <f t="shared" si="329"/>
        <v>-216329.4</v>
      </c>
      <c r="EM58" s="7">
        <f t="shared" si="39"/>
        <v>-1.1776978141118961E-3</v>
      </c>
      <c r="EN58" s="375">
        <f t="shared" si="318"/>
        <v>-501818.03</v>
      </c>
      <c r="EO58" s="7">
        <f t="shared" si="108"/>
        <v>-8.9081378913295089E-4</v>
      </c>
      <c r="EP58" s="373"/>
      <c r="EQ58" s="373"/>
      <c r="ER58" s="373"/>
      <c r="ES58" s="373"/>
      <c r="ET58" s="375">
        <v>-124960.13</v>
      </c>
      <c r="EU58" s="7">
        <f t="shared" si="269"/>
        <v>-1.6941634582654796E-2</v>
      </c>
      <c r="EV58" s="375">
        <v>-48858.68</v>
      </c>
      <c r="EW58" s="7">
        <f t="shared" si="270"/>
        <v>-8.0169534365669062E-3</v>
      </c>
      <c r="EX58" s="375">
        <v>-36562.65</v>
      </c>
      <c r="EY58" s="7">
        <f t="shared" si="271"/>
        <v>-1.6016082898239506E-4</v>
      </c>
      <c r="EZ58" s="375">
        <f t="shared" si="330"/>
        <v>-210381.46</v>
      </c>
      <c r="FA58" s="7">
        <f t="shared" si="42"/>
        <v>-8.7021713645373173E-4</v>
      </c>
      <c r="FB58" s="375">
        <v>-223012.11</v>
      </c>
      <c r="FC58" s="7">
        <f t="shared" si="273"/>
        <v>-2.460971647101726E-2</v>
      </c>
      <c r="FD58" s="375">
        <v>-10281.950000000001</v>
      </c>
      <c r="FE58" s="7">
        <f t="shared" si="200"/>
        <v>-9.7687275808583236E-5</v>
      </c>
      <c r="FF58" s="375">
        <v>-13587.7</v>
      </c>
      <c r="FG58" s="7">
        <f t="shared" si="44"/>
        <v>-8.456276775222259E-5</v>
      </c>
      <c r="FH58" s="375">
        <f t="shared" si="331"/>
        <v>-246881.76</v>
      </c>
      <c r="FI58" s="7">
        <f t="shared" si="46"/>
        <v>-8.9775998704304195E-4</v>
      </c>
      <c r="FJ58" s="375">
        <f t="shared" si="319"/>
        <v>-457263.22</v>
      </c>
      <c r="FK58" s="7">
        <f t="shared" si="89"/>
        <v>-8.8487440376444507E-4</v>
      </c>
      <c r="FL58" s="375">
        <v>-14044.07</v>
      </c>
      <c r="FM58" s="7">
        <f t="shared" si="276"/>
        <v>-1.2844034398281753E-3</v>
      </c>
      <c r="FN58" s="375">
        <v>-12459.07</v>
      </c>
      <c r="FO58" s="7">
        <f t="shared" si="48"/>
        <v>-2.6075774040687887E-3</v>
      </c>
      <c r="FP58" s="375">
        <v>-24362.78</v>
      </c>
      <c r="FQ58" s="7">
        <f t="shared" si="49"/>
        <v>-8.8065915611311099E-5</v>
      </c>
      <c r="FR58" s="375">
        <f t="shared" si="332"/>
        <v>-50865.919999999998</v>
      </c>
      <c r="FS58" s="7">
        <f t="shared" si="51"/>
        <v>-1.7398689375095272E-4</v>
      </c>
      <c r="FT58" s="375">
        <f t="shared" si="320"/>
        <v>-508129.13999999996</v>
      </c>
      <c r="FU58" s="7">
        <f t="shared" si="90"/>
        <v>-6.2801008936750409E-4</v>
      </c>
      <c r="FV58" s="375">
        <v>-23621.56</v>
      </c>
      <c r="FW58" s="7">
        <f t="shared" si="279"/>
        <v>-8.51229229416765E-4</v>
      </c>
      <c r="FX58" s="375">
        <v>-65711.850000000006</v>
      </c>
      <c r="FY58" s="7">
        <f t="shared" si="53"/>
        <v>-2.5597374551014447E-3</v>
      </c>
      <c r="FZ58" s="375">
        <v>-16786.849999999999</v>
      </c>
      <c r="GA58" s="7">
        <f t="shared" si="54"/>
        <v>-5.8064010180998201E-5</v>
      </c>
      <c r="GB58" s="375">
        <f t="shared" si="333"/>
        <v>-106120.26000000001</v>
      </c>
      <c r="GC58" s="7">
        <f t="shared" si="56"/>
        <v>-3.0981245542537511E-4</v>
      </c>
      <c r="GD58" s="375">
        <f t="shared" si="321"/>
        <v>-614249.39999999991</v>
      </c>
      <c r="GE58" s="7">
        <f t="shared" si="91"/>
        <v>-5.3336905988114974E-4</v>
      </c>
      <c r="GF58" s="566">
        <f t="shared" si="282"/>
        <v>0</v>
      </c>
      <c r="GG58" s="525">
        <f t="shared" si="58"/>
        <v>0</v>
      </c>
      <c r="GH58" s="528">
        <f t="shared" si="322"/>
        <v>0</v>
      </c>
      <c r="GI58" s="525">
        <f t="shared" si="60"/>
        <v>0</v>
      </c>
      <c r="GJ58" s="528"/>
      <c r="GK58" s="525">
        <f t="shared" si="61"/>
        <v>0</v>
      </c>
      <c r="GL58" s="528">
        <f t="shared" si="284"/>
        <v>-614249.39999999991</v>
      </c>
      <c r="GM58" s="565">
        <f t="shared" si="92"/>
        <v>-5.3005741655598731E-4</v>
      </c>
      <c r="GO58" s="586"/>
      <c r="GQ58" s="586"/>
      <c r="GT58" s="551">
        <f t="shared" si="182"/>
        <v>65246.510754587274</v>
      </c>
      <c r="GU58" s="551">
        <f t="shared" si="94"/>
        <v>76444.519245412695</v>
      </c>
      <c r="GV58" s="550">
        <f t="shared" si="294"/>
        <v>141691.02999999997</v>
      </c>
      <c r="GW58" s="527">
        <f>+EZ58*1.5</f>
        <v>-315572.19</v>
      </c>
      <c r="GX58" s="525">
        <f t="shared" si="285"/>
        <v>-2.6650468065679913E-4</v>
      </c>
      <c r="GY58" s="528">
        <f>+GW58</f>
        <v>-315572.19</v>
      </c>
      <c r="GZ58" s="525">
        <f t="shared" si="286"/>
        <v>-3.505578079696482E-4</v>
      </c>
      <c r="HA58" s="528">
        <f>+GY58</f>
        <v>-315572.19</v>
      </c>
      <c r="HB58" s="526">
        <f t="shared" si="287"/>
        <v>-4.3351647812664212E-4</v>
      </c>
      <c r="HD58" s="527">
        <v>-315572.19</v>
      </c>
      <c r="HE58" s="525">
        <v>-2.6564749901714329E-4</v>
      </c>
      <c r="HF58" s="528">
        <v>-315572.19</v>
      </c>
      <c r="HG58" s="525">
        <v>-3.505578079696482E-4</v>
      </c>
      <c r="HH58" s="528">
        <v>-315572.19</v>
      </c>
      <c r="HI58" s="526">
        <v>-4.3351647812664212E-4</v>
      </c>
    </row>
    <row r="59" spans="1:218">
      <c r="A59" s="386" t="s">
        <v>48</v>
      </c>
      <c r="B59" s="386"/>
      <c r="C59" s="391">
        <f>SUM(C48:C58)</f>
        <v>-1970212.5399999998</v>
      </c>
      <c r="D59" s="4"/>
      <c r="E59" s="391">
        <f>SUM(E48:E58)</f>
        <v>-648393.14999999991</v>
      </c>
      <c r="F59" s="4"/>
      <c r="G59" s="391">
        <f>SUM(G48:G58)</f>
        <v>-301840.39999999997</v>
      </c>
      <c r="H59" s="391">
        <f>SUM(H48:H58)</f>
        <v>-309148.58</v>
      </c>
      <c r="I59" s="4"/>
      <c r="J59" s="391">
        <f>SUM(J48:J58)</f>
        <v>-301840.39999999997</v>
      </c>
      <c r="K59" s="391">
        <f>SUM(K48:K58)</f>
        <v>-144171.34000000003</v>
      </c>
      <c r="L59" s="4"/>
      <c r="M59" s="391">
        <f>SUM(M48:M58)</f>
        <v>-301840.39999999997</v>
      </c>
      <c r="N59" s="391">
        <f>SUM(N48:N58)</f>
        <v>-368917.39</v>
      </c>
      <c r="O59" s="4"/>
      <c r="P59" s="391">
        <f t="shared" si="13"/>
        <v>-905521.2</v>
      </c>
      <c r="Q59" s="391">
        <f t="shared" si="13"/>
        <v>-822237.31</v>
      </c>
      <c r="R59" s="7">
        <f t="shared" si="64"/>
        <v>-2.2608764806945406E-2</v>
      </c>
      <c r="S59" s="391">
        <f>SUM(S48:S58)</f>
        <v>-299421.64</v>
      </c>
      <c r="T59" s="391">
        <f>SUM(T48:T58)</f>
        <v>-299421.64</v>
      </c>
      <c r="U59" s="4"/>
      <c r="V59" s="391">
        <f>SUM(V48:V58)</f>
        <v>-294346.58</v>
      </c>
      <c r="W59" s="391">
        <f>SUM(W48:W58)</f>
        <v>-294346.58</v>
      </c>
      <c r="X59" s="4"/>
      <c r="Y59" s="391">
        <f>SUM(Y48:Y58)</f>
        <v>-269288.12</v>
      </c>
      <c r="Z59" s="391">
        <f>SUM(Z48:Z58)</f>
        <v>-269288.12</v>
      </c>
      <c r="AA59" s="4"/>
      <c r="AB59" s="391">
        <f>SUM(AB48:AB58)</f>
        <v>-863056.34</v>
      </c>
      <c r="AC59" s="391">
        <f>SUM(AC48:AC58)</f>
        <v>-863056.34</v>
      </c>
      <c r="AD59" s="7">
        <f t="shared" si="65"/>
        <v>-2.3270917372508765E-2</v>
      </c>
      <c r="AE59" s="391">
        <f>SUM(AE48:AE58)</f>
        <v>-1685293.65</v>
      </c>
      <c r="AF59" s="391">
        <f>SUM(AF48:AF58)</f>
        <v>-1685293.65</v>
      </c>
      <c r="AG59" s="4"/>
      <c r="AH59" s="391">
        <f>SUM(AH48:AH58)</f>
        <v>-345684.83</v>
      </c>
      <c r="AI59" s="391">
        <f>SUM(AI48:AI58)</f>
        <v>-345684.83</v>
      </c>
      <c r="AJ59" s="4"/>
      <c r="AK59" s="391">
        <f>SUM(AK48:AK58)</f>
        <v>-346267.27</v>
      </c>
      <c r="AL59" s="391">
        <f>SUM(AL48:AL58)</f>
        <v>-346267.27</v>
      </c>
      <c r="AM59" s="4"/>
      <c r="AN59" s="391">
        <f>SUM(AN48:AN58)</f>
        <v>-251454.06</v>
      </c>
      <c r="AO59" s="391">
        <f>SUM(AO48:AO58)</f>
        <v>-251454.06</v>
      </c>
      <c r="AP59" s="4"/>
      <c r="AQ59" s="391">
        <f>SUM(AQ48:AQ58)</f>
        <v>-943406.16</v>
      </c>
      <c r="AR59" s="391">
        <f>SUM(AR48:AR58)</f>
        <v>-943406.16</v>
      </c>
      <c r="AS59" s="7">
        <f t="shared" si="68"/>
        <v>-3.5436233310995796E-2</v>
      </c>
      <c r="AT59" s="391">
        <f>SUM(AT48:AT58)</f>
        <v>-2628699.8099999996</v>
      </c>
      <c r="AU59" s="4"/>
      <c r="AV59" s="391">
        <f>SUM(AV48:AV58)</f>
        <v>-311310.38</v>
      </c>
      <c r="AW59" s="391">
        <f>SUM(AW48:AW58)</f>
        <v>-325708.43000000005</v>
      </c>
      <c r="AX59" s="4"/>
      <c r="AY59" s="391">
        <f>SUM(AY48:AY58)</f>
        <v>-311310.38</v>
      </c>
      <c r="AZ59" s="391">
        <f>SUM(AZ48:AZ58)</f>
        <v>-303493.61</v>
      </c>
      <c r="BA59" s="4"/>
      <c r="BB59" s="391">
        <f>SUM(BB48:BB58)</f>
        <v>-452217.75625000003</v>
      </c>
      <c r="BC59" s="391">
        <f>SUM(BC48:BC58)</f>
        <v>-262217.37</v>
      </c>
      <c r="BD59" s="448"/>
      <c r="BE59" s="391">
        <f>SUM(BE48:BE58)</f>
        <v>-1074838.5162500001</v>
      </c>
      <c r="BF59" s="391">
        <f>SUM(BF48:BF58)</f>
        <v>-891419.41</v>
      </c>
      <c r="BG59" s="7">
        <f t="shared" si="71"/>
        <v>-2.8389453850728601E-2</v>
      </c>
      <c r="BH59" s="391">
        <f>SUM(BH48:BH58)</f>
        <v>-3703538.3262499999</v>
      </c>
      <c r="BI59" s="391">
        <f>SUM(BI48:BI58)</f>
        <v>-3520119.2199999997</v>
      </c>
      <c r="BJ59" s="7">
        <f t="shared" si="72"/>
        <v>-2.6773502971423176E-2</v>
      </c>
      <c r="BK59" s="389">
        <v>-5071611.24</v>
      </c>
      <c r="BL59" s="282"/>
      <c r="BM59" s="381">
        <f>+BM69+'IS Assumption'!R144+'IS Assumption'!R127</f>
        <v>-4.0000000968575478E-2</v>
      </c>
      <c r="BN59" s="391">
        <f>SUM(BN48:BN58)</f>
        <v>-246866.39</v>
      </c>
      <c r="BO59" s="4"/>
      <c r="BP59" s="391">
        <f>SUM(BP48:BP58)</f>
        <v>-259695.13</v>
      </c>
      <c r="BQ59" s="4"/>
      <c r="BR59" s="391">
        <f>SUM(BR48:BR58)</f>
        <v>-304458.40999999997</v>
      </c>
      <c r="BS59" s="4"/>
      <c r="BT59" s="391">
        <f>SUM(BT48:BT58)</f>
        <v>-811019.92999999993</v>
      </c>
      <c r="BU59" s="7">
        <f t="shared" si="73"/>
        <v>-1.4959188935098053E-2</v>
      </c>
      <c r="BV59" s="391">
        <f>SUM(BV48:BV58)</f>
        <v>-279874.38</v>
      </c>
      <c r="BW59" s="7"/>
      <c r="BX59" s="391">
        <f>SUM(BX48:BX58)</f>
        <v>-255910.36</v>
      </c>
      <c r="BY59" s="7"/>
      <c r="BZ59" s="391">
        <f>SUM(BZ48:BZ58)</f>
        <v>-365398.07</v>
      </c>
      <c r="CA59" s="7"/>
      <c r="CB59" s="391">
        <f>SUM(CB48:CB58)</f>
        <v>-901182.81</v>
      </c>
      <c r="CC59" s="7">
        <f t="shared" si="158"/>
        <v>-2.6317309240135259E-2</v>
      </c>
      <c r="CD59" s="391">
        <f>SUM(CD48:CD58)</f>
        <v>-1712202.7400000002</v>
      </c>
      <c r="CE59" s="7">
        <f t="shared" si="75"/>
        <v>-1.9356006569532524E-2</v>
      </c>
      <c r="CF59" s="391">
        <f>SUM(CF48:CF58)</f>
        <v>-246203.49</v>
      </c>
      <c r="CG59" s="7">
        <f t="shared" si="76"/>
        <v>-4.8744534210506042E-2</v>
      </c>
      <c r="CH59" s="391">
        <f>SUM(CH48:CH58)</f>
        <v>-380216.58</v>
      </c>
      <c r="CI59" s="7">
        <f t="shared" si="76"/>
        <v>-1.0253895029866053E-2</v>
      </c>
      <c r="CJ59" s="391">
        <f>SUM(CJ48:CJ58)</f>
        <v>-271922.77</v>
      </c>
      <c r="CK59" s="7">
        <f t="shared" si="76"/>
        <v>-9.6555642839108464E-3</v>
      </c>
      <c r="CL59" s="391">
        <f>SUM(CL48:CL58)</f>
        <v>-898342.84</v>
      </c>
      <c r="CM59" s="7">
        <f t="shared" si="76"/>
        <v>-1.2779904739078448E-2</v>
      </c>
      <c r="CN59" s="391">
        <f>SUM(CN48:CN58)</f>
        <v>-2610545.5800000005</v>
      </c>
      <c r="CO59" s="7">
        <f t="shared" si="241"/>
        <v>-1.644418876749873E-2</v>
      </c>
      <c r="CP59" s="391">
        <f>SUM(CP48:CP58)</f>
        <v>-292784.13999999996</v>
      </c>
      <c r="CQ59" s="7">
        <f t="shared" si="290"/>
        <v>-1.4945518991175947E-2</v>
      </c>
      <c r="CR59" s="391">
        <f>SUM(CR48:CR58)</f>
        <v>-2903329.72</v>
      </c>
      <c r="CS59" s="7">
        <f t="shared" si="244"/>
        <v>-1.6279566352644291E-2</v>
      </c>
      <c r="CT59" s="391">
        <f t="shared" ref="CT59" si="338">SUM(CT48:CT58)</f>
        <v>-313477.98</v>
      </c>
      <c r="CU59" s="7">
        <f t="shared" si="199"/>
        <v>-2.0011857976838795E-2</v>
      </c>
      <c r="CV59" s="391">
        <f t="shared" ref="CV59" si="339">SUM(CV48:CV58)</f>
        <v>-28110.030000000002</v>
      </c>
      <c r="CW59" s="7">
        <f t="shared" si="80"/>
        <v>-4.4925039513531818E-4</v>
      </c>
      <c r="CX59" s="391">
        <f>SUM(CX48:CX58)</f>
        <v>-634372.15</v>
      </c>
      <c r="CY59" s="7">
        <f t="shared" si="291"/>
        <v>-6.4847207275467974E-3</v>
      </c>
      <c r="CZ59" s="391">
        <f>SUM(CZ48:CZ58)</f>
        <v>-3244917.73</v>
      </c>
      <c r="DA59" s="7">
        <f t="shared" si="81"/>
        <v>-1.264692862672958E-2</v>
      </c>
      <c r="DB59" s="391">
        <f>SUM(DB48:DB58)</f>
        <v>-269199.17</v>
      </c>
      <c r="DC59" s="7">
        <f t="shared" si="250"/>
        <v>-1.4023486360448135E-2</v>
      </c>
      <c r="DD59" s="391">
        <f>SUM(DD48:DD58)</f>
        <v>-241797</v>
      </c>
      <c r="DE59" s="7">
        <f t="shared" si="251"/>
        <v>-9.3116279427320325E-3</v>
      </c>
      <c r="DF59" s="391">
        <f>SUM(DF48:DF58)</f>
        <v>-198023.18000000002</v>
      </c>
      <c r="DG59" s="7">
        <f t="shared" si="252"/>
        <v>-6.3836852589466194E-3</v>
      </c>
      <c r="DH59" s="391">
        <f>SUM(DH48:DH58)</f>
        <v>-709019.35</v>
      </c>
      <c r="DI59" s="7">
        <f t="shared" si="292"/>
        <v>-9.3067046622051421E-3</v>
      </c>
      <c r="DJ59" s="391">
        <f>SUM(DJ48:DJ58)</f>
        <v>-1419284.8775000002</v>
      </c>
      <c r="DK59" s="7">
        <f t="shared" si="254"/>
        <v>-2.6985634789867902E-2</v>
      </c>
      <c r="DL59" s="391">
        <f>SUM(DL48:DL58)</f>
        <v>-285627.86</v>
      </c>
      <c r="DM59" s="7">
        <f t="shared" si="255"/>
        <v>-3.2929262557030471E-2</v>
      </c>
      <c r="DN59" s="391">
        <f>SUM(DN48:DN58)</f>
        <v>-306866.76</v>
      </c>
      <c r="DO59" s="7">
        <f t="shared" si="256"/>
        <v>-1.7881990198519365E-2</v>
      </c>
      <c r="DP59" s="391">
        <f>SUM(DP48:DP58)</f>
        <v>-102600.70999999999</v>
      </c>
      <c r="DQ59" s="7">
        <f t="shared" si="257"/>
        <v>-1.2228126410106031E-3</v>
      </c>
      <c r="DR59" s="391">
        <f>SUM(DR48:DR58)</f>
        <v>-695095.32999999984</v>
      </c>
      <c r="DS59" s="7">
        <f t="shared" si="293"/>
        <v>-6.3340113205823017E-3</v>
      </c>
      <c r="DT59" s="391">
        <f>SUM(DT48:DT58)</f>
        <v>-1404114.6800000002</v>
      </c>
      <c r="DU59" s="7">
        <f t="shared" si="83"/>
        <v>-7.5520950203389389E-3</v>
      </c>
      <c r="DV59" s="391">
        <f>SUM(DV48:DV58)</f>
        <v>-739861.91999999993</v>
      </c>
      <c r="DW59" s="7">
        <f t="shared" si="260"/>
        <v>-1.6254520290919838E-2</v>
      </c>
      <c r="DX59" s="391">
        <f>SUM(DX48:DX58)</f>
        <v>-439923.86000000004</v>
      </c>
      <c r="DY59" s="7">
        <f t="shared" si="261"/>
        <v>-1.701670957056018E-2</v>
      </c>
      <c r="DZ59" s="391">
        <f>SUM(DZ48:DZ58)</f>
        <v>-669206.9</v>
      </c>
      <c r="EA59" s="7">
        <f t="shared" si="262"/>
        <v>-5.4699064898704342E-3</v>
      </c>
      <c r="EB59" s="391">
        <f>SUM(EB48:EB58)</f>
        <v>-1848992.68</v>
      </c>
      <c r="EC59" s="7">
        <f t="shared" si="37"/>
        <v>-9.5450031548414901E-3</v>
      </c>
      <c r="ED59" s="391">
        <f>SUM(ED48:ED58)</f>
        <v>-3253107.3599999994</v>
      </c>
      <c r="EE59" s="7">
        <f t="shared" si="85"/>
        <v>-8.5689940699422828E-3</v>
      </c>
      <c r="EF59" s="391">
        <f>SUM(EF48:EF58)</f>
        <v>-331050.45</v>
      </c>
      <c r="EG59" s="7">
        <f t="shared" si="264"/>
        <v>-2.2403569382307097E-2</v>
      </c>
      <c r="EH59" s="391">
        <f>SUM(EH48:EH58)</f>
        <v>-657431.83000000007</v>
      </c>
      <c r="EI59" s="7">
        <f t="shared" si="265"/>
        <v>-5.1568712648266631E-2</v>
      </c>
      <c r="EJ59" s="391">
        <f>SUM(EJ48:EJ58)</f>
        <v>-433989.5</v>
      </c>
      <c r="EK59" s="7">
        <f t="shared" si="266"/>
        <v>-2.7790795403386083E-3</v>
      </c>
      <c r="EL59" s="391">
        <f>SUM(EL48:EL58)</f>
        <v>-1422471.78</v>
      </c>
      <c r="EM59" s="7">
        <f t="shared" si="39"/>
        <v>-7.7439400559602984E-3</v>
      </c>
      <c r="EN59" s="391">
        <f>SUM(EN48:EN58)</f>
        <v>-4675579.1399999997</v>
      </c>
      <c r="EO59" s="7">
        <f t="shared" si="108"/>
        <v>-8.2999615818793587E-3</v>
      </c>
      <c r="EP59" s="373"/>
      <c r="EQ59" s="373"/>
      <c r="ER59" s="373"/>
      <c r="ES59" s="373"/>
      <c r="ET59" s="391">
        <f>SUM(ET48:ET58)</f>
        <v>-644622</v>
      </c>
      <c r="EU59" s="7">
        <f t="shared" si="269"/>
        <v>-8.7395478605376775E-2</v>
      </c>
      <c r="EV59" s="391">
        <f>SUM(EV48:EV58)</f>
        <v>-490063.81</v>
      </c>
      <c r="EW59" s="7">
        <f t="shared" si="270"/>
        <v>-8.0411888854069968E-2</v>
      </c>
      <c r="EX59" s="391">
        <f>SUM(EX48:EX58)</f>
        <v>-1614445.9599999997</v>
      </c>
      <c r="EY59" s="7">
        <f t="shared" si="271"/>
        <v>-7.0719984273809079E-3</v>
      </c>
      <c r="EZ59" s="391">
        <f>SUM(EZ48:EZ58)</f>
        <v>-2749131.77</v>
      </c>
      <c r="FA59" s="7">
        <f t="shared" si="42"/>
        <v>-1.1371446783492134E-2</v>
      </c>
      <c r="FB59" s="391">
        <f>SUM(FB48:FB58)</f>
        <v>-733620.37999999989</v>
      </c>
      <c r="FC59" s="7">
        <f t="shared" si="273"/>
        <v>-8.0956094936548248E-2</v>
      </c>
      <c r="FD59" s="391">
        <f t="shared" ref="FD59" si="340">SUM(FD48:FD58)</f>
        <v>-722788.00999999989</v>
      </c>
      <c r="FE59" s="7">
        <f t="shared" si="200"/>
        <v>-6.8671012486937787E-3</v>
      </c>
      <c r="FF59" s="391">
        <f t="shared" ref="FF59" si="341">SUM(FF48:FF58)</f>
        <v>-477869.84</v>
      </c>
      <c r="FG59" s="7">
        <f t="shared" si="44"/>
        <v>-2.9740129893736076E-3</v>
      </c>
      <c r="FH59" s="391">
        <f>SUM(FH48:FH58)</f>
        <v>-1934278.2300000002</v>
      </c>
      <c r="FI59" s="7">
        <f t="shared" si="46"/>
        <v>-7.0338027349709361E-3</v>
      </c>
      <c r="FJ59" s="391">
        <f>SUM(FJ48:FJ58)</f>
        <v>-4683410</v>
      </c>
      <c r="FK59" s="7">
        <f t="shared" si="89"/>
        <v>-9.0631160567308262E-3</v>
      </c>
      <c r="FL59" s="391">
        <f>SUM(FL48:FL58)</f>
        <v>-494963.64</v>
      </c>
      <c r="FM59" s="7">
        <f t="shared" si="276"/>
        <v>-4.5267006060627349E-2</v>
      </c>
      <c r="FN59" s="391">
        <f t="shared" ref="FN59" si="342">SUM(FN48:FN58)</f>
        <v>-654924.89999999991</v>
      </c>
      <c r="FO59" s="7">
        <f t="shared" si="48"/>
        <v>-0.13707021235148456</v>
      </c>
      <c r="FP59" s="391">
        <f t="shared" ref="FP59" si="343">SUM(FP48:FP58)</f>
        <v>-658275.35</v>
      </c>
      <c r="FQ59" s="7">
        <f t="shared" si="49"/>
        <v>-2.3795158607558859E-3</v>
      </c>
      <c r="FR59" s="391">
        <f>SUM(FR48:FR58)</f>
        <v>-1808163.8900000001</v>
      </c>
      <c r="FS59" s="7">
        <f t="shared" si="51"/>
        <v>-6.1848250973095421E-3</v>
      </c>
      <c r="FT59" s="391">
        <f>SUM(FT48:FT58)</f>
        <v>-6491573.8899999997</v>
      </c>
      <c r="FU59" s="7">
        <f t="shared" si="90"/>
        <v>-8.023105895471094E-3</v>
      </c>
      <c r="FV59" s="391">
        <f>SUM(FV48:FV58)</f>
        <v>-365008.07</v>
      </c>
      <c r="FW59" s="7">
        <f t="shared" si="279"/>
        <v>-1.3153472427604299E-2</v>
      </c>
      <c r="FX59" s="391">
        <f t="shared" ref="FX59" si="344">SUM(FX48:FX58)</f>
        <v>-573937.19999999995</v>
      </c>
      <c r="FY59" s="7">
        <f t="shared" si="53"/>
        <v>-2.2357132658965599E-2</v>
      </c>
      <c r="FZ59" s="391">
        <f t="shared" ref="FZ59" si="345">SUM(FZ48:FZ58)</f>
        <v>-485747.12999999995</v>
      </c>
      <c r="GA59" s="7">
        <f t="shared" si="54"/>
        <v>-1.6801500163348487E-3</v>
      </c>
      <c r="GB59" s="391">
        <f>SUM(GB48:GB58)</f>
        <v>-1424692.4000000001</v>
      </c>
      <c r="GC59" s="7">
        <f t="shared" si="56"/>
        <v>-4.1593136943866398E-3</v>
      </c>
      <c r="GD59" s="391">
        <f>SUM(GD48:GD58)</f>
        <v>-7916266.290000001</v>
      </c>
      <c r="GE59" s="7">
        <f t="shared" si="91"/>
        <v>-6.8739041647678254E-3</v>
      </c>
      <c r="GF59" s="571">
        <f t="shared" ref="GF59" si="346">SUM(GF48:GF58)</f>
        <v>0</v>
      </c>
      <c r="GG59" s="525">
        <f t="shared" si="58"/>
        <v>0</v>
      </c>
      <c r="GH59" s="541">
        <f>SUM(GH48:GH58)</f>
        <v>0</v>
      </c>
      <c r="GI59" s="525">
        <f t="shared" si="60"/>
        <v>0</v>
      </c>
      <c r="GJ59" s="541">
        <f>SUM(GJ48:GJ58)</f>
        <v>0</v>
      </c>
      <c r="GK59" s="525">
        <f t="shared" si="61"/>
        <v>0</v>
      </c>
      <c r="GL59" s="541">
        <f>SUM(GL48:GL58)</f>
        <v>-7916266.290000001</v>
      </c>
      <c r="GM59" s="565">
        <f t="shared" si="92"/>
        <v>-6.8312246759160873E-3</v>
      </c>
      <c r="GN59" s="378"/>
      <c r="GO59" s="590">
        <f t="shared" ref="GO59" si="347">SUM(GO48:GO58)</f>
        <v>0</v>
      </c>
      <c r="GP59" s="378"/>
      <c r="GQ59" s="590">
        <f t="shared" ref="GQ59" si="348">SUM(GQ48:GQ58)</f>
        <v>0</v>
      </c>
      <c r="GT59" s="551">
        <f t="shared" si="182"/>
        <v>-1622871.3095512628</v>
      </c>
      <c r="GU59" s="551">
        <f t="shared" si="94"/>
        <v>-1901398.4904487382</v>
      </c>
      <c r="GV59" s="550">
        <f t="shared" si="294"/>
        <v>-3524269.8000000007</v>
      </c>
      <c r="GW59" s="540">
        <f>SUM(GW48:GW58)</f>
        <v>-8207679.8000000007</v>
      </c>
      <c r="GX59" s="525">
        <f t="shared" si="285"/>
        <v>-6.9314887475739268E-3</v>
      </c>
      <c r="GY59" s="541">
        <f>SUM(GY48:GY58)</f>
        <v>-8207679.8000000007</v>
      </c>
      <c r="GZ59" s="525">
        <f t="shared" si="286"/>
        <v>-9.1176166036834889E-3</v>
      </c>
      <c r="HA59" s="541">
        <f>SUM(HA48:HA58)</f>
        <v>-8207679.8000000007</v>
      </c>
      <c r="HB59" s="526">
        <f t="shared" si="287"/>
        <v>-1.1275278852953369E-2</v>
      </c>
      <c r="HD59" s="540">
        <v>-8207679.8000000007</v>
      </c>
      <c r="HE59" s="525">
        <v>-6.9091944115973183E-3</v>
      </c>
      <c r="HF59" s="541">
        <v>-8207679.8000000007</v>
      </c>
      <c r="HG59" s="525">
        <v>-9.1176166036834889E-3</v>
      </c>
      <c r="HH59" s="541">
        <v>-8207679.8000000007</v>
      </c>
      <c r="HI59" s="526">
        <v>-1.1275278852953369E-2</v>
      </c>
      <c r="HJ59" s="373" t="s">
        <v>724</v>
      </c>
    </row>
    <row r="60" spans="1:218" ht="15" customHeight="1" outlineLevel="1">
      <c r="A60" s="386" t="s">
        <v>56</v>
      </c>
      <c r="B60" s="386" t="s">
        <v>14</v>
      </c>
      <c r="C60" s="375">
        <v>-5961350.9800000004</v>
      </c>
      <c r="D60" s="4"/>
      <c r="E60" s="375">
        <v>-1666636.91</v>
      </c>
      <c r="F60" s="4"/>
      <c r="G60" s="375">
        <v>-564126.57999999984</v>
      </c>
      <c r="H60" s="375">
        <v>-534066.81000000006</v>
      </c>
      <c r="I60" s="4"/>
      <c r="J60" s="375">
        <v>-564126.57999999984</v>
      </c>
      <c r="K60" s="375">
        <v>-642102.03</v>
      </c>
      <c r="L60" s="4"/>
      <c r="M60" s="375">
        <v>-564126.57999999984</v>
      </c>
      <c r="N60" s="375">
        <v>-524242.53</v>
      </c>
      <c r="O60" s="4"/>
      <c r="P60" s="375">
        <f t="shared" si="13"/>
        <v>-1692379.7399999995</v>
      </c>
      <c r="Q60" s="375">
        <f t="shared" si="13"/>
        <v>-1700411.37</v>
      </c>
      <c r="R60" s="7">
        <f t="shared" si="64"/>
        <v>-4.675560239340857E-2</v>
      </c>
      <c r="S60" s="375">
        <v>-594368.81999999995</v>
      </c>
      <c r="T60" s="375">
        <v>-594368.81999999995</v>
      </c>
      <c r="U60" s="4"/>
      <c r="V60" s="375">
        <v>-579923.93999999994</v>
      </c>
      <c r="W60" s="375">
        <v>-579923.93999999994</v>
      </c>
      <c r="X60" s="4"/>
      <c r="Y60" s="375">
        <v>-660228.23</v>
      </c>
      <c r="Z60" s="375">
        <v>-660228.23</v>
      </c>
      <c r="AA60" s="4"/>
      <c r="AB60" s="375">
        <f t="shared" si="224"/>
        <v>-1834520.9899999998</v>
      </c>
      <c r="AC60" s="375">
        <f>+T60+W60+Z60</f>
        <v>-1834520.9899999998</v>
      </c>
      <c r="AD60" s="7">
        <f t="shared" si="65"/>
        <v>-4.9464889367967536E-2</v>
      </c>
      <c r="AE60" s="375">
        <f t="shared" ref="AE60:AE68" si="349">+Q60+AB60</f>
        <v>-3534932.36</v>
      </c>
      <c r="AF60" s="375">
        <f t="shared" ref="AF60:AF68" si="350">+AC60+Q60</f>
        <v>-3534932.36</v>
      </c>
      <c r="AG60" s="4"/>
      <c r="AH60" s="375">
        <v>-570991.57999999996</v>
      </c>
      <c r="AI60" s="375">
        <v>-570991.57999999996</v>
      </c>
      <c r="AJ60" s="4"/>
      <c r="AK60" s="375">
        <v>-47528.65</v>
      </c>
      <c r="AL60" s="375">
        <v>-47528.65</v>
      </c>
      <c r="AM60" s="4"/>
      <c r="AN60" s="375">
        <v>-460181.54</v>
      </c>
      <c r="AO60" s="375">
        <v>-460181.54</v>
      </c>
      <c r="AP60" s="4"/>
      <c r="AQ60" s="375">
        <f t="shared" ref="AQ60:AQ68" si="351">AN60+AK60+AH60</f>
        <v>-1078701.77</v>
      </c>
      <c r="AR60" s="375">
        <f t="shared" ref="AR60:AR68" si="352">AO60+AL60+AI60</f>
        <v>-1078701.77</v>
      </c>
      <c r="AS60" s="7">
        <f t="shared" si="68"/>
        <v>-4.0518208609856998E-2</v>
      </c>
      <c r="AT60" s="375">
        <f t="shared" ref="AT60:AT68" si="353">+AF60+AR60</f>
        <v>-4613634.13</v>
      </c>
      <c r="AU60" s="4"/>
      <c r="AV60" s="375">
        <v>-535982.17999999993</v>
      </c>
      <c r="AW60" s="375">
        <v>-478632.57</v>
      </c>
      <c r="AX60" s="4"/>
      <c r="AY60" s="375">
        <v>-535982.17999999993</v>
      </c>
      <c r="AZ60" s="375">
        <v>-659690.4</v>
      </c>
      <c r="BA60" s="4"/>
      <c r="BB60" s="375">
        <v>-551397.12874999992</v>
      </c>
      <c r="BC60" s="375">
        <v>-703711.7</v>
      </c>
      <c r="BD60" s="448"/>
      <c r="BE60" s="375">
        <f t="shared" ref="BE60:BE68" si="354">BB60+AY60+AV60</f>
        <v>-1623361.4887499998</v>
      </c>
      <c r="BF60" s="375">
        <f t="shared" ref="BF60:BF68" si="355">BC60+AZ60+AW60</f>
        <v>-1842034.6700000002</v>
      </c>
      <c r="BG60" s="7">
        <f t="shared" si="71"/>
        <v>-5.8664145820436074E-2</v>
      </c>
      <c r="BH60" s="375">
        <f t="shared" ref="BH60:BH68" si="356">Q60+AB60+AQ60+BE60</f>
        <v>-6236995.6187499994</v>
      </c>
      <c r="BI60" s="388">
        <f t="shared" ref="BI60:BI68" si="357">Q60+AC60+AR60+BF60</f>
        <v>-6455668.7999999998</v>
      </c>
      <c r="BJ60" s="7">
        <f t="shared" si="72"/>
        <v>-4.9100856248648281E-2</v>
      </c>
      <c r="BK60" s="375">
        <v>-7450501.3200000012</v>
      </c>
      <c r="BL60" s="282"/>
      <c r="BN60" s="375">
        <v>-725990.5</v>
      </c>
      <c r="BO60" s="4"/>
      <c r="BP60" s="375">
        <v>-714894</v>
      </c>
      <c r="BQ60" s="4"/>
      <c r="BR60" s="375">
        <v>-728266.49</v>
      </c>
      <c r="BS60" s="4"/>
      <c r="BT60" s="375">
        <f t="shared" ref="BT60:BT68" si="358">SUM(BN60:BS60)</f>
        <v>-2169150.9900000002</v>
      </c>
      <c r="BU60" s="7">
        <f t="shared" si="73"/>
        <v>-4.000979296299783E-2</v>
      </c>
      <c r="BV60" s="375">
        <v>-30578.5</v>
      </c>
      <c r="BW60" s="7"/>
      <c r="BX60" s="375">
        <v>-408299</v>
      </c>
      <c r="BY60" s="7"/>
      <c r="BZ60" s="375">
        <v>-414285.38</v>
      </c>
      <c r="CA60" s="7"/>
      <c r="CB60" s="375">
        <f t="shared" ref="CB60:CB68" si="359">+BV60+BX60+BZ60</f>
        <v>-853162.88</v>
      </c>
      <c r="CC60" s="7">
        <f t="shared" si="158"/>
        <v>-2.4914979620133244E-2</v>
      </c>
      <c r="CD60" s="375">
        <f t="shared" si="238"/>
        <v>-3022313.87</v>
      </c>
      <c r="CE60" s="7">
        <f t="shared" si="75"/>
        <v>-3.4166472086657948E-2</v>
      </c>
      <c r="CF60" s="375">
        <v>-390513.5</v>
      </c>
      <c r="CG60" s="7">
        <f t="shared" si="76"/>
        <v>-7.7315714169666927E-2</v>
      </c>
      <c r="CH60" s="375">
        <v>-429684.45</v>
      </c>
      <c r="CI60" s="7">
        <f t="shared" si="76"/>
        <v>-1.1587972429465672E-2</v>
      </c>
      <c r="CJ60" s="375">
        <v>-492613.33</v>
      </c>
      <c r="CK60" s="7">
        <f t="shared" si="76"/>
        <v>-1.7491950655424655E-2</v>
      </c>
      <c r="CL60" s="375">
        <f>+CF60+CH60+CJ60</f>
        <v>-1312811.28</v>
      </c>
      <c r="CM60" s="7">
        <f t="shared" si="76"/>
        <v>-1.8676169444159698E-2</v>
      </c>
      <c r="CN60" s="375">
        <f t="shared" si="288"/>
        <v>-4335125.1500000004</v>
      </c>
      <c r="CO60" s="7">
        <f t="shared" si="241"/>
        <v>-2.730755472859096E-2</v>
      </c>
      <c r="CP60" s="472">
        <v>-448358</v>
      </c>
      <c r="CQ60" s="7">
        <f t="shared" si="290"/>
        <v>-2.2886974013844007E-2</v>
      </c>
      <c r="CR60" s="375">
        <f t="shared" ref="CR60:CR68" si="360">+CN60+CP60</f>
        <v>-4783483.1500000004</v>
      </c>
      <c r="CS60" s="7">
        <f t="shared" si="244"/>
        <v>-2.6821972992161887E-2</v>
      </c>
      <c r="CT60" s="375">
        <v>-477587</v>
      </c>
      <c r="CU60" s="7">
        <f t="shared" ref="CU60:CU61" si="361">+CT60/CT$8</f>
        <v>-3.048827613213697E-2</v>
      </c>
      <c r="CV60" s="375">
        <v>-1115374.05</v>
      </c>
      <c r="CW60" s="7">
        <f>+CV60/CV$8</f>
        <v>-1.7825745212160217E-2</v>
      </c>
      <c r="CX60" s="375">
        <f t="shared" ref="CX60:CX68" si="362">+CV60+CT60+CP60</f>
        <v>-2041319.05</v>
      </c>
      <c r="CY60" s="7">
        <f t="shared" si="291"/>
        <v>-2.0866905892812503E-2</v>
      </c>
      <c r="CZ60" s="375">
        <f t="shared" ref="CZ60:CZ68" si="363">+CD60+CL60+CX60</f>
        <v>-6376444.2000000002</v>
      </c>
      <c r="DA60" s="7">
        <f t="shared" si="81"/>
        <v>-2.4851919647813012E-2</v>
      </c>
      <c r="DB60" s="375">
        <v>-442730.4</v>
      </c>
      <c r="DC60" s="7">
        <f t="shared" si="250"/>
        <v>-2.3063309317616944E-2</v>
      </c>
      <c r="DD60" s="375">
        <v>-424576</v>
      </c>
      <c r="DE60" s="7">
        <f t="shared" si="251"/>
        <v>-1.6350466488059802E-2</v>
      </c>
      <c r="DF60" s="72">
        <v>-490119.04</v>
      </c>
      <c r="DG60" s="7">
        <f t="shared" si="252"/>
        <v>-1.579999720627185E-2</v>
      </c>
      <c r="DH60" s="375">
        <f>+DB60+DD60+DF60</f>
        <v>-1357425.44</v>
      </c>
      <c r="DI60" s="7">
        <f t="shared" si="292"/>
        <v>-1.7817789699313375E-2</v>
      </c>
      <c r="DJ60" s="375">
        <v>-1663824.2017305843</v>
      </c>
      <c r="DK60" s="7">
        <f t="shared" si="254"/>
        <v>-3.1635193874208697E-2</v>
      </c>
      <c r="DL60" s="72">
        <v>-464718</v>
      </c>
      <c r="DM60" s="7">
        <f t="shared" si="255"/>
        <v>-5.3576079857819502E-2</v>
      </c>
      <c r="DN60" s="72">
        <v>-486032</v>
      </c>
      <c r="DO60" s="7">
        <f t="shared" si="256"/>
        <v>-2.8322453237251126E-2</v>
      </c>
      <c r="DP60" s="72">
        <v>-528958.38</v>
      </c>
      <c r="DQ60" s="7">
        <f t="shared" si="257"/>
        <v>-6.3042155715344484E-3</v>
      </c>
      <c r="DR60" s="375">
        <f>+DL60+DN60+DP60</f>
        <v>-1479708.38</v>
      </c>
      <c r="DS60" s="7">
        <f t="shared" si="293"/>
        <v>-1.3483747085569544E-2</v>
      </c>
      <c r="DT60" s="375">
        <f t="shared" si="259"/>
        <v>-2837133.82</v>
      </c>
      <c r="DU60" s="7">
        <f t="shared" si="83"/>
        <v>-1.5259654000666945E-2</v>
      </c>
      <c r="DV60" s="375">
        <v>-622508.5</v>
      </c>
      <c r="DW60" s="7">
        <f t="shared" si="260"/>
        <v>-1.367630468739366E-2</v>
      </c>
      <c r="DX60" s="375">
        <v>-578610.25</v>
      </c>
      <c r="DY60" s="7">
        <f t="shared" si="261"/>
        <v>-2.2381242469547386E-2</v>
      </c>
      <c r="DZ60" s="375">
        <v>-577220.72</v>
      </c>
      <c r="EA60" s="7">
        <f t="shared" si="262"/>
        <v>-4.7180376687922443E-3</v>
      </c>
      <c r="EB60" s="375">
        <f>+DV60+DX60+DZ60</f>
        <v>-1778339.47</v>
      </c>
      <c r="EC60" s="7">
        <f t="shared" si="37"/>
        <v>-9.1802720665877073E-3</v>
      </c>
      <c r="ED60" s="375">
        <f t="shared" ref="ED60:ED68" si="364">+EB60+DT60</f>
        <v>-4615473.29</v>
      </c>
      <c r="EE60" s="7">
        <f t="shared" si="85"/>
        <v>-1.215759545420813E-2</v>
      </c>
      <c r="EF60" s="375">
        <v>-608539.5</v>
      </c>
      <c r="EG60" s="7">
        <f t="shared" si="264"/>
        <v>-4.1182414674634849E-2</v>
      </c>
      <c r="EH60" s="375">
        <v>-595847</v>
      </c>
      <c r="EI60" s="7">
        <f t="shared" si="265"/>
        <v>-4.6738021074111555E-2</v>
      </c>
      <c r="EJ60" s="375">
        <v>-2101721.67</v>
      </c>
      <c r="EK60" s="7">
        <f t="shared" si="266"/>
        <v>-1.3458509232558142E-2</v>
      </c>
      <c r="EL60" s="375">
        <f>+EF60+EH60+EJ60</f>
        <v>-3306108.17</v>
      </c>
      <c r="EM60" s="7">
        <f t="shared" si="39"/>
        <v>-1.7998461443643261E-2</v>
      </c>
      <c r="EN60" s="375">
        <f t="shared" ref="EN60:EN68" si="365">+EL60+ED60</f>
        <v>-7921581.46</v>
      </c>
      <c r="EO60" s="7">
        <f t="shared" si="108"/>
        <v>-1.4062177073047641E-2</v>
      </c>
      <c r="EP60" s="373"/>
      <c r="EQ60" s="373"/>
      <c r="ER60" s="373"/>
      <c r="ES60" s="373"/>
      <c r="ET60" s="375">
        <v>-1599588</v>
      </c>
      <c r="EU60" s="7">
        <f t="shared" si="269"/>
        <v>-0.21686625469099322</v>
      </c>
      <c r="EV60" s="375">
        <v>-2063607.42</v>
      </c>
      <c r="EW60" s="7">
        <f t="shared" si="270"/>
        <v>-0.33860604906833269</v>
      </c>
      <c r="EX60" s="375">
        <v>-1550335.02</v>
      </c>
      <c r="EY60" s="7">
        <f t="shared" si="271"/>
        <v>-6.7911637149834052E-3</v>
      </c>
      <c r="EZ60" s="375">
        <f>+ET60+EV60+EX60</f>
        <v>-5213530.4399999995</v>
      </c>
      <c r="FA60" s="7">
        <f t="shared" si="42"/>
        <v>-2.156512998013781E-2</v>
      </c>
      <c r="FB60" s="375">
        <v>-1546854.5</v>
      </c>
      <c r="FC60" s="7">
        <f t="shared" si="273"/>
        <v>-0.17069768393706139</v>
      </c>
      <c r="FD60" s="375">
        <v>-1972302.68</v>
      </c>
      <c r="FE60" s="7">
        <f t="shared" si="200"/>
        <v>-1.8738554056299424E-2</v>
      </c>
      <c r="FF60" s="375">
        <v>-1615419.12</v>
      </c>
      <c r="FG60" s="7">
        <f t="shared" si="44"/>
        <v>-1.0053527224405882E-2</v>
      </c>
      <c r="FH60" s="375">
        <f>+FB60+FD60+FF60</f>
        <v>-5134576.3</v>
      </c>
      <c r="FI60" s="7">
        <f t="shared" si="46"/>
        <v>-1.8671355682815572E-2</v>
      </c>
      <c r="FJ60" s="375">
        <f t="shared" ref="FJ60:FJ68" si="366">EZ60+FH60</f>
        <v>-10348106.739999998</v>
      </c>
      <c r="FK60" s="7">
        <f t="shared" si="89"/>
        <v>-2.0025172332138005E-2</v>
      </c>
      <c r="FL60" s="375">
        <v>-1621730.33</v>
      </c>
      <c r="FM60" s="7">
        <f t="shared" si="276"/>
        <v>-0.14831569582932028</v>
      </c>
      <c r="FN60" s="375">
        <v>-1698872.83</v>
      </c>
      <c r="FO60" s="7">
        <f t="shared" si="48"/>
        <v>-0.35555963678624458</v>
      </c>
      <c r="FP60" s="375">
        <v>-2023109.83</v>
      </c>
      <c r="FQ60" s="7">
        <f t="shared" si="49"/>
        <v>-7.313082479142116E-3</v>
      </c>
      <c r="FR60" s="375">
        <f>+FL60+FN60+FP60</f>
        <v>-5343712.99</v>
      </c>
      <c r="FS60" s="7">
        <f t="shared" si="51"/>
        <v>-1.8278171794134775E-2</v>
      </c>
      <c r="FT60" s="375">
        <f t="shared" ref="FT60:FT68" si="367">FJ60+FR60</f>
        <v>-15691819.729999999</v>
      </c>
      <c r="FU60" s="7">
        <f t="shared" si="90"/>
        <v>-1.9393930273268845E-2</v>
      </c>
      <c r="FV60" s="375">
        <v>-1509983.56</v>
      </c>
      <c r="FW60" s="7">
        <f t="shared" si="279"/>
        <v>-5.4413939731786702E-2</v>
      </c>
      <c r="FX60" s="375">
        <v>-1763319.83</v>
      </c>
      <c r="FY60" s="7">
        <f t="shared" si="53"/>
        <v>-6.8688308336686779E-2</v>
      </c>
      <c r="FZ60" s="375">
        <v>-5775579.3399999999</v>
      </c>
      <c r="GA60" s="7">
        <f t="shared" si="54"/>
        <v>-1.9977142680069393E-2</v>
      </c>
      <c r="GB60" s="375">
        <f>+FV60+FX60+FZ60</f>
        <v>-9048882.7300000004</v>
      </c>
      <c r="GC60" s="7">
        <f t="shared" si="56"/>
        <v>-2.6417731896223883E-2</v>
      </c>
      <c r="GD60" s="375">
        <f t="shared" ref="GD60:GD68" si="368">FT60+GB60</f>
        <v>-24740702.460000001</v>
      </c>
      <c r="GE60" s="7">
        <f t="shared" si="91"/>
        <v>-2.1483008712567649E-2</v>
      </c>
      <c r="GF60" s="616">
        <f t="shared" si="282"/>
        <v>-146655.1</v>
      </c>
      <c r="GG60" s="525">
        <f t="shared" si="58"/>
        <v>-1.1380712389728247E-2</v>
      </c>
      <c r="GH60" s="629">
        <f t="shared" ref="GH60" si="369">+GQ60*$GO$1</f>
        <v>0</v>
      </c>
      <c r="GI60" s="525">
        <f t="shared" si="60"/>
        <v>0</v>
      </c>
      <c r="GJ60" s="629">
        <f t="shared" ref="GJ60" si="370">+GS60*$GO$1</f>
        <v>0</v>
      </c>
      <c r="GK60" s="525">
        <f t="shared" si="61"/>
        <v>0</v>
      </c>
      <c r="GL60" s="528">
        <f t="shared" si="284"/>
        <v>-24887357.560000002</v>
      </c>
      <c r="GM60" s="565">
        <f t="shared" si="92"/>
        <v>-2.1476176375847859E-2</v>
      </c>
      <c r="GN60" s="378"/>
      <c r="GO60" s="617">
        <f>-'KSA IS'!B18</f>
        <v>-12000</v>
      </c>
      <c r="GP60" s="378"/>
      <c r="GQ60" s="617"/>
      <c r="GT60" s="551">
        <f t="shared" si="182"/>
        <v>-4607613.951377105</v>
      </c>
      <c r="GU60" s="551">
        <f t="shared" si="94"/>
        <v>-5398401.0686228955</v>
      </c>
      <c r="GV60" s="550">
        <f t="shared" si="294"/>
        <v>-10006015.02</v>
      </c>
      <c r="GW60" s="527">
        <f>+EZ60*4+500000</f>
        <v>-20354121.759999998</v>
      </c>
      <c r="GX60" s="525">
        <f t="shared" si="285"/>
        <v>-1.7189311642760427E-2</v>
      </c>
      <c r="GY60" s="528">
        <f>+GW60</f>
        <v>-20354121.759999998</v>
      </c>
      <c r="GZ60" s="525">
        <f t="shared" si="286"/>
        <v>-2.2610662578768165E-2</v>
      </c>
      <c r="HA60" s="528">
        <f>+GY60</f>
        <v>-20354121.759999998</v>
      </c>
      <c r="HB60" s="526">
        <f t="shared" si="287"/>
        <v>-2.7961422014899508E-2</v>
      </c>
      <c r="HD60" s="527">
        <v>-20354121.759999998</v>
      </c>
      <c r="HE60" s="525">
        <v>-1.7134024199769993E-2</v>
      </c>
      <c r="HF60" s="528">
        <v>-20354121.759999998</v>
      </c>
      <c r="HG60" s="525">
        <v>-2.2610662578768165E-2</v>
      </c>
      <c r="HH60" s="528">
        <v>-20354121.759999998</v>
      </c>
      <c r="HI60" s="526">
        <v>-2.7961422014899508E-2</v>
      </c>
    </row>
    <row r="61" spans="1:218" ht="15" customHeight="1" outlineLevel="1">
      <c r="A61" s="386" t="s">
        <v>56</v>
      </c>
      <c r="B61" s="386" t="s">
        <v>49</v>
      </c>
      <c r="C61" s="375">
        <v>-726550.05</v>
      </c>
      <c r="D61" s="4"/>
      <c r="E61" s="375">
        <v>-255072.4</v>
      </c>
      <c r="F61" s="4"/>
      <c r="G61" s="375"/>
      <c r="H61" s="375">
        <v>-31821.200000000001</v>
      </c>
      <c r="I61" s="4"/>
      <c r="J61" s="375"/>
      <c r="K61" s="375">
        <v>-56124.55</v>
      </c>
      <c r="L61" s="4"/>
      <c r="M61" s="375"/>
      <c r="N61" s="375">
        <v>-41829.379999999997</v>
      </c>
      <c r="O61" s="4"/>
      <c r="P61" s="375">
        <f t="shared" si="13"/>
        <v>0</v>
      </c>
      <c r="Q61" s="375">
        <f t="shared" si="13"/>
        <v>-129775.13</v>
      </c>
      <c r="R61" s="7">
        <f t="shared" si="64"/>
        <v>-3.5683802672014054E-3</v>
      </c>
      <c r="S61" s="375">
        <v>-50651.67</v>
      </c>
      <c r="T61" s="375">
        <v>-50651.67</v>
      </c>
      <c r="U61" s="4"/>
      <c r="V61" s="375">
        <v>-50629.75</v>
      </c>
      <c r="W61" s="375">
        <v>-50629.75</v>
      </c>
      <c r="X61" s="4"/>
      <c r="Y61" s="375">
        <v>-48155.95</v>
      </c>
      <c r="Z61" s="375">
        <v>-48155.95</v>
      </c>
      <c r="AA61" s="4"/>
      <c r="AB61" s="375">
        <f t="shared" si="224"/>
        <v>-149437.37</v>
      </c>
      <c r="AC61" s="375">
        <f t="shared" ref="AC61:AC81" si="371">+T61+W61+Z61</f>
        <v>-149437.37</v>
      </c>
      <c r="AD61" s="7">
        <f t="shared" si="65"/>
        <v>-4.0293368213192432E-3</v>
      </c>
      <c r="AE61" s="375">
        <f t="shared" si="349"/>
        <v>-279212.5</v>
      </c>
      <c r="AF61" s="375">
        <f t="shared" si="350"/>
        <v>-279212.5</v>
      </c>
      <c r="AG61" s="4"/>
      <c r="AH61" s="375">
        <v>-174180.76</v>
      </c>
      <c r="AI61" s="375">
        <v>-174180.76</v>
      </c>
      <c r="AJ61" s="4"/>
      <c r="AK61" s="375">
        <v>80597.58</v>
      </c>
      <c r="AL61" s="375">
        <v>80597.58</v>
      </c>
      <c r="AM61" s="4"/>
      <c r="AN61" s="375">
        <v>-43741.08</v>
      </c>
      <c r="AO61" s="375">
        <v>-43741.08</v>
      </c>
      <c r="AP61" s="4"/>
      <c r="AQ61" s="375">
        <f t="shared" si="351"/>
        <v>-137324.26</v>
      </c>
      <c r="AR61" s="375">
        <f t="shared" si="352"/>
        <v>-137324.26</v>
      </c>
      <c r="AS61" s="7">
        <f t="shared" si="68"/>
        <v>-5.1581754740925665E-3</v>
      </c>
      <c r="AT61" s="375">
        <f t="shared" si="353"/>
        <v>-416536.76</v>
      </c>
      <c r="AU61" s="4"/>
      <c r="AV61" s="375"/>
      <c r="AW61" s="375">
        <v>-56524.57</v>
      </c>
      <c r="AX61" s="4"/>
      <c r="AY61" s="375"/>
      <c r="AZ61" s="375">
        <v>-55855.73</v>
      </c>
      <c r="BA61" s="4"/>
      <c r="BB61" s="375"/>
      <c r="BC61" s="375">
        <v>-59284.65</v>
      </c>
      <c r="BD61" s="448"/>
      <c r="BE61" s="375">
        <f t="shared" si="354"/>
        <v>0</v>
      </c>
      <c r="BF61" s="375">
        <f t="shared" si="355"/>
        <v>-171664.95</v>
      </c>
      <c r="BG61" s="7">
        <f t="shared" si="71"/>
        <v>-5.4670945249135116E-3</v>
      </c>
      <c r="BH61" s="375">
        <f t="shared" si="356"/>
        <v>-416536.76</v>
      </c>
      <c r="BI61" s="388">
        <f t="shared" si="357"/>
        <v>-588201.71</v>
      </c>
      <c r="BJ61" s="7">
        <f t="shared" si="72"/>
        <v>-4.4737746781432003E-3</v>
      </c>
      <c r="BK61" s="375">
        <v>0</v>
      </c>
      <c r="BL61" s="282"/>
      <c r="BN61" s="375">
        <v>-53908.33</v>
      </c>
      <c r="BO61" s="4"/>
      <c r="BP61" s="375">
        <v>-50933.89</v>
      </c>
      <c r="BQ61" s="4"/>
      <c r="BR61" s="375">
        <v>-54252.99</v>
      </c>
      <c r="BS61" s="4"/>
      <c r="BT61" s="375">
        <f t="shared" si="358"/>
        <v>-159095.21</v>
      </c>
      <c r="BU61" s="7">
        <f t="shared" si="73"/>
        <v>-2.9344966961035116E-3</v>
      </c>
      <c r="BV61" s="375">
        <v>-37455.78</v>
      </c>
      <c r="BW61" s="7"/>
      <c r="BX61" s="375">
        <v>-31250.17</v>
      </c>
      <c r="BY61" s="7"/>
      <c r="BZ61" s="375">
        <v>-31512.48</v>
      </c>
      <c r="CA61" s="7"/>
      <c r="CB61" s="375">
        <f t="shared" si="359"/>
        <v>-100218.43</v>
      </c>
      <c r="CC61" s="7">
        <f t="shared" si="158"/>
        <v>-2.9266863333432297E-3</v>
      </c>
      <c r="CD61" s="375">
        <f t="shared" si="238"/>
        <v>-259313.63999999998</v>
      </c>
      <c r="CE61" s="7">
        <f t="shared" si="75"/>
        <v>-2.9314732432967551E-3</v>
      </c>
      <c r="CF61" s="375">
        <v>-31855.759999999998</v>
      </c>
      <c r="CG61" s="7">
        <f t="shared" si="76"/>
        <v>-6.3069543941951019E-3</v>
      </c>
      <c r="CH61" s="375">
        <v>-31598.11</v>
      </c>
      <c r="CI61" s="7">
        <f t="shared" si="76"/>
        <v>-8.5215564003589966E-4</v>
      </c>
      <c r="CJ61" s="375">
        <v>-33086.57</v>
      </c>
      <c r="CK61" s="7">
        <f t="shared" si="76"/>
        <v>-1.1748538144456093E-3</v>
      </c>
      <c r="CL61" s="375">
        <f>+CF61+CH61+CJ61</f>
        <v>-96540.44</v>
      </c>
      <c r="CM61" s="7">
        <f t="shared" si="76"/>
        <v>-1.3733928426130926E-3</v>
      </c>
      <c r="CN61" s="375">
        <f t="shared" si="288"/>
        <v>-355854.07999999996</v>
      </c>
      <c r="CO61" s="7">
        <f t="shared" si="241"/>
        <v>-2.2415742172962145E-3</v>
      </c>
      <c r="CP61" s="472">
        <v>-31096.03</v>
      </c>
      <c r="CQ61" s="7">
        <f t="shared" si="290"/>
        <v>-1.5873342965748657E-3</v>
      </c>
      <c r="CR61" s="375">
        <f t="shared" si="360"/>
        <v>-386950.11</v>
      </c>
      <c r="CS61" s="7">
        <f t="shared" si="244"/>
        <v>-2.1697087821317129E-3</v>
      </c>
      <c r="CT61" s="375">
        <v>-28955.15</v>
      </c>
      <c r="CU61" s="7">
        <f t="shared" si="361"/>
        <v>-1.8484435477670997E-3</v>
      </c>
      <c r="CV61" s="375">
        <v>-29327.14</v>
      </c>
      <c r="CW61" s="7">
        <f>+CV61/CV$8</f>
        <v>-4.6870206944598752E-4</v>
      </c>
      <c r="CX61" s="375">
        <f t="shared" si="362"/>
        <v>-89378.32</v>
      </c>
      <c r="CY61" s="7">
        <f t="shared" si="291"/>
        <v>-9.1364894297032181E-4</v>
      </c>
      <c r="CZ61" s="375">
        <f t="shared" si="363"/>
        <v>-445232.39999999997</v>
      </c>
      <c r="DA61" s="7">
        <f t="shared" si="81"/>
        <v>-1.7352743131356723E-3</v>
      </c>
      <c r="DB61" s="375">
        <v>-32517.4</v>
      </c>
      <c r="DC61" s="7">
        <f t="shared" si="250"/>
        <v>-1.6939402724653134E-3</v>
      </c>
      <c r="DD61" s="375">
        <v>-30514.58</v>
      </c>
      <c r="DE61" s="7">
        <f t="shared" si="251"/>
        <v>-1.1751196904375657E-3</v>
      </c>
      <c r="DF61" s="72">
        <v>-29286.53</v>
      </c>
      <c r="DG61" s="7">
        <f t="shared" si="252"/>
        <v>-9.4411164312530429E-4</v>
      </c>
      <c r="DH61" s="375">
        <f>+DB61+DD61+DF61</f>
        <v>-92318.510000000009</v>
      </c>
      <c r="DI61" s="7">
        <f t="shared" si="292"/>
        <v>-1.2117879539180871E-3</v>
      </c>
      <c r="DJ61" s="375"/>
      <c r="DK61" s="7">
        <f t="shared" si="254"/>
        <v>0</v>
      </c>
      <c r="DL61" s="72">
        <v>-27405.84</v>
      </c>
      <c r="DM61" s="7">
        <f t="shared" si="255"/>
        <v>-3.1595450841383891E-3</v>
      </c>
      <c r="DN61" s="72">
        <v>-27204.5</v>
      </c>
      <c r="DO61" s="7">
        <f t="shared" si="256"/>
        <v>-1.5852828190176744E-3</v>
      </c>
      <c r="DP61" s="72">
        <v>-31372.38</v>
      </c>
      <c r="DQ61" s="7">
        <f t="shared" si="257"/>
        <v>-3.7390133891459647E-4</v>
      </c>
      <c r="DR61" s="375">
        <f>+DL61+DN61+DP61</f>
        <v>-85982.720000000001</v>
      </c>
      <c r="DS61" s="7">
        <f t="shared" si="293"/>
        <v>-7.8351198511786638E-4</v>
      </c>
      <c r="DT61" s="375">
        <f t="shared" si="259"/>
        <v>-178301.23</v>
      </c>
      <c r="DU61" s="7">
        <f t="shared" si="83"/>
        <v>-9.5900131975210719E-4</v>
      </c>
      <c r="DV61" s="375">
        <v>-33719.230000000003</v>
      </c>
      <c r="DW61" s="7">
        <f t="shared" si="260"/>
        <v>-7.4080026747314293E-4</v>
      </c>
      <c r="DX61" s="375">
        <v>-35206.18</v>
      </c>
      <c r="DY61" s="7">
        <f t="shared" si="261"/>
        <v>-1.3618114283432238E-3</v>
      </c>
      <c r="DZ61" s="375">
        <v>-34278.76</v>
      </c>
      <c r="EA61" s="7">
        <f t="shared" si="262"/>
        <v>-2.8018481547143501E-4</v>
      </c>
      <c r="EB61" s="375">
        <f>+DV61+DX61+DZ61</f>
        <v>-103204.17000000001</v>
      </c>
      <c r="EC61" s="7">
        <f t="shared" si="37"/>
        <v>-5.3276799789320835E-4</v>
      </c>
      <c r="ED61" s="375">
        <f t="shared" si="364"/>
        <v>-281505.40000000002</v>
      </c>
      <c r="EE61" s="7">
        <f t="shared" si="85"/>
        <v>-7.4151198725169992E-4</v>
      </c>
      <c r="EF61" s="375">
        <v>-34195.870000000003</v>
      </c>
      <c r="EG61" s="7">
        <f t="shared" si="264"/>
        <v>-2.3141776310328347E-3</v>
      </c>
      <c r="EH61" s="375">
        <v>-35578.22</v>
      </c>
      <c r="EI61" s="7">
        <f t="shared" si="265"/>
        <v>-2.790742583480956E-3</v>
      </c>
      <c r="EJ61" s="375">
        <v>-37948.269999999997</v>
      </c>
      <c r="EK61" s="7">
        <f t="shared" si="266"/>
        <v>-2.4300417578822849E-4</v>
      </c>
      <c r="EL61" s="375">
        <f>+EF61+EH61+EJ61</f>
        <v>-107722.35999999999</v>
      </c>
      <c r="EM61" s="7">
        <f t="shared" si="39"/>
        <v>-5.8644080694983999E-4</v>
      </c>
      <c r="EN61" s="375">
        <f t="shared" si="365"/>
        <v>-389227.76</v>
      </c>
      <c r="EO61" s="7">
        <f t="shared" si="108"/>
        <v>-6.9094658819120311E-4</v>
      </c>
      <c r="EP61" s="373"/>
      <c r="EQ61" s="373"/>
      <c r="ER61" s="373"/>
      <c r="ES61" s="373"/>
      <c r="ET61" s="375">
        <v>-52230.94</v>
      </c>
      <c r="EU61" s="7">
        <f t="shared" si="269"/>
        <v>-7.0812786397434751E-3</v>
      </c>
      <c r="EV61" s="375">
        <v>-50534.44</v>
      </c>
      <c r="EW61" s="7">
        <f t="shared" si="270"/>
        <v>-8.2919197248673953E-3</v>
      </c>
      <c r="EX61" s="375">
        <v>-49977.57</v>
      </c>
      <c r="EY61" s="7">
        <f t="shared" si="271"/>
        <v>-2.1892420384533607E-4</v>
      </c>
      <c r="EZ61" s="375">
        <f>+ET61+EV61+EX61</f>
        <v>-152742.95000000001</v>
      </c>
      <c r="FA61" s="7">
        <f t="shared" si="42"/>
        <v>-6.318025008596078E-4</v>
      </c>
      <c r="FB61" s="375">
        <v>-49873.5</v>
      </c>
      <c r="FC61" s="7">
        <f t="shared" si="273"/>
        <v>-5.503614554461995E-3</v>
      </c>
      <c r="FD61" s="375">
        <v>-52821.19</v>
      </c>
      <c r="FE61" s="7">
        <f t="shared" si="200"/>
        <v>-5.0184626029766517E-4</v>
      </c>
      <c r="FF61" s="375">
        <v>-48775.12</v>
      </c>
      <c r="FG61" s="7">
        <f t="shared" si="44"/>
        <v>-3.0355094273841688E-4</v>
      </c>
      <c r="FH61" s="375">
        <f>+FB61+FD61+FF61</f>
        <v>-151469.81</v>
      </c>
      <c r="FI61" s="7">
        <f t="shared" si="46"/>
        <v>-5.5080429863677254E-4</v>
      </c>
      <c r="FJ61" s="375">
        <f t="shared" si="366"/>
        <v>-304212.76</v>
      </c>
      <c r="FK61" s="7">
        <f t="shared" si="89"/>
        <v>-5.8869830952626423E-4</v>
      </c>
      <c r="FL61" s="375">
        <v>-50456.24</v>
      </c>
      <c r="FM61" s="7">
        <f t="shared" si="276"/>
        <v>-4.6144862719137668E-3</v>
      </c>
      <c r="FN61" s="375">
        <v>-50456.24</v>
      </c>
      <c r="FO61" s="7">
        <f t="shared" si="48"/>
        <v>-1.0560061972384117E-2</v>
      </c>
      <c r="FP61" s="375">
        <v>-49614.239999999998</v>
      </c>
      <c r="FQ61" s="7">
        <f t="shared" si="49"/>
        <v>-1.7934420755592488E-4</v>
      </c>
      <c r="FR61" s="375">
        <f>+FL61+FN61+FP61</f>
        <v>-150526.72</v>
      </c>
      <c r="FS61" s="7">
        <f t="shared" si="51"/>
        <v>-5.1487668834692085E-4</v>
      </c>
      <c r="FT61" s="375">
        <f t="shared" si="367"/>
        <v>-454739.48</v>
      </c>
      <c r="FU61" s="7">
        <f t="shared" si="90"/>
        <v>-5.6202441267928934E-4</v>
      </c>
      <c r="FV61" s="375">
        <v>-69986.19</v>
      </c>
      <c r="FW61" s="7">
        <f t="shared" si="279"/>
        <v>-2.5220303224475988E-3</v>
      </c>
      <c r="FX61" s="375">
        <v>-50547.37</v>
      </c>
      <c r="FY61" s="7">
        <f t="shared" si="53"/>
        <v>-1.9690207511410969E-3</v>
      </c>
      <c r="FZ61" s="375">
        <v>-50084.25</v>
      </c>
      <c r="GA61" s="7">
        <f t="shared" si="54"/>
        <v>-1.7323633688915189E-4</v>
      </c>
      <c r="GB61" s="375">
        <f>+FV61+FX61+FZ61</f>
        <v>-170617.81</v>
      </c>
      <c r="GC61" s="7">
        <f t="shared" si="56"/>
        <v>-4.9810962256783122E-4</v>
      </c>
      <c r="GD61" s="375">
        <f t="shared" si="368"/>
        <v>-625357.29</v>
      </c>
      <c r="GE61" s="7">
        <f t="shared" si="91"/>
        <v>-5.4301433563813586E-4</v>
      </c>
      <c r="GF61" s="566">
        <f t="shared" si="282"/>
        <v>-40819.002833333332</v>
      </c>
      <c r="GG61" s="525">
        <f t="shared" si="58"/>
        <v>-3.1676316151410286E-3</v>
      </c>
      <c r="GH61" s="528">
        <f t="shared" ref="GH61:GH68" si="372">+GQ61*$GO$2</f>
        <v>0</v>
      </c>
      <c r="GI61" s="525">
        <f t="shared" si="60"/>
        <v>0</v>
      </c>
      <c r="GJ61" s="528"/>
      <c r="GK61" s="525">
        <f t="shared" si="61"/>
        <v>0</v>
      </c>
      <c r="GL61" s="528">
        <f t="shared" si="284"/>
        <v>-666176.29283333337</v>
      </c>
      <c r="GM61" s="565">
        <f t="shared" si="92"/>
        <v>-5.7486695917013768E-4</v>
      </c>
      <c r="GN61" s="378"/>
      <c r="GO61" s="586">
        <f>-'KSA IS'!B20</f>
        <v>-3340</v>
      </c>
      <c r="GP61" s="378"/>
      <c r="GQ61" s="586"/>
      <c r="GT61" s="551">
        <f t="shared" si="182"/>
        <v>-141257.75641850353</v>
      </c>
      <c r="GU61" s="551">
        <f t="shared" si="94"/>
        <v>-165501.28358149654</v>
      </c>
      <c r="GV61" s="550">
        <f t="shared" si="294"/>
        <v>-306759.04000000004</v>
      </c>
      <c r="GW61" s="527">
        <f>+EZ61*4</f>
        <v>-610971.80000000005</v>
      </c>
      <c r="GX61" s="525">
        <f t="shared" si="285"/>
        <v>-5.1597336396882684E-4</v>
      </c>
      <c r="GY61" s="528">
        <f>+GW61</f>
        <v>-610971.80000000005</v>
      </c>
      <c r="GZ61" s="525">
        <f t="shared" si="286"/>
        <v>-6.7870662157926631E-4</v>
      </c>
      <c r="HA61" s="528">
        <f>+GY61</f>
        <v>-610971.80000000005</v>
      </c>
      <c r="HB61" s="526">
        <f t="shared" si="287"/>
        <v>-8.3932092676067304E-4</v>
      </c>
      <c r="HD61" s="527">
        <v>-610971.80000000005</v>
      </c>
      <c r="HE61" s="525">
        <v>-5.1431379501470735E-4</v>
      </c>
      <c r="HF61" s="528">
        <v>-610971.80000000005</v>
      </c>
      <c r="HG61" s="525">
        <v>-6.7870662157926631E-4</v>
      </c>
      <c r="HH61" s="528">
        <v>-610971.80000000005</v>
      </c>
      <c r="HI61" s="526">
        <v>-8.3932092676067304E-4</v>
      </c>
    </row>
    <row r="62" spans="1:218" ht="15" customHeight="1" outlineLevel="1">
      <c r="A62" s="386" t="s">
        <v>56</v>
      </c>
      <c r="B62" s="386" t="s">
        <v>27</v>
      </c>
      <c r="C62" s="375">
        <v>0</v>
      </c>
      <c r="D62" s="4"/>
      <c r="E62" s="375">
        <v>0</v>
      </c>
      <c r="F62" s="4"/>
      <c r="G62" s="375"/>
      <c r="H62" s="375"/>
      <c r="I62" s="4"/>
      <c r="J62" s="375"/>
      <c r="K62" s="375"/>
      <c r="L62" s="4"/>
      <c r="M62" s="375"/>
      <c r="N62" s="375">
        <v>0</v>
      </c>
      <c r="O62" s="4"/>
      <c r="P62" s="375">
        <f t="shared" si="13"/>
        <v>0</v>
      </c>
      <c r="Q62" s="375">
        <f t="shared" si="13"/>
        <v>0</v>
      </c>
      <c r="R62" s="7">
        <f t="shared" si="64"/>
        <v>0</v>
      </c>
      <c r="S62" s="375"/>
      <c r="T62" s="375"/>
      <c r="U62" s="4"/>
      <c r="V62" s="375"/>
      <c r="W62" s="375"/>
      <c r="X62" s="4"/>
      <c r="Y62" s="375"/>
      <c r="Z62" s="375"/>
      <c r="AA62" s="4"/>
      <c r="AB62" s="375">
        <f t="shared" si="224"/>
        <v>0</v>
      </c>
      <c r="AC62" s="375">
        <f t="shared" si="371"/>
        <v>0</v>
      </c>
      <c r="AD62" s="7">
        <f t="shared" si="65"/>
        <v>0</v>
      </c>
      <c r="AE62" s="375">
        <f t="shared" si="349"/>
        <v>0</v>
      </c>
      <c r="AF62" s="375">
        <f t="shared" si="350"/>
        <v>0</v>
      </c>
      <c r="AG62" s="4"/>
      <c r="AH62" s="375"/>
      <c r="AI62" s="375"/>
      <c r="AJ62" s="4"/>
      <c r="AK62" s="375"/>
      <c r="AL62" s="375"/>
      <c r="AM62" s="4"/>
      <c r="AN62" s="375"/>
      <c r="AO62" s="375"/>
      <c r="AP62" s="4"/>
      <c r="AQ62" s="375">
        <f t="shared" si="351"/>
        <v>0</v>
      </c>
      <c r="AR62" s="375">
        <f t="shared" si="352"/>
        <v>0</v>
      </c>
      <c r="AS62" s="7">
        <f t="shared" si="68"/>
        <v>0</v>
      </c>
      <c r="AT62" s="375">
        <f t="shared" si="353"/>
        <v>0</v>
      </c>
      <c r="AU62" s="4"/>
      <c r="AV62" s="375"/>
      <c r="AW62" s="375"/>
      <c r="AX62" s="4"/>
      <c r="AY62" s="375"/>
      <c r="AZ62" s="375"/>
      <c r="BA62" s="4"/>
      <c r="BB62" s="375"/>
      <c r="BC62" s="375"/>
      <c r="BD62" s="448"/>
      <c r="BE62" s="375">
        <f t="shared" si="354"/>
        <v>0</v>
      </c>
      <c r="BF62" s="375">
        <f t="shared" si="355"/>
        <v>0</v>
      </c>
      <c r="BG62" s="7">
        <f t="shared" si="71"/>
        <v>0</v>
      </c>
      <c r="BH62" s="375">
        <f t="shared" si="356"/>
        <v>0</v>
      </c>
      <c r="BI62" s="388">
        <f t="shared" si="357"/>
        <v>0</v>
      </c>
      <c r="BJ62" s="7">
        <f t="shared" si="72"/>
        <v>0</v>
      </c>
      <c r="BK62" s="375">
        <v>0</v>
      </c>
      <c r="BL62" s="282"/>
      <c r="BN62" s="375"/>
      <c r="BO62" s="4"/>
      <c r="BP62" s="375"/>
      <c r="BQ62" s="4"/>
      <c r="BR62" s="375"/>
      <c r="BS62" s="4"/>
      <c r="BT62" s="375">
        <f t="shared" si="358"/>
        <v>0</v>
      </c>
      <c r="BU62" s="7">
        <f t="shared" si="73"/>
        <v>0</v>
      </c>
      <c r="BV62" s="375"/>
      <c r="BW62" s="7"/>
      <c r="BX62" s="375"/>
      <c r="BY62" s="7"/>
      <c r="BZ62" s="375">
        <f>+BT62+BV62+BX62</f>
        <v>0</v>
      </c>
      <c r="CA62" s="7"/>
      <c r="CB62" s="375">
        <f t="shared" si="359"/>
        <v>0</v>
      </c>
      <c r="CC62" s="7">
        <f t="shared" si="158"/>
        <v>0</v>
      </c>
      <c r="CD62" s="375">
        <f t="shared" si="238"/>
        <v>0</v>
      </c>
      <c r="CE62" s="7">
        <f t="shared" si="75"/>
        <v>0</v>
      </c>
      <c r="CF62" s="375">
        <f>+BZ62+CB62+CD62</f>
        <v>0</v>
      </c>
      <c r="CG62" s="7">
        <f t="shared" si="76"/>
        <v>0</v>
      </c>
      <c r="CH62" s="375"/>
      <c r="CI62" s="7">
        <f t="shared" si="76"/>
        <v>0</v>
      </c>
      <c r="CJ62" s="375"/>
      <c r="CK62" s="7">
        <f t="shared" si="76"/>
        <v>0</v>
      </c>
      <c r="CL62" s="375">
        <f>+CF62+CH62+CJ62</f>
        <v>0</v>
      </c>
      <c r="CM62" s="7">
        <f t="shared" si="76"/>
        <v>0</v>
      </c>
      <c r="CN62" s="375">
        <f t="shared" si="288"/>
        <v>0</v>
      </c>
      <c r="CO62" s="7">
        <f t="shared" si="241"/>
        <v>0</v>
      </c>
      <c r="CP62" s="375">
        <v>0</v>
      </c>
      <c r="CQ62" s="7">
        <f t="shared" si="290"/>
        <v>0</v>
      </c>
      <c r="CR62" s="375">
        <f t="shared" si="360"/>
        <v>0</v>
      </c>
      <c r="CS62" s="7">
        <f t="shared" si="244"/>
        <v>0</v>
      </c>
      <c r="CT62" s="375">
        <v>0</v>
      </c>
      <c r="CU62" s="7">
        <f t="shared" si="199"/>
        <v>0</v>
      </c>
      <c r="CV62" s="375">
        <v>0</v>
      </c>
      <c r="CW62" s="7">
        <f t="shared" si="80"/>
        <v>0</v>
      </c>
      <c r="CX62" s="375">
        <f t="shared" si="362"/>
        <v>0</v>
      </c>
      <c r="CY62" s="7">
        <f t="shared" si="291"/>
        <v>0</v>
      </c>
      <c r="CZ62" s="375">
        <f t="shared" si="363"/>
        <v>0</v>
      </c>
      <c r="DA62" s="7">
        <f t="shared" si="81"/>
        <v>0</v>
      </c>
      <c r="DB62" s="375">
        <f>+CV62+CX62+CZ62</f>
        <v>0</v>
      </c>
      <c r="DC62" s="7">
        <f t="shared" si="250"/>
        <v>0</v>
      </c>
      <c r="DD62" s="375"/>
      <c r="DE62" s="7">
        <f t="shared" si="251"/>
        <v>0</v>
      </c>
      <c r="DF62" s="375"/>
      <c r="DG62" s="7">
        <f t="shared" si="252"/>
        <v>0</v>
      </c>
      <c r="DH62" s="375">
        <f>+DB62+DD62+DF62</f>
        <v>0</v>
      </c>
      <c r="DI62" s="7">
        <f t="shared" si="292"/>
        <v>0</v>
      </c>
      <c r="DJ62" s="375"/>
      <c r="DK62" s="7">
        <f t="shared" si="254"/>
        <v>0</v>
      </c>
      <c r="DL62" s="375"/>
      <c r="DM62" s="7">
        <f t="shared" si="255"/>
        <v>0</v>
      </c>
      <c r="DN62" s="375"/>
      <c r="DO62" s="7">
        <f t="shared" si="256"/>
        <v>0</v>
      </c>
      <c r="DP62" s="375"/>
      <c r="DQ62" s="7">
        <f t="shared" si="257"/>
        <v>0</v>
      </c>
      <c r="DR62" s="375">
        <f>+DL62+DN62+DP62</f>
        <v>0</v>
      </c>
      <c r="DS62" s="7">
        <f t="shared" si="293"/>
        <v>0</v>
      </c>
      <c r="DT62" s="375">
        <f t="shared" si="259"/>
        <v>0</v>
      </c>
      <c r="DU62" s="7">
        <f t="shared" si="83"/>
        <v>0</v>
      </c>
      <c r="DV62" s="375"/>
      <c r="DW62" s="7">
        <f t="shared" si="260"/>
        <v>0</v>
      </c>
      <c r="DX62" s="375"/>
      <c r="DY62" s="7">
        <f t="shared" si="261"/>
        <v>0</v>
      </c>
      <c r="DZ62" s="375"/>
      <c r="EA62" s="7">
        <f t="shared" si="262"/>
        <v>0</v>
      </c>
      <c r="EB62" s="375">
        <f>+DV62+DX62+DZ62</f>
        <v>0</v>
      </c>
      <c r="EC62" s="7">
        <f t="shared" si="37"/>
        <v>0</v>
      </c>
      <c r="ED62" s="375">
        <f t="shared" si="364"/>
        <v>0</v>
      </c>
      <c r="EE62" s="7">
        <f t="shared" si="85"/>
        <v>0</v>
      </c>
      <c r="EF62" s="375"/>
      <c r="EG62" s="7">
        <f t="shared" si="264"/>
        <v>0</v>
      </c>
      <c r="EH62" s="375"/>
      <c r="EI62" s="7">
        <f t="shared" si="265"/>
        <v>0</v>
      </c>
      <c r="EJ62" s="375"/>
      <c r="EK62" s="7">
        <f t="shared" si="266"/>
        <v>0</v>
      </c>
      <c r="EL62" s="375">
        <f>+EF62+EH62+EJ62</f>
        <v>0</v>
      </c>
      <c r="EM62" s="7">
        <f t="shared" si="39"/>
        <v>0</v>
      </c>
      <c r="EN62" s="375">
        <f t="shared" si="365"/>
        <v>0</v>
      </c>
      <c r="EO62" s="7">
        <f t="shared" si="108"/>
        <v>0</v>
      </c>
      <c r="EP62" s="373"/>
      <c r="EQ62" s="373"/>
      <c r="ER62" s="373"/>
      <c r="ES62" s="373"/>
      <c r="ET62" s="375"/>
      <c r="EU62" s="7">
        <f t="shared" si="269"/>
        <v>0</v>
      </c>
      <c r="EV62" s="375"/>
      <c r="EW62" s="7">
        <f t="shared" si="270"/>
        <v>0</v>
      </c>
      <c r="EX62" s="375"/>
      <c r="EY62" s="7">
        <f t="shared" si="271"/>
        <v>0</v>
      </c>
      <c r="EZ62" s="375">
        <f>+ET62+EV62+EX62</f>
        <v>0</v>
      </c>
      <c r="FA62" s="7">
        <f t="shared" si="42"/>
        <v>0</v>
      </c>
      <c r="FB62" s="375"/>
      <c r="FC62" s="7">
        <f t="shared" si="273"/>
        <v>0</v>
      </c>
      <c r="FD62" s="375"/>
      <c r="FE62" s="7">
        <f t="shared" si="200"/>
        <v>0</v>
      </c>
      <c r="FF62" s="375"/>
      <c r="FG62" s="7">
        <f t="shared" si="44"/>
        <v>0</v>
      </c>
      <c r="FH62" s="375">
        <f>+FB62+FD62+FF62</f>
        <v>0</v>
      </c>
      <c r="FI62" s="7">
        <f t="shared" si="46"/>
        <v>0</v>
      </c>
      <c r="FJ62" s="375">
        <f t="shared" si="366"/>
        <v>0</v>
      </c>
      <c r="FK62" s="7">
        <f t="shared" si="89"/>
        <v>0</v>
      </c>
      <c r="FL62" s="375"/>
      <c r="FM62" s="7">
        <f t="shared" si="276"/>
        <v>0</v>
      </c>
      <c r="FN62" s="375"/>
      <c r="FO62" s="7">
        <f t="shared" si="48"/>
        <v>0</v>
      </c>
      <c r="FP62" s="375"/>
      <c r="FQ62" s="7">
        <f t="shared" si="49"/>
        <v>0</v>
      </c>
      <c r="FR62" s="375">
        <f>+FL62+FN62+FP62</f>
        <v>0</v>
      </c>
      <c r="FS62" s="7">
        <f t="shared" si="51"/>
        <v>0</v>
      </c>
      <c r="FT62" s="375">
        <f t="shared" si="367"/>
        <v>0</v>
      </c>
      <c r="FU62" s="7">
        <f t="shared" si="90"/>
        <v>0</v>
      </c>
      <c r="FV62" s="375"/>
      <c r="FW62" s="7">
        <f t="shared" si="279"/>
        <v>0</v>
      </c>
      <c r="FX62" s="375"/>
      <c r="FY62" s="7">
        <f t="shared" si="53"/>
        <v>0</v>
      </c>
      <c r="FZ62" s="375"/>
      <c r="GA62" s="7">
        <f t="shared" si="54"/>
        <v>0</v>
      </c>
      <c r="GB62" s="375">
        <f>+FV62+FX62+FZ62</f>
        <v>0</v>
      </c>
      <c r="GC62" s="7">
        <f t="shared" si="56"/>
        <v>0</v>
      </c>
      <c r="GD62" s="375">
        <f t="shared" si="368"/>
        <v>0</v>
      </c>
      <c r="GE62" s="7">
        <f t="shared" si="91"/>
        <v>0</v>
      </c>
      <c r="GF62" s="566">
        <f t="shared" si="282"/>
        <v>0</v>
      </c>
      <c r="GG62" s="525">
        <f t="shared" si="58"/>
        <v>0</v>
      </c>
      <c r="GH62" s="528">
        <f t="shared" si="372"/>
        <v>0</v>
      </c>
      <c r="GI62" s="525">
        <f t="shared" si="60"/>
        <v>0</v>
      </c>
      <c r="GJ62" s="528"/>
      <c r="GK62" s="525">
        <f t="shared" si="61"/>
        <v>0</v>
      </c>
      <c r="GL62" s="528">
        <f t="shared" si="284"/>
        <v>0</v>
      </c>
      <c r="GM62" s="565">
        <f t="shared" si="92"/>
        <v>0</v>
      </c>
      <c r="GN62" s="378"/>
      <c r="GO62" s="586"/>
      <c r="GP62" s="378"/>
      <c r="GQ62" s="586"/>
      <c r="GT62" s="551">
        <f t="shared" si="182"/>
        <v>0</v>
      </c>
      <c r="GU62" s="551">
        <f t="shared" si="94"/>
        <v>0</v>
      </c>
      <c r="GV62" s="550">
        <f t="shared" si="294"/>
        <v>0</v>
      </c>
      <c r="GW62" s="527"/>
      <c r="GX62" s="525">
        <f t="shared" si="285"/>
        <v>0</v>
      </c>
      <c r="GY62" s="528"/>
      <c r="GZ62" s="525">
        <f t="shared" si="286"/>
        <v>0</v>
      </c>
      <c r="HA62" s="528"/>
      <c r="HB62" s="526">
        <f t="shared" si="287"/>
        <v>0</v>
      </c>
      <c r="HD62" s="527"/>
      <c r="HE62" s="525">
        <v>0</v>
      </c>
      <c r="HF62" s="528"/>
      <c r="HG62" s="525">
        <v>0</v>
      </c>
      <c r="HH62" s="528"/>
      <c r="HI62" s="526">
        <v>0</v>
      </c>
    </row>
    <row r="63" spans="1:218" ht="15" customHeight="1" outlineLevel="1">
      <c r="A63" s="386" t="s">
        <v>56</v>
      </c>
      <c r="B63" s="386" t="s">
        <v>57</v>
      </c>
      <c r="C63" s="375">
        <v>0</v>
      </c>
      <c r="D63" s="4"/>
      <c r="E63" s="375">
        <v>0</v>
      </c>
      <c r="F63" s="4"/>
      <c r="G63" s="375"/>
      <c r="H63" s="375"/>
      <c r="I63" s="4"/>
      <c r="J63" s="375"/>
      <c r="K63" s="375"/>
      <c r="L63" s="4"/>
      <c r="M63" s="375"/>
      <c r="N63" s="375">
        <v>0</v>
      </c>
      <c r="O63" s="4"/>
      <c r="P63" s="375">
        <f t="shared" si="13"/>
        <v>0</v>
      </c>
      <c r="Q63" s="375">
        <f t="shared" si="13"/>
        <v>0</v>
      </c>
      <c r="R63" s="7">
        <f t="shared" si="64"/>
        <v>0</v>
      </c>
      <c r="S63" s="375"/>
      <c r="T63" s="375"/>
      <c r="U63" s="4"/>
      <c r="V63" s="375"/>
      <c r="W63" s="375"/>
      <c r="X63" s="4"/>
      <c r="Y63" s="375"/>
      <c r="Z63" s="375"/>
      <c r="AA63" s="4"/>
      <c r="AB63" s="375">
        <f t="shared" si="224"/>
        <v>0</v>
      </c>
      <c r="AC63" s="375">
        <f t="shared" si="371"/>
        <v>0</v>
      </c>
      <c r="AD63" s="7">
        <f t="shared" si="65"/>
        <v>0</v>
      </c>
      <c r="AE63" s="375">
        <f t="shared" si="349"/>
        <v>0</v>
      </c>
      <c r="AF63" s="375">
        <f t="shared" si="350"/>
        <v>0</v>
      </c>
      <c r="AG63" s="4"/>
      <c r="AH63" s="375"/>
      <c r="AI63" s="375"/>
      <c r="AJ63" s="4"/>
      <c r="AK63" s="375"/>
      <c r="AL63" s="375"/>
      <c r="AM63" s="4"/>
      <c r="AN63" s="375"/>
      <c r="AO63" s="375"/>
      <c r="AP63" s="4"/>
      <c r="AQ63" s="375">
        <f t="shared" si="351"/>
        <v>0</v>
      </c>
      <c r="AR63" s="375">
        <f t="shared" si="352"/>
        <v>0</v>
      </c>
      <c r="AS63" s="7">
        <f t="shared" si="68"/>
        <v>0</v>
      </c>
      <c r="AT63" s="375">
        <f t="shared" si="353"/>
        <v>0</v>
      </c>
      <c r="AU63" s="4"/>
      <c r="AV63" s="375"/>
      <c r="AW63" s="375"/>
      <c r="AX63" s="4"/>
      <c r="AY63" s="375"/>
      <c r="AZ63" s="375"/>
      <c r="BA63" s="4"/>
      <c r="BB63" s="375"/>
      <c r="BC63" s="375"/>
      <c r="BD63" s="448"/>
      <c r="BE63" s="375">
        <f t="shared" si="354"/>
        <v>0</v>
      </c>
      <c r="BF63" s="375">
        <f t="shared" si="355"/>
        <v>0</v>
      </c>
      <c r="BG63" s="7">
        <f t="shared" si="71"/>
        <v>0</v>
      </c>
      <c r="BH63" s="375">
        <f t="shared" si="356"/>
        <v>0</v>
      </c>
      <c r="BI63" s="388">
        <f t="shared" si="357"/>
        <v>0</v>
      </c>
      <c r="BJ63" s="7">
        <f t="shared" si="72"/>
        <v>0</v>
      </c>
      <c r="BK63" s="375">
        <v>0</v>
      </c>
      <c r="BL63" s="282"/>
      <c r="BN63" s="375"/>
      <c r="BO63" s="4"/>
      <c r="BP63" s="375"/>
      <c r="BQ63" s="4"/>
      <c r="BR63" s="375"/>
      <c r="BS63" s="4"/>
      <c r="BT63" s="375">
        <f t="shared" si="358"/>
        <v>0</v>
      </c>
      <c r="BU63" s="7">
        <f t="shared" si="73"/>
        <v>0</v>
      </c>
      <c r="BV63" s="375"/>
      <c r="BW63" s="7"/>
      <c r="BX63" s="375"/>
      <c r="BY63" s="7"/>
      <c r="BZ63" s="375">
        <f t="shared" ref="BZ63:BZ68" si="373">+BT63+BV63+BX63</f>
        <v>0</v>
      </c>
      <c r="CA63" s="7"/>
      <c r="CB63" s="375">
        <f t="shared" si="359"/>
        <v>0</v>
      </c>
      <c r="CC63" s="7">
        <f t="shared" si="158"/>
        <v>0</v>
      </c>
      <c r="CD63" s="375">
        <f t="shared" si="238"/>
        <v>0</v>
      </c>
      <c r="CE63" s="7">
        <f t="shared" si="75"/>
        <v>0</v>
      </c>
      <c r="CF63" s="375">
        <f t="shared" ref="CF63:CF68" si="374">+BZ63+CB63+CD63</f>
        <v>0</v>
      </c>
      <c r="CG63" s="7">
        <f t="shared" si="76"/>
        <v>0</v>
      </c>
      <c r="CH63" s="375"/>
      <c r="CI63" s="7">
        <f t="shared" si="76"/>
        <v>0</v>
      </c>
      <c r="CJ63" s="375"/>
      <c r="CK63" s="7">
        <f t="shared" si="76"/>
        <v>0</v>
      </c>
      <c r="CL63" s="375">
        <f>+CF63+CH63+CJ63</f>
        <v>0</v>
      </c>
      <c r="CM63" s="7">
        <f t="shared" si="76"/>
        <v>0</v>
      </c>
      <c r="CN63" s="375">
        <f t="shared" si="288"/>
        <v>0</v>
      </c>
      <c r="CO63" s="7">
        <f t="shared" si="241"/>
        <v>0</v>
      </c>
      <c r="CP63" s="375">
        <v>0</v>
      </c>
      <c r="CQ63" s="7">
        <f t="shared" si="290"/>
        <v>0</v>
      </c>
      <c r="CR63" s="375">
        <f t="shared" si="360"/>
        <v>0</v>
      </c>
      <c r="CS63" s="7">
        <f t="shared" si="244"/>
        <v>0</v>
      </c>
      <c r="CT63" s="375">
        <v>0</v>
      </c>
      <c r="CU63" s="7">
        <f t="shared" si="199"/>
        <v>0</v>
      </c>
      <c r="CV63" s="375">
        <v>0</v>
      </c>
      <c r="CW63" s="7">
        <f t="shared" si="80"/>
        <v>0</v>
      </c>
      <c r="CX63" s="375">
        <f t="shared" si="362"/>
        <v>0</v>
      </c>
      <c r="CY63" s="7">
        <f t="shared" si="291"/>
        <v>0</v>
      </c>
      <c r="CZ63" s="375">
        <f t="shared" si="363"/>
        <v>0</v>
      </c>
      <c r="DA63" s="7">
        <f t="shared" si="81"/>
        <v>0</v>
      </c>
      <c r="DB63" s="375">
        <f t="shared" ref="DB63:DB68" si="375">+CV63+CX63+CZ63</f>
        <v>0</v>
      </c>
      <c r="DC63" s="7">
        <f t="shared" si="250"/>
        <v>0</v>
      </c>
      <c r="DD63" s="375"/>
      <c r="DE63" s="7">
        <f t="shared" si="251"/>
        <v>0</v>
      </c>
      <c r="DF63" s="375"/>
      <c r="DG63" s="7">
        <f t="shared" si="252"/>
        <v>0</v>
      </c>
      <c r="DH63" s="375">
        <f>+DB63+DD63+DF63</f>
        <v>0</v>
      </c>
      <c r="DI63" s="7">
        <f t="shared" si="292"/>
        <v>0</v>
      </c>
      <c r="DJ63" s="375"/>
      <c r="DK63" s="7">
        <f t="shared" si="254"/>
        <v>0</v>
      </c>
      <c r="DL63" s="375"/>
      <c r="DM63" s="7">
        <f t="shared" si="255"/>
        <v>0</v>
      </c>
      <c r="DN63" s="375"/>
      <c r="DO63" s="7">
        <f t="shared" si="256"/>
        <v>0</v>
      </c>
      <c r="DP63" s="375"/>
      <c r="DQ63" s="7">
        <f t="shared" si="257"/>
        <v>0</v>
      </c>
      <c r="DR63" s="375">
        <f>+DL63+DN63+DP63</f>
        <v>0</v>
      </c>
      <c r="DS63" s="7">
        <f t="shared" si="293"/>
        <v>0</v>
      </c>
      <c r="DT63" s="375">
        <f t="shared" si="259"/>
        <v>0</v>
      </c>
      <c r="DU63" s="7">
        <f t="shared" si="83"/>
        <v>0</v>
      </c>
      <c r="DV63" s="375"/>
      <c r="DW63" s="7">
        <f t="shared" si="260"/>
        <v>0</v>
      </c>
      <c r="DX63" s="375"/>
      <c r="DY63" s="7">
        <f t="shared" si="261"/>
        <v>0</v>
      </c>
      <c r="DZ63" s="375"/>
      <c r="EA63" s="7">
        <f t="shared" si="262"/>
        <v>0</v>
      </c>
      <c r="EB63" s="375">
        <f>+DV63+DX63+DZ63</f>
        <v>0</v>
      </c>
      <c r="EC63" s="7">
        <f t="shared" si="37"/>
        <v>0</v>
      </c>
      <c r="ED63" s="375">
        <f t="shared" si="364"/>
        <v>0</v>
      </c>
      <c r="EE63" s="7">
        <f t="shared" si="85"/>
        <v>0</v>
      </c>
      <c r="EF63" s="375"/>
      <c r="EG63" s="7">
        <f t="shared" si="264"/>
        <v>0</v>
      </c>
      <c r="EH63" s="375"/>
      <c r="EI63" s="7">
        <f t="shared" si="265"/>
        <v>0</v>
      </c>
      <c r="EJ63" s="375"/>
      <c r="EK63" s="7">
        <f t="shared" si="266"/>
        <v>0</v>
      </c>
      <c r="EL63" s="375">
        <f>+EF63+EH63+EJ63</f>
        <v>0</v>
      </c>
      <c r="EM63" s="7">
        <f t="shared" si="39"/>
        <v>0</v>
      </c>
      <c r="EN63" s="375">
        <f t="shared" si="365"/>
        <v>0</v>
      </c>
      <c r="EO63" s="7">
        <f t="shared" si="108"/>
        <v>0</v>
      </c>
      <c r="EP63" s="373"/>
      <c r="EQ63" s="373"/>
      <c r="ER63" s="373"/>
      <c r="ES63" s="373"/>
      <c r="ET63" s="375"/>
      <c r="EU63" s="7">
        <f t="shared" si="269"/>
        <v>0</v>
      </c>
      <c r="EV63" s="375"/>
      <c r="EW63" s="7">
        <f t="shared" si="270"/>
        <v>0</v>
      </c>
      <c r="EX63" s="375"/>
      <c r="EY63" s="7">
        <f t="shared" si="271"/>
        <v>0</v>
      </c>
      <c r="EZ63" s="375">
        <f>+ET63+EV63+EX63</f>
        <v>0</v>
      </c>
      <c r="FA63" s="7">
        <f t="shared" si="42"/>
        <v>0</v>
      </c>
      <c r="FB63" s="375"/>
      <c r="FC63" s="7">
        <f t="shared" si="273"/>
        <v>0</v>
      </c>
      <c r="FD63" s="375"/>
      <c r="FE63" s="7">
        <f t="shared" si="200"/>
        <v>0</v>
      </c>
      <c r="FF63" s="375"/>
      <c r="FG63" s="7">
        <f t="shared" si="44"/>
        <v>0</v>
      </c>
      <c r="FH63" s="375">
        <f>+FB63+FD63+FF63</f>
        <v>0</v>
      </c>
      <c r="FI63" s="7">
        <f t="shared" si="46"/>
        <v>0</v>
      </c>
      <c r="FJ63" s="375">
        <f t="shared" si="366"/>
        <v>0</v>
      </c>
      <c r="FK63" s="7">
        <f t="shared" si="89"/>
        <v>0</v>
      </c>
      <c r="FL63" s="375"/>
      <c r="FM63" s="7">
        <f t="shared" si="276"/>
        <v>0</v>
      </c>
      <c r="FN63" s="375"/>
      <c r="FO63" s="7">
        <f t="shared" si="48"/>
        <v>0</v>
      </c>
      <c r="FP63" s="375"/>
      <c r="FQ63" s="7">
        <f t="shared" si="49"/>
        <v>0</v>
      </c>
      <c r="FR63" s="375">
        <f>+FL63+FN63+FP63</f>
        <v>0</v>
      </c>
      <c r="FS63" s="7">
        <f t="shared" si="51"/>
        <v>0</v>
      </c>
      <c r="FT63" s="375">
        <f t="shared" si="367"/>
        <v>0</v>
      </c>
      <c r="FU63" s="7">
        <f t="shared" si="90"/>
        <v>0</v>
      </c>
      <c r="FV63" s="375"/>
      <c r="FW63" s="7">
        <f t="shared" si="279"/>
        <v>0</v>
      </c>
      <c r="FX63" s="375"/>
      <c r="FY63" s="7">
        <f t="shared" si="53"/>
        <v>0</v>
      </c>
      <c r="FZ63" s="375"/>
      <c r="GA63" s="7">
        <f t="shared" si="54"/>
        <v>0</v>
      </c>
      <c r="GB63" s="375">
        <f>+FV63+FX63+FZ63</f>
        <v>0</v>
      </c>
      <c r="GC63" s="7">
        <f t="shared" si="56"/>
        <v>0</v>
      </c>
      <c r="GD63" s="375">
        <f t="shared" si="368"/>
        <v>0</v>
      </c>
      <c r="GE63" s="7">
        <f t="shared" si="91"/>
        <v>0</v>
      </c>
      <c r="GF63" s="566">
        <f t="shared" si="282"/>
        <v>0</v>
      </c>
      <c r="GG63" s="525">
        <f t="shared" si="58"/>
        <v>0</v>
      </c>
      <c r="GH63" s="528">
        <f t="shared" si="372"/>
        <v>0</v>
      </c>
      <c r="GI63" s="525">
        <f t="shared" si="60"/>
        <v>0</v>
      </c>
      <c r="GJ63" s="528"/>
      <c r="GK63" s="525">
        <f t="shared" si="61"/>
        <v>0</v>
      </c>
      <c r="GL63" s="528">
        <f t="shared" si="284"/>
        <v>0</v>
      </c>
      <c r="GM63" s="565">
        <f t="shared" si="92"/>
        <v>0</v>
      </c>
      <c r="GN63" s="378"/>
      <c r="GO63" s="586"/>
      <c r="GP63" s="378"/>
      <c r="GQ63" s="586"/>
      <c r="GT63" s="551">
        <f t="shared" si="182"/>
        <v>0</v>
      </c>
      <c r="GU63" s="551">
        <f t="shared" si="94"/>
        <v>0</v>
      </c>
      <c r="GV63" s="550">
        <f t="shared" si="294"/>
        <v>0</v>
      </c>
      <c r="GW63" s="527"/>
      <c r="GX63" s="525">
        <f t="shared" si="285"/>
        <v>0</v>
      </c>
      <c r="GY63" s="528"/>
      <c r="GZ63" s="525">
        <f t="shared" si="286"/>
        <v>0</v>
      </c>
      <c r="HA63" s="528"/>
      <c r="HB63" s="526">
        <f t="shared" si="287"/>
        <v>0</v>
      </c>
      <c r="HD63" s="527"/>
      <c r="HE63" s="525">
        <v>0</v>
      </c>
      <c r="HF63" s="528"/>
      <c r="HG63" s="525">
        <v>0</v>
      </c>
      <c r="HH63" s="528"/>
      <c r="HI63" s="526">
        <v>0</v>
      </c>
    </row>
    <row r="64" spans="1:218" ht="15" customHeight="1" outlineLevel="1">
      <c r="A64" s="386" t="s">
        <v>56</v>
      </c>
      <c r="B64" s="386" t="s">
        <v>58</v>
      </c>
      <c r="C64" s="375">
        <v>0</v>
      </c>
      <c r="D64" s="4"/>
      <c r="E64" s="375">
        <v>0</v>
      </c>
      <c r="F64" s="4"/>
      <c r="G64" s="375"/>
      <c r="H64" s="375"/>
      <c r="I64" s="4"/>
      <c r="J64" s="375"/>
      <c r="K64" s="375"/>
      <c r="L64" s="4"/>
      <c r="M64" s="375"/>
      <c r="N64" s="375">
        <v>0</v>
      </c>
      <c r="O64" s="4"/>
      <c r="P64" s="375">
        <f t="shared" si="13"/>
        <v>0</v>
      </c>
      <c r="Q64" s="375">
        <f t="shared" si="13"/>
        <v>0</v>
      </c>
      <c r="R64" s="7">
        <f t="shared" si="64"/>
        <v>0</v>
      </c>
      <c r="S64" s="375"/>
      <c r="T64" s="375"/>
      <c r="U64" s="4"/>
      <c r="V64" s="375"/>
      <c r="W64" s="375"/>
      <c r="X64" s="4"/>
      <c r="Y64" s="375"/>
      <c r="Z64" s="375"/>
      <c r="AA64" s="4"/>
      <c r="AB64" s="375">
        <f t="shared" si="224"/>
        <v>0</v>
      </c>
      <c r="AC64" s="375">
        <f t="shared" si="371"/>
        <v>0</v>
      </c>
      <c r="AD64" s="7">
        <f t="shared" si="65"/>
        <v>0</v>
      </c>
      <c r="AE64" s="375">
        <f t="shared" si="349"/>
        <v>0</v>
      </c>
      <c r="AF64" s="375">
        <f t="shared" si="350"/>
        <v>0</v>
      </c>
      <c r="AG64" s="4"/>
      <c r="AH64" s="375"/>
      <c r="AI64" s="375"/>
      <c r="AJ64" s="4"/>
      <c r="AK64" s="375"/>
      <c r="AL64" s="375"/>
      <c r="AM64" s="4"/>
      <c r="AN64" s="375"/>
      <c r="AO64" s="375"/>
      <c r="AP64" s="4"/>
      <c r="AQ64" s="375">
        <f t="shared" si="351"/>
        <v>0</v>
      </c>
      <c r="AR64" s="375">
        <f t="shared" si="352"/>
        <v>0</v>
      </c>
      <c r="AS64" s="7">
        <f t="shared" si="68"/>
        <v>0</v>
      </c>
      <c r="AT64" s="375">
        <f t="shared" si="353"/>
        <v>0</v>
      </c>
      <c r="AU64" s="4"/>
      <c r="AV64" s="375"/>
      <c r="AW64" s="375"/>
      <c r="AX64" s="4"/>
      <c r="AY64" s="375"/>
      <c r="AZ64" s="375"/>
      <c r="BA64" s="4"/>
      <c r="BB64" s="375"/>
      <c r="BC64" s="375"/>
      <c r="BD64" s="448"/>
      <c r="BE64" s="375">
        <f t="shared" si="354"/>
        <v>0</v>
      </c>
      <c r="BF64" s="375">
        <f t="shared" si="355"/>
        <v>0</v>
      </c>
      <c r="BG64" s="7">
        <f t="shared" si="71"/>
        <v>0</v>
      </c>
      <c r="BH64" s="375">
        <f t="shared" si="356"/>
        <v>0</v>
      </c>
      <c r="BI64" s="388">
        <f t="shared" si="357"/>
        <v>0</v>
      </c>
      <c r="BJ64" s="7">
        <f t="shared" si="72"/>
        <v>0</v>
      </c>
      <c r="BK64" s="375">
        <v>0</v>
      </c>
      <c r="BL64" s="282"/>
      <c r="BN64" s="375"/>
      <c r="BO64" s="4"/>
      <c r="BP64" s="375"/>
      <c r="BQ64" s="4"/>
      <c r="BR64" s="375"/>
      <c r="BS64" s="4"/>
      <c r="BT64" s="375">
        <f t="shared" si="358"/>
        <v>0</v>
      </c>
      <c r="BU64" s="7">
        <f t="shared" si="73"/>
        <v>0</v>
      </c>
      <c r="BV64" s="375"/>
      <c r="BW64" s="7"/>
      <c r="BX64" s="375"/>
      <c r="BY64" s="7"/>
      <c r="BZ64" s="375">
        <f t="shared" si="373"/>
        <v>0</v>
      </c>
      <c r="CA64" s="7"/>
      <c r="CB64" s="375">
        <f t="shared" si="359"/>
        <v>0</v>
      </c>
      <c r="CC64" s="7">
        <f t="shared" si="158"/>
        <v>0</v>
      </c>
      <c r="CD64" s="375">
        <f t="shared" si="238"/>
        <v>0</v>
      </c>
      <c r="CE64" s="7">
        <f t="shared" si="75"/>
        <v>0</v>
      </c>
      <c r="CF64" s="375">
        <f t="shared" si="374"/>
        <v>0</v>
      </c>
      <c r="CG64" s="7">
        <f t="shared" si="76"/>
        <v>0</v>
      </c>
      <c r="CH64" s="375"/>
      <c r="CI64" s="7">
        <f t="shared" si="76"/>
        <v>0</v>
      </c>
      <c r="CJ64" s="375"/>
      <c r="CK64" s="7">
        <f t="shared" si="76"/>
        <v>0</v>
      </c>
      <c r="CL64" s="375">
        <f t="shared" ref="CL64:CL68" si="376">+CF64+CH64+CJ64</f>
        <v>0</v>
      </c>
      <c r="CM64" s="7">
        <f t="shared" si="76"/>
        <v>0</v>
      </c>
      <c r="CN64" s="375">
        <f t="shared" si="288"/>
        <v>0</v>
      </c>
      <c r="CO64" s="7">
        <f t="shared" si="241"/>
        <v>0</v>
      </c>
      <c r="CP64" s="375">
        <v>0</v>
      </c>
      <c r="CQ64" s="7">
        <f t="shared" si="290"/>
        <v>0</v>
      </c>
      <c r="CR64" s="375">
        <f t="shared" si="360"/>
        <v>0</v>
      </c>
      <c r="CS64" s="7">
        <f t="shared" si="244"/>
        <v>0</v>
      </c>
      <c r="CT64" s="375">
        <v>0</v>
      </c>
      <c r="CU64" s="7">
        <f t="shared" si="199"/>
        <v>0</v>
      </c>
      <c r="CV64" s="375">
        <v>0</v>
      </c>
      <c r="CW64" s="7">
        <f t="shared" si="80"/>
        <v>0</v>
      </c>
      <c r="CX64" s="375">
        <f t="shared" si="362"/>
        <v>0</v>
      </c>
      <c r="CY64" s="7">
        <f t="shared" si="291"/>
        <v>0</v>
      </c>
      <c r="CZ64" s="375">
        <f t="shared" si="363"/>
        <v>0</v>
      </c>
      <c r="DA64" s="7">
        <f t="shared" si="81"/>
        <v>0</v>
      </c>
      <c r="DB64" s="375">
        <f t="shared" si="375"/>
        <v>0</v>
      </c>
      <c r="DC64" s="7">
        <f t="shared" si="250"/>
        <v>0</v>
      </c>
      <c r="DD64" s="375"/>
      <c r="DE64" s="7">
        <f t="shared" si="251"/>
        <v>0</v>
      </c>
      <c r="DF64" s="375"/>
      <c r="DG64" s="7">
        <f t="shared" si="252"/>
        <v>0</v>
      </c>
      <c r="DH64" s="375">
        <f t="shared" ref="DH64:DH68" si="377">+DB64+DD64+DF64</f>
        <v>0</v>
      </c>
      <c r="DI64" s="7">
        <f t="shared" si="292"/>
        <v>0</v>
      </c>
      <c r="DJ64" s="375"/>
      <c r="DK64" s="7">
        <f t="shared" si="254"/>
        <v>0</v>
      </c>
      <c r="DL64" s="375"/>
      <c r="DM64" s="7">
        <f t="shared" si="255"/>
        <v>0</v>
      </c>
      <c r="DN64" s="375"/>
      <c r="DO64" s="7">
        <f t="shared" si="256"/>
        <v>0</v>
      </c>
      <c r="DP64" s="375"/>
      <c r="DQ64" s="7">
        <f t="shared" si="257"/>
        <v>0</v>
      </c>
      <c r="DR64" s="375">
        <f t="shared" ref="DR64:DR68" si="378">+DL64+DN64+DP64</f>
        <v>0</v>
      </c>
      <c r="DS64" s="7">
        <f t="shared" si="293"/>
        <v>0</v>
      </c>
      <c r="DT64" s="375">
        <f t="shared" si="259"/>
        <v>0</v>
      </c>
      <c r="DU64" s="7">
        <f t="shared" si="83"/>
        <v>0</v>
      </c>
      <c r="DV64" s="375"/>
      <c r="DW64" s="7">
        <f t="shared" si="260"/>
        <v>0</v>
      </c>
      <c r="DX64" s="375"/>
      <c r="DY64" s="7">
        <f t="shared" si="261"/>
        <v>0</v>
      </c>
      <c r="DZ64" s="375"/>
      <c r="EA64" s="7">
        <f t="shared" si="262"/>
        <v>0</v>
      </c>
      <c r="EB64" s="375">
        <f t="shared" ref="EB64:EB68" si="379">+DV64+DX64+DZ64</f>
        <v>0</v>
      </c>
      <c r="EC64" s="7">
        <f t="shared" si="37"/>
        <v>0</v>
      </c>
      <c r="ED64" s="375">
        <f t="shared" si="364"/>
        <v>0</v>
      </c>
      <c r="EE64" s="7">
        <f t="shared" si="85"/>
        <v>0</v>
      </c>
      <c r="EF64" s="375"/>
      <c r="EG64" s="7">
        <f t="shared" si="264"/>
        <v>0</v>
      </c>
      <c r="EH64" s="375"/>
      <c r="EI64" s="7">
        <f t="shared" si="265"/>
        <v>0</v>
      </c>
      <c r="EJ64" s="375"/>
      <c r="EK64" s="7">
        <f t="shared" si="266"/>
        <v>0</v>
      </c>
      <c r="EL64" s="375">
        <f t="shared" ref="EL64:EL68" si="380">+EF64+EH64+EJ64</f>
        <v>0</v>
      </c>
      <c r="EM64" s="7">
        <f t="shared" si="39"/>
        <v>0</v>
      </c>
      <c r="EN64" s="375">
        <f t="shared" si="365"/>
        <v>0</v>
      </c>
      <c r="EO64" s="7">
        <f t="shared" si="108"/>
        <v>0</v>
      </c>
      <c r="EP64" s="373"/>
      <c r="EQ64" s="373"/>
      <c r="ER64" s="373"/>
      <c r="ES64" s="373"/>
      <c r="ET64" s="375"/>
      <c r="EU64" s="7">
        <f t="shared" si="269"/>
        <v>0</v>
      </c>
      <c r="EV64" s="375"/>
      <c r="EW64" s="7">
        <f t="shared" si="270"/>
        <v>0</v>
      </c>
      <c r="EX64" s="375"/>
      <c r="EY64" s="7">
        <f t="shared" si="271"/>
        <v>0</v>
      </c>
      <c r="EZ64" s="375">
        <f t="shared" ref="EZ64:EZ68" si="381">+ET64+EV64+EX64</f>
        <v>0</v>
      </c>
      <c r="FA64" s="7">
        <f t="shared" si="42"/>
        <v>0</v>
      </c>
      <c r="FB64" s="375"/>
      <c r="FC64" s="7">
        <f t="shared" si="273"/>
        <v>0</v>
      </c>
      <c r="FD64" s="375"/>
      <c r="FE64" s="7">
        <f t="shared" si="200"/>
        <v>0</v>
      </c>
      <c r="FF64" s="375"/>
      <c r="FG64" s="7">
        <f t="shared" si="44"/>
        <v>0</v>
      </c>
      <c r="FH64" s="375">
        <f t="shared" ref="FH64:FH68" si="382">+FB64+FD64+FF64</f>
        <v>0</v>
      </c>
      <c r="FI64" s="7">
        <f t="shared" si="46"/>
        <v>0</v>
      </c>
      <c r="FJ64" s="375">
        <f t="shared" si="366"/>
        <v>0</v>
      </c>
      <c r="FK64" s="7">
        <f t="shared" si="89"/>
        <v>0</v>
      </c>
      <c r="FL64" s="375"/>
      <c r="FM64" s="7">
        <f t="shared" si="276"/>
        <v>0</v>
      </c>
      <c r="FN64" s="375"/>
      <c r="FO64" s="7">
        <f t="shared" si="48"/>
        <v>0</v>
      </c>
      <c r="FP64" s="375"/>
      <c r="FQ64" s="7">
        <f t="shared" si="49"/>
        <v>0</v>
      </c>
      <c r="FR64" s="375">
        <f t="shared" ref="FR64:FR68" si="383">+FL64+FN64+FP64</f>
        <v>0</v>
      </c>
      <c r="FS64" s="7">
        <f t="shared" si="51"/>
        <v>0</v>
      </c>
      <c r="FT64" s="375">
        <f t="shared" si="367"/>
        <v>0</v>
      </c>
      <c r="FU64" s="7">
        <f t="shared" si="90"/>
        <v>0</v>
      </c>
      <c r="FV64" s="375"/>
      <c r="FW64" s="7">
        <f t="shared" si="279"/>
        <v>0</v>
      </c>
      <c r="FX64" s="375"/>
      <c r="FY64" s="7">
        <f t="shared" si="53"/>
        <v>0</v>
      </c>
      <c r="FZ64" s="375"/>
      <c r="GA64" s="7">
        <f t="shared" si="54"/>
        <v>0</v>
      </c>
      <c r="GB64" s="375">
        <f t="shared" ref="GB64:GB68" si="384">+FV64+FX64+FZ64</f>
        <v>0</v>
      </c>
      <c r="GC64" s="7">
        <f t="shared" si="56"/>
        <v>0</v>
      </c>
      <c r="GD64" s="375">
        <f t="shared" si="368"/>
        <v>0</v>
      </c>
      <c r="GE64" s="7">
        <f t="shared" si="91"/>
        <v>0</v>
      </c>
      <c r="GF64" s="566">
        <f t="shared" si="282"/>
        <v>0</v>
      </c>
      <c r="GG64" s="525">
        <f t="shared" si="58"/>
        <v>0</v>
      </c>
      <c r="GH64" s="528">
        <f t="shared" si="372"/>
        <v>0</v>
      </c>
      <c r="GI64" s="525">
        <f t="shared" si="60"/>
        <v>0</v>
      </c>
      <c r="GJ64" s="528"/>
      <c r="GK64" s="525">
        <f t="shared" si="61"/>
        <v>0</v>
      </c>
      <c r="GL64" s="528">
        <f t="shared" si="284"/>
        <v>0</v>
      </c>
      <c r="GM64" s="565">
        <f t="shared" si="92"/>
        <v>0</v>
      </c>
      <c r="GN64" s="378"/>
      <c r="GO64" s="586"/>
      <c r="GP64" s="378"/>
      <c r="GQ64" s="586"/>
      <c r="GT64" s="551">
        <f t="shared" si="182"/>
        <v>0</v>
      </c>
      <c r="GU64" s="551">
        <f t="shared" si="94"/>
        <v>0</v>
      </c>
      <c r="GV64" s="550">
        <f t="shared" si="294"/>
        <v>0</v>
      </c>
      <c r="GW64" s="527"/>
      <c r="GX64" s="525">
        <f t="shared" si="285"/>
        <v>0</v>
      </c>
      <c r="GY64" s="528"/>
      <c r="GZ64" s="525">
        <f t="shared" si="286"/>
        <v>0</v>
      </c>
      <c r="HA64" s="528"/>
      <c r="HB64" s="526">
        <f t="shared" si="287"/>
        <v>0</v>
      </c>
      <c r="HD64" s="527"/>
      <c r="HE64" s="525">
        <v>0</v>
      </c>
      <c r="HF64" s="528"/>
      <c r="HG64" s="525">
        <v>0</v>
      </c>
      <c r="HH64" s="528"/>
      <c r="HI64" s="526">
        <v>0</v>
      </c>
    </row>
    <row r="65" spans="1:218" ht="15" customHeight="1" outlineLevel="1">
      <c r="A65" s="386" t="s">
        <v>56</v>
      </c>
      <c r="B65" s="386" t="s">
        <v>59</v>
      </c>
      <c r="C65" s="375">
        <v>0</v>
      </c>
      <c r="D65" s="4"/>
      <c r="E65" s="375">
        <v>0</v>
      </c>
      <c r="F65" s="4"/>
      <c r="G65" s="375"/>
      <c r="H65" s="375"/>
      <c r="I65" s="4"/>
      <c r="J65" s="375"/>
      <c r="K65" s="375"/>
      <c r="L65" s="4"/>
      <c r="M65" s="375"/>
      <c r="N65" s="375">
        <v>0</v>
      </c>
      <c r="O65" s="4"/>
      <c r="P65" s="375">
        <f t="shared" si="13"/>
        <v>0</v>
      </c>
      <c r="Q65" s="375">
        <f t="shared" si="13"/>
        <v>0</v>
      </c>
      <c r="R65" s="7">
        <f t="shared" si="64"/>
        <v>0</v>
      </c>
      <c r="S65" s="375"/>
      <c r="T65" s="375"/>
      <c r="U65" s="4"/>
      <c r="V65" s="375"/>
      <c r="W65" s="375"/>
      <c r="X65" s="4"/>
      <c r="Y65" s="375"/>
      <c r="Z65" s="375"/>
      <c r="AA65" s="4"/>
      <c r="AB65" s="375">
        <f t="shared" si="224"/>
        <v>0</v>
      </c>
      <c r="AC65" s="375">
        <f t="shared" si="371"/>
        <v>0</v>
      </c>
      <c r="AD65" s="7">
        <f t="shared" si="65"/>
        <v>0</v>
      </c>
      <c r="AE65" s="375">
        <f t="shared" si="349"/>
        <v>0</v>
      </c>
      <c r="AF65" s="375">
        <f t="shared" si="350"/>
        <v>0</v>
      </c>
      <c r="AG65" s="4"/>
      <c r="AH65" s="375"/>
      <c r="AI65" s="375"/>
      <c r="AJ65" s="4"/>
      <c r="AK65" s="375"/>
      <c r="AL65" s="375"/>
      <c r="AM65" s="4"/>
      <c r="AN65" s="375"/>
      <c r="AO65" s="375"/>
      <c r="AP65" s="4"/>
      <c r="AQ65" s="375">
        <f t="shared" si="351"/>
        <v>0</v>
      </c>
      <c r="AR65" s="375">
        <f t="shared" si="352"/>
        <v>0</v>
      </c>
      <c r="AS65" s="7">
        <f t="shared" si="68"/>
        <v>0</v>
      </c>
      <c r="AT65" s="375">
        <f t="shared" si="353"/>
        <v>0</v>
      </c>
      <c r="AU65" s="4"/>
      <c r="AV65" s="375"/>
      <c r="AW65" s="375"/>
      <c r="AX65" s="4"/>
      <c r="AY65" s="375"/>
      <c r="AZ65" s="375"/>
      <c r="BA65" s="4"/>
      <c r="BB65" s="375"/>
      <c r="BC65" s="375"/>
      <c r="BD65" s="448"/>
      <c r="BE65" s="375">
        <f t="shared" si="354"/>
        <v>0</v>
      </c>
      <c r="BF65" s="375">
        <f t="shared" si="355"/>
        <v>0</v>
      </c>
      <c r="BG65" s="7">
        <f t="shared" si="71"/>
        <v>0</v>
      </c>
      <c r="BH65" s="375">
        <f t="shared" si="356"/>
        <v>0</v>
      </c>
      <c r="BI65" s="388">
        <f t="shared" si="357"/>
        <v>0</v>
      </c>
      <c r="BJ65" s="7">
        <f t="shared" si="72"/>
        <v>0</v>
      </c>
      <c r="BK65" s="375">
        <v>0</v>
      </c>
      <c r="BL65" s="282"/>
      <c r="BN65" s="375"/>
      <c r="BO65" s="4"/>
      <c r="BP65" s="375"/>
      <c r="BQ65" s="4"/>
      <c r="BR65" s="375"/>
      <c r="BS65" s="4"/>
      <c r="BT65" s="375">
        <f t="shared" si="358"/>
        <v>0</v>
      </c>
      <c r="BU65" s="7">
        <f t="shared" si="73"/>
        <v>0</v>
      </c>
      <c r="BV65" s="375"/>
      <c r="BW65" s="7"/>
      <c r="BX65" s="375"/>
      <c r="BY65" s="7"/>
      <c r="BZ65" s="375">
        <f t="shared" si="373"/>
        <v>0</v>
      </c>
      <c r="CA65" s="7"/>
      <c r="CB65" s="375">
        <f t="shared" si="359"/>
        <v>0</v>
      </c>
      <c r="CC65" s="7">
        <f t="shared" si="158"/>
        <v>0</v>
      </c>
      <c r="CD65" s="375">
        <f t="shared" si="238"/>
        <v>0</v>
      </c>
      <c r="CE65" s="7">
        <f t="shared" si="75"/>
        <v>0</v>
      </c>
      <c r="CF65" s="375">
        <f t="shared" si="374"/>
        <v>0</v>
      </c>
      <c r="CG65" s="7">
        <f t="shared" si="76"/>
        <v>0</v>
      </c>
      <c r="CH65" s="375"/>
      <c r="CI65" s="7">
        <f t="shared" si="76"/>
        <v>0</v>
      </c>
      <c r="CJ65" s="375"/>
      <c r="CK65" s="7">
        <f t="shared" si="76"/>
        <v>0</v>
      </c>
      <c r="CL65" s="375">
        <f t="shared" si="376"/>
        <v>0</v>
      </c>
      <c r="CM65" s="7">
        <f t="shared" si="76"/>
        <v>0</v>
      </c>
      <c r="CN65" s="375">
        <f t="shared" si="288"/>
        <v>0</v>
      </c>
      <c r="CO65" s="7">
        <f t="shared" si="241"/>
        <v>0</v>
      </c>
      <c r="CP65" s="375">
        <v>0</v>
      </c>
      <c r="CQ65" s="7">
        <f t="shared" si="290"/>
        <v>0</v>
      </c>
      <c r="CR65" s="375">
        <f t="shared" si="360"/>
        <v>0</v>
      </c>
      <c r="CS65" s="7">
        <f t="shared" si="244"/>
        <v>0</v>
      </c>
      <c r="CT65" s="375">
        <v>0</v>
      </c>
      <c r="CU65" s="7">
        <f t="shared" si="199"/>
        <v>0</v>
      </c>
      <c r="CV65" s="375">
        <v>0</v>
      </c>
      <c r="CW65" s="7">
        <f t="shared" si="80"/>
        <v>0</v>
      </c>
      <c r="CX65" s="375">
        <f t="shared" si="362"/>
        <v>0</v>
      </c>
      <c r="CY65" s="7">
        <f t="shared" si="291"/>
        <v>0</v>
      </c>
      <c r="CZ65" s="375">
        <f t="shared" si="363"/>
        <v>0</v>
      </c>
      <c r="DA65" s="7">
        <f t="shared" si="81"/>
        <v>0</v>
      </c>
      <c r="DB65" s="375">
        <f t="shared" si="375"/>
        <v>0</v>
      </c>
      <c r="DC65" s="7">
        <f t="shared" si="250"/>
        <v>0</v>
      </c>
      <c r="DD65" s="375"/>
      <c r="DE65" s="7">
        <f t="shared" si="251"/>
        <v>0</v>
      </c>
      <c r="DF65" s="375"/>
      <c r="DG65" s="7">
        <f t="shared" si="252"/>
        <v>0</v>
      </c>
      <c r="DH65" s="375">
        <f t="shared" si="377"/>
        <v>0</v>
      </c>
      <c r="DI65" s="7">
        <f t="shared" si="292"/>
        <v>0</v>
      </c>
      <c r="DJ65" s="375"/>
      <c r="DK65" s="7">
        <f t="shared" si="254"/>
        <v>0</v>
      </c>
      <c r="DL65" s="375"/>
      <c r="DM65" s="7">
        <f t="shared" si="255"/>
        <v>0</v>
      </c>
      <c r="DN65" s="375"/>
      <c r="DO65" s="7">
        <f t="shared" si="256"/>
        <v>0</v>
      </c>
      <c r="DP65" s="375"/>
      <c r="DQ65" s="7">
        <f t="shared" si="257"/>
        <v>0</v>
      </c>
      <c r="DR65" s="375">
        <f t="shared" si="378"/>
        <v>0</v>
      </c>
      <c r="DS65" s="7">
        <f t="shared" si="293"/>
        <v>0</v>
      </c>
      <c r="DT65" s="375">
        <f t="shared" si="259"/>
        <v>0</v>
      </c>
      <c r="DU65" s="7">
        <f t="shared" si="83"/>
        <v>0</v>
      </c>
      <c r="DV65" s="375"/>
      <c r="DW65" s="7">
        <f t="shared" si="260"/>
        <v>0</v>
      </c>
      <c r="DX65" s="375"/>
      <c r="DY65" s="7">
        <f t="shared" si="261"/>
        <v>0</v>
      </c>
      <c r="DZ65" s="375"/>
      <c r="EA65" s="7">
        <f t="shared" si="262"/>
        <v>0</v>
      </c>
      <c r="EB65" s="375">
        <f>+DV65+DX65+DZ65</f>
        <v>0</v>
      </c>
      <c r="EC65" s="7">
        <f t="shared" si="37"/>
        <v>0</v>
      </c>
      <c r="ED65" s="375">
        <f t="shared" si="364"/>
        <v>0</v>
      </c>
      <c r="EE65" s="7">
        <f t="shared" si="85"/>
        <v>0</v>
      </c>
      <c r="EF65" s="375"/>
      <c r="EG65" s="7">
        <f t="shared" si="264"/>
        <v>0</v>
      </c>
      <c r="EH65" s="375"/>
      <c r="EI65" s="7">
        <f t="shared" si="265"/>
        <v>0</v>
      </c>
      <c r="EJ65" s="375"/>
      <c r="EK65" s="7">
        <f t="shared" si="266"/>
        <v>0</v>
      </c>
      <c r="EL65" s="375">
        <f t="shared" si="380"/>
        <v>0</v>
      </c>
      <c r="EM65" s="7">
        <f t="shared" si="39"/>
        <v>0</v>
      </c>
      <c r="EN65" s="375">
        <f t="shared" si="365"/>
        <v>0</v>
      </c>
      <c r="EO65" s="7">
        <f t="shared" si="108"/>
        <v>0</v>
      </c>
      <c r="EP65" s="373"/>
      <c r="EQ65" s="373"/>
      <c r="ER65" s="373"/>
      <c r="ES65" s="373"/>
      <c r="ET65" s="375"/>
      <c r="EU65" s="7">
        <f t="shared" si="269"/>
        <v>0</v>
      </c>
      <c r="EV65" s="375"/>
      <c r="EW65" s="7">
        <f t="shared" si="270"/>
        <v>0</v>
      </c>
      <c r="EX65" s="375"/>
      <c r="EY65" s="7">
        <f t="shared" si="271"/>
        <v>0</v>
      </c>
      <c r="EZ65" s="375">
        <f t="shared" si="381"/>
        <v>0</v>
      </c>
      <c r="FA65" s="7">
        <f t="shared" si="42"/>
        <v>0</v>
      </c>
      <c r="FB65" s="375"/>
      <c r="FC65" s="7">
        <f t="shared" si="273"/>
        <v>0</v>
      </c>
      <c r="FD65" s="375"/>
      <c r="FE65" s="7">
        <f t="shared" si="200"/>
        <v>0</v>
      </c>
      <c r="FF65" s="375"/>
      <c r="FG65" s="7">
        <f t="shared" si="44"/>
        <v>0</v>
      </c>
      <c r="FH65" s="375">
        <f t="shared" si="382"/>
        <v>0</v>
      </c>
      <c r="FI65" s="7">
        <f t="shared" si="46"/>
        <v>0</v>
      </c>
      <c r="FJ65" s="375">
        <f t="shared" si="366"/>
        <v>0</v>
      </c>
      <c r="FK65" s="7">
        <f t="shared" si="89"/>
        <v>0</v>
      </c>
      <c r="FL65" s="375"/>
      <c r="FM65" s="7">
        <f t="shared" si="276"/>
        <v>0</v>
      </c>
      <c r="FN65" s="375"/>
      <c r="FO65" s="7">
        <f t="shared" si="48"/>
        <v>0</v>
      </c>
      <c r="FP65" s="375"/>
      <c r="FQ65" s="7">
        <f t="shared" si="49"/>
        <v>0</v>
      </c>
      <c r="FR65" s="375">
        <f t="shared" si="383"/>
        <v>0</v>
      </c>
      <c r="FS65" s="7">
        <f t="shared" si="51"/>
        <v>0</v>
      </c>
      <c r="FT65" s="375">
        <f t="shared" si="367"/>
        <v>0</v>
      </c>
      <c r="FU65" s="7">
        <f t="shared" si="90"/>
        <v>0</v>
      </c>
      <c r="FV65" s="375"/>
      <c r="FW65" s="7">
        <f t="shared" si="279"/>
        <v>0</v>
      </c>
      <c r="FX65" s="375"/>
      <c r="FY65" s="7">
        <f t="shared" si="53"/>
        <v>0</v>
      </c>
      <c r="FZ65" s="375"/>
      <c r="GA65" s="7">
        <f t="shared" si="54"/>
        <v>0</v>
      </c>
      <c r="GB65" s="375">
        <f t="shared" si="384"/>
        <v>0</v>
      </c>
      <c r="GC65" s="7">
        <f t="shared" si="56"/>
        <v>0</v>
      </c>
      <c r="GD65" s="375">
        <f t="shared" si="368"/>
        <v>0</v>
      </c>
      <c r="GE65" s="7">
        <f t="shared" si="91"/>
        <v>0</v>
      </c>
      <c r="GF65" s="566">
        <f t="shared" si="282"/>
        <v>0</v>
      </c>
      <c r="GG65" s="525">
        <f t="shared" si="58"/>
        <v>0</v>
      </c>
      <c r="GH65" s="528">
        <f t="shared" si="372"/>
        <v>0</v>
      </c>
      <c r="GI65" s="525">
        <f t="shared" si="60"/>
        <v>0</v>
      </c>
      <c r="GJ65" s="528"/>
      <c r="GK65" s="525">
        <f t="shared" si="61"/>
        <v>0</v>
      </c>
      <c r="GL65" s="528">
        <f t="shared" si="284"/>
        <v>0</v>
      </c>
      <c r="GM65" s="565">
        <f t="shared" si="92"/>
        <v>0</v>
      </c>
      <c r="GN65" s="378"/>
      <c r="GO65" s="586"/>
      <c r="GP65" s="378"/>
      <c r="GQ65" s="586"/>
      <c r="GT65" s="551">
        <f t="shared" si="182"/>
        <v>0</v>
      </c>
      <c r="GU65" s="551">
        <f t="shared" si="94"/>
        <v>0</v>
      </c>
      <c r="GV65" s="550">
        <f t="shared" si="294"/>
        <v>0</v>
      </c>
      <c r="GW65" s="527"/>
      <c r="GX65" s="525">
        <f t="shared" si="285"/>
        <v>0</v>
      </c>
      <c r="GY65" s="528"/>
      <c r="GZ65" s="525">
        <f t="shared" si="286"/>
        <v>0</v>
      </c>
      <c r="HA65" s="528"/>
      <c r="HB65" s="526">
        <f t="shared" si="287"/>
        <v>0</v>
      </c>
      <c r="HD65" s="527"/>
      <c r="HE65" s="525">
        <v>0</v>
      </c>
      <c r="HF65" s="528"/>
      <c r="HG65" s="525">
        <v>0</v>
      </c>
      <c r="HH65" s="528"/>
      <c r="HI65" s="526">
        <v>0</v>
      </c>
    </row>
    <row r="66" spans="1:218" ht="15" customHeight="1" outlineLevel="1">
      <c r="A66" s="386" t="s">
        <v>56</v>
      </c>
      <c r="B66" s="386" t="s">
        <v>60</v>
      </c>
      <c r="C66" s="375">
        <v>0</v>
      </c>
      <c r="D66" s="4"/>
      <c r="E66" s="375">
        <v>0</v>
      </c>
      <c r="F66" s="4"/>
      <c r="G66" s="375"/>
      <c r="H66" s="375"/>
      <c r="I66" s="4"/>
      <c r="J66" s="375"/>
      <c r="K66" s="375"/>
      <c r="L66" s="4"/>
      <c r="M66" s="375"/>
      <c r="N66" s="375">
        <v>0</v>
      </c>
      <c r="O66" s="4"/>
      <c r="P66" s="375">
        <f t="shared" si="13"/>
        <v>0</v>
      </c>
      <c r="Q66" s="375">
        <f t="shared" si="13"/>
        <v>0</v>
      </c>
      <c r="R66" s="7">
        <f t="shared" si="64"/>
        <v>0</v>
      </c>
      <c r="S66" s="375"/>
      <c r="T66" s="375"/>
      <c r="U66" s="4"/>
      <c r="V66" s="375"/>
      <c r="W66" s="375"/>
      <c r="X66" s="4"/>
      <c r="Y66" s="375"/>
      <c r="Z66" s="375"/>
      <c r="AA66" s="4"/>
      <c r="AB66" s="375">
        <f t="shared" si="224"/>
        <v>0</v>
      </c>
      <c r="AC66" s="375">
        <f t="shared" si="371"/>
        <v>0</v>
      </c>
      <c r="AD66" s="7">
        <f t="shared" si="65"/>
        <v>0</v>
      </c>
      <c r="AE66" s="375">
        <f t="shared" si="349"/>
        <v>0</v>
      </c>
      <c r="AF66" s="375">
        <f t="shared" si="350"/>
        <v>0</v>
      </c>
      <c r="AG66" s="4"/>
      <c r="AH66" s="375"/>
      <c r="AI66" s="375"/>
      <c r="AJ66" s="4"/>
      <c r="AK66" s="375"/>
      <c r="AL66" s="375"/>
      <c r="AM66" s="4"/>
      <c r="AN66" s="375"/>
      <c r="AO66" s="375"/>
      <c r="AP66" s="4"/>
      <c r="AQ66" s="375">
        <f t="shared" si="351"/>
        <v>0</v>
      </c>
      <c r="AR66" s="375">
        <f t="shared" si="352"/>
        <v>0</v>
      </c>
      <c r="AS66" s="7">
        <f t="shared" si="68"/>
        <v>0</v>
      </c>
      <c r="AT66" s="375">
        <f t="shared" si="353"/>
        <v>0</v>
      </c>
      <c r="AU66" s="4"/>
      <c r="AV66" s="375"/>
      <c r="AW66" s="375"/>
      <c r="AX66" s="4"/>
      <c r="AY66" s="375"/>
      <c r="AZ66" s="375"/>
      <c r="BA66" s="4"/>
      <c r="BB66" s="375"/>
      <c r="BC66" s="375"/>
      <c r="BD66" s="448"/>
      <c r="BE66" s="375">
        <f t="shared" si="354"/>
        <v>0</v>
      </c>
      <c r="BF66" s="375">
        <f t="shared" si="355"/>
        <v>0</v>
      </c>
      <c r="BG66" s="7">
        <f t="shared" si="71"/>
        <v>0</v>
      </c>
      <c r="BH66" s="375">
        <f t="shared" si="356"/>
        <v>0</v>
      </c>
      <c r="BI66" s="388">
        <f t="shared" si="357"/>
        <v>0</v>
      </c>
      <c r="BJ66" s="7">
        <f t="shared" si="72"/>
        <v>0</v>
      </c>
      <c r="BK66" s="375">
        <v>0</v>
      </c>
      <c r="BL66" s="282"/>
      <c r="BN66" s="375"/>
      <c r="BO66" s="4"/>
      <c r="BP66" s="375"/>
      <c r="BQ66" s="4"/>
      <c r="BR66" s="375"/>
      <c r="BS66" s="4"/>
      <c r="BT66" s="375">
        <f t="shared" si="358"/>
        <v>0</v>
      </c>
      <c r="BU66" s="7">
        <f t="shared" si="73"/>
        <v>0</v>
      </c>
      <c r="BV66" s="375"/>
      <c r="BW66" s="7"/>
      <c r="BX66" s="375"/>
      <c r="BY66" s="7"/>
      <c r="BZ66" s="375">
        <f t="shared" si="373"/>
        <v>0</v>
      </c>
      <c r="CA66" s="7"/>
      <c r="CB66" s="375">
        <f t="shared" si="359"/>
        <v>0</v>
      </c>
      <c r="CC66" s="7">
        <f t="shared" si="158"/>
        <v>0</v>
      </c>
      <c r="CD66" s="375">
        <f t="shared" si="238"/>
        <v>0</v>
      </c>
      <c r="CE66" s="7">
        <f t="shared" si="75"/>
        <v>0</v>
      </c>
      <c r="CF66" s="375">
        <f t="shared" si="374"/>
        <v>0</v>
      </c>
      <c r="CG66" s="7">
        <f t="shared" si="76"/>
        <v>0</v>
      </c>
      <c r="CH66" s="375"/>
      <c r="CI66" s="7">
        <f t="shared" si="76"/>
        <v>0</v>
      </c>
      <c r="CJ66" s="375"/>
      <c r="CK66" s="7">
        <f t="shared" si="76"/>
        <v>0</v>
      </c>
      <c r="CL66" s="375">
        <f t="shared" si="376"/>
        <v>0</v>
      </c>
      <c r="CM66" s="7">
        <f t="shared" si="76"/>
        <v>0</v>
      </c>
      <c r="CN66" s="375">
        <f t="shared" si="288"/>
        <v>0</v>
      </c>
      <c r="CO66" s="7">
        <f t="shared" si="241"/>
        <v>0</v>
      </c>
      <c r="CP66" s="375">
        <v>0</v>
      </c>
      <c r="CQ66" s="7">
        <f t="shared" si="290"/>
        <v>0</v>
      </c>
      <c r="CR66" s="375">
        <f t="shared" si="360"/>
        <v>0</v>
      </c>
      <c r="CS66" s="7">
        <f t="shared" si="244"/>
        <v>0</v>
      </c>
      <c r="CT66" s="375">
        <v>0</v>
      </c>
      <c r="CU66" s="7">
        <f t="shared" si="199"/>
        <v>0</v>
      </c>
      <c r="CV66" s="375">
        <v>0</v>
      </c>
      <c r="CW66" s="7">
        <f t="shared" si="80"/>
        <v>0</v>
      </c>
      <c r="CX66" s="375">
        <f t="shared" si="362"/>
        <v>0</v>
      </c>
      <c r="CY66" s="7">
        <f t="shared" si="291"/>
        <v>0</v>
      </c>
      <c r="CZ66" s="375">
        <f t="shared" si="363"/>
        <v>0</v>
      </c>
      <c r="DA66" s="7">
        <f t="shared" si="81"/>
        <v>0</v>
      </c>
      <c r="DB66" s="375">
        <f t="shared" si="375"/>
        <v>0</v>
      </c>
      <c r="DC66" s="7">
        <f t="shared" si="250"/>
        <v>0</v>
      </c>
      <c r="DD66" s="375"/>
      <c r="DE66" s="7">
        <f t="shared" si="251"/>
        <v>0</v>
      </c>
      <c r="DF66" s="375"/>
      <c r="DG66" s="7">
        <f t="shared" si="252"/>
        <v>0</v>
      </c>
      <c r="DH66" s="375">
        <f t="shared" si="377"/>
        <v>0</v>
      </c>
      <c r="DI66" s="7">
        <f t="shared" si="292"/>
        <v>0</v>
      </c>
      <c r="DJ66" s="375"/>
      <c r="DK66" s="7">
        <f t="shared" si="254"/>
        <v>0</v>
      </c>
      <c r="DL66" s="375"/>
      <c r="DM66" s="7">
        <f t="shared" si="255"/>
        <v>0</v>
      </c>
      <c r="DN66" s="375"/>
      <c r="DO66" s="7">
        <f t="shared" si="256"/>
        <v>0</v>
      </c>
      <c r="DP66" s="375"/>
      <c r="DQ66" s="7">
        <f t="shared" si="257"/>
        <v>0</v>
      </c>
      <c r="DR66" s="375">
        <f t="shared" si="378"/>
        <v>0</v>
      </c>
      <c r="DS66" s="7">
        <f t="shared" si="293"/>
        <v>0</v>
      </c>
      <c r="DT66" s="375">
        <f t="shared" si="259"/>
        <v>0</v>
      </c>
      <c r="DU66" s="7">
        <f t="shared" si="83"/>
        <v>0</v>
      </c>
      <c r="DV66" s="375"/>
      <c r="DW66" s="7">
        <f t="shared" si="260"/>
        <v>0</v>
      </c>
      <c r="DX66" s="375"/>
      <c r="DY66" s="7">
        <f t="shared" si="261"/>
        <v>0</v>
      </c>
      <c r="DZ66" s="375"/>
      <c r="EA66" s="7">
        <f t="shared" si="262"/>
        <v>0</v>
      </c>
      <c r="EB66" s="375">
        <f t="shared" si="379"/>
        <v>0</v>
      </c>
      <c r="EC66" s="7">
        <f t="shared" si="37"/>
        <v>0</v>
      </c>
      <c r="ED66" s="375">
        <f t="shared" si="364"/>
        <v>0</v>
      </c>
      <c r="EE66" s="7">
        <f t="shared" si="85"/>
        <v>0</v>
      </c>
      <c r="EF66" s="375"/>
      <c r="EG66" s="7">
        <f t="shared" si="264"/>
        <v>0</v>
      </c>
      <c r="EH66" s="375"/>
      <c r="EI66" s="7">
        <f t="shared" si="265"/>
        <v>0</v>
      </c>
      <c r="EJ66" s="375"/>
      <c r="EK66" s="7">
        <f t="shared" si="266"/>
        <v>0</v>
      </c>
      <c r="EL66" s="375">
        <f t="shared" si="380"/>
        <v>0</v>
      </c>
      <c r="EM66" s="7">
        <f t="shared" si="39"/>
        <v>0</v>
      </c>
      <c r="EN66" s="375">
        <f t="shared" si="365"/>
        <v>0</v>
      </c>
      <c r="EO66" s="7">
        <f t="shared" si="108"/>
        <v>0</v>
      </c>
      <c r="EP66" s="373"/>
      <c r="EQ66" s="373"/>
      <c r="ER66" s="373"/>
      <c r="ES66" s="373"/>
      <c r="ET66" s="375"/>
      <c r="EU66" s="7">
        <f t="shared" si="269"/>
        <v>0</v>
      </c>
      <c r="EV66" s="375"/>
      <c r="EW66" s="7">
        <f t="shared" si="270"/>
        <v>0</v>
      </c>
      <c r="EX66" s="375"/>
      <c r="EY66" s="7">
        <f t="shared" si="271"/>
        <v>0</v>
      </c>
      <c r="EZ66" s="375">
        <f t="shared" si="381"/>
        <v>0</v>
      </c>
      <c r="FA66" s="7">
        <f t="shared" si="42"/>
        <v>0</v>
      </c>
      <c r="FB66" s="375"/>
      <c r="FC66" s="7">
        <f t="shared" si="273"/>
        <v>0</v>
      </c>
      <c r="FD66" s="375"/>
      <c r="FE66" s="7">
        <f t="shared" si="200"/>
        <v>0</v>
      </c>
      <c r="FF66" s="375"/>
      <c r="FG66" s="7">
        <f t="shared" si="44"/>
        <v>0</v>
      </c>
      <c r="FH66" s="375">
        <f t="shared" si="382"/>
        <v>0</v>
      </c>
      <c r="FI66" s="7">
        <f t="shared" si="46"/>
        <v>0</v>
      </c>
      <c r="FJ66" s="375">
        <f t="shared" si="366"/>
        <v>0</v>
      </c>
      <c r="FK66" s="7">
        <f t="shared" si="89"/>
        <v>0</v>
      </c>
      <c r="FL66" s="375"/>
      <c r="FM66" s="7">
        <f t="shared" si="276"/>
        <v>0</v>
      </c>
      <c r="FN66" s="375"/>
      <c r="FO66" s="7">
        <f t="shared" si="48"/>
        <v>0</v>
      </c>
      <c r="FP66" s="375"/>
      <c r="FQ66" s="7">
        <f t="shared" si="49"/>
        <v>0</v>
      </c>
      <c r="FR66" s="375">
        <f t="shared" si="383"/>
        <v>0</v>
      </c>
      <c r="FS66" s="7">
        <f t="shared" si="51"/>
        <v>0</v>
      </c>
      <c r="FT66" s="375">
        <f t="shared" si="367"/>
        <v>0</v>
      </c>
      <c r="FU66" s="7">
        <f t="shared" si="90"/>
        <v>0</v>
      </c>
      <c r="FV66" s="375"/>
      <c r="FW66" s="7">
        <f t="shared" si="279"/>
        <v>0</v>
      </c>
      <c r="FX66" s="375"/>
      <c r="FY66" s="7">
        <f t="shared" si="53"/>
        <v>0</v>
      </c>
      <c r="FZ66" s="375"/>
      <c r="GA66" s="7">
        <f t="shared" si="54"/>
        <v>0</v>
      </c>
      <c r="GB66" s="375">
        <f t="shared" si="384"/>
        <v>0</v>
      </c>
      <c r="GC66" s="7">
        <f t="shared" si="56"/>
        <v>0</v>
      </c>
      <c r="GD66" s="375">
        <f t="shared" si="368"/>
        <v>0</v>
      </c>
      <c r="GE66" s="7">
        <f t="shared" si="91"/>
        <v>0</v>
      </c>
      <c r="GF66" s="566">
        <f t="shared" si="282"/>
        <v>0</v>
      </c>
      <c r="GG66" s="525">
        <f t="shared" si="58"/>
        <v>0</v>
      </c>
      <c r="GH66" s="528">
        <f t="shared" si="372"/>
        <v>0</v>
      </c>
      <c r="GI66" s="525">
        <f t="shared" si="60"/>
        <v>0</v>
      </c>
      <c r="GJ66" s="528"/>
      <c r="GK66" s="525">
        <f t="shared" si="61"/>
        <v>0</v>
      </c>
      <c r="GL66" s="528">
        <f t="shared" si="284"/>
        <v>0</v>
      </c>
      <c r="GM66" s="565">
        <f t="shared" si="92"/>
        <v>0</v>
      </c>
      <c r="GN66" s="378"/>
      <c r="GO66" s="586"/>
      <c r="GP66" s="378"/>
      <c r="GQ66" s="586"/>
      <c r="GT66" s="551">
        <f t="shared" si="182"/>
        <v>0</v>
      </c>
      <c r="GU66" s="551">
        <f t="shared" si="94"/>
        <v>0</v>
      </c>
      <c r="GV66" s="550">
        <f t="shared" si="294"/>
        <v>0</v>
      </c>
      <c r="GW66" s="527"/>
      <c r="GX66" s="525">
        <f t="shared" si="285"/>
        <v>0</v>
      </c>
      <c r="GY66" s="528"/>
      <c r="GZ66" s="525">
        <f t="shared" si="286"/>
        <v>0</v>
      </c>
      <c r="HA66" s="528"/>
      <c r="HB66" s="526">
        <f t="shared" si="287"/>
        <v>0</v>
      </c>
      <c r="HD66" s="527"/>
      <c r="HE66" s="525">
        <v>0</v>
      </c>
      <c r="HF66" s="528"/>
      <c r="HG66" s="525">
        <v>0</v>
      </c>
      <c r="HH66" s="528"/>
      <c r="HI66" s="526">
        <v>0</v>
      </c>
    </row>
    <row r="67" spans="1:218" ht="15" customHeight="1" outlineLevel="1">
      <c r="A67" s="386" t="s">
        <v>56</v>
      </c>
      <c r="B67" s="386" t="s">
        <v>61</v>
      </c>
      <c r="C67" s="375">
        <v>0</v>
      </c>
      <c r="D67" s="4"/>
      <c r="E67" s="375">
        <v>0</v>
      </c>
      <c r="F67" s="4"/>
      <c r="G67" s="375"/>
      <c r="H67" s="375"/>
      <c r="I67" s="4"/>
      <c r="J67" s="375"/>
      <c r="K67" s="375"/>
      <c r="L67" s="4"/>
      <c r="M67" s="375"/>
      <c r="N67" s="375">
        <v>0</v>
      </c>
      <c r="O67" s="4"/>
      <c r="P67" s="375">
        <f t="shared" si="13"/>
        <v>0</v>
      </c>
      <c r="Q67" s="375">
        <f t="shared" si="13"/>
        <v>0</v>
      </c>
      <c r="R67" s="7">
        <f t="shared" si="64"/>
        <v>0</v>
      </c>
      <c r="S67" s="375"/>
      <c r="T67" s="375"/>
      <c r="U67" s="4"/>
      <c r="V67" s="375"/>
      <c r="W67" s="375"/>
      <c r="X67" s="4"/>
      <c r="Y67" s="375"/>
      <c r="Z67" s="375"/>
      <c r="AA67" s="4"/>
      <c r="AB67" s="375">
        <f t="shared" si="224"/>
        <v>0</v>
      </c>
      <c r="AC67" s="375">
        <f t="shared" si="371"/>
        <v>0</v>
      </c>
      <c r="AD67" s="7">
        <f t="shared" si="65"/>
        <v>0</v>
      </c>
      <c r="AE67" s="375">
        <f t="shared" si="349"/>
        <v>0</v>
      </c>
      <c r="AF67" s="375">
        <f t="shared" si="350"/>
        <v>0</v>
      </c>
      <c r="AG67" s="4"/>
      <c r="AH67" s="375"/>
      <c r="AI67" s="375"/>
      <c r="AJ67" s="4"/>
      <c r="AK67" s="375"/>
      <c r="AL67" s="375"/>
      <c r="AM67" s="4"/>
      <c r="AN67" s="375"/>
      <c r="AO67" s="375"/>
      <c r="AP67" s="4"/>
      <c r="AQ67" s="375">
        <f t="shared" si="351"/>
        <v>0</v>
      </c>
      <c r="AR67" s="375">
        <f t="shared" si="352"/>
        <v>0</v>
      </c>
      <c r="AS67" s="7">
        <f t="shared" si="68"/>
        <v>0</v>
      </c>
      <c r="AT67" s="375">
        <f t="shared" si="353"/>
        <v>0</v>
      </c>
      <c r="AU67" s="4"/>
      <c r="AV67" s="375"/>
      <c r="AW67" s="375"/>
      <c r="AX67" s="4"/>
      <c r="AY67" s="375"/>
      <c r="AZ67" s="375"/>
      <c r="BA67" s="4"/>
      <c r="BB67" s="375"/>
      <c r="BC67" s="375"/>
      <c r="BD67" s="448"/>
      <c r="BE67" s="375">
        <f t="shared" si="354"/>
        <v>0</v>
      </c>
      <c r="BF67" s="375">
        <f t="shared" si="355"/>
        <v>0</v>
      </c>
      <c r="BG67" s="7">
        <f t="shared" si="71"/>
        <v>0</v>
      </c>
      <c r="BH67" s="375">
        <f t="shared" si="356"/>
        <v>0</v>
      </c>
      <c r="BI67" s="388">
        <f t="shared" si="357"/>
        <v>0</v>
      </c>
      <c r="BJ67" s="7">
        <f t="shared" si="72"/>
        <v>0</v>
      </c>
      <c r="BK67" s="375">
        <v>0</v>
      </c>
      <c r="BL67" s="282"/>
      <c r="BN67" s="375"/>
      <c r="BO67" s="4"/>
      <c r="BP67" s="375"/>
      <c r="BQ67" s="4"/>
      <c r="BR67" s="375"/>
      <c r="BS67" s="4"/>
      <c r="BT67" s="375">
        <f t="shared" si="358"/>
        <v>0</v>
      </c>
      <c r="BU67" s="7">
        <f t="shared" si="73"/>
        <v>0</v>
      </c>
      <c r="BV67" s="375"/>
      <c r="BW67" s="7"/>
      <c r="BX67" s="375"/>
      <c r="BY67" s="7"/>
      <c r="BZ67" s="375">
        <f t="shared" si="373"/>
        <v>0</v>
      </c>
      <c r="CA67" s="7"/>
      <c r="CB67" s="375">
        <f t="shared" si="359"/>
        <v>0</v>
      </c>
      <c r="CC67" s="7">
        <f t="shared" si="158"/>
        <v>0</v>
      </c>
      <c r="CD67" s="375">
        <f t="shared" si="238"/>
        <v>0</v>
      </c>
      <c r="CE67" s="7">
        <f t="shared" si="75"/>
        <v>0</v>
      </c>
      <c r="CF67" s="375">
        <f t="shared" si="374"/>
        <v>0</v>
      </c>
      <c r="CG67" s="7">
        <f t="shared" si="76"/>
        <v>0</v>
      </c>
      <c r="CH67" s="375"/>
      <c r="CI67" s="7">
        <f t="shared" si="76"/>
        <v>0</v>
      </c>
      <c r="CJ67" s="375"/>
      <c r="CK67" s="7">
        <f t="shared" si="76"/>
        <v>0</v>
      </c>
      <c r="CL67" s="375">
        <f t="shared" si="376"/>
        <v>0</v>
      </c>
      <c r="CM67" s="7">
        <f t="shared" si="76"/>
        <v>0</v>
      </c>
      <c r="CN67" s="375">
        <f t="shared" si="288"/>
        <v>0</v>
      </c>
      <c r="CO67" s="7">
        <f t="shared" si="241"/>
        <v>0</v>
      </c>
      <c r="CP67" s="375">
        <v>0</v>
      </c>
      <c r="CQ67" s="7">
        <f t="shared" si="290"/>
        <v>0</v>
      </c>
      <c r="CR67" s="375">
        <f t="shared" si="360"/>
        <v>0</v>
      </c>
      <c r="CS67" s="7">
        <f t="shared" si="244"/>
        <v>0</v>
      </c>
      <c r="CT67" s="375">
        <v>0</v>
      </c>
      <c r="CU67" s="7">
        <f t="shared" si="199"/>
        <v>0</v>
      </c>
      <c r="CV67" s="375">
        <v>0</v>
      </c>
      <c r="CW67" s="7">
        <f t="shared" si="80"/>
        <v>0</v>
      </c>
      <c r="CX67" s="375">
        <f t="shared" si="362"/>
        <v>0</v>
      </c>
      <c r="CY67" s="7">
        <f t="shared" si="291"/>
        <v>0</v>
      </c>
      <c r="CZ67" s="375">
        <f t="shared" si="363"/>
        <v>0</v>
      </c>
      <c r="DA67" s="7">
        <f t="shared" si="81"/>
        <v>0</v>
      </c>
      <c r="DB67" s="375">
        <f t="shared" si="375"/>
        <v>0</v>
      </c>
      <c r="DC67" s="7">
        <f t="shared" si="250"/>
        <v>0</v>
      </c>
      <c r="DD67" s="375"/>
      <c r="DE67" s="7">
        <f t="shared" si="251"/>
        <v>0</v>
      </c>
      <c r="DF67" s="375"/>
      <c r="DG67" s="7">
        <f t="shared" si="252"/>
        <v>0</v>
      </c>
      <c r="DH67" s="375">
        <f t="shared" si="377"/>
        <v>0</v>
      </c>
      <c r="DI67" s="7">
        <f t="shared" si="292"/>
        <v>0</v>
      </c>
      <c r="DJ67" s="375"/>
      <c r="DK67" s="7">
        <f t="shared" si="254"/>
        <v>0</v>
      </c>
      <c r="DL67" s="375"/>
      <c r="DM67" s="7">
        <f t="shared" si="255"/>
        <v>0</v>
      </c>
      <c r="DN67" s="375"/>
      <c r="DO67" s="7">
        <f t="shared" si="256"/>
        <v>0</v>
      </c>
      <c r="DP67" s="375"/>
      <c r="DQ67" s="7">
        <f t="shared" si="257"/>
        <v>0</v>
      </c>
      <c r="DR67" s="375">
        <f t="shared" si="378"/>
        <v>0</v>
      </c>
      <c r="DS67" s="7">
        <f t="shared" si="293"/>
        <v>0</v>
      </c>
      <c r="DT67" s="375">
        <f t="shared" si="259"/>
        <v>0</v>
      </c>
      <c r="DU67" s="7">
        <f t="shared" si="83"/>
        <v>0</v>
      </c>
      <c r="DV67" s="375"/>
      <c r="DW67" s="7">
        <f t="shared" si="260"/>
        <v>0</v>
      </c>
      <c r="DX67" s="375"/>
      <c r="DY67" s="7">
        <f t="shared" si="261"/>
        <v>0</v>
      </c>
      <c r="DZ67" s="375"/>
      <c r="EA67" s="7">
        <f t="shared" si="262"/>
        <v>0</v>
      </c>
      <c r="EB67" s="375">
        <f t="shared" si="379"/>
        <v>0</v>
      </c>
      <c r="EC67" s="7">
        <f t="shared" si="37"/>
        <v>0</v>
      </c>
      <c r="ED67" s="375">
        <f t="shared" si="364"/>
        <v>0</v>
      </c>
      <c r="EE67" s="7">
        <f t="shared" si="85"/>
        <v>0</v>
      </c>
      <c r="EF67" s="375"/>
      <c r="EG67" s="7">
        <f t="shared" si="264"/>
        <v>0</v>
      </c>
      <c r="EH67" s="375"/>
      <c r="EI67" s="7">
        <f t="shared" si="265"/>
        <v>0</v>
      </c>
      <c r="EJ67" s="375"/>
      <c r="EK67" s="7">
        <f t="shared" si="266"/>
        <v>0</v>
      </c>
      <c r="EL67" s="375">
        <f t="shared" si="380"/>
        <v>0</v>
      </c>
      <c r="EM67" s="7">
        <f t="shared" si="39"/>
        <v>0</v>
      </c>
      <c r="EN67" s="375">
        <f t="shared" si="365"/>
        <v>0</v>
      </c>
      <c r="EO67" s="7">
        <f t="shared" si="108"/>
        <v>0</v>
      </c>
      <c r="EP67" s="373"/>
      <c r="EQ67" s="373"/>
      <c r="ER67" s="373"/>
      <c r="ES67" s="373"/>
      <c r="ET67" s="375"/>
      <c r="EU67" s="7">
        <f t="shared" si="269"/>
        <v>0</v>
      </c>
      <c r="EV67" s="375"/>
      <c r="EW67" s="7">
        <f t="shared" si="270"/>
        <v>0</v>
      </c>
      <c r="EX67" s="375"/>
      <c r="EY67" s="7">
        <f t="shared" si="271"/>
        <v>0</v>
      </c>
      <c r="EZ67" s="375">
        <f t="shared" si="381"/>
        <v>0</v>
      </c>
      <c r="FA67" s="7">
        <f t="shared" si="42"/>
        <v>0</v>
      </c>
      <c r="FB67" s="375"/>
      <c r="FC67" s="7">
        <f t="shared" si="273"/>
        <v>0</v>
      </c>
      <c r="FD67" s="375"/>
      <c r="FE67" s="7">
        <f t="shared" si="200"/>
        <v>0</v>
      </c>
      <c r="FF67" s="375"/>
      <c r="FG67" s="7">
        <f t="shared" si="44"/>
        <v>0</v>
      </c>
      <c r="FH67" s="375">
        <f t="shared" si="382"/>
        <v>0</v>
      </c>
      <c r="FI67" s="7">
        <f t="shared" si="46"/>
        <v>0</v>
      </c>
      <c r="FJ67" s="375">
        <f t="shared" si="366"/>
        <v>0</v>
      </c>
      <c r="FK67" s="7">
        <f t="shared" si="89"/>
        <v>0</v>
      </c>
      <c r="FL67" s="375"/>
      <c r="FM67" s="7">
        <f t="shared" si="276"/>
        <v>0</v>
      </c>
      <c r="FN67" s="375"/>
      <c r="FO67" s="7">
        <f t="shared" si="48"/>
        <v>0</v>
      </c>
      <c r="FP67" s="375"/>
      <c r="FQ67" s="7">
        <f t="shared" si="49"/>
        <v>0</v>
      </c>
      <c r="FR67" s="375">
        <f t="shared" si="383"/>
        <v>0</v>
      </c>
      <c r="FS67" s="7">
        <f t="shared" si="51"/>
        <v>0</v>
      </c>
      <c r="FT67" s="375">
        <f t="shared" si="367"/>
        <v>0</v>
      </c>
      <c r="FU67" s="7">
        <f t="shared" si="90"/>
        <v>0</v>
      </c>
      <c r="FV67" s="375"/>
      <c r="FW67" s="7">
        <f t="shared" si="279"/>
        <v>0</v>
      </c>
      <c r="FX67" s="375"/>
      <c r="FY67" s="7">
        <f t="shared" si="53"/>
        <v>0</v>
      </c>
      <c r="FZ67" s="375"/>
      <c r="GA67" s="7">
        <f t="shared" si="54"/>
        <v>0</v>
      </c>
      <c r="GB67" s="375">
        <f t="shared" si="384"/>
        <v>0</v>
      </c>
      <c r="GC67" s="7">
        <f t="shared" si="56"/>
        <v>0</v>
      </c>
      <c r="GD67" s="375">
        <f t="shared" si="368"/>
        <v>0</v>
      </c>
      <c r="GE67" s="7">
        <f t="shared" si="91"/>
        <v>0</v>
      </c>
      <c r="GF67" s="566">
        <f t="shared" si="282"/>
        <v>0</v>
      </c>
      <c r="GG67" s="525">
        <f t="shared" si="58"/>
        <v>0</v>
      </c>
      <c r="GH67" s="528">
        <f t="shared" si="372"/>
        <v>0</v>
      </c>
      <c r="GI67" s="525">
        <f t="shared" si="60"/>
        <v>0</v>
      </c>
      <c r="GJ67" s="528"/>
      <c r="GK67" s="525">
        <f t="shared" si="61"/>
        <v>0</v>
      </c>
      <c r="GL67" s="528">
        <f t="shared" si="284"/>
        <v>0</v>
      </c>
      <c r="GM67" s="565">
        <f t="shared" si="92"/>
        <v>0</v>
      </c>
      <c r="GN67" s="378"/>
      <c r="GO67" s="586"/>
      <c r="GP67" s="378"/>
      <c r="GQ67" s="586"/>
      <c r="GT67" s="551">
        <f t="shared" si="182"/>
        <v>0</v>
      </c>
      <c r="GU67" s="551">
        <f t="shared" si="94"/>
        <v>0</v>
      </c>
      <c r="GV67" s="550">
        <f t="shared" si="294"/>
        <v>0</v>
      </c>
      <c r="GW67" s="527"/>
      <c r="GX67" s="525">
        <f t="shared" si="285"/>
        <v>0</v>
      </c>
      <c r="GY67" s="528"/>
      <c r="GZ67" s="525">
        <f t="shared" si="286"/>
        <v>0</v>
      </c>
      <c r="HA67" s="528"/>
      <c r="HB67" s="526">
        <f t="shared" si="287"/>
        <v>0</v>
      </c>
      <c r="HD67" s="527"/>
      <c r="HE67" s="525">
        <v>0</v>
      </c>
      <c r="HF67" s="528"/>
      <c r="HG67" s="525">
        <v>0</v>
      </c>
      <c r="HH67" s="528"/>
      <c r="HI67" s="526">
        <v>0</v>
      </c>
    </row>
    <row r="68" spans="1:218" ht="15" customHeight="1" outlineLevel="1">
      <c r="A68" s="386" t="s">
        <v>56</v>
      </c>
      <c r="B68" s="386" t="s">
        <v>62</v>
      </c>
      <c r="C68" s="375">
        <v>0</v>
      </c>
      <c r="D68" s="4"/>
      <c r="E68" s="375">
        <v>0</v>
      </c>
      <c r="F68" s="4"/>
      <c r="G68" s="375"/>
      <c r="H68" s="375"/>
      <c r="I68" s="4"/>
      <c r="J68" s="375"/>
      <c r="K68" s="375"/>
      <c r="L68" s="4"/>
      <c r="M68" s="375"/>
      <c r="N68" s="375">
        <v>0</v>
      </c>
      <c r="O68" s="4"/>
      <c r="P68" s="375">
        <f t="shared" si="13"/>
        <v>0</v>
      </c>
      <c r="Q68" s="375">
        <f t="shared" si="13"/>
        <v>0</v>
      </c>
      <c r="R68" s="7">
        <f t="shared" si="64"/>
        <v>0</v>
      </c>
      <c r="S68" s="375"/>
      <c r="T68" s="375"/>
      <c r="U68" s="4"/>
      <c r="V68" s="375"/>
      <c r="W68" s="375"/>
      <c r="X68" s="4"/>
      <c r="Y68" s="375"/>
      <c r="Z68" s="375"/>
      <c r="AA68" s="4"/>
      <c r="AB68" s="375">
        <f t="shared" si="224"/>
        <v>0</v>
      </c>
      <c r="AC68" s="375">
        <f t="shared" si="371"/>
        <v>0</v>
      </c>
      <c r="AD68" s="7">
        <f t="shared" si="65"/>
        <v>0</v>
      </c>
      <c r="AE68" s="375">
        <f t="shared" si="349"/>
        <v>0</v>
      </c>
      <c r="AF68" s="375">
        <f t="shared" si="350"/>
        <v>0</v>
      </c>
      <c r="AG68" s="4"/>
      <c r="AH68" s="375"/>
      <c r="AI68" s="375"/>
      <c r="AJ68" s="4"/>
      <c r="AK68" s="375"/>
      <c r="AL68" s="375"/>
      <c r="AM68" s="4"/>
      <c r="AN68" s="375"/>
      <c r="AO68" s="375"/>
      <c r="AP68" s="4"/>
      <c r="AQ68" s="375">
        <f t="shared" si="351"/>
        <v>0</v>
      </c>
      <c r="AR68" s="375">
        <f t="shared" si="352"/>
        <v>0</v>
      </c>
      <c r="AS68" s="7">
        <f t="shared" si="68"/>
        <v>0</v>
      </c>
      <c r="AT68" s="375">
        <f t="shared" si="353"/>
        <v>0</v>
      </c>
      <c r="AU68" s="4"/>
      <c r="AV68" s="375"/>
      <c r="AW68" s="375"/>
      <c r="AX68" s="4"/>
      <c r="AY68" s="375"/>
      <c r="AZ68" s="375"/>
      <c r="BA68" s="4"/>
      <c r="BB68" s="375"/>
      <c r="BC68" s="375"/>
      <c r="BD68" s="448"/>
      <c r="BE68" s="375">
        <f t="shared" si="354"/>
        <v>0</v>
      </c>
      <c r="BF68" s="375">
        <f t="shared" si="355"/>
        <v>0</v>
      </c>
      <c r="BG68" s="7">
        <f t="shared" si="71"/>
        <v>0</v>
      </c>
      <c r="BH68" s="375">
        <f t="shared" si="356"/>
        <v>0</v>
      </c>
      <c r="BI68" s="388">
        <f t="shared" si="357"/>
        <v>0</v>
      </c>
      <c r="BJ68" s="7">
        <f t="shared" si="72"/>
        <v>0</v>
      </c>
      <c r="BK68" s="375">
        <v>-270000</v>
      </c>
      <c r="BL68" s="282"/>
      <c r="BN68" s="375"/>
      <c r="BO68" s="4"/>
      <c r="BP68" s="375"/>
      <c r="BQ68" s="4"/>
      <c r="BR68" s="375"/>
      <c r="BS68" s="4"/>
      <c r="BT68" s="375">
        <f t="shared" si="358"/>
        <v>0</v>
      </c>
      <c r="BU68" s="7">
        <f t="shared" si="73"/>
        <v>0</v>
      </c>
      <c r="BV68" s="375"/>
      <c r="BW68" s="7"/>
      <c r="BX68" s="375"/>
      <c r="BY68" s="7"/>
      <c r="BZ68" s="375">
        <f t="shared" si="373"/>
        <v>0</v>
      </c>
      <c r="CA68" s="7"/>
      <c r="CB68" s="375">
        <f t="shared" si="359"/>
        <v>0</v>
      </c>
      <c r="CC68" s="7">
        <f t="shared" si="158"/>
        <v>0</v>
      </c>
      <c r="CD68" s="375">
        <f t="shared" si="238"/>
        <v>0</v>
      </c>
      <c r="CE68" s="7">
        <f t="shared" si="75"/>
        <v>0</v>
      </c>
      <c r="CF68" s="375">
        <f t="shared" si="374"/>
        <v>0</v>
      </c>
      <c r="CG68" s="7">
        <f t="shared" si="76"/>
        <v>0</v>
      </c>
      <c r="CH68" s="375"/>
      <c r="CI68" s="7">
        <f t="shared" si="76"/>
        <v>0</v>
      </c>
      <c r="CJ68" s="375"/>
      <c r="CK68" s="7">
        <f t="shared" si="76"/>
        <v>0</v>
      </c>
      <c r="CL68" s="375">
        <f t="shared" si="376"/>
        <v>0</v>
      </c>
      <c r="CM68" s="7">
        <f t="shared" si="76"/>
        <v>0</v>
      </c>
      <c r="CN68" s="375">
        <f t="shared" si="288"/>
        <v>0</v>
      </c>
      <c r="CO68" s="7">
        <f t="shared" si="241"/>
        <v>0</v>
      </c>
      <c r="CP68" s="375">
        <v>0</v>
      </c>
      <c r="CQ68" s="7">
        <f t="shared" si="290"/>
        <v>0</v>
      </c>
      <c r="CR68" s="375">
        <f t="shared" si="360"/>
        <v>0</v>
      </c>
      <c r="CS68" s="7">
        <f t="shared" si="244"/>
        <v>0</v>
      </c>
      <c r="CT68" s="375">
        <v>0</v>
      </c>
      <c r="CU68" s="7">
        <f t="shared" si="199"/>
        <v>0</v>
      </c>
      <c r="CV68" s="375">
        <v>0</v>
      </c>
      <c r="CW68" s="7">
        <f t="shared" si="80"/>
        <v>0</v>
      </c>
      <c r="CX68" s="375">
        <f t="shared" si="362"/>
        <v>0</v>
      </c>
      <c r="CY68" s="7">
        <f t="shared" si="291"/>
        <v>0</v>
      </c>
      <c r="CZ68" s="375">
        <f t="shared" si="363"/>
        <v>0</v>
      </c>
      <c r="DA68" s="7">
        <f t="shared" si="81"/>
        <v>0</v>
      </c>
      <c r="DB68" s="375">
        <f t="shared" si="375"/>
        <v>0</v>
      </c>
      <c r="DC68" s="7">
        <f t="shared" si="250"/>
        <v>0</v>
      </c>
      <c r="DD68" s="375"/>
      <c r="DE68" s="7">
        <f t="shared" si="251"/>
        <v>0</v>
      </c>
      <c r="DF68" s="375"/>
      <c r="DG68" s="7">
        <f t="shared" si="252"/>
        <v>0</v>
      </c>
      <c r="DH68" s="375">
        <f t="shared" si="377"/>
        <v>0</v>
      </c>
      <c r="DI68" s="7">
        <f t="shared" si="292"/>
        <v>0</v>
      </c>
      <c r="DJ68" s="375">
        <v>-83851.073590207423</v>
      </c>
      <c r="DK68" s="7">
        <f t="shared" si="254"/>
        <v>-1.5943060371568531E-3</v>
      </c>
      <c r="DL68" s="375"/>
      <c r="DM68" s="7">
        <f t="shared" si="255"/>
        <v>0</v>
      </c>
      <c r="DN68" s="375"/>
      <c r="DO68" s="7">
        <f t="shared" si="256"/>
        <v>0</v>
      </c>
      <c r="DP68" s="375"/>
      <c r="DQ68" s="7">
        <f t="shared" si="257"/>
        <v>0</v>
      </c>
      <c r="DR68" s="375">
        <f t="shared" si="378"/>
        <v>0</v>
      </c>
      <c r="DS68" s="7">
        <f t="shared" si="293"/>
        <v>0</v>
      </c>
      <c r="DT68" s="375">
        <f t="shared" si="259"/>
        <v>0</v>
      </c>
      <c r="DU68" s="7">
        <f t="shared" si="83"/>
        <v>0</v>
      </c>
      <c r="DV68" s="375"/>
      <c r="DW68" s="7">
        <f t="shared" si="260"/>
        <v>0</v>
      </c>
      <c r="DX68" s="375"/>
      <c r="DY68" s="7">
        <f t="shared" si="261"/>
        <v>0</v>
      </c>
      <c r="DZ68" s="375"/>
      <c r="EA68" s="7">
        <f t="shared" si="262"/>
        <v>0</v>
      </c>
      <c r="EB68" s="375">
        <f t="shared" si="379"/>
        <v>0</v>
      </c>
      <c r="EC68" s="7">
        <f t="shared" si="37"/>
        <v>0</v>
      </c>
      <c r="ED68" s="375">
        <f t="shared" si="364"/>
        <v>0</v>
      </c>
      <c r="EE68" s="7">
        <f t="shared" si="85"/>
        <v>0</v>
      </c>
      <c r="EF68" s="375"/>
      <c r="EG68" s="7">
        <f t="shared" si="264"/>
        <v>0</v>
      </c>
      <c r="EH68" s="375"/>
      <c r="EI68" s="7">
        <f t="shared" si="265"/>
        <v>0</v>
      </c>
      <c r="EJ68" s="375"/>
      <c r="EK68" s="7">
        <f t="shared" si="266"/>
        <v>0</v>
      </c>
      <c r="EL68" s="375">
        <f t="shared" si="380"/>
        <v>0</v>
      </c>
      <c r="EM68" s="7">
        <f t="shared" si="39"/>
        <v>0</v>
      </c>
      <c r="EN68" s="375">
        <f t="shared" si="365"/>
        <v>0</v>
      </c>
      <c r="EO68" s="7">
        <f t="shared" si="108"/>
        <v>0</v>
      </c>
      <c r="EP68" s="373"/>
      <c r="EQ68" s="373"/>
      <c r="ER68" s="373"/>
      <c r="ES68" s="373"/>
      <c r="ET68" s="375"/>
      <c r="EU68" s="7">
        <f t="shared" si="269"/>
        <v>0</v>
      </c>
      <c r="EV68" s="375"/>
      <c r="EW68" s="7">
        <f t="shared" si="270"/>
        <v>0</v>
      </c>
      <c r="EX68" s="375"/>
      <c r="EY68" s="7">
        <f t="shared" si="271"/>
        <v>0</v>
      </c>
      <c r="EZ68" s="375">
        <f t="shared" si="381"/>
        <v>0</v>
      </c>
      <c r="FA68" s="7">
        <f t="shared" si="42"/>
        <v>0</v>
      </c>
      <c r="FB68" s="375"/>
      <c r="FC68" s="7">
        <f t="shared" si="273"/>
        <v>0</v>
      </c>
      <c r="FD68" s="375"/>
      <c r="FE68" s="7">
        <f t="shared" si="200"/>
        <v>0</v>
      </c>
      <c r="FF68" s="375"/>
      <c r="FG68" s="7">
        <f t="shared" si="44"/>
        <v>0</v>
      </c>
      <c r="FH68" s="375">
        <f t="shared" si="382"/>
        <v>0</v>
      </c>
      <c r="FI68" s="7">
        <f t="shared" si="46"/>
        <v>0</v>
      </c>
      <c r="FJ68" s="375">
        <f t="shared" si="366"/>
        <v>0</v>
      </c>
      <c r="FK68" s="7">
        <f t="shared" si="89"/>
        <v>0</v>
      </c>
      <c r="FL68" s="375"/>
      <c r="FM68" s="7">
        <f t="shared" si="276"/>
        <v>0</v>
      </c>
      <c r="FN68" s="375"/>
      <c r="FO68" s="7">
        <f t="shared" si="48"/>
        <v>0</v>
      </c>
      <c r="FP68" s="375"/>
      <c r="FQ68" s="7">
        <f t="shared" si="49"/>
        <v>0</v>
      </c>
      <c r="FR68" s="375">
        <f t="shared" si="383"/>
        <v>0</v>
      </c>
      <c r="FS68" s="7">
        <f t="shared" si="51"/>
        <v>0</v>
      </c>
      <c r="FT68" s="375">
        <f t="shared" si="367"/>
        <v>0</v>
      </c>
      <c r="FU68" s="7">
        <f t="shared" si="90"/>
        <v>0</v>
      </c>
      <c r="FV68" s="375"/>
      <c r="FW68" s="7">
        <f t="shared" si="279"/>
        <v>0</v>
      </c>
      <c r="FX68" s="375"/>
      <c r="FY68" s="7">
        <f t="shared" si="53"/>
        <v>0</v>
      </c>
      <c r="FZ68" s="375"/>
      <c r="GA68" s="7">
        <f t="shared" si="54"/>
        <v>0</v>
      </c>
      <c r="GB68" s="375">
        <f t="shared" si="384"/>
        <v>0</v>
      </c>
      <c r="GC68" s="7">
        <f t="shared" si="56"/>
        <v>0</v>
      </c>
      <c r="GD68" s="375">
        <f t="shared" si="368"/>
        <v>0</v>
      </c>
      <c r="GE68" s="7">
        <f t="shared" si="91"/>
        <v>0</v>
      </c>
      <c r="GF68" s="566">
        <f t="shared" si="282"/>
        <v>0</v>
      </c>
      <c r="GG68" s="525">
        <f t="shared" si="58"/>
        <v>0</v>
      </c>
      <c r="GH68" s="528">
        <f t="shared" si="372"/>
        <v>0</v>
      </c>
      <c r="GI68" s="525">
        <f t="shared" si="60"/>
        <v>0</v>
      </c>
      <c r="GJ68" s="528"/>
      <c r="GK68" s="525">
        <f t="shared" si="61"/>
        <v>0</v>
      </c>
      <c r="GL68" s="528">
        <f t="shared" si="284"/>
        <v>0</v>
      </c>
      <c r="GM68" s="565">
        <f t="shared" si="92"/>
        <v>0</v>
      </c>
      <c r="GN68" s="378"/>
      <c r="GO68" s="586"/>
      <c r="GP68" s="378"/>
      <c r="GQ68" s="586"/>
      <c r="GT68" s="551">
        <f t="shared" si="182"/>
        <v>0</v>
      </c>
      <c r="GU68" s="551">
        <f t="shared" si="94"/>
        <v>0</v>
      </c>
      <c r="GV68" s="550">
        <f t="shared" si="294"/>
        <v>0</v>
      </c>
      <c r="GW68" s="527"/>
      <c r="GX68" s="525">
        <f t="shared" si="285"/>
        <v>0</v>
      </c>
      <c r="GY68" s="528"/>
      <c r="GZ68" s="525">
        <f t="shared" si="286"/>
        <v>0</v>
      </c>
      <c r="HA68" s="528"/>
      <c r="HB68" s="526">
        <f t="shared" si="287"/>
        <v>0</v>
      </c>
      <c r="HD68" s="527"/>
      <c r="HE68" s="525">
        <v>0</v>
      </c>
      <c r="HF68" s="528"/>
      <c r="HG68" s="525">
        <v>0</v>
      </c>
      <c r="HH68" s="528"/>
      <c r="HI68" s="526">
        <v>0</v>
      </c>
    </row>
    <row r="69" spans="1:218">
      <c r="A69" s="386" t="s">
        <v>56</v>
      </c>
      <c r="B69" s="386"/>
      <c r="C69" s="389">
        <f>SUM(C60:C68)</f>
        <v>-6687901.0300000003</v>
      </c>
      <c r="D69" s="4"/>
      <c r="E69" s="389">
        <f>SUM(E60:E68)</f>
        <v>-1921709.3099999998</v>
      </c>
      <c r="F69" s="4"/>
      <c r="G69" s="389">
        <f>SUM(G60:G68)</f>
        <v>-564126.57999999984</v>
      </c>
      <c r="H69" s="389">
        <f>SUM(H60:H68)</f>
        <v>-565888.01</v>
      </c>
      <c r="I69" s="4"/>
      <c r="J69" s="389">
        <f>SUM(J60:J68)</f>
        <v>-564126.57999999984</v>
      </c>
      <c r="K69" s="389">
        <f>SUM(K60:K68)</f>
        <v>-698226.58000000007</v>
      </c>
      <c r="L69" s="4"/>
      <c r="M69" s="389">
        <f>SUM(M60:M68)</f>
        <v>-564126.57999999984</v>
      </c>
      <c r="N69" s="389">
        <f>SUM(N60:N68)</f>
        <v>-566071.91</v>
      </c>
      <c r="O69" s="4"/>
      <c r="P69" s="389">
        <f t="shared" si="13"/>
        <v>-1692379.7399999995</v>
      </c>
      <c r="Q69" s="389">
        <f t="shared" si="13"/>
        <v>-1830186.5</v>
      </c>
      <c r="R69" s="7">
        <f t="shared" si="64"/>
        <v>-5.0323982660609966E-2</v>
      </c>
      <c r="S69" s="389">
        <f>SUM(S60:S68)</f>
        <v>-645020.49</v>
      </c>
      <c r="T69" s="389">
        <f>SUM(T60:T68)</f>
        <v>-645020.49</v>
      </c>
      <c r="U69" s="4"/>
      <c r="V69" s="389">
        <f>SUM(V60:V68)</f>
        <v>-630553.68999999994</v>
      </c>
      <c r="W69" s="389">
        <f>SUM(W60:W68)</f>
        <v>-630553.68999999994</v>
      </c>
      <c r="X69" s="4"/>
      <c r="Y69" s="389">
        <f>SUM(Y60:Y68)</f>
        <v>-708384.17999999993</v>
      </c>
      <c r="Z69" s="389">
        <f>SUM(Z60:Z68)</f>
        <v>-708384.17999999993</v>
      </c>
      <c r="AA69" s="4"/>
      <c r="AB69" s="389">
        <f>SUM(AB60:AB68)</f>
        <v>-1983958.3599999999</v>
      </c>
      <c r="AC69" s="389">
        <f>SUM(AC60:AC68)</f>
        <v>-1983958.3599999999</v>
      </c>
      <c r="AD69" s="7">
        <f t="shared" si="65"/>
        <v>-5.349422618928678E-2</v>
      </c>
      <c r="AE69" s="389">
        <f>SUM(AE60:AE68)</f>
        <v>-3814144.86</v>
      </c>
      <c r="AF69" s="389">
        <f>SUM(AF60:AF68)</f>
        <v>-3814144.86</v>
      </c>
      <c r="AG69" s="4"/>
      <c r="AH69" s="389">
        <f>SUM(AH60:AH68)</f>
        <v>-745172.34</v>
      </c>
      <c r="AI69" s="389">
        <f>SUM(AI60:AI68)</f>
        <v>-745172.34</v>
      </c>
      <c r="AJ69" s="4"/>
      <c r="AK69" s="389">
        <f>SUM(AK60:AK68)</f>
        <v>33068.93</v>
      </c>
      <c r="AL69" s="389">
        <f>SUM(AL60:AL68)</f>
        <v>33068.93</v>
      </c>
      <c r="AM69" s="4"/>
      <c r="AN69" s="389">
        <f>SUM(AN60:AN68)</f>
        <v>-503922.62</v>
      </c>
      <c r="AO69" s="389">
        <f>SUM(AO60:AO68)</f>
        <v>-503922.62</v>
      </c>
      <c r="AP69" s="4"/>
      <c r="AQ69" s="389">
        <f>SUM(AQ60:AQ68)</f>
        <v>-1216026.03</v>
      </c>
      <c r="AR69" s="389">
        <f>SUM(AR60:AR68)</f>
        <v>-1216026.03</v>
      </c>
      <c r="AS69" s="7">
        <f t="shared" si="68"/>
        <v>-4.5676384083949563E-2</v>
      </c>
      <c r="AT69" s="389">
        <f>SUM(AT60:AT68)</f>
        <v>-5030170.8899999997</v>
      </c>
      <c r="AU69" s="4"/>
      <c r="AV69" s="389">
        <f>SUM(AV60:AV68)</f>
        <v>-535982.17999999993</v>
      </c>
      <c r="AW69" s="389">
        <f>SUM(AW60:AW68)</f>
        <v>-535157.14</v>
      </c>
      <c r="AX69" s="4"/>
      <c r="AY69" s="389">
        <f>SUM(AY60:AY68)</f>
        <v>-535982.17999999993</v>
      </c>
      <c r="AZ69" s="389">
        <f>SUM(AZ60:AZ68)</f>
        <v>-715546.13</v>
      </c>
      <c r="BA69" s="4"/>
      <c r="BB69" s="389">
        <f>SUM(BB60:BB68)</f>
        <v>-551397.12874999992</v>
      </c>
      <c r="BC69" s="389">
        <f>SUM(BC60:BC68)</f>
        <v>-762996.35</v>
      </c>
      <c r="BD69" s="448"/>
      <c r="BE69" s="389">
        <f>SUM(BE60:BE68)</f>
        <v>-1623361.4887499998</v>
      </c>
      <c r="BF69" s="389">
        <f>SUM(BF60:BF68)</f>
        <v>-2013699.62</v>
      </c>
      <c r="BG69" s="7">
        <f t="shared" si="71"/>
        <v>-6.4131240345349588E-2</v>
      </c>
      <c r="BH69" s="389">
        <f>SUM(BH60:BH68)</f>
        <v>-6653532.3787499992</v>
      </c>
      <c r="BI69" s="389">
        <f>SUM(BI60:BI68)</f>
        <v>-7043870.5099999998</v>
      </c>
      <c r="BJ69" s="7">
        <f t="shared" si="72"/>
        <v>-5.3574630926791482E-2</v>
      </c>
      <c r="BK69" s="389">
        <v>-7720501.3200000012</v>
      </c>
      <c r="BL69" s="282"/>
      <c r="BM69" s="376">
        <f>SUM(BM74:BM125)</f>
        <v>-12875008</v>
      </c>
      <c r="BN69" s="389">
        <f>SUM(BN60:BN68)</f>
        <v>-779898.83</v>
      </c>
      <c r="BO69" s="4"/>
      <c r="BP69" s="389">
        <f>SUM(BP60:BP68)</f>
        <v>-765827.89</v>
      </c>
      <c r="BQ69" s="4"/>
      <c r="BR69" s="389">
        <f>SUM(BR60:BR68)</f>
        <v>-782519.48</v>
      </c>
      <c r="BS69" s="4"/>
      <c r="BT69" s="389">
        <f>SUM(BT60:BT68)</f>
        <v>-2328246.2000000002</v>
      </c>
      <c r="BU69" s="7">
        <f t="shared" si="73"/>
        <v>-4.294428965910134E-2</v>
      </c>
      <c r="BV69" s="389">
        <f>SUM(BV60:BV68)</f>
        <v>-68034.28</v>
      </c>
      <c r="BW69" s="7"/>
      <c r="BX69" s="389">
        <f>SUM(BX60:BX68)</f>
        <v>-439549.17</v>
      </c>
      <c r="BY69" s="7"/>
      <c r="BZ69" s="389">
        <f>SUM(BZ60:BZ68)</f>
        <v>-445797.86</v>
      </c>
      <c r="CA69" s="7"/>
      <c r="CB69" s="389">
        <f>SUM(CB60:CB68)</f>
        <v>-953381.31</v>
      </c>
      <c r="CC69" s="7">
        <f t="shared" si="158"/>
        <v>-2.7841665953476476E-2</v>
      </c>
      <c r="CD69" s="389">
        <f>SUM(CD60:CD68)</f>
        <v>-3281627.5100000002</v>
      </c>
      <c r="CE69" s="7">
        <f t="shared" si="75"/>
        <v>-3.7097945329954703E-2</v>
      </c>
      <c r="CF69" s="389">
        <f>SUM(CF60:CF68)</f>
        <v>-422369.26</v>
      </c>
      <c r="CG69" s="7">
        <f t="shared" si="76"/>
        <v>-8.3622668563862038E-2</v>
      </c>
      <c r="CH69" s="389">
        <f>SUM(CH60:CH68)</f>
        <v>-461282.56</v>
      </c>
      <c r="CI69" s="7">
        <f t="shared" si="76"/>
        <v>-1.2440128069501571E-2</v>
      </c>
      <c r="CJ69" s="389">
        <f>SUM(CJ60:CJ68)</f>
        <v>-525699.9</v>
      </c>
      <c r="CK69" s="7">
        <f t="shared" si="76"/>
        <v>-1.8666804469870263E-2</v>
      </c>
      <c r="CL69" s="389">
        <f>SUM(CL60:CL68)</f>
        <v>-1409351.72</v>
      </c>
      <c r="CM69" s="7">
        <f t="shared" si="76"/>
        <v>-2.0049562286772789E-2</v>
      </c>
      <c r="CN69" s="389">
        <f>SUM(CN60:CN68)</f>
        <v>-4690979.2300000004</v>
      </c>
      <c r="CO69" s="7">
        <f t="shared" si="241"/>
        <v>-2.9549128945887175E-2</v>
      </c>
      <c r="CP69" s="389">
        <f>SUM(CP60:CP68)</f>
        <v>-479454.03</v>
      </c>
      <c r="CQ69" s="7">
        <f t="shared" si="290"/>
        <v>-2.4474308310418875E-2</v>
      </c>
      <c r="CR69" s="389">
        <f>SUM(CR60:CR68)</f>
        <v>-5170433.2600000007</v>
      </c>
      <c r="CS69" s="7">
        <f t="shared" si="244"/>
        <v>-2.89916817742936E-2</v>
      </c>
      <c r="CT69" s="389">
        <f t="shared" ref="CT69" si="385">SUM(CT60:CT68)</f>
        <v>-506542.15</v>
      </c>
      <c r="CU69" s="7">
        <f t="shared" si="199"/>
        <v>-3.233671967990407E-2</v>
      </c>
      <c r="CV69" s="389">
        <f t="shared" ref="CV69" si="386">SUM(CV60:CV68)</f>
        <v>-1144701.19</v>
      </c>
      <c r="CW69" s="7">
        <f t="shared" si="80"/>
        <v>-1.8294447281606206E-2</v>
      </c>
      <c r="CX69" s="389">
        <f>SUM(CX60:CX68)</f>
        <v>-2130697.37</v>
      </c>
      <c r="CY69" s="7">
        <f t="shared" si="291"/>
        <v>-2.1780554835782825E-2</v>
      </c>
      <c r="CZ69" s="389">
        <f>SUM(CZ60:CZ68)</f>
        <v>-6821676.6000000006</v>
      </c>
      <c r="DA69" s="7">
        <f t="shared" si="81"/>
        <v>-2.6587193960948687E-2</v>
      </c>
      <c r="DB69" s="389">
        <f>SUM(DB60:DB68)</f>
        <v>-475247.80000000005</v>
      </c>
      <c r="DC69" s="7">
        <f t="shared" si="250"/>
        <v>-2.4757249590082259E-2</v>
      </c>
      <c r="DD69" s="389">
        <f>SUM(DD60:DD68)</f>
        <v>-455090.58</v>
      </c>
      <c r="DE69" s="7">
        <f t="shared" si="251"/>
        <v>-1.7525586178497369E-2</v>
      </c>
      <c r="DF69" s="389">
        <f>SUM(DF60:DF68)</f>
        <v>-519405.56999999995</v>
      </c>
      <c r="DG69" s="7">
        <f t="shared" si="252"/>
        <v>-1.6744108849397154E-2</v>
      </c>
      <c r="DH69" s="389">
        <f>SUM(DH60:DH68)</f>
        <v>-1449743.95</v>
      </c>
      <c r="DI69" s="7">
        <f t="shared" si="292"/>
        <v>-1.9029577653231464E-2</v>
      </c>
      <c r="DJ69" s="389">
        <f>SUM(DJ60:DJ68)</f>
        <v>-1747675.2753207916</v>
      </c>
      <c r="DK69" s="7">
        <f t="shared" si="254"/>
        <v>-3.3229499911365548E-2</v>
      </c>
      <c r="DL69" s="389">
        <f>SUM(DL60:DL68)</f>
        <v>-492123.84</v>
      </c>
      <c r="DM69" s="7">
        <f t="shared" si="255"/>
        <v>-5.6735624941957892E-2</v>
      </c>
      <c r="DN69" s="389">
        <f>SUM(DN60:DN68)</f>
        <v>-513236.5</v>
      </c>
      <c r="DO69" s="7">
        <f t="shared" si="256"/>
        <v>-2.9907736056268799E-2</v>
      </c>
      <c r="DP69" s="389">
        <f>SUM(DP60:DP68)</f>
        <v>-560330.76</v>
      </c>
      <c r="DQ69" s="7">
        <f t="shared" si="257"/>
        <v>-6.6781169104490456E-3</v>
      </c>
      <c r="DR69" s="389">
        <f>SUM(DR60:DR68)</f>
        <v>-1565691.0999999999</v>
      </c>
      <c r="DS69" s="7">
        <f t="shared" si="293"/>
        <v>-1.4267259070687408E-2</v>
      </c>
      <c r="DT69" s="389">
        <f>SUM(DT60:DT68)</f>
        <v>-3015435.05</v>
      </c>
      <c r="DU69" s="7">
        <f t="shared" si="83"/>
        <v>-1.6218655320419051E-2</v>
      </c>
      <c r="DV69" s="389">
        <f>SUM(DV60:DV68)</f>
        <v>-656227.73</v>
      </c>
      <c r="DW69" s="7">
        <f t="shared" si="260"/>
        <v>-1.4417104954866802E-2</v>
      </c>
      <c r="DX69" s="389">
        <f>SUM(DX60:DX68)</f>
        <v>-613816.43000000005</v>
      </c>
      <c r="DY69" s="7">
        <f t="shared" si="261"/>
        <v>-2.3743053897890613E-2</v>
      </c>
      <c r="DZ69" s="389">
        <f>SUM(DZ60:DZ68)</f>
        <v>-611499.48</v>
      </c>
      <c r="EA69" s="7">
        <f t="shared" si="262"/>
        <v>-4.9982224842636787E-3</v>
      </c>
      <c r="EB69" s="389">
        <f>SUM(EB60:EB68)</f>
        <v>-1881543.64</v>
      </c>
      <c r="EC69" s="7">
        <f t="shared" si="37"/>
        <v>-9.7130400644809163E-3</v>
      </c>
      <c r="ED69" s="389">
        <f>SUM(ED60:ED68)</f>
        <v>-4896978.6900000004</v>
      </c>
      <c r="EE69" s="7">
        <f t="shared" si="85"/>
        <v>-1.289910744145983E-2</v>
      </c>
      <c r="EF69" s="389">
        <f>SUM(EF60:EF68)</f>
        <v>-642735.37</v>
      </c>
      <c r="EG69" s="7">
        <f t="shared" si="264"/>
        <v>-4.3496592305667679E-2</v>
      </c>
      <c r="EH69" s="389">
        <f>SUM(EH60:EH68)</f>
        <v>-631425.22</v>
      </c>
      <c r="EI69" s="7">
        <f t="shared" si="265"/>
        <v>-4.9528763657592512E-2</v>
      </c>
      <c r="EJ69" s="389">
        <f>SUM(EJ60:EJ68)</f>
        <v>-2139669.94</v>
      </c>
      <c r="EK69" s="7">
        <f t="shared" si="266"/>
        <v>-1.3701513408346371E-2</v>
      </c>
      <c r="EL69" s="389">
        <f>SUM(EL60:EL68)</f>
        <v>-3413830.53</v>
      </c>
      <c r="EM69" s="7">
        <f t="shared" si="39"/>
        <v>-1.8584902250593102E-2</v>
      </c>
      <c r="EN69" s="389">
        <f>SUM(EN60:EN68)</f>
        <v>-8310809.2199999997</v>
      </c>
      <c r="EO69" s="7">
        <f t="shared" si="108"/>
        <v>-1.4753123661238843E-2</v>
      </c>
      <c r="EP69" s="373"/>
      <c r="EQ69" s="373"/>
      <c r="ER69" s="373"/>
      <c r="ES69" s="373"/>
      <c r="ET69" s="389">
        <f>SUM(ET60:ET68)</f>
        <v>-1651818.94</v>
      </c>
      <c r="EU69" s="7">
        <f t="shared" si="269"/>
        <v>-0.22394753333073666</v>
      </c>
      <c r="EV69" s="389">
        <f>SUM(EV60:EV68)</f>
        <v>-2114141.86</v>
      </c>
      <c r="EW69" s="7">
        <f t="shared" si="270"/>
        <v>-0.34689796879320012</v>
      </c>
      <c r="EX69" s="389">
        <f>SUM(EX60:EX68)</f>
        <v>-1600312.59</v>
      </c>
      <c r="EY69" s="7">
        <f t="shared" si="271"/>
        <v>-7.0100879188287422E-3</v>
      </c>
      <c r="EZ69" s="389">
        <f>SUM(EZ60:EZ68)</f>
        <v>-5366273.3899999997</v>
      </c>
      <c r="FA69" s="7">
        <f t="shared" si="42"/>
        <v>-2.2196932480997418E-2</v>
      </c>
      <c r="FB69" s="389">
        <f>SUM(FB60:FB68)</f>
        <v>-1596728</v>
      </c>
      <c r="FC69" s="7">
        <f t="shared" si="273"/>
        <v>-0.17620129849152338</v>
      </c>
      <c r="FD69" s="389">
        <f t="shared" ref="FD69" si="387">SUM(FD60:FD68)</f>
        <v>-2025123.8699999999</v>
      </c>
      <c r="FE69" s="7">
        <f t="shared" si="200"/>
        <v>-1.9240400316597087E-2</v>
      </c>
      <c r="FF69" s="389">
        <f t="shared" ref="FF69" si="388">SUM(FF60:FF68)</f>
        <v>-1664194.2400000002</v>
      </c>
      <c r="FG69" s="7">
        <f t="shared" si="44"/>
        <v>-1.0357078167144299E-2</v>
      </c>
      <c r="FH69" s="389">
        <f>SUM(FH60:FH68)</f>
        <v>-5286046.1099999994</v>
      </c>
      <c r="FI69" s="7">
        <f t="shared" si="46"/>
        <v>-1.9222159981452342E-2</v>
      </c>
      <c r="FJ69" s="389">
        <f>SUM(FJ60:FJ68)</f>
        <v>-10652319.499999998</v>
      </c>
      <c r="FK69" s="7">
        <f t="shared" si="89"/>
        <v>-2.061387064166427E-2</v>
      </c>
      <c r="FL69" s="389">
        <f>SUM(FL60:FL68)</f>
        <v>-1672186.57</v>
      </c>
      <c r="FM69" s="7">
        <f t="shared" si="276"/>
        <v>-0.15293018210123405</v>
      </c>
      <c r="FN69" s="389">
        <f t="shared" ref="FN69" si="389">SUM(FN60:FN68)</f>
        <v>-1749329.07</v>
      </c>
      <c r="FO69" s="7">
        <f t="shared" si="48"/>
        <v>-0.36611969875862871</v>
      </c>
      <c r="FP69" s="389">
        <f t="shared" ref="FP69" si="390">SUM(FP60:FP68)</f>
        <v>-2072724.07</v>
      </c>
      <c r="FQ69" s="7">
        <f t="shared" si="49"/>
        <v>-7.4924266866980413E-3</v>
      </c>
      <c r="FR69" s="389">
        <f>SUM(FR60:FR68)</f>
        <v>-5494239.71</v>
      </c>
      <c r="FS69" s="7">
        <f t="shared" si="51"/>
        <v>-1.8793048482481693E-2</v>
      </c>
      <c r="FT69" s="389">
        <f>SUM(FT60:FT68)</f>
        <v>-16146559.209999999</v>
      </c>
      <c r="FU69" s="7">
        <f t="shared" si="90"/>
        <v>-1.9955954685948137E-2</v>
      </c>
      <c r="FV69" s="389">
        <f>SUM(FV60:FV68)</f>
        <v>-1579969.75</v>
      </c>
      <c r="FW69" s="7">
        <f t="shared" si="279"/>
        <v>-5.69359700542343E-2</v>
      </c>
      <c r="FX69" s="389">
        <f t="shared" ref="FX69" si="391">SUM(FX60:FX68)</f>
        <v>-1813867.2000000002</v>
      </c>
      <c r="FY69" s="7">
        <f t="shared" si="53"/>
        <v>-7.0657329087827889E-2</v>
      </c>
      <c r="FZ69" s="389">
        <f t="shared" ref="FZ69" si="392">SUM(FZ60:FZ68)</f>
        <v>-5825663.5899999999</v>
      </c>
      <c r="GA69" s="7">
        <f t="shared" si="54"/>
        <v>-2.0150379016958545E-2</v>
      </c>
      <c r="GB69" s="389">
        <f>SUM(GB60:GB68)</f>
        <v>-9219500.540000001</v>
      </c>
      <c r="GC69" s="7">
        <f t="shared" si="56"/>
        <v>-2.6915841518791717E-2</v>
      </c>
      <c r="GD69" s="389">
        <f>SUM(GD60:GD68)</f>
        <v>-25366059.75</v>
      </c>
      <c r="GE69" s="7">
        <f t="shared" si="91"/>
        <v>-2.2026023048205782E-2</v>
      </c>
      <c r="GF69" s="567">
        <f t="shared" ref="GF69:GH69" si="393">SUM(GF60:GF68)</f>
        <v>-187474.10283333334</v>
      </c>
      <c r="GG69" s="525">
        <f t="shared" si="58"/>
        <v>-1.4548344004869276E-2</v>
      </c>
      <c r="GH69" s="530">
        <f t="shared" si="393"/>
        <v>0</v>
      </c>
      <c r="GI69" s="525">
        <f t="shared" si="60"/>
        <v>0</v>
      </c>
      <c r="GJ69" s="530">
        <f t="shared" ref="GJ69" si="394">SUM(GJ60:GJ68)</f>
        <v>0</v>
      </c>
      <c r="GK69" s="525">
        <f t="shared" si="61"/>
        <v>0</v>
      </c>
      <c r="GL69" s="530">
        <f>SUM(GL60:GL68)</f>
        <v>-25553533.852833334</v>
      </c>
      <c r="GM69" s="565">
        <f t="shared" si="92"/>
        <v>-2.2051043335017995E-2</v>
      </c>
      <c r="GN69" s="378"/>
      <c r="GO69" s="587">
        <f t="shared" ref="GO69" si="395">SUM(GO60:GO68)</f>
        <v>-15340</v>
      </c>
      <c r="GP69" s="378"/>
      <c r="GQ69" s="587">
        <f t="shared" ref="GQ69" si="396">SUM(GQ60:GQ68)</f>
        <v>0</v>
      </c>
      <c r="GT69" s="551">
        <f t="shared" si="182"/>
        <v>-4748871.7077956088</v>
      </c>
      <c r="GU69" s="551">
        <f t="shared" si="94"/>
        <v>-5563902.3522043917</v>
      </c>
      <c r="GV69" s="550">
        <f t="shared" si="294"/>
        <v>-10312774.060000001</v>
      </c>
      <c r="GW69" s="529">
        <f>SUM(GW60:GW68)</f>
        <v>-20965093.559999999</v>
      </c>
      <c r="GX69" s="525">
        <f t="shared" si="285"/>
        <v>-1.7705285006729254E-2</v>
      </c>
      <c r="GY69" s="530">
        <f>SUM(GY60:GY68)</f>
        <v>-20965093.559999999</v>
      </c>
      <c r="GZ69" s="525">
        <f t="shared" si="286"/>
        <v>-2.328936920034743E-2</v>
      </c>
      <c r="HA69" s="530">
        <f>SUM(HA60:HA68)</f>
        <v>-20965093.559999999</v>
      </c>
      <c r="HB69" s="526">
        <f t="shared" si="287"/>
        <v>-2.8800742941660181E-2</v>
      </c>
      <c r="HD69" s="529">
        <v>-20965093.559999999</v>
      </c>
      <c r="HE69" s="525">
        <v>-1.7648337994784703E-2</v>
      </c>
      <c r="HF69" s="530">
        <v>-20965093.559999999</v>
      </c>
      <c r="HG69" s="525">
        <v>-2.328936920034743E-2</v>
      </c>
      <c r="HH69" s="530">
        <v>-20965093.559999999</v>
      </c>
      <c r="HI69" s="526">
        <v>-2.8800742941660181E-2</v>
      </c>
      <c r="HJ69" s="373" t="s">
        <v>725</v>
      </c>
    </row>
    <row r="70" spans="1:218" ht="15" customHeight="1" outlineLevel="1">
      <c r="A70" s="386" t="s">
        <v>63</v>
      </c>
      <c r="B70" s="386" t="s">
        <v>64</v>
      </c>
      <c r="C70" s="375">
        <v>-429831.58</v>
      </c>
      <c r="D70" s="4"/>
      <c r="E70" s="375">
        <v>-416000</v>
      </c>
      <c r="F70" s="4"/>
      <c r="G70" s="375"/>
      <c r="H70" s="375"/>
      <c r="I70" s="4"/>
      <c r="J70" s="375"/>
      <c r="K70" s="375"/>
      <c r="L70" s="4"/>
      <c r="M70" s="375"/>
      <c r="N70" s="375">
        <v>-33000</v>
      </c>
      <c r="O70" s="4"/>
      <c r="P70" s="375">
        <f t="shared" si="13"/>
        <v>0</v>
      </c>
      <c r="Q70" s="375">
        <f t="shared" si="13"/>
        <v>-33000</v>
      </c>
      <c r="R70" s="7">
        <f t="shared" si="64"/>
        <v>-9.0738918017378505E-4</v>
      </c>
      <c r="S70" s="375">
        <v>-286000</v>
      </c>
      <c r="T70" s="375">
        <v>-286000</v>
      </c>
      <c r="U70" s="4"/>
      <c r="V70" s="375">
        <v>-66000</v>
      </c>
      <c r="W70" s="375">
        <v>-66000</v>
      </c>
      <c r="X70" s="4"/>
      <c r="Y70" s="375"/>
      <c r="Z70" s="375"/>
      <c r="AA70" s="4"/>
      <c r="AB70" s="375">
        <f t="shared" si="224"/>
        <v>-352000</v>
      </c>
      <c r="AC70" s="375">
        <f t="shared" si="371"/>
        <v>-352000</v>
      </c>
      <c r="AD70" s="7">
        <f t="shared" si="65"/>
        <v>-9.4911102966036796E-3</v>
      </c>
      <c r="AE70" s="375">
        <f t="shared" ref="AE70:AE73" si="397">+Q70+AB70</f>
        <v>-385000</v>
      </c>
      <c r="AF70" s="375">
        <f t="shared" ref="AF70:AF73" si="398">+AC70+Q70</f>
        <v>-385000</v>
      </c>
      <c r="AG70" s="4"/>
      <c r="AH70" s="375"/>
      <c r="AI70" s="375"/>
      <c r="AJ70" s="4"/>
      <c r="AK70" s="375"/>
      <c r="AL70" s="375"/>
      <c r="AM70" s="4"/>
      <c r="AN70" s="375">
        <v>-11000</v>
      </c>
      <c r="AO70" s="375">
        <v>-11000</v>
      </c>
      <c r="AP70" s="4"/>
      <c r="AQ70" s="375">
        <f t="shared" ref="AQ70:AQ73" si="399">AN70+AK70+AH70</f>
        <v>-11000</v>
      </c>
      <c r="AR70" s="375">
        <f t="shared" ref="AR70:AR73" si="400">AO70+AL70+AI70</f>
        <v>-11000</v>
      </c>
      <c r="AS70" s="7">
        <f t="shared" si="68"/>
        <v>-4.1318212976365745E-4</v>
      </c>
      <c r="AT70" s="375">
        <f t="shared" ref="AT70:AT73" si="401">+AF70+AR70</f>
        <v>-396000</v>
      </c>
      <c r="AU70" s="4"/>
      <c r="AV70" s="375"/>
      <c r="AW70" s="375"/>
      <c r="AX70" s="4"/>
      <c r="AY70" s="375"/>
      <c r="AZ70" s="375"/>
      <c r="BA70" s="4"/>
      <c r="BB70" s="375"/>
      <c r="BC70" s="375"/>
      <c r="BD70" s="448"/>
      <c r="BE70" s="375">
        <f t="shared" ref="BE70:BE73" si="402">BB70+AY70+AV70</f>
        <v>0</v>
      </c>
      <c r="BF70" s="375">
        <f t="shared" ref="BF70:BF73" si="403">BC70+AZ70+AW70</f>
        <v>0</v>
      </c>
      <c r="BG70" s="7">
        <f t="shared" si="71"/>
        <v>0</v>
      </c>
      <c r="BH70" s="375">
        <f t="shared" ref="BH70:BH73" si="404">Q70+AB70+AQ70+BE70</f>
        <v>-396000</v>
      </c>
      <c r="BI70" s="388">
        <f t="shared" ref="BI70:BI73" si="405">Q70+AC70+AR70+BF70</f>
        <v>-396000</v>
      </c>
      <c r="BJ70" s="7">
        <f t="shared" si="72"/>
        <v>-3.0119170727074349E-3</v>
      </c>
      <c r="BK70" s="375">
        <v>0</v>
      </c>
      <c r="BL70" s="282"/>
      <c r="BN70" s="375">
        <v>0</v>
      </c>
      <c r="BO70" s="4"/>
      <c r="BP70" s="375">
        <v>-3745500</v>
      </c>
      <c r="BQ70" s="4"/>
      <c r="BR70" s="375">
        <v>3745500</v>
      </c>
      <c r="BS70" s="4"/>
      <c r="BT70" s="375">
        <f t="shared" ref="BT70:BT73" si="406">SUM(BN70:BS70)</f>
        <v>0</v>
      </c>
      <c r="BU70" s="7">
        <f t="shared" si="73"/>
        <v>0</v>
      </c>
      <c r="BV70" s="375">
        <v>-609666.66</v>
      </c>
      <c r="BW70" s="7"/>
      <c r="BX70" s="375">
        <v>-416166.66</v>
      </c>
      <c r="BY70" s="7"/>
      <c r="BZ70" s="375">
        <v>749833.32</v>
      </c>
      <c r="CA70" s="7"/>
      <c r="CB70" s="375">
        <f>+BV70+BX70+BZ70</f>
        <v>-276000.00000000012</v>
      </c>
      <c r="CC70" s="7">
        <f t="shared" si="158"/>
        <v>-8.0600487156177944E-3</v>
      </c>
      <c r="CD70" s="375">
        <f t="shared" si="238"/>
        <v>-276000.00000000012</v>
      </c>
      <c r="CE70" s="7">
        <f t="shared" si="75"/>
        <v>-3.1201082023680081E-3</v>
      </c>
      <c r="CF70" s="375">
        <v>-554888.89</v>
      </c>
      <c r="CG70" s="7">
        <f t="shared" si="76"/>
        <v>-0.10985953319197353</v>
      </c>
      <c r="CH70" s="375">
        <v>-642888.89</v>
      </c>
      <c r="CI70" s="7">
        <f t="shared" si="76"/>
        <v>-1.7337789935218249E-2</v>
      </c>
      <c r="CJ70" s="375">
        <f>-554888.89+1664667</f>
        <v>1109778.1099999999</v>
      </c>
      <c r="CK70" s="7">
        <f t="shared" si="76"/>
        <v>3.9406534002217178E-2</v>
      </c>
      <c r="CL70" s="375">
        <f t="shared" ref="CL70:CL73" si="407">+CF70+CH70+CJ70</f>
        <v>-87999.670000000158</v>
      </c>
      <c r="CM70" s="7">
        <f t="shared" si="76"/>
        <v>-1.2518910927929714E-3</v>
      </c>
      <c r="CN70" s="375">
        <f t="shared" si="288"/>
        <v>-363999.67000000027</v>
      </c>
      <c r="CO70" s="7">
        <f t="shared" si="241"/>
        <v>-2.2928844187379586E-3</v>
      </c>
      <c r="CP70" s="472">
        <v>0</v>
      </c>
      <c r="CQ70" s="7">
        <f t="shared" si="290"/>
        <v>0</v>
      </c>
      <c r="CR70" s="375">
        <f t="shared" ref="CR70:CR73" si="408">+CN70+CP70</f>
        <v>-363999.67000000027</v>
      </c>
      <c r="CS70" s="7">
        <f t="shared" si="244"/>
        <v>-2.0410209489074601E-3</v>
      </c>
      <c r="CT70" s="375"/>
      <c r="CU70" s="7">
        <f t="shared" si="199"/>
        <v>0</v>
      </c>
      <c r="CV70" s="375">
        <v>-50000</v>
      </c>
      <c r="CW70" s="7">
        <f t="shared" si="80"/>
        <v>-7.9909269953699468E-4</v>
      </c>
      <c r="CX70" s="375">
        <f>+CV70+CT70+CP70</f>
        <v>-50000</v>
      </c>
      <c r="CY70" s="7">
        <f t="shared" si="291"/>
        <v>-5.1111328953728477E-4</v>
      </c>
      <c r="CZ70" s="375">
        <f>+CD70+CL70+CX70</f>
        <v>-413999.67000000027</v>
      </c>
      <c r="DA70" s="7">
        <f t="shared" si="81"/>
        <v>-1.6135460784023029E-3</v>
      </c>
      <c r="DB70" s="375"/>
      <c r="DC70" s="7">
        <f t="shared" si="250"/>
        <v>0</v>
      </c>
      <c r="DD70" s="375"/>
      <c r="DE70" s="7">
        <f t="shared" si="251"/>
        <v>0</v>
      </c>
      <c r="DF70" s="72">
        <v>-209000</v>
      </c>
      <c r="DG70" s="7">
        <f t="shared" si="252"/>
        <v>-6.7375456707636106E-3</v>
      </c>
      <c r="DH70" s="375">
        <f t="shared" ref="DH70:DH73" si="409">+DB70+DD70+DF70</f>
        <v>-209000</v>
      </c>
      <c r="DI70" s="7">
        <f t="shared" si="292"/>
        <v>-2.7433683924153475E-3</v>
      </c>
      <c r="DJ70" s="375"/>
      <c r="DK70" s="7">
        <f t="shared" si="254"/>
        <v>0</v>
      </c>
      <c r="DL70" s="72"/>
      <c r="DM70" s="7">
        <f t="shared" si="255"/>
        <v>0</v>
      </c>
      <c r="DN70" s="72"/>
      <c r="DO70" s="7">
        <f t="shared" si="256"/>
        <v>0</v>
      </c>
      <c r="DP70" s="72"/>
      <c r="DQ70" s="7">
        <f t="shared" si="257"/>
        <v>0</v>
      </c>
      <c r="DR70" s="375">
        <f t="shared" ref="DR70:DR73" si="410">+DL70+DN70+DP70</f>
        <v>0</v>
      </c>
      <c r="DS70" s="7">
        <f t="shared" si="293"/>
        <v>0</v>
      </c>
      <c r="DT70" s="375">
        <f t="shared" si="259"/>
        <v>-209000</v>
      </c>
      <c r="DU70" s="7">
        <f t="shared" si="83"/>
        <v>-1.1241160581348228E-3</v>
      </c>
      <c r="DV70" s="375"/>
      <c r="DW70" s="7">
        <f t="shared" si="260"/>
        <v>0</v>
      </c>
      <c r="DX70" s="375"/>
      <c r="DY70" s="7">
        <f t="shared" si="261"/>
        <v>0</v>
      </c>
      <c r="DZ70" s="375"/>
      <c r="EA70" s="7">
        <f t="shared" si="262"/>
        <v>0</v>
      </c>
      <c r="EB70" s="375">
        <f t="shared" ref="EB70:EB73" si="411">+DV70+DX70+DZ70</f>
        <v>0</v>
      </c>
      <c r="EC70" s="7">
        <f t="shared" si="37"/>
        <v>0</v>
      </c>
      <c r="ED70" s="375">
        <f>+EB70+DT70</f>
        <v>-209000</v>
      </c>
      <c r="EE70" s="7">
        <f t="shared" si="85"/>
        <v>-5.505258703229326E-4</v>
      </c>
      <c r="EF70" s="375"/>
      <c r="EG70" s="7">
        <f t="shared" si="264"/>
        <v>0</v>
      </c>
      <c r="EH70" s="375"/>
      <c r="EI70" s="7">
        <f t="shared" si="265"/>
        <v>0</v>
      </c>
      <c r="EJ70" s="375">
        <v>-506000</v>
      </c>
      <c r="EK70" s="7">
        <f t="shared" si="266"/>
        <v>-3.2402033860527402E-3</v>
      </c>
      <c r="EL70" s="375">
        <f t="shared" ref="EL70:EL73" si="412">+EF70+EH70+EJ70</f>
        <v>-506000</v>
      </c>
      <c r="EM70" s="7">
        <f t="shared" si="39"/>
        <v>-2.7546653110516617E-3</v>
      </c>
      <c r="EN70" s="375">
        <f>+EL70+ED70</f>
        <v>-715000</v>
      </c>
      <c r="EO70" s="7">
        <f t="shared" si="108"/>
        <v>-1.2692486541985347E-3</v>
      </c>
      <c r="EP70" s="373"/>
      <c r="EQ70" s="373"/>
      <c r="ER70" s="373"/>
      <c r="ES70" s="373"/>
      <c r="ET70" s="375"/>
      <c r="EU70" s="7">
        <f t="shared" si="269"/>
        <v>0</v>
      </c>
      <c r="EV70" s="375"/>
      <c r="EW70" s="7">
        <f t="shared" si="270"/>
        <v>0</v>
      </c>
      <c r="EX70" s="375"/>
      <c r="EY70" s="7">
        <f t="shared" si="271"/>
        <v>0</v>
      </c>
      <c r="EZ70" s="375">
        <f t="shared" ref="EZ70:EZ73" si="413">+ET70+EV70+EX70</f>
        <v>0</v>
      </c>
      <c r="FA70" s="7">
        <f t="shared" si="42"/>
        <v>0</v>
      </c>
      <c r="FB70" s="375"/>
      <c r="FC70" s="7">
        <f t="shared" si="273"/>
        <v>0</v>
      </c>
      <c r="FD70" s="375"/>
      <c r="FE70" s="7">
        <f t="shared" si="200"/>
        <v>0</v>
      </c>
      <c r="FF70" s="375"/>
      <c r="FG70" s="7">
        <f t="shared" si="44"/>
        <v>0</v>
      </c>
      <c r="FH70" s="375">
        <f t="shared" ref="FH70:FH73" si="414">+FB70+FD70+FF70</f>
        <v>0</v>
      </c>
      <c r="FI70" s="7">
        <f t="shared" si="46"/>
        <v>0</v>
      </c>
      <c r="FJ70" s="375">
        <f t="shared" ref="FJ70:FJ73" si="415">EZ70+FH70</f>
        <v>0</v>
      </c>
      <c r="FK70" s="7">
        <f t="shared" si="89"/>
        <v>0</v>
      </c>
      <c r="FL70" s="375"/>
      <c r="FM70" s="7">
        <f t="shared" si="276"/>
        <v>0</v>
      </c>
      <c r="FN70" s="375"/>
      <c r="FO70" s="7">
        <f t="shared" si="48"/>
        <v>0</v>
      </c>
      <c r="FP70" s="375"/>
      <c r="FQ70" s="7">
        <f t="shared" si="49"/>
        <v>0</v>
      </c>
      <c r="FR70" s="375">
        <f t="shared" ref="FR70:FR73" si="416">+FL70+FN70+FP70</f>
        <v>0</v>
      </c>
      <c r="FS70" s="7">
        <f t="shared" si="51"/>
        <v>0</v>
      </c>
      <c r="FT70" s="375">
        <f t="shared" ref="FT70:FT73" si="417">FJ70+FR70</f>
        <v>0</v>
      </c>
      <c r="FU70" s="7">
        <f t="shared" si="90"/>
        <v>0</v>
      </c>
      <c r="FV70" s="375"/>
      <c r="FW70" s="7">
        <f t="shared" si="279"/>
        <v>0</v>
      </c>
      <c r="FX70" s="375"/>
      <c r="FY70" s="7">
        <f t="shared" si="53"/>
        <v>0</v>
      </c>
      <c r="FZ70" s="375">
        <v>-1650000</v>
      </c>
      <c r="GA70" s="7">
        <f t="shared" si="54"/>
        <v>-5.7071825148045669E-3</v>
      </c>
      <c r="GB70" s="375">
        <f t="shared" ref="GB70:GB73" si="418">+FV70+FX70+FZ70</f>
        <v>-1650000</v>
      </c>
      <c r="GC70" s="7">
        <f t="shared" si="56"/>
        <v>-4.8170872503692404E-3</v>
      </c>
      <c r="GD70" s="375">
        <f t="shared" ref="GD70:GD73" si="419">FT70+GB70</f>
        <v>-1650000</v>
      </c>
      <c r="GE70" s="7">
        <f t="shared" si="91"/>
        <v>-1.4327388008908062E-3</v>
      </c>
      <c r="GF70" s="566">
        <f t="shared" si="282"/>
        <v>0</v>
      </c>
      <c r="GG70" s="525">
        <f t="shared" si="58"/>
        <v>0</v>
      </c>
      <c r="GH70" s="528">
        <f t="shared" ref="GH70:GH73" si="420">+GQ70*$GO$2</f>
        <v>0</v>
      </c>
      <c r="GI70" s="525">
        <f t="shared" si="60"/>
        <v>0</v>
      </c>
      <c r="GJ70" s="528"/>
      <c r="GK70" s="525">
        <f t="shared" si="61"/>
        <v>0</v>
      </c>
      <c r="GL70" s="528">
        <f t="shared" si="284"/>
        <v>-1650000</v>
      </c>
      <c r="GM70" s="565">
        <f t="shared" si="92"/>
        <v>-1.4238430470056285E-3</v>
      </c>
      <c r="GO70" s="586"/>
      <c r="GQ70" s="586"/>
      <c r="GT70" s="551">
        <f t="shared" si="182"/>
        <v>0</v>
      </c>
      <c r="GU70" s="551">
        <f t="shared" si="94"/>
        <v>0</v>
      </c>
      <c r="GV70" s="550">
        <f t="shared" si="294"/>
        <v>0</v>
      </c>
      <c r="GW70" s="527"/>
      <c r="GX70" s="525">
        <f t="shared" si="285"/>
        <v>0</v>
      </c>
      <c r="GY70" s="528"/>
      <c r="GZ70" s="525">
        <f t="shared" si="286"/>
        <v>0</v>
      </c>
      <c r="HA70" s="528"/>
      <c r="HB70" s="526">
        <f t="shared" si="287"/>
        <v>0</v>
      </c>
      <c r="HD70" s="527"/>
      <c r="HE70" s="525">
        <v>0</v>
      </c>
      <c r="HF70" s="528"/>
      <c r="HG70" s="525">
        <v>0</v>
      </c>
      <c r="HH70" s="528"/>
      <c r="HI70" s="526">
        <v>0</v>
      </c>
    </row>
    <row r="71" spans="1:218" ht="15" customHeight="1" outlineLevel="1">
      <c r="A71" s="386" t="s">
        <v>63</v>
      </c>
      <c r="B71" s="386" t="s">
        <v>65</v>
      </c>
      <c r="C71" s="375">
        <v>-1906856.04</v>
      </c>
      <c r="D71" s="4"/>
      <c r="E71" s="375">
        <v>-703462</v>
      </c>
      <c r="F71" s="4"/>
      <c r="G71" s="375"/>
      <c r="H71" s="375">
        <v>-135000</v>
      </c>
      <c r="I71" s="4"/>
      <c r="J71" s="375"/>
      <c r="K71" s="375">
        <v>-135000</v>
      </c>
      <c r="L71" s="4"/>
      <c r="M71" s="375"/>
      <c r="N71" s="375">
        <v>-135000</v>
      </c>
      <c r="O71" s="4"/>
      <c r="P71" s="375">
        <f t="shared" ref="P71:Q125" si="421">+G71+J71+M71</f>
        <v>0</v>
      </c>
      <c r="Q71" s="375">
        <f t="shared" si="421"/>
        <v>-405000</v>
      </c>
      <c r="R71" s="7">
        <f t="shared" si="64"/>
        <v>-1.1136139938496452E-2</v>
      </c>
      <c r="S71" s="375">
        <v>-135000</v>
      </c>
      <c r="T71" s="375">
        <v>-135000</v>
      </c>
      <c r="U71" s="4"/>
      <c r="V71" s="375">
        <v>-158173.49</v>
      </c>
      <c r="W71" s="375">
        <v>-158173.49</v>
      </c>
      <c r="X71" s="4"/>
      <c r="Y71" s="375">
        <v>-218340.49</v>
      </c>
      <c r="Z71" s="375">
        <v>-218340.49</v>
      </c>
      <c r="AA71" s="4"/>
      <c r="AB71" s="375">
        <f t="shared" si="224"/>
        <v>-511513.98</v>
      </c>
      <c r="AC71" s="375">
        <f t="shared" si="371"/>
        <v>-511513.98</v>
      </c>
      <c r="AD71" s="7">
        <f t="shared" si="65"/>
        <v>-1.3792146597825933E-2</v>
      </c>
      <c r="AE71" s="375">
        <f t="shared" si="397"/>
        <v>-916513.98</v>
      </c>
      <c r="AF71" s="375">
        <f t="shared" si="398"/>
        <v>-916513.98</v>
      </c>
      <c r="AG71" s="4"/>
      <c r="AH71" s="375">
        <v>-158173.49</v>
      </c>
      <c r="AI71" s="375">
        <v>-158173.49</v>
      </c>
      <c r="AJ71" s="4"/>
      <c r="AK71" s="375">
        <v>-158173.49</v>
      </c>
      <c r="AL71" s="375">
        <v>-158173.49</v>
      </c>
      <c r="AM71" s="4"/>
      <c r="AN71" s="375">
        <v>-202673.49</v>
      </c>
      <c r="AO71" s="375">
        <v>-202673.49</v>
      </c>
      <c r="AP71" s="4"/>
      <c r="AQ71" s="375">
        <f t="shared" si="399"/>
        <v>-519020.47</v>
      </c>
      <c r="AR71" s="375">
        <f t="shared" si="400"/>
        <v>-519020.47</v>
      </c>
      <c r="AS71" s="7">
        <f t="shared" si="68"/>
        <v>-1.9495453016866768E-2</v>
      </c>
      <c r="AT71" s="375">
        <f t="shared" si="401"/>
        <v>-1435534.45</v>
      </c>
      <c r="AU71" s="4"/>
      <c r="AV71" s="375"/>
      <c r="AW71" s="375">
        <v>-213173.49</v>
      </c>
      <c r="AX71" s="4"/>
      <c r="AY71" s="375"/>
      <c r="AZ71" s="375">
        <v>-67173.490000000005</v>
      </c>
      <c r="BA71" s="4"/>
      <c r="BB71" s="375"/>
      <c r="BC71" s="375">
        <v>-334173.49</v>
      </c>
      <c r="BD71" s="448"/>
      <c r="BE71" s="375">
        <f t="shared" si="402"/>
        <v>0</v>
      </c>
      <c r="BF71" s="375">
        <f t="shared" si="403"/>
        <v>-614520.47</v>
      </c>
      <c r="BG71" s="7">
        <f t="shared" si="71"/>
        <v>-1.9570922876127467E-2</v>
      </c>
      <c r="BH71" s="375">
        <f t="shared" si="404"/>
        <v>-1435534.45</v>
      </c>
      <c r="BI71" s="388">
        <f t="shared" si="405"/>
        <v>-2050054.92</v>
      </c>
      <c r="BJ71" s="7">
        <f t="shared" si="72"/>
        <v>-1.5592412660444126E-2</v>
      </c>
      <c r="BK71" s="375">
        <v>0</v>
      </c>
      <c r="BL71" s="282"/>
      <c r="BN71" s="375"/>
      <c r="BO71" s="4"/>
      <c r="BP71" s="375"/>
      <c r="BQ71" s="4"/>
      <c r="BR71" s="375">
        <v>-448514.66</v>
      </c>
      <c r="BS71" s="4"/>
      <c r="BT71" s="375">
        <f t="shared" si="406"/>
        <v>-448514.66</v>
      </c>
      <c r="BU71" s="7">
        <f t="shared" si="73"/>
        <v>-8.2728121602403358E-3</v>
      </c>
      <c r="BV71" s="375"/>
      <c r="BW71" s="7"/>
      <c r="BX71" s="375"/>
      <c r="BY71" s="7"/>
      <c r="BZ71" s="446">
        <v>0</v>
      </c>
      <c r="CA71" s="7"/>
      <c r="CB71" s="375">
        <f>+BV71+BX71+BZ71</f>
        <v>0</v>
      </c>
      <c r="CC71" s="7">
        <f t="shared" si="158"/>
        <v>0</v>
      </c>
      <c r="CD71" s="375">
        <f t="shared" si="238"/>
        <v>-448514.66</v>
      </c>
      <c r="CE71" s="7">
        <f t="shared" si="75"/>
        <v>-5.0703415563344116E-3</v>
      </c>
      <c r="CF71" s="389">
        <v>-405000</v>
      </c>
      <c r="CG71" s="7">
        <f t="shared" si="76"/>
        <v>-8.0183820120725932E-2</v>
      </c>
      <c r="CH71" s="389"/>
      <c r="CI71" s="7">
        <f t="shared" si="76"/>
        <v>0</v>
      </c>
      <c r="CJ71" s="375">
        <v>-417000</v>
      </c>
      <c r="CK71" s="7">
        <f t="shared" si="76"/>
        <v>-1.4807036227200917E-2</v>
      </c>
      <c r="CL71" s="375">
        <f t="shared" si="407"/>
        <v>-822000</v>
      </c>
      <c r="CM71" s="7">
        <f t="shared" si="76"/>
        <v>-1.1693844741415743E-2</v>
      </c>
      <c r="CN71" s="375">
        <f t="shared" si="288"/>
        <v>-1270514.6599999999</v>
      </c>
      <c r="CO71" s="7">
        <f t="shared" si="241"/>
        <v>-8.0031481009094126E-3</v>
      </c>
      <c r="CP71" s="472">
        <v>-66000</v>
      </c>
      <c r="CQ71" s="7">
        <f t="shared" si="290"/>
        <v>-3.3690494758958343E-3</v>
      </c>
      <c r="CR71" s="375">
        <f t="shared" si="408"/>
        <v>-1336514.6599999999</v>
      </c>
      <c r="CS71" s="7">
        <f t="shared" si="244"/>
        <v>-7.4941123424148411E-3</v>
      </c>
      <c r="CT71" s="375"/>
      <c r="CU71" s="7">
        <f t="shared" si="199"/>
        <v>0</v>
      </c>
      <c r="CV71" s="375">
        <v>-405000</v>
      </c>
      <c r="CW71" s="7">
        <f t="shared" si="80"/>
        <v>-6.472650866249657E-3</v>
      </c>
      <c r="CX71" s="375">
        <f>+CV71+CT71+CP71</f>
        <v>-471000</v>
      </c>
      <c r="CY71" s="7">
        <f t="shared" si="291"/>
        <v>-4.8146871874412221E-3</v>
      </c>
      <c r="CZ71" s="375">
        <f>+CD71+CL71+CX71</f>
        <v>-1741514.66</v>
      </c>
      <c r="DA71" s="7">
        <f t="shared" si="81"/>
        <v>-6.7874792028774274E-3</v>
      </c>
      <c r="DB71" s="375"/>
      <c r="DC71" s="7">
        <f t="shared" si="250"/>
        <v>0</v>
      </c>
      <c r="DD71" s="375">
        <v>-5000</v>
      </c>
      <c r="DE71" s="7">
        <f t="shared" si="251"/>
        <v>-1.9255052673796682E-4</v>
      </c>
      <c r="DF71" s="375">
        <v>-405000</v>
      </c>
      <c r="DG71" s="7">
        <f t="shared" si="252"/>
        <v>-1.30560095533936E-2</v>
      </c>
      <c r="DH71" s="375">
        <f t="shared" si="409"/>
        <v>-410000</v>
      </c>
      <c r="DI71" s="7">
        <f t="shared" si="292"/>
        <v>-5.3817274683746049E-3</v>
      </c>
      <c r="DJ71" s="375">
        <v>-650000</v>
      </c>
      <c r="DK71" s="7">
        <f t="shared" si="254"/>
        <v>-1.2358803289943553E-2</v>
      </c>
      <c r="DL71" s="375">
        <v>-14400</v>
      </c>
      <c r="DM71" s="7">
        <f t="shared" si="255"/>
        <v>-1.6601370077178005E-3</v>
      </c>
      <c r="DN71" s="375"/>
      <c r="DO71" s="7">
        <f t="shared" si="256"/>
        <v>0</v>
      </c>
      <c r="DP71" s="375">
        <v>-407000</v>
      </c>
      <c r="DQ71" s="7">
        <f t="shared" si="257"/>
        <v>-4.8506949405254162E-3</v>
      </c>
      <c r="DR71" s="375">
        <f t="shared" si="410"/>
        <v>-421400</v>
      </c>
      <c r="DS71" s="7">
        <f t="shared" si="293"/>
        <v>-3.8399802952112806E-3</v>
      </c>
      <c r="DT71" s="375">
        <f t="shared" si="259"/>
        <v>-831400</v>
      </c>
      <c r="DU71" s="7">
        <f t="shared" si="83"/>
        <v>-4.4717229221688595E-3</v>
      </c>
      <c r="DV71" s="375"/>
      <c r="DW71" s="7">
        <f t="shared" si="260"/>
        <v>0</v>
      </c>
      <c r="DX71" s="375"/>
      <c r="DY71" s="7">
        <f t="shared" si="261"/>
        <v>0</v>
      </c>
      <c r="DZ71" s="375">
        <v>-405000</v>
      </c>
      <c r="EA71" s="7">
        <f t="shared" si="262"/>
        <v>-3.3103545830109131E-3</v>
      </c>
      <c r="EB71" s="375">
        <f t="shared" si="411"/>
        <v>-405000</v>
      </c>
      <c r="EC71" s="7">
        <f t="shared" si="37"/>
        <v>-2.0907201632138447E-3</v>
      </c>
      <c r="ED71" s="375">
        <f>+EB71+DT71</f>
        <v>-1236400</v>
      </c>
      <c r="EE71" s="7">
        <f t="shared" si="85"/>
        <v>-3.2567951486472432E-3</v>
      </c>
      <c r="EF71" s="375"/>
      <c r="EG71" s="7">
        <f t="shared" si="264"/>
        <v>0</v>
      </c>
      <c r="EH71" s="375"/>
      <c r="EI71" s="7">
        <f t="shared" si="265"/>
        <v>0</v>
      </c>
      <c r="EJ71" s="375">
        <v>-405000</v>
      </c>
      <c r="EK71" s="7">
        <f t="shared" si="266"/>
        <v>-2.5934434216430035E-3</v>
      </c>
      <c r="EL71" s="375">
        <f t="shared" si="412"/>
        <v>-405000</v>
      </c>
      <c r="EM71" s="7">
        <f t="shared" si="39"/>
        <v>-2.2048210493595317E-3</v>
      </c>
      <c r="EN71" s="375">
        <f>+EL71+ED71</f>
        <v>-1641400</v>
      </c>
      <c r="EO71" s="7">
        <f t="shared" si="108"/>
        <v>-2.9137688685335313E-3</v>
      </c>
      <c r="EP71" s="373"/>
      <c r="EQ71" s="373"/>
      <c r="ER71" s="373"/>
      <c r="ES71" s="373"/>
      <c r="ET71" s="375"/>
      <c r="EU71" s="7">
        <f t="shared" si="269"/>
        <v>0</v>
      </c>
      <c r="EV71" s="375"/>
      <c r="EW71" s="7">
        <f t="shared" si="270"/>
        <v>0</v>
      </c>
      <c r="EX71" s="375">
        <v>-486000</v>
      </c>
      <c r="EY71" s="7">
        <f t="shared" si="271"/>
        <v>-2.1288982851473837E-3</v>
      </c>
      <c r="EZ71" s="375">
        <f t="shared" si="413"/>
        <v>-486000</v>
      </c>
      <c r="FA71" s="7">
        <f t="shared" si="42"/>
        <v>-2.0102794624417648E-3</v>
      </c>
      <c r="FB71" s="375"/>
      <c r="FC71" s="7">
        <f t="shared" si="273"/>
        <v>0</v>
      </c>
      <c r="FD71" s="375"/>
      <c r="FE71" s="7">
        <f t="shared" si="200"/>
        <v>0</v>
      </c>
      <c r="FF71" s="375">
        <v>-486000</v>
      </c>
      <c r="FG71" s="7">
        <f t="shared" si="44"/>
        <v>-3.0246108706830574E-3</v>
      </c>
      <c r="FH71" s="375">
        <f t="shared" si="414"/>
        <v>-486000</v>
      </c>
      <c r="FI71" s="7">
        <f t="shared" si="46"/>
        <v>-1.7672887365308735E-3</v>
      </c>
      <c r="FJ71" s="375">
        <f t="shared" si="415"/>
        <v>-972000</v>
      </c>
      <c r="FK71" s="7">
        <f t="shared" si="89"/>
        <v>-1.8809689536347153E-3</v>
      </c>
      <c r="FL71" s="375"/>
      <c r="FM71" s="7">
        <f t="shared" si="276"/>
        <v>0</v>
      </c>
      <c r="FN71" s="375"/>
      <c r="FO71" s="7">
        <f t="shared" si="48"/>
        <v>0</v>
      </c>
      <c r="FP71" s="375">
        <v>-486000</v>
      </c>
      <c r="FQ71" s="7">
        <f t="shared" si="49"/>
        <v>-1.7567796034400507E-3</v>
      </c>
      <c r="FR71" s="375">
        <f t="shared" si="416"/>
        <v>-486000</v>
      </c>
      <c r="FS71" s="7">
        <f t="shared" si="51"/>
        <v>-1.6623631374988012E-3</v>
      </c>
      <c r="FT71" s="375">
        <f t="shared" si="417"/>
        <v>-1458000</v>
      </c>
      <c r="FU71" s="7">
        <f t="shared" si="90"/>
        <v>-1.801980319998615E-3</v>
      </c>
      <c r="FV71" s="375">
        <v>-5000</v>
      </c>
      <c r="FW71" s="7">
        <f t="shared" si="279"/>
        <v>-1.8018057008444086E-4</v>
      </c>
      <c r="FX71" s="375"/>
      <c r="FY71" s="7">
        <f t="shared" si="53"/>
        <v>0</v>
      </c>
      <c r="FZ71" s="375">
        <v>-486000</v>
      </c>
      <c r="GA71" s="7">
        <f t="shared" si="54"/>
        <v>-1.6810246679969814E-3</v>
      </c>
      <c r="GB71" s="375">
        <f t="shared" si="418"/>
        <v>-491000</v>
      </c>
      <c r="GC71" s="7">
        <f t="shared" si="56"/>
        <v>-1.4334483878371497E-3</v>
      </c>
      <c r="GD71" s="375">
        <f t="shared" si="419"/>
        <v>-1949000</v>
      </c>
      <c r="GE71" s="7">
        <f t="shared" si="91"/>
        <v>-1.6923684381431401E-3</v>
      </c>
      <c r="GF71" s="566">
        <f t="shared" si="282"/>
        <v>-4865707.7534396667</v>
      </c>
      <c r="GG71" s="525">
        <f t="shared" si="58"/>
        <v>-0.37758809965945683</v>
      </c>
      <c r="GH71" s="528">
        <f t="shared" si="420"/>
        <v>0</v>
      </c>
      <c r="GI71" s="525">
        <f t="shared" si="60"/>
        <v>0</v>
      </c>
      <c r="GJ71" s="528"/>
      <c r="GK71" s="525">
        <f t="shared" si="61"/>
        <v>0</v>
      </c>
      <c r="GL71" s="528">
        <f t="shared" si="284"/>
        <v>-6814707.7534396667</v>
      </c>
      <c r="GM71" s="565">
        <f t="shared" si="92"/>
        <v>-5.880651061885101E-3</v>
      </c>
      <c r="GO71" s="586">
        <f>-'KSA IS'!B25</f>
        <v>-398134.76</v>
      </c>
      <c r="GQ71" s="586"/>
      <c r="GT71" s="551">
        <f t="shared" si="182"/>
        <v>-447590.84928282932</v>
      </c>
      <c r="GU71" s="551">
        <f t="shared" si="94"/>
        <v>-524409.15071717079</v>
      </c>
      <c r="GV71" s="550">
        <f t="shared" si="294"/>
        <v>-972000</v>
      </c>
      <c r="GW71" s="527">
        <f>+EZ71*4</f>
        <v>-1944000</v>
      </c>
      <c r="GX71" s="525">
        <f t="shared" si="285"/>
        <v>-1.6417324327495954E-3</v>
      </c>
      <c r="GY71" s="528">
        <f>+GW71</f>
        <v>-1944000</v>
      </c>
      <c r="GZ71" s="525">
        <f t="shared" si="286"/>
        <v>-2.159519755821944E-3</v>
      </c>
      <c r="HA71" s="528">
        <f>+GY71</f>
        <v>-1944000</v>
      </c>
      <c r="HB71" s="526">
        <f t="shared" si="287"/>
        <v>-2.6705649616279316E-3</v>
      </c>
      <c r="HD71" s="527">
        <v>-1944000</v>
      </c>
      <c r="HE71" s="525">
        <v>-1.6364519892875433E-3</v>
      </c>
      <c r="HF71" s="528">
        <v>-1944000</v>
      </c>
      <c r="HG71" s="525">
        <v>-2.159519755821944E-3</v>
      </c>
      <c r="HH71" s="528">
        <v>-1944000</v>
      </c>
      <c r="HI71" s="526">
        <v>-2.6705649616279316E-3</v>
      </c>
    </row>
    <row r="72" spans="1:218" ht="15" customHeight="1" outlineLevel="1">
      <c r="A72" s="386" t="s">
        <v>63</v>
      </c>
      <c r="B72" s="386" t="s">
        <v>66</v>
      </c>
      <c r="C72" s="375">
        <v>-350000</v>
      </c>
      <c r="D72" s="4"/>
      <c r="E72" s="375">
        <v>-350000</v>
      </c>
      <c r="F72" s="4"/>
      <c r="G72" s="375"/>
      <c r="H72" s="375"/>
      <c r="I72" s="4"/>
      <c r="J72" s="375"/>
      <c r="K72" s="375"/>
      <c r="L72" s="4"/>
      <c r="M72" s="375"/>
      <c r="N72" s="375">
        <v>-164065</v>
      </c>
      <c r="O72" s="4"/>
      <c r="P72" s="375">
        <f t="shared" si="421"/>
        <v>0</v>
      </c>
      <c r="Q72" s="375">
        <f t="shared" si="421"/>
        <v>-164065</v>
      </c>
      <c r="R72" s="7">
        <f t="shared" si="64"/>
        <v>-4.5112365407640014E-3</v>
      </c>
      <c r="S72" s="375">
        <v>-100000</v>
      </c>
      <c r="T72" s="375">
        <v>-100000</v>
      </c>
      <c r="U72" s="4"/>
      <c r="V72" s="375"/>
      <c r="W72" s="375"/>
      <c r="X72" s="4"/>
      <c r="Y72" s="375">
        <v>-100000</v>
      </c>
      <c r="Z72" s="375">
        <v>-100000</v>
      </c>
      <c r="AA72" s="4"/>
      <c r="AB72" s="375">
        <f t="shared" si="224"/>
        <v>-200000</v>
      </c>
      <c r="AC72" s="375">
        <f t="shared" si="371"/>
        <v>-200000</v>
      </c>
      <c r="AD72" s="7">
        <f t="shared" si="65"/>
        <v>-5.3926763048884538E-3</v>
      </c>
      <c r="AE72" s="375">
        <f t="shared" si="397"/>
        <v>-364065</v>
      </c>
      <c r="AF72" s="375">
        <f t="shared" si="398"/>
        <v>-364065</v>
      </c>
      <c r="AG72" s="4"/>
      <c r="AH72" s="375"/>
      <c r="AI72" s="375"/>
      <c r="AJ72" s="4"/>
      <c r="AK72" s="375"/>
      <c r="AL72" s="375"/>
      <c r="AM72" s="4"/>
      <c r="AN72" s="375"/>
      <c r="AO72" s="375"/>
      <c r="AP72" s="4"/>
      <c r="AQ72" s="375">
        <f t="shared" si="399"/>
        <v>0</v>
      </c>
      <c r="AR72" s="375">
        <f t="shared" si="400"/>
        <v>0</v>
      </c>
      <c r="AS72" s="7">
        <f t="shared" si="68"/>
        <v>0</v>
      </c>
      <c r="AT72" s="375">
        <f t="shared" si="401"/>
        <v>-364065</v>
      </c>
      <c r="AU72" s="4"/>
      <c r="AV72" s="375"/>
      <c r="AW72" s="375">
        <v>-100000</v>
      </c>
      <c r="AX72" s="4"/>
      <c r="AY72" s="375"/>
      <c r="AZ72" s="375"/>
      <c r="BA72" s="4"/>
      <c r="BB72" s="375"/>
      <c r="BC72" s="375"/>
      <c r="BD72" s="448"/>
      <c r="BE72" s="375">
        <f t="shared" si="402"/>
        <v>0</v>
      </c>
      <c r="BF72" s="375">
        <f t="shared" si="403"/>
        <v>-100000</v>
      </c>
      <c r="BG72" s="7">
        <f t="shared" si="71"/>
        <v>-3.1847471047022186E-3</v>
      </c>
      <c r="BH72" s="375">
        <f t="shared" si="404"/>
        <v>-364065</v>
      </c>
      <c r="BI72" s="388">
        <f t="shared" si="405"/>
        <v>-464065</v>
      </c>
      <c r="BJ72" s="7">
        <f t="shared" si="72"/>
        <v>-3.5296093342070097E-3</v>
      </c>
      <c r="BK72" s="375">
        <v>0</v>
      </c>
      <c r="BL72" s="282"/>
      <c r="BN72" s="375"/>
      <c r="BO72" s="4"/>
      <c r="BP72" s="375"/>
      <c r="BQ72" s="4"/>
      <c r="BR72" s="375"/>
      <c r="BS72" s="4"/>
      <c r="BT72" s="375">
        <f t="shared" si="406"/>
        <v>0</v>
      </c>
      <c r="BU72" s="7">
        <f t="shared" si="73"/>
        <v>0</v>
      </c>
      <c r="BV72" s="375"/>
      <c r="BW72" s="7"/>
      <c r="BX72" s="375"/>
      <c r="BY72" s="7"/>
      <c r="BZ72" s="375">
        <v>-150000</v>
      </c>
      <c r="CA72" s="7"/>
      <c r="CB72" s="375">
        <f>+BV72+BX72+BZ72</f>
        <v>-150000</v>
      </c>
      <c r="CC72" s="7">
        <f t="shared" si="158"/>
        <v>-4.3804612584879294E-3</v>
      </c>
      <c r="CD72" s="375">
        <f t="shared" si="238"/>
        <v>-150000</v>
      </c>
      <c r="CE72" s="7">
        <f t="shared" si="75"/>
        <v>-1.6957109795478298E-3</v>
      </c>
      <c r="CF72" s="375"/>
      <c r="CG72" s="7">
        <f t="shared" si="76"/>
        <v>0</v>
      </c>
      <c r="CH72" s="375"/>
      <c r="CI72" s="7">
        <f t="shared" si="76"/>
        <v>0</v>
      </c>
      <c r="CJ72" s="375">
        <v>-100000</v>
      </c>
      <c r="CK72" s="7">
        <f t="shared" si="76"/>
        <v>-3.5508480161153279E-3</v>
      </c>
      <c r="CL72" s="375">
        <f t="shared" si="407"/>
        <v>-100000</v>
      </c>
      <c r="CM72" s="7">
        <f t="shared" si="76"/>
        <v>-1.42260884932065E-3</v>
      </c>
      <c r="CN72" s="375">
        <f t="shared" si="288"/>
        <v>-250000</v>
      </c>
      <c r="CO72" s="7">
        <f t="shared" si="241"/>
        <v>-1.5747846823171276E-3</v>
      </c>
      <c r="CP72" s="375"/>
      <c r="CQ72" s="7">
        <f t="shared" si="290"/>
        <v>0</v>
      </c>
      <c r="CR72" s="375">
        <f t="shared" si="408"/>
        <v>-250000</v>
      </c>
      <c r="CS72" s="7">
        <f t="shared" si="244"/>
        <v>-1.4018013731354883E-3</v>
      </c>
      <c r="CT72" s="375"/>
      <c r="CU72" s="7">
        <f t="shared" si="199"/>
        <v>0</v>
      </c>
      <c r="CV72" s="375">
        <v>-100000</v>
      </c>
      <c r="CW72" s="7">
        <f t="shared" si="80"/>
        <v>-1.5981853990739894E-3</v>
      </c>
      <c r="CX72" s="375">
        <f>+CV72+CT72+CP72</f>
        <v>-100000</v>
      </c>
      <c r="CY72" s="7">
        <f t="shared" si="291"/>
        <v>-1.0222265790745695E-3</v>
      </c>
      <c r="CZ72" s="375">
        <f>+CD72+CL72+CX72</f>
        <v>-350000</v>
      </c>
      <c r="DA72" s="7">
        <f t="shared" si="81"/>
        <v>-1.3641100908143374E-3</v>
      </c>
      <c r="DB72" s="375"/>
      <c r="DC72" s="7">
        <f t="shared" si="250"/>
        <v>0</v>
      </c>
      <c r="DD72" s="375"/>
      <c r="DE72" s="7">
        <f t="shared" si="251"/>
        <v>0</v>
      </c>
      <c r="DF72" s="72">
        <v>-351804.9</v>
      </c>
      <c r="DG72" s="7">
        <f t="shared" si="252"/>
        <v>-1.1341155889705384E-2</v>
      </c>
      <c r="DH72" s="375">
        <f t="shared" si="409"/>
        <v>-351804.9</v>
      </c>
      <c r="DI72" s="7">
        <f t="shared" si="292"/>
        <v>-4.6178490093628814E-3</v>
      </c>
      <c r="DJ72" s="375"/>
      <c r="DK72" s="7">
        <f t="shared" si="254"/>
        <v>0</v>
      </c>
      <c r="DL72" s="72"/>
      <c r="DM72" s="7">
        <f t="shared" si="255"/>
        <v>0</v>
      </c>
      <c r="DN72" s="72">
        <v>-16500</v>
      </c>
      <c r="DO72" s="7">
        <f t="shared" si="256"/>
        <v>-9.615014616622847E-4</v>
      </c>
      <c r="DP72" s="72">
        <v>0</v>
      </c>
      <c r="DQ72" s="7">
        <f t="shared" si="257"/>
        <v>0</v>
      </c>
      <c r="DR72" s="375">
        <f t="shared" si="410"/>
        <v>-16500</v>
      </c>
      <c r="DS72" s="7">
        <f t="shared" si="293"/>
        <v>-1.5035518479113936E-4</v>
      </c>
      <c r="DT72" s="375">
        <f t="shared" si="259"/>
        <v>-368304.9</v>
      </c>
      <c r="DU72" s="7">
        <f t="shared" si="83"/>
        <v>-1.9809447482284216E-3</v>
      </c>
      <c r="DV72" s="375"/>
      <c r="DW72" s="7">
        <f t="shared" si="260"/>
        <v>0</v>
      </c>
      <c r="DX72" s="375"/>
      <c r="DY72" s="7">
        <f t="shared" si="261"/>
        <v>0</v>
      </c>
      <c r="DZ72" s="375"/>
      <c r="EA72" s="7">
        <f t="shared" si="262"/>
        <v>0</v>
      </c>
      <c r="EB72" s="375">
        <f t="shared" si="411"/>
        <v>0</v>
      </c>
      <c r="EC72" s="7">
        <f t="shared" si="37"/>
        <v>0</v>
      </c>
      <c r="ED72" s="375">
        <f>+EB72+DT72</f>
        <v>-368304.9</v>
      </c>
      <c r="EE72" s="7">
        <f t="shared" si="85"/>
        <v>-9.7015012256794573E-4</v>
      </c>
      <c r="EF72" s="375"/>
      <c r="EG72" s="7">
        <f t="shared" si="264"/>
        <v>0</v>
      </c>
      <c r="EH72" s="375"/>
      <c r="EI72" s="7">
        <f t="shared" si="265"/>
        <v>0</v>
      </c>
      <c r="EJ72" s="375">
        <v>-260000</v>
      </c>
      <c r="EK72" s="7">
        <f t="shared" si="266"/>
        <v>-1.6649266410547678E-3</v>
      </c>
      <c r="EL72" s="375">
        <f t="shared" si="412"/>
        <v>-260000</v>
      </c>
      <c r="EM72" s="7">
        <f t="shared" si="39"/>
        <v>-1.4154406736629093E-3</v>
      </c>
      <c r="EN72" s="375">
        <f>+EL72+ED72</f>
        <v>-628304.9</v>
      </c>
      <c r="EO72" s="7">
        <f t="shared" si="108"/>
        <v>-1.1153498583934894E-3</v>
      </c>
      <c r="EP72" s="373"/>
      <c r="EQ72" s="373"/>
      <c r="ER72" s="373"/>
      <c r="ES72" s="373"/>
      <c r="ET72" s="375"/>
      <c r="EU72" s="7">
        <f t="shared" si="269"/>
        <v>0</v>
      </c>
      <c r="EV72" s="375"/>
      <c r="EW72" s="7">
        <f t="shared" si="270"/>
        <v>0</v>
      </c>
      <c r="EX72" s="375"/>
      <c r="EY72" s="7">
        <f t="shared" si="271"/>
        <v>0</v>
      </c>
      <c r="EZ72" s="375">
        <f t="shared" si="413"/>
        <v>0</v>
      </c>
      <c r="FA72" s="7">
        <f t="shared" si="42"/>
        <v>0</v>
      </c>
      <c r="FB72" s="375"/>
      <c r="FC72" s="7">
        <f t="shared" si="273"/>
        <v>0</v>
      </c>
      <c r="FD72" s="375"/>
      <c r="FE72" s="7">
        <f t="shared" si="200"/>
        <v>0</v>
      </c>
      <c r="FF72" s="375"/>
      <c r="FG72" s="7">
        <f t="shared" si="44"/>
        <v>0</v>
      </c>
      <c r="FH72" s="375">
        <f t="shared" si="414"/>
        <v>0</v>
      </c>
      <c r="FI72" s="7">
        <f t="shared" si="46"/>
        <v>0</v>
      </c>
      <c r="FJ72" s="375">
        <f t="shared" si="415"/>
        <v>0</v>
      </c>
      <c r="FK72" s="7">
        <f t="shared" si="89"/>
        <v>0</v>
      </c>
      <c r="FL72" s="375"/>
      <c r="FM72" s="7">
        <f t="shared" si="276"/>
        <v>0</v>
      </c>
      <c r="FN72" s="375"/>
      <c r="FO72" s="7">
        <f t="shared" si="48"/>
        <v>0</v>
      </c>
      <c r="FP72" s="375">
        <v>-300000</v>
      </c>
      <c r="FQ72" s="7">
        <f t="shared" si="49"/>
        <v>-1.0844318539753399E-3</v>
      </c>
      <c r="FR72" s="375">
        <f t="shared" si="416"/>
        <v>-300000</v>
      </c>
      <c r="FS72" s="7">
        <f t="shared" si="51"/>
        <v>-1.0261500848758032E-3</v>
      </c>
      <c r="FT72" s="375">
        <f t="shared" si="417"/>
        <v>-300000</v>
      </c>
      <c r="FU72" s="7">
        <f t="shared" si="90"/>
        <v>-3.7077784362111419E-4</v>
      </c>
      <c r="FV72" s="375"/>
      <c r="FW72" s="7">
        <f t="shared" si="279"/>
        <v>0</v>
      </c>
      <c r="FX72" s="375"/>
      <c r="FY72" s="7">
        <f t="shared" si="53"/>
        <v>0</v>
      </c>
      <c r="FZ72" s="375">
        <f>-162525-500000</f>
        <v>-662525</v>
      </c>
      <c r="GA72" s="7">
        <f t="shared" si="54"/>
        <v>-2.2916067246187247E-3</v>
      </c>
      <c r="GB72" s="375">
        <f t="shared" si="418"/>
        <v>-662525</v>
      </c>
      <c r="GC72" s="7">
        <f t="shared" si="56"/>
        <v>-1.9342065033641704E-3</v>
      </c>
      <c r="GD72" s="375">
        <f t="shared" si="419"/>
        <v>-962525</v>
      </c>
      <c r="GE72" s="7">
        <f t="shared" si="91"/>
        <v>-8.3578600868328677E-4</v>
      </c>
      <c r="GF72" s="566">
        <f t="shared" si="282"/>
        <v>0</v>
      </c>
      <c r="GG72" s="525">
        <f t="shared" si="58"/>
        <v>0</v>
      </c>
      <c r="GH72" s="528">
        <f t="shared" si="420"/>
        <v>0</v>
      </c>
      <c r="GI72" s="525">
        <f t="shared" si="60"/>
        <v>0</v>
      </c>
      <c r="GJ72" s="528"/>
      <c r="GK72" s="525">
        <f t="shared" si="61"/>
        <v>0</v>
      </c>
      <c r="GL72" s="528">
        <f t="shared" si="284"/>
        <v>-962525</v>
      </c>
      <c r="GM72" s="565">
        <f t="shared" si="92"/>
        <v>-8.3059668413278337E-4</v>
      </c>
      <c r="GO72" s="586"/>
      <c r="GQ72" s="586"/>
      <c r="GT72" s="551">
        <f t="shared" si="182"/>
        <v>-138145.32385272509</v>
      </c>
      <c r="GU72" s="551">
        <f t="shared" si="94"/>
        <v>-161854.67614727493</v>
      </c>
      <c r="GV72" s="550">
        <f t="shared" si="294"/>
        <v>-300000</v>
      </c>
      <c r="GW72" s="527">
        <v>-300000</v>
      </c>
      <c r="GX72" s="525">
        <f t="shared" si="285"/>
        <v>-2.5335377048604866E-4</v>
      </c>
      <c r="GY72" s="528">
        <f>+GW72</f>
        <v>-300000</v>
      </c>
      <c r="GZ72" s="525">
        <f t="shared" si="286"/>
        <v>-3.3325922157746046E-4</v>
      </c>
      <c r="HA72" s="528">
        <f>+GY72</f>
        <v>-300000</v>
      </c>
      <c r="HB72" s="526">
        <f t="shared" si="287"/>
        <v>-4.1212422247344623E-4</v>
      </c>
      <c r="HD72" s="527">
        <v>-300000</v>
      </c>
      <c r="HE72" s="525">
        <v>-2.52538887235732E-4</v>
      </c>
      <c r="HF72" s="528">
        <v>-300000</v>
      </c>
      <c r="HG72" s="525">
        <v>-3.3325922157746046E-4</v>
      </c>
      <c r="HH72" s="528">
        <v>-300000</v>
      </c>
      <c r="HI72" s="526">
        <v>-4.1212422247344623E-4</v>
      </c>
    </row>
    <row r="73" spans="1:218" ht="15" customHeight="1" outlineLevel="1">
      <c r="A73" s="386" t="s">
        <v>63</v>
      </c>
      <c r="B73" s="386" t="s">
        <v>67</v>
      </c>
      <c r="C73" s="375">
        <v>-11500</v>
      </c>
      <c r="D73" s="4"/>
      <c r="E73" s="375">
        <v>-11500</v>
      </c>
      <c r="F73" s="4"/>
      <c r="G73" s="375"/>
      <c r="H73" s="375"/>
      <c r="I73" s="4"/>
      <c r="J73" s="375"/>
      <c r="K73" s="375"/>
      <c r="L73" s="4"/>
      <c r="M73" s="375"/>
      <c r="N73" s="375">
        <v>-27232.45</v>
      </c>
      <c r="O73" s="4"/>
      <c r="P73" s="375">
        <f t="shared" si="421"/>
        <v>0</v>
      </c>
      <c r="Q73" s="375">
        <f t="shared" si="421"/>
        <v>-27232.45</v>
      </c>
      <c r="R73" s="7">
        <f t="shared" si="64"/>
        <v>-7.4880092362495732E-4</v>
      </c>
      <c r="S73" s="375">
        <v>-140578.9</v>
      </c>
      <c r="T73" s="375">
        <v>-140578.9</v>
      </c>
      <c r="U73" s="4"/>
      <c r="V73" s="375"/>
      <c r="W73" s="375"/>
      <c r="X73" s="4"/>
      <c r="Y73" s="375"/>
      <c r="Z73" s="375"/>
      <c r="AA73" s="4"/>
      <c r="AB73" s="375">
        <f t="shared" si="224"/>
        <v>-140578.9</v>
      </c>
      <c r="AC73" s="375">
        <f t="shared" si="371"/>
        <v>-140578.9</v>
      </c>
      <c r="AD73" s="7">
        <f t="shared" si="65"/>
        <v>-3.7904825149864172E-3</v>
      </c>
      <c r="AE73" s="375">
        <f t="shared" si="397"/>
        <v>-167811.35</v>
      </c>
      <c r="AF73" s="375">
        <f t="shared" si="398"/>
        <v>-167811.35</v>
      </c>
      <c r="AG73" s="4"/>
      <c r="AH73" s="375"/>
      <c r="AI73" s="375"/>
      <c r="AJ73" s="4"/>
      <c r="AK73" s="375"/>
      <c r="AL73" s="375"/>
      <c r="AM73" s="4"/>
      <c r="AN73" s="375"/>
      <c r="AO73" s="375"/>
      <c r="AP73" s="4"/>
      <c r="AQ73" s="375">
        <f t="shared" si="399"/>
        <v>0</v>
      </c>
      <c r="AR73" s="375">
        <f t="shared" si="400"/>
        <v>0</v>
      </c>
      <c r="AS73" s="7">
        <f t="shared" si="68"/>
        <v>0</v>
      </c>
      <c r="AT73" s="375">
        <f t="shared" si="401"/>
        <v>-167811.35</v>
      </c>
      <c r="AU73" s="4"/>
      <c r="AV73" s="375"/>
      <c r="AW73" s="375"/>
      <c r="AX73" s="4"/>
      <c r="AY73" s="375"/>
      <c r="AZ73" s="375">
        <v>-167907.68</v>
      </c>
      <c r="BA73" s="4"/>
      <c r="BB73" s="375"/>
      <c r="BC73" s="375"/>
      <c r="BD73" s="448"/>
      <c r="BE73" s="375">
        <f t="shared" si="402"/>
        <v>0</v>
      </c>
      <c r="BF73" s="375">
        <f t="shared" si="403"/>
        <v>-167907.68</v>
      </c>
      <c r="BG73" s="7">
        <f t="shared" si="71"/>
        <v>-5.3474349773726662E-3</v>
      </c>
      <c r="BH73" s="375">
        <f t="shared" si="404"/>
        <v>-167811.35</v>
      </c>
      <c r="BI73" s="388">
        <f t="shared" si="405"/>
        <v>-335719.03</v>
      </c>
      <c r="BJ73" s="7">
        <f t="shared" si="72"/>
        <v>-2.553428985075201E-3</v>
      </c>
      <c r="BK73" s="375">
        <v>0</v>
      </c>
      <c r="BL73" s="282"/>
      <c r="BN73" s="375"/>
      <c r="BO73" s="4"/>
      <c r="BP73" s="375"/>
      <c r="BQ73" s="4"/>
      <c r="BR73" s="375"/>
      <c r="BS73" s="4"/>
      <c r="BT73" s="375">
        <f t="shared" si="406"/>
        <v>0</v>
      </c>
      <c r="BU73" s="7">
        <f t="shared" si="73"/>
        <v>0</v>
      </c>
      <c r="BV73" s="375"/>
      <c r="BW73" s="7"/>
      <c r="BX73" s="375"/>
      <c r="BY73" s="7"/>
      <c r="BZ73" s="375">
        <v>-500</v>
      </c>
      <c r="CA73" s="7"/>
      <c r="CB73" s="375">
        <f>+BV73+BX73+BZ73</f>
        <v>-500</v>
      </c>
      <c r="CC73" s="7">
        <f t="shared" si="158"/>
        <v>-1.4601537528293099E-5</v>
      </c>
      <c r="CD73" s="375">
        <f t="shared" si="238"/>
        <v>-500</v>
      </c>
      <c r="CE73" s="7">
        <f t="shared" si="75"/>
        <v>-5.6523699318260991E-6</v>
      </c>
      <c r="CF73" s="375"/>
      <c r="CG73" s="7">
        <f t="shared" si="76"/>
        <v>0</v>
      </c>
      <c r="CH73" s="375">
        <v>5000</v>
      </c>
      <c r="CI73" s="7">
        <f t="shared" si="76"/>
        <v>1.3484281813625873E-4</v>
      </c>
      <c r="CJ73" s="375">
        <v>10000</v>
      </c>
      <c r="CK73" s="7">
        <f t="shared" si="76"/>
        <v>3.5508480161153277E-4</v>
      </c>
      <c r="CL73" s="375">
        <f t="shared" si="407"/>
        <v>15000</v>
      </c>
      <c r="CM73" s="7">
        <f t="shared" si="76"/>
        <v>2.1339132739809749E-4</v>
      </c>
      <c r="CN73" s="375">
        <f t="shared" si="288"/>
        <v>14500</v>
      </c>
      <c r="CO73" s="7">
        <f t="shared" si="241"/>
        <v>9.1337511574393398E-5</v>
      </c>
      <c r="CP73" s="375"/>
      <c r="CQ73" s="7">
        <f t="shared" ref="CQ73:CQ104" si="422">+CP73/CP$8</f>
        <v>0</v>
      </c>
      <c r="CR73" s="375">
        <f t="shared" si="408"/>
        <v>14500</v>
      </c>
      <c r="CS73" s="7">
        <f t="shared" si="244"/>
        <v>8.1304479641858328E-5</v>
      </c>
      <c r="CT73" s="375">
        <v>-10000</v>
      </c>
      <c r="CU73" s="7">
        <f t="shared" ref="CU73" si="423">+CT73/CT$8</f>
        <v>-6.3838161700668092E-4</v>
      </c>
      <c r="CV73" s="375">
        <v>0</v>
      </c>
      <c r="CW73" s="7">
        <f t="shared" si="80"/>
        <v>0</v>
      </c>
      <c r="CX73" s="375">
        <f>+CV73+CT73+CP73</f>
        <v>-10000</v>
      </c>
      <c r="CY73" s="7">
        <f t="shared" ref="CY73:CY104" si="424">+CX73/CX$8</f>
        <v>-1.0222265790745696E-4</v>
      </c>
      <c r="CZ73" s="375">
        <f>+CD73+CL73+CX73</f>
        <v>4500</v>
      </c>
      <c r="DA73" s="7">
        <f t="shared" si="81"/>
        <v>1.7538558310470051E-5</v>
      </c>
      <c r="DB73" s="375"/>
      <c r="DC73" s="7">
        <f t="shared" si="250"/>
        <v>0</v>
      </c>
      <c r="DD73" s="375"/>
      <c r="DE73" s="7">
        <f t="shared" si="251"/>
        <v>0</v>
      </c>
      <c r="DF73" s="375"/>
      <c r="DG73" s="7">
        <f t="shared" si="252"/>
        <v>0</v>
      </c>
      <c r="DH73" s="375">
        <f t="shared" si="409"/>
        <v>0</v>
      </c>
      <c r="DI73" s="7">
        <f t="shared" ref="DI73:DI104" si="425">+DH73/DH$8</f>
        <v>0</v>
      </c>
      <c r="DJ73" s="375"/>
      <c r="DK73" s="7">
        <f t="shared" si="254"/>
        <v>0</v>
      </c>
      <c r="DL73" s="375"/>
      <c r="DM73" s="7">
        <f t="shared" si="255"/>
        <v>0</v>
      </c>
      <c r="DN73" s="375"/>
      <c r="DO73" s="7">
        <f t="shared" si="256"/>
        <v>0</v>
      </c>
      <c r="DP73" s="375"/>
      <c r="DQ73" s="7">
        <f t="shared" si="257"/>
        <v>0</v>
      </c>
      <c r="DR73" s="375">
        <f t="shared" si="410"/>
        <v>0</v>
      </c>
      <c r="DS73" s="7">
        <f t="shared" ref="DS73:DS104" si="426">+DR73/DR$8</f>
        <v>0</v>
      </c>
      <c r="DT73" s="375">
        <f t="shared" si="259"/>
        <v>0</v>
      </c>
      <c r="DU73" s="7">
        <f t="shared" si="83"/>
        <v>0</v>
      </c>
      <c r="DV73" s="375"/>
      <c r="DW73" s="7">
        <f t="shared" si="260"/>
        <v>0</v>
      </c>
      <c r="DX73" s="375"/>
      <c r="DY73" s="7">
        <f t="shared" si="261"/>
        <v>0</v>
      </c>
      <c r="DZ73" s="375"/>
      <c r="EA73" s="7">
        <f t="shared" si="262"/>
        <v>0</v>
      </c>
      <c r="EB73" s="375">
        <f t="shared" si="411"/>
        <v>0</v>
      </c>
      <c r="EC73" s="7">
        <f t="shared" ref="EC73:EC136" si="427">+EB73/EB$8</f>
        <v>0</v>
      </c>
      <c r="ED73" s="375">
        <f>+EB73+DT73</f>
        <v>0</v>
      </c>
      <c r="EE73" s="7">
        <f t="shared" si="85"/>
        <v>0</v>
      </c>
      <c r="EF73" s="375"/>
      <c r="EG73" s="7">
        <f t="shared" si="264"/>
        <v>0</v>
      </c>
      <c r="EH73" s="375"/>
      <c r="EI73" s="7">
        <f t="shared" si="265"/>
        <v>0</v>
      </c>
      <c r="EJ73" s="375"/>
      <c r="EK73" s="7">
        <f t="shared" si="266"/>
        <v>0</v>
      </c>
      <c r="EL73" s="375">
        <f t="shared" si="412"/>
        <v>0</v>
      </c>
      <c r="EM73" s="7">
        <f t="shared" ref="EM73:EM136" si="428">+EL73/EL$8</f>
        <v>0</v>
      </c>
      <c r="EN73" s="375">
        <f>+EL73+ED73</f>
        <v>0</v>
      </c>
      <c r="EO73" s="7">
        <f t="shared" si="108"/>
        <v>0</v>
      </c>
      <c r="EP73" s="373"/>
      <c r="EQ73" s="373"/>
      <c r="ER73" s="373"/>
      <c r="ES73" s="373"/>
      <c r="ET73" s="375"/>
      <c r="EU73" s="7">
        <f t="shared" si="269"/>
        <v>0</v>
      </c>
      <c r="EV73" s="375">
        <v>-15881.55</v>
      </c>
      <c r="EW73" s="7">
        <f t="shared" si="270"/>
        <v>-2.6059166324286522E-3</v>
      </c>
      <c r="EX73" s="375">
        <v>-290</v>
      </c>
      <c r="EY73" s="7">
        <f t="shared" si="271"/>
        <v>-1.2703302524542002E-6</v>
      </c>
      <c r="EZ73" s="375">
        <f t="shared" si="413"/>
        <v>-16171.55</v>
      </c>
      <c r="FA73" s="7">
        <f t="shared" ref="FA73:FA136" si="429">+EZ73/EZ$8</f>
        <v>-6.6891635475000238E-5</v>
      </c>
      <c r="FB73" s="375"/>
      <c r="FC73" s="7">
        <f t="shared" si="273"/>
        <v>0</v>
      </c>
      <c r="FD73" s="375"/>
      <c r="FE73" s="7">
        <f t="shared" si="200"/>
        <v>0</v>
      </c>
      <c r="FF73" s="375"/>
      <c r="FG73" s="7">
        <f t="shared" ref="FG73:FG136" si="430">+FF73/FF$8</f>
        <v>0</v>
      </c>
      <c r="FH73" s="375">
        <f t="shared" si="414"/>
        <v>0</v>
      </c>
      <c r="FI73" s="7">
        <f t="shared" ref="FI73:FI136" si="431">+FH73/FH$8</f>
        <v>0</v>
      </c>
      <c r="FJ73" s="375">
        <f t="shared" si="415"/>
        <v>-16171.55</v>
      </c>
      <c r="FK73" s="7">
        <f t="shared" si="89"/>
        <v>-3.129442745077313E-5</v>
      </c>
      <c r="FL73" s="375"/>
      <c r="FM73" s="7">
        <f t="shared" si="276"/>
        <v>0</v>
      </c>
      <c r="FN73" s="375"/>
      <c r="FO73" s="7">
        <f t="shared" ref="FO73:FO136" si="432">+FN73/FN$8</f>
        <v>0</v>
      </c>
      <c r="FP73" s="375"/>
      <c r="FQ73" s="7">
        <f t="shared" ref="FQ73:FQ136" si="433">+FP73/FP$8</f>
        <v>0</v>
      </c>
      <c r="FR73" s="375">
        <f t="shared" si="416"/>
        <v>0</v>
      </c>
      <c r="FS73" s="7">
        <f t="shared" ref="FS73:FS136" si="434">+FR73/FR$8</f>
        <v>0</v>
      </c>
      <c r="FT73" s="375">
        <f t="shared" si="417"/>
        <v>-16171.55</v>
      </c>
      <c r="FU73" s="7">
        <f t="shared" si="90"/>
        <v>-1.998684145670343E-5</v>
      </c>
      <c r="FV73" s="375"/>
      <c r="FW73" s="7">
        <f t="shared" si="279"/>
        <v>0</v>
      </c>
      <c r="FX73" s="375"/>
      <c r="FY73" s="7">
        <f t="shared" ref="FY73:FY136" si="435">+FX73/FX$8</f>
        <v>0</v>
      </c>
      <c r="FZ73" s="375"/>
      <c r="GA73" s="7">
        <f t="shared" ref="GA73:GA136" si="436">+FZ73/FZ$8</f>
        <v>0</v>
      </c>
      <c r="GB73" s="375">
        <f t="shared" si="418"/>
        <v>0</v>
      </c>
      <c r="GC73" s="7">
        <f t="shared" ref="GC73:GC136" si="437">+GB73/GB$8</f>
        <v>0</v>
      </c>
      <c r="GD73" s="375">
        <f t="shared" si="419"/>
        <v>-16171.55</v>
      </c>
      <c r="GE73" s="7">
        <f t="shared" si="91"/>
        <v>-1.4042186154876191E-5</v>
      </c>
      <c r="GF73" s="566">
        <f t="shared" si="282"/>
        <v>0</v>
      </c>
      <c r="GG73" s="525">
        <f t="shared" ref="GG73:GG136" si="438">+GF73/GF$8</f>
        <v>0</v>
      </c>
      <c r="GH73" s="528">
        <f t="shared" si="420"/>
        <v>0</v>
      </c>
      <c r="GI73" s="525">
        <f t="shared" ref="GI73:GI136" si="439">+GH73/GH$8</f>
        <v>0</v>
      </c>
      <c r="GJ73" s="528"/>
      <c r="GK73" s="525">
        <f t="shared" ref="GK73:GK136" si="440">+GJ73/GJ$8</f>
        <v>0</v>
      </c>
      <c r="GL73" s="528">
        <f t="shared" si="284"/>
        <v>-16171.55</v>
      </c>
      <c r="GM73" s="565">
        <f t="shared" si="92"/>
        <v>-1.3954999410184165E-5</v>
      </c>
      <c r="GO73" s="586"/>
      <c r="GQ73" s="586"/>
      <c r="GT73" s="551">
        <f t="shared" si="182"/>
        <v>-22340.240119505361</v>
      </c>
      <c r="GU73" s="551">
        <f t="shared" si="94"/>
        <v>-26174.409880494633</v>
      </c>
      <c r="GV73" s="550">
        <f t="shared" ref="GV73:GV104" si="441">+GW73-FJ73</f>
        <v>-48514.649999999994</v>
      </c>
      <c r="GW73" s="527">
        <f>+EZ73*4</f>
        <v>-64686.2</v>
      </c>
      <c r="GX73" s="525">
        <f t="shared" si="285"/>
        <v>-5.462830889471547E-5</v>
      </c>
      <c r="GY73" s="528">
        <f>+GW73</f>
        <v>-64686.2</v>
      </c>
      <c r="GZ73" s="525">
        <f t="shared" si="286"/>
        <v>-7.1857575529346416E-5</v>
      </c>
      <c r="HA73" s="528">
        <f>+GY73</f>
        <v>-64686.2</v>
      </c>
      <c r="HB73" s="526">
        <f t="shared" si="287"/>
        <v>-8.8862499599206125E-5</v>
      </c>
      <c r="HD73" s="527">
        <v>-64686.2</v>
      </c>
      <c r="HE73" s="525">
        <v>-5.4452603225026692E-5</v>
      </c>
      <c r="HF73" s="528">
        <v>-64686.2</v>
      </c>
      <c r="HG73" s="525">
        <v>-7.1857575529346416E-5</v>
      </c>
      <c r="HH73" s="528">
        <v>-64686.2</v>
      </c>
      <c r="HI73" s="526">
        <v>-8.8862499599206125E-5</v>
      </c>
    </row>
    <row r="74" spans="1:218">
      <c r="A74" s="386" t="s">
        <v>63</v>
      </c>
      <c r="B74" s="386"/>
      <c r="C74" s="389">
        <f>SUM(C70:C73)</f>
        <v>-2698187.62</v>
      </c>
      <c r="D74" s="4"/>
      <c r="E74" s="389">
        <f>SUM(E70:E73)</f>
        <v>-1480962</v>
      </c>
      <c r="F74" s="4"/>
      <c r="G74" s="389">
        <f>SUM(G70:G73)</f>
        <v>0</v>
      </c>
      <c r="H74" s="389">
        <f>SUM(H70:H73)</f>
        <v>-135000</v>
      </c>
      <c r="I74" s="4"/>
      <c r="J74" s="389">
        <f>SUM(J70:J73)</f>
        <v>0</v>
      </c>
      <c r="K74" s="389">
        <f>SUM(K70:K73)</f>
        <v>-135000</v>
      </c>
      <c r="L74" s="4"/>
      <c r="M74" s="389">
        <f>SUM(M70:M73)</f>
        <v>0</v>
      </c>
      <c r="N74" s="389">
        <f>SUM(N70:N73)</f>
        <v>-359297.45</v>
      </c>
      <c r="O74" s="4"/>
      <c r="P74" s="389">
        <f t="shared" si="421"/>
        <v>0</v>
      </c>
      <c r="Q74" s="389">
        <f t="shared" si="421"/>
        <v>-629297.44999999995</v>
      </c>
      <c r="R74" s="7">
        <f t="shared" ref="R74:R137" si="442">+Q74/Q$8</f>
        <v>-1.7303566583059194E-2</v>
      </c>
      <c r="S74" s="389">
        <f>SUM(S70:S73)</f>
        <v>-661578.9</v>
      </c>
      <c r="T74" s="389">
        <f>SUM(T70:T73)</f>
        <v>-661578.9</v>
      </c>
      <c r="U74" s="4"/>
      <c r="V74" s="389">
        <f>SUM(V70:V73)</f>
        <v>-224173.49</v>
      </c>
      <c r="W74" s="389">
        <f>SUM(W70:W73)</f>
        <v>-224173.49</v>
      </c>
      <c r="X74" s="4"/>
      <c r="Y74" s="389">
        <f>SUM(Y70:Y73)</f>
        <v>-318340.49</v>
      </c>
      <c r="Z74" s="389">
        <f>SUM(Z70:Z73)</f>
        <v>-318340.49</v>
      </c>
      <c r="AA74" s="4"/>
      <c r="AB74" s="389">
        <f>SUM(AB70:AB73)</f>
        <v>-1204092.8799999999</v>
      </c>
      <c r="AC74" s="389">
        <f>SUM(AC70:AC73)</f>
        <v>-1204092.8799999999</v>
      </c>
      <c r="AD74" s="7">
        <f t="shared" ref="AD74:AD137" si="443">+AC74/AC$8</f>
        <v>-3.2466415714304482E-2</v>
      </c>
      <c r="AE74" s="389">
        <f>SUM(AE70:AE73)</f>
        <v>-1833390.33</v>
      </c>
      <c r="AF74" s="389">
        <f>SUM(AF70:AF73)</f>
        <v>-1833390.33</v>
      </c>
      <c r="AG74" s="4"/>
      <c r="AH74" s="389">
        <f>SUM(AH70:AH73)</f>
        <v>-158173.49</v>
      </c>
      <c r="AI74" s="389">
        <f>SUM(AI70:AI73)</f>
        <v>-158173.49</v>
      </c>
      <c r="AJ74" s="4"/>
      <c r="AK74" s="389">
        <f>SUM(AK70:AK73)</f>
        <v>-158173.49</v>
      </c>
      <c r="AL74" s="389">
        <f>SUM(AL70:AL73)</f>
        <v>-158173.49</v>
      </c>
      <c r="AM74" s="4"/>
      <c r="AN74" s="389">
        <f>SUM(AN70:AN73)</f>
        <v>-213673.49</v>
      </c>
      <c r="AO74" s="389">
        <f>SUM(AO70:AO73)</f>
        <v>-213673.49</v>
      </c>
      <c r="AP74" s="4"/>
      <c r="AQ74" s="389">
        <f>SUM(AQ70:AQ73)</f>
        <v>-530020.47</v>
      </c>
      <c r="AR74" s="389">
        <f>SUM(AR70:AR73)</f>
        <v>-530020.47</v>
      </c>
      <c r="AS74" s="7">
        <f t="shared" ref="AS74:AS137" si="444">+AR74/AR$8</f>
        <v>-1.9908635146630427E-2</v>
      </c>
      <c r="AT74" s="389">
        <f>SUM(AT70:AT73)</f>
        <v>-2363410.8000000003</v>
      </c>
      <c r="AU74" s="4"/>
      <c r="AV74" s="389">
        <f>SUM(AV70:AV73)</f>
        <v>0</v>
      </c>
      <c r="AW74" s="389">
        <f>SUM(AW70:AW73)</f>
        <v>-313173.49</v>
      </c>
      <c r="AX74" s="4"/>
      <c r="AY74" s="389">
        <f>SUM(AY70:AY73)</f>
        <v>0</v>
      </c>
      <c r="AZ74" s="389">
        <f>SUM(AZ70:AZ73)</f>
        <v>-235081.16999999998</v>
      </c>
      <c r="BA74" s="4"/>
      <c r="BB74" s="389">
        <f>SUM(BB70:BB73)</f>
        <v>0</v>
      </c>
      <c r="BC74" s="389">
        <f>SUM(BC70:BC73)</f>
        <v>-334173.49</v>
      </c>
      <c r="BD74" s="448"/>
      <c r="BE74" s="389">
        <f>SUM(BE70:BE73)</f>
        <v>0</v>
      </c>
      <c r="BF74" s="389">
        <f>SUM(BF70:BF73)</f>
        <v>-882428.14999999991</v>
      </c>
      <c r="BG74" s="7">
        <f t="shared" ref="BG74:BG137" si="445">+BF74/BF$8</f>
        <v>-2.8103104958202351E-2</v>
      </c>
      <c r="BH74" s="389">
        <f>SUM(BH70:BH73)</f>
        <v>-2363410.8000000003</v>
      </c>
      <c r="BI74" s="389">
        <f>SUM(BI70:BI73)</f>
        <v>-3245838.95</v>
      </c>
      <c r="BJ74" s="7">
        <f t="shared" ref="BJ74:BJ137" si="446">+BI74/BI$8</f>
        <v>-2.4687368052433774E-2</v>
      </c>
      <c r="BK74" s="389">
        <v>-5450000</v>
      </c>
      <c r="BL74" s="282"/>
      <c r="BM74" s="378">
        <f>-3600000-1850000</f>
        <v>-5450000</v>
      </c>
      <c r="BN74" s="389">
        <f>SUM(BN70:BN73)</f>
        <v>0</v>
      </c>
      <c r="BO74" s="4"/>
      <c r="BP74" s="389">
        <f>SUM(BP70:BP73)</f>
        <v>-3745500</v>
      </c>
      <c r="BQ74" s="4"/>
      <c r="BR74" s="389">
        <f>SUM(BR70:BR73)</f>
        <v>3296985.34</v>
      </c>
      <c r="BS74" s="4"/>
      <c r="BT74" s="389">
        <f>SUM(BT70:BT73)</f>
        <v>-448514.66</v>
      </c>
      <c r="BU74" s="7">
        <f t="shared" ref="BU74:BU137" si="447">+BT74/BT$8</f>
        <v>-8.2728121602403358E-3</v>
      </c>
      <c r="BV74" s="389">
        <f>SUM(BV70:BV73)</f>
        <v>-609666.66</v>
      </c>
      <c r="BW74" s="7"/>
      <c r="BX74" s="389">
        <f>SUM(BX70:BX73)</f>
        <v>-416166.66</v>
      </c>
      <c r="BY74" s="7"/>
      <c r="BZ74" s="389">
        <f>SUM(BZ70:BZ73)</f>
        <v>599333.31999999995</v>
      </c>
      <c r="CA74" s="7"/>
      <c r="CB74" s="389">
        <f>SUM(CB70:CB73)</f>
        <v>-426500.00000000012</v>
      </c>
      <c r="CC74" s="7">
        <f t="shared" si="158"/>
        <v>-1.2455111511634018E-2</v>
      </c>
      <c r="CD74" s="389">
        <f>SUM(CD70:CD73)</f>
        <v>-875014.66000000015</v>
      </c>
      <c r="CE74" s="7">
        <f t="shared" ref="CE74:CE137" si="448">+CD74/CD$8</f>
        <v>-9.8918131081820754E-3</v>
      </c>
      <c r="CF74" s="389">
        <f>SUM(CF70:CF73)</f>
        <v>-959888.89</v>
      </c>
      <c r="CG74" s="7">
        <f t="shared" ref="CG74:CM137" si="449">+CF74/CF$8</f>
        <v>-0.19004335331269948</v>
      </c>
      <c r="CH74" s="389">
        <f>SUM(CH70:CH73)</f>
        <v>-637888.89</v>
      </c>
      <c r="CI74" s="7">
        <f t="shared" si="449"/>
        <v>-1.720294711708199E-2</v>
      </c>
      <c r="CJ74" s="389">
        <f>SUM(CJ70:CJ73)</f>
        <v>602778.10999999987</v>
      </c>
      <c r="CK74" s="7">
        <f t="shared" si="449"/>
        <v>2.1403734560512463E-2</v>
      </c>
      <c r="CL74" s="389">
        <f>SUM(CL70:CL73)</f>
        <v>-994999.67000000016</v>
      </c>
      <c r="CM74" s="7">
        <f t="shared" si="449"/>
        <v>-1.4154953356131266E-2</v>
      </c>
      <c r="CN74" s="389">
        <f>SUM(CN70:CN73)</f>
        <v>-1870014.33</v>
      </c>
      <c r="CO74" s="7">
        <f t="shared" si="241"/>
        <v>-1.1779479690390105E-2</v>
      </c>
      <c r="CP74" s="389">
        <f>SUM(CP70:CP73)</f>
        <v>-66000</v>
      </c>
      <c r="CQ74" s="7">
        <f t="shared" si="422"/>
        <v>-3.3690494758958343E-3</v>
      </c>
      <c r="CR74" s="389">
        <f>SUM(CR70:CR73)</f>
        <v>-1936014.33</v>
      </c>
      <c r="CS74" s="7">
        <f t="shared" si="244"/>
        <v>-1.085563018481593E-2</v>
      </c>
      <c r="CT74" s="389">
        <f t="shared" ref="CT74" si="450">SUM(CT70:CT73)</f>
        <v>-10000</v>
      </c>
      <c r="CU74" s="7">
        <f t="shared" si="199"/>
        <v>-6.3838161700668092E-4</v>
      </c>
      <c r="CV74" s="389">
        <f t="shared" ref="CV74" si="451">SUM(CV70:CV73)</f>
        <v>-555000</v>
      </c>
      <c r="CW74" s="7">
        <f t="shared" ref="CW74:CW136" si="452">+CV74/CV$8</f>
        <v>-8.8699289648606402E-3</v>
      </c>
      <c r="CX74" s="389">
        <f>SUM(CX70:CX73)</f>
        <v>-631000</v>
      </c>
      <c r="CY74" s="7">
        <f t="shared" si="424"/>
        <v>-6.4502497139605338E-3</v>
      </c>
      <c r="CZ74" s="389">
        <f>SUM(CZ70:CZ73)</f>
        <v>-2501014.33</v>
      </c>
      <c r="DA74" s="7">
        <f t="shared" ref="DA74:DA137" si="453">+CZ74/CZ$8</f>
        <v>-9.7475968137835968E-3</v>
      </c>
      <c r="DB74" s="389">
        <f>SUM(DB70:DB73)</f>
        <v>0</v>
      </c>
      <c r="DC74" s="7">
        <f t="shared" si="250"/>
        <v>0</v>
      </c>
      <c r="DD74" s="389">
        <f>SUM(DD70:DD73)</f>
        <v>-5000</v>
      </c>
      <c r="DE74" s="7">
        <f t="shared" si="250"/>
        <v>-1.9255052673796682E-4</v>
      </c>
      <c r="DF74" s="389">
        <f>SUM(DF70:DF73)</f>
        <v>-965804.9</v>
      </c>
      <c r="DG74" s="7">
        <f t="shared" si="250"/>
        <v>-3.1134711113862595E-2</v>
      </c>
      <c r="DH74" s="389">
        <f>SUM(DH70:DH73)</f>
        <v>-970804.9</v>
      </c>
      <c r="DI74" s="7">
        <f t="shared" si="425"/>
        <v>-1.2742944870152834E-2</v>
      </c>
      <c r="DJ74" s="389">
        <f>SUM(DJ70:DJ73)</f>
        <v>-650000</v>
      </c>
      <c r="DK74" s="7">
        <f t="shared" si="254"/>
        <v>-1.2358803289943553E-2</v>
      </c>
      <c r="DL74" s="389">
        <f>SUM(DL70:DL73)</f>
        <v>-14400</v>
      </c>
      <c r="DM74" s="7">
        <f t="shared" si="255"/>
        <v>-1.6601370077178005E-3</v>
      </c>
      <c r="DN74" s="389">
        <f>SUM(DN70:DN73)</f>
        <v>-16500</v>
      </c>
      <c r="DO74" s="7">
        <f t="shared" si="256"/>
        <v>-9.615014616622847E-4</v>
      </c>
      <c r="DP74" s="389">
        <f>SUM(DP70:DP73)</f>
        <v>-407000</v>
      </c>
      <c r="DQ74" s="7">
        <f t="shared" si="257"/>
        <v>-4.8506949405254162E-3</v>
      </c>
      <c r="DR74" s="389">
        <f>SUM(DR70:DR73)</f>
        <v>-437900</v>
      </c>
      <c r="DS74" s="7">
        <f t="shared" si="426"/>
        <v>-3.99033548000242E-3</v>
      </c>
      <c r="DT74" s="389">
        <f>SUM(DT70:DT73)</f>
        <v>-1408704.9</v>
      </c>
      <c r="DU74" s="7">
        <f t="shared" ref="DU74:DU137" si="454">+DT74/DT$8</f>
        <v>-7.5767837285321028E-3</v>
      </c>
      <c r="DV74" s="389">
        <f>SUM(DV70:DV73)</f>
        <v>0</v>
      </c>
      <c r="DW74" s="7">
        <f t="shared" si="260"/>
        <v>0</v>
      </c>
      <c r="DX74" s="389">
        <f>SUM(DX70:DX73)</f>
        <v>0</v>
      </c>
      <c r="DY74" s="7">
        <f t="shared" si="261"/>
        <v>0</v>
      </c>
      <c r="DZ74" s="389">
        <f>SUM(DZ70:DZ73)</f>
        <v>-405000</v>
      </c>
      <c r="EA74" s="7">
        <f t="shared" si="262"/>
        <v>-3.3103545830109131E-3</v>
      </c>
      <c r="EB74" s="389">
        <f>SUM(EB70:EB73)</f>
        <v>-405000</v>
      </c>
      <c r="EC74" s="7">
        <f t="shared" si="427"/>
        <v>-2.0907201632138447E-3</v>
      </c>
      <c r="ED74" s="389">
        <f>SUM(ED70:ED73)</f>
        <v>-1813704.9</v>
      </c>
      <c r="EE74" s="7">
        <f t="shared" ref="EE74:EE137" si="455">+ED74/ED$8</f>
        <v>-4.7774711415381216E-3</v>
      </c>
      <c r="EF74" s="389">
        <f>SUM(EF70:EF73)</f>
        <v>0</v>
      </c>
      <c r="EG74" s="7">
        <f t="shared" si="264"/>
        <v>0</v>
      </c>
      <c r="EH74" s="389">
        <f>SUM(EH70:EH73)</f>
        <v>0</v>
      </c>
      <c r="EI74" s="7">
        <f t="shared" si="265"/>
        <v>0</v>
      </c>
      <c r="EJ74" s="389">
        <f>SUM(EJ70:EJ73)</f>
        <v>-1171000</v>
      </c>
      <c r="EK74" s="7">
        <f t="shared" si="266"/>
        <v>-7.4985734487505113E-3</v>
      </c>
      <c r="EL74" s="389">
        <f>SUM(EL70:EL73)</f>
        <v>-1171000</v>
      </c>
      <c r="EM74" s="7">
        <f t="shared" si="428"/>
        <v>-6.3749270340741028E-3</v>
      </c>
      <c r="EN74" s="389">
        <f>SUM(EN70:EN73)</f>
        <v>-2984704.9</v>
      </c>
      <c r="EO74" s="7">
        <f t="shared" ref="EO74:EO137" si="456">+EN74/EN$8</f>
        <v>-5.2983673811255547E-3</v>
      </c>
      <c r="EP74" s="373"/>
      <c r="EQ74" s="373"/>
      <c r="ER74" s="373"/>
      <c r="ES74" s="373"/>
      <c r="ET74" s="389">
        <f>SUM(ET70:ET73)</f>
        <v>0</v>
      </c>
      <c r="EU74" s="7">
        <f t="shared" si="269"/>
        <v>0</v>
      </c>
      <c r="EV74" s="389">
        <f>SUM(EV70:EV73)</f>
        <v>-15881.55</v>
      </c>
      <c r="EW74" s="7">
        <f t="shared" si="270"/>
        <v>-2.6059166324286522E-3</v>
      </c>
      <c r="EX74" s="389">
        <f>SUM(EX70:EX73)</f>
        <v>-486290</v>
      </c>
      <c r="EY74" s="7">
        <f t="shared" si="271"/>
        <v>-2.1301686153998379E-3</v>
      </c>
      <c r="EZ74" s="389">
        <f>SUM(EZ70:EZ73)</f>
        <v>-502171.55</v>
      </c>
      <c r="FA74" s="7">
        <f t="shared" si="429"/>
        <v>-2.077171097916765E-3</v>
      </c>
      <c r="FB74" s="389">
        <f>SUM(FB70:FB73)</f>
        <v>0</v>
      </c>
      <c r="FC74" s="7">
        <f t="shared" si="273"/>
        <v>0</v>
      </c>
      <c r="FD74" s="389">
        <f t="shared" ref="FD74" si="457">SUM(FD70:FD73)</f>
        <v>0</v>
      </c>
      <c r="FE74" s="7">
        <f t="shared" si="200"/>
        <v>0</v>
      </c>
      <c r="FF74" s="389">
        <f t="shared" ref="FF74" si="458">SUM(FF70:FF73)</f>
        <v>-486000</v>
      </c>
      <c r="FG74" s="7">
        <f t="shared" si="430"/>
        <v>-3.0246108706830574E-3</v>
      </c>
      <c r="FH74" s="389">
        <f>SUM(FH70:FH73)</f>
        <v>-486000</v>
      </c>
      <c r="FI74" s="7">
        <f t="shared" si="431"/>
        <v>-1.7672887365308735E-3</v>
      </c>
      <c r="FJ74" s="389">
        <f>SUM(FJ70:FJ73)</f>
        <v>-988171.55</v>
      </c>
      <c r="FK74" s="7">
        <f t="shared" ref="FK74:FK137" si="459">+FJ74/FJ$8</f>
        <v>-1.9122633810854887E-3</v>
      </c>
      <c r="FL74" s="389">
        <f>SUM(FL70:FL73)</f>
        <v>0</v>
      </c>
      <c r="FM74" s="7">
        <f t="shared" si="276"/>
        <v>0</v>
      </c>
      <c r="FN74" s="389">
        <f t="shared" ref="FN74" si="460">SUM(FN70:FN73)</f>
        <v>0</v>
      </c>
      <c r="FO74" s="7">
        <f t="shared" si="432"/>
        <v>0</v>
      </c>
      <c r="FP74" s="389">
        <f t="shared" ref="FP74" si="461">SUM(FP70:FP73)</f>
        <v>-786000</v>
      </c>
      <c r="FQ74" s="7">
        <f t="shared" si="433"/>
        <v>-2.8412114574153905E-3</v>
      </c>
      <c r="FR74" s="389">
        <f>SUM(FR70:FR73)</f>
        <v>-786000</v>
      </c>
      <c r="FS74" s="7">
        <f t="shared" si="434"/>
        <v>-2.6885132223746044E-3</v>
      </c>
      <c r="FT74" s="389">
        <f>SUM(FT70:FT73)</f>
        <v>-1774171.55</v>
      </c>
      <c r="FU74" s="7">
        <f t="shared" ref="FU74:FU137" si="462">+FT74/FT$8</f>
        <v>-2.1927450050764326E-3</v>
      </c>
      <c r="FV74" s="389">
        <f>SUM(FV70:FV73)</f>
        <v>-5000</v>
      </c>
      <c r="FW74" s="7">
        <f t="shared" si="279"/>
        <v>-1.8018057008444086E-4</v>
      </c>
      <c r="FX74" s="389">
        <f t="shared" ref="FX74" si="463">SUM(FX70:FX73)</f>
        <v>0</v>
      </c>
      <c r="FY74" s="7">
        <f t="shared" si="435"/>
        <v>0</v>
      </c>
      <c r="FZ74" s="389">
        <f t="shared" ref="FZ74" si="464">SUM(FZ70:FZ73)</f>
        <v>-2798525</v>
      </c>
      <c r="GA74" s="7">
        <f t="shared" si="436"/>
        <v>-9.6798139074202733E-3</v>
      </c>
      <c r="GB74" s="389">
        <f>SUM(GB70:GB73)</f>
        <v>-2803525</v>
      </c>
      <c r="GC74" s="7">
        <f t="shared" si="437"/>
        <v>-8.1847421415705609E-3</v>
      </c>
      <c r="GD74" s="389">
        <f>SUM(GD70:GD73)</f>
        <v>-4577696.55</v>
      </c>
      <c r="GE74" s="7">
        <f t="shared" ref="GE74:GE137" si="465">+GD74/GD$8</f>
        <v>-3.974935433872109E-3</v>
      </c>
      <c r="GF74" s="567">
        <f t="shared" ref="GF74:GH74" si="466">SUM(GF70:GF73)</f>
        <v>-4865707.7534396667</v>
      </c>
      <c r="GG74" s="525">
        <f t="shared" si="438"/>
        <v>-0.37758809965945683</v>
      </c>
      <c r="GH74" s="530">
        <f t="shared" si="466"/>
        <v>0</v>
      </c>
      <c r="GI74" s="525">
        <f t="shared" si="439"/>
        <v>0</v>
      </c>
      <c r="GJ74" s="530">
        <f t="shared" ref="GJ74" si="467">SUM(GJ70:GJ73)</f>
        <v>0</v>
      </c>
      <c r="GK74" s="525">
        <f t="shared" si="440"/>
        <v>0</v>
      </c>
      <c r="GL74" s="530">
        <f>SUM(GL70:GL73)</f>
        <v>-9443404.3034396674</v>
      </c>
      <c r="GM74" s="565">
        <f t="shared" ref="GM74:GM137" si="468">+GL74/GL$8</f>
        <v>-8.1490457924336974E-3</v>
      </c>
      <c r="GO74" s="587">
        <f t="shared" ref="GO74" si="469">SUM(GO70:GO73)</f>
        <v>-398134.76</v>
      </c>
      <c r="GQ74" s="587">
        <f t="shared" ref="GQ74" si="470">SUM(GQ70:GQ73)</f>
        <v>0</v>
      </c>
      <c r="GT74" s="551">
        <f t="shared" si="182"/>
        <v>-608076.41325505986</v>
      </c>
      <c r="GU74" s="551">
        <f t="shared" ref="GU74:GU137" si="471">+GV74*GU$8</f>
        <v>-712438.2367449404</v>
      </c>
      <c r="GV74" s="550">
        <f t="shared" si="441"/>
        <v>-1320514.6500000001</v>
      </c>
      <c r="GW74" s="529">
        <f>SUM(GW70:GW73)</f>
        <v>-2308686.2000000002</v>
      </c>
      <c r="GX74" s="525">
        <f t="shared" si="285"/>
        <v>-1.9497145121303596E-3</v>
      </c>
      <c r="GY74" s="530">
        <f>SUM(GY70:GY73)</f>
        <v>-2308686.2000000002</v>
      </c>
      <c r="GZ74" s="525">
        <f t="shared" si="286"/>
        <v>-2.5646365529287509E-3</v>
      </c>
      <c r="HA74" s="530">
        <f>SUM(HA70:HA73)</f>
        <v>-2308686.2000000002</v>
      </c>
      <c r="HB74" s="526">
        <f t="shared" si="287"/>
        <v>-3.1715516837005843E-3</v>
      </c>
      <c r="HD74" s="529">
        <v>-2308686.2000000002</v>
      </c>
      <c r="HE74" s="525">
        <v>-1.9434434797483023E-3</v>
      </c>
      <c r="HF74" s="530">
        <v>-2308686.2000000002</v>
      </c>
      <c r="HG74" s="525">
        <v>-2.5646365529287509E-3</v>
      </c>
      <c r="HH74" s="530">
        <v>-2308686.2000000002</v>
      </c>
      <c r="HI74" s="526">
        <v>-3.1715516837005843E-3</v>
      </c>
    </row>
    <row r="75" spans="1:218" ht="15" customHeight="1" outlineLevel="1">
      <c r="A75" s="386" t="s">
        <v>68</v>
      </c>
      <c r="B75" s="386" t="s">
        <v>69</v>
      </c>
      <c r="C75" s="375">
        <v>-9104.6</v>
      </c>
      <c r="D75" s="4"/>
      <c r="E75" s="375">
        <v>-1470.07</v>
      </c>
      <c r="F75" s="4"/>
      <c r="G75" s="375"/>
      <c r="H75" s="375">
        <v>-660</v>
      </c>
      <c r="I75" s="4"/>
      <c r="J75" s="375"/>
      <c r="K75" s="375">
        <v>-60</v>
      </c>
      <c r="L75" s="4"/>
      <c r="M75" s="375"/>
      <c r="N75" s="375">
        <v>-502.73</v>
      </c>
      <c r="O75" s="4"/>
      <c r="P75" s="375">
        <f t="shared" si="421"/>
        <v>0</v>
      </c>
      <c r="Q75" s="375">
        <f t="shared" si="421"/>
        <v>-1222.73</v>
      </c>
      <c r="R75" s="7">
        <f t="shared" si="442"/>
        <v>-3.3620968856784608E-5</v>
      </c>
      <c r="S75" s="375">
        <v>-32.72</v>
      </c>
      <c r="T75" s="375">
        <v>-32.72</v>
      </c>
      <c r="U75" s="4"/>
      <c r="V75" s="375">
        <v>-32.72</v>
      </c>
      <c r="W75" s="375">
        <v>-32.72</v>
      </c>
      <c r="X75" s="4"/>
      <c r="Y75" s="375">
        <v>-32.72</v>
      </c>
      <c r="Z75" s="375">
        <v>-32.72</v>
      </c>
      <c r="AA75" s="4"/>
      <c r="AB75" s="375">
        <f>+T75+V75+Y75</f>
        <v>-98.16</v>
      </c>
      <c r="AC75" s="375">
        <f t="shared" si="371"/>
        <v>-98.16</v>
      </c>
      <c r="AD75" s="7">
        <f t="shared" si="443"/>
        <v>-2.6467255304392531E-6</v>
      </c>
      <c r="AE75" s="375">
        <f t="shared" ref="AE75:AE77" si="472">+Q75+AB75</f>
        <v>-1320.89</v>
      </c>
      <c r="AF75" s="375">
        <f t="shared" ref="AF75:AF77" si="473">+AC75+Q75</f>
        <v>-1320.89</v>
      </c>
      <c r="AG75" s="4"/>
      <c r="AH75" s="375">
        <v>-32.72</v>
      </c>
      <c r="AI75" s="375">
        <v>-32.72</v>
      </c>
      <c r="AJ75" s="4"/>
      <c r="AK75" s="375">
        <v>-2212.16</v>
      </c>
      <c r="AL75" s="375">
        <v>-2212.16</v>
      </c>
      <c r="AM75" s="4"/>
      <c r="AN75" s="375"/>
      <c r="AO75" s="375"/>
      <c r="AP75" s="4"/>
      <c r="AQ75" s="375">
        <f t="shared" ref="AQ75:AQ77" si="474">AN75+AK75+AH75</f>
        <v>-2244.8799999999997</v>
      </c>
      <c r="AR75" s="375">
        <f>AO75+AL75+AI75</f>
        <v>-2244.8799999999997</v>
      </c>
      <c r="AS75" s="7">
        <f t="shared" si="444"/>
        <v>-8.4322209042167199E-5</v>
      </c>
      <c r="AT75" s="375">
        <f t="shared" ref="AT75:AT77" si="475">+AF75+AR75</f>
        <v>-3565.7699999999995</v>
      </c>
      <c r="AU75" s="4"/>
      <c r="AV75" s="375"/>
      <c r="AW75" s="375"/>
      <c r="AX75" s="4"/>
      <c r="AY75" s="375"/>
      <c r="AZ75" s="375"/>
      <c r="BA75" s="4"/>
      <c r="BB75" s="375"/>
      <c r="BC75" s="375"/>
      <c r="BD75" s="448"/>
      <c r="BE75" s="375">
        <f t="shared" ref="BE75:BE77" si="476">BB75+AY75+AV75</f>
        <v>0</v>
      </c>
      <c r="BF75" s="375">
        <f>BC75+AZ75+AW75</f>
        <v>0</v>
      </c>
      <c r="BG75" s="7">
        <f t="shared" si="445"/>
        <v>0</v>
      </c>
      <c r="BH75" s="375">
        <f t="shared" ref="BH75:BH77" si="477">Q75+AB75+AQ75+BE75</f>
        <v>-3565.7699999999995</v>
      </c>
      <c r="BI75" s="388">
        <f t="shared" ref="BI75:BI77" si="478">Q75+AC75+AR75+BF75</f>
        <v>-3565.7699999999995</v>
      </c>
      <c r="BJ75" s="7">
        <f t="shared" si="446"/>
        <v>-2.7120716010979769E-5</v>
      </c>
      <c r="BK75" s="375"/>
      <c r="BL75" s="282"/>
      <c r="BM75" s="378"/>
      <c r="BN75" s="375"/>
      <c r="BO75" s="4"/>
      <c r="BP75" s="375"/>
      <c r="BQ75" s="4"/>
      <c r="BR75" s="375"/>
      <c r="BS75" s="4"/>
      <c r="BT75" s="375">
        <f t="shared" ref="BT75:BT77" si="479">SUM(BN75:BS75)</f>
        <v>0</v>
      </c>
      <c r="BU75" s="7">
        <f t="shared" si="447"/>
        <v>0</v>
      </c>
      <c r="BV75" s="375">
        <v>-631.25</v>
      </c>
      <c r="BW75" s="7"/>
      <c r="BX75" s="375"/>
      <c r="BY75" s="7"/>
      <c r="BZ75" s="375"/>
      <c r="CA75" s="7"/>
      <c r="CB75" s="375">
        <f>+BV75+BX75+BZ75</f>
        <v>-631.25</v>
      </c>
      <c r="CC75" s="7">
        <f t="shared" si="158"/>
        <v>-1.8434441129470036E-5</v>
      </c>
      <c r="CD75" s="375">
        <f t="shared" si="238"/>
        <v>-631.25</v>
      </c>
      <c r="CE75" s="7">
        <f t="shared" si="448"/>
        <v>-7.1361170389304499E-6</v>
      </c>
      <c r="CF75" s="375"/>
      <c r="CG75" s="7">
        <f t="shared" si="449"/>
        <v>0</v>
      </c>
      <c r="CH75" s="375"/>
      <c r="CI75" s="7">
        <f t="shared" si="449"/>
        <v>0</v>
      </c>
      <c r="CJ75" s="375">
        <v>0</v>
      </c>
      <c r="CK75" s="7">
        <f t="shared" si="449"/>
        <v>0</v>
      </c>
      <c r="CL75" s="375">
        <f t="shared" ref="CL75:CL77" si="480">+CF75+CH75+CJ75</f>
        <v>0</v>
      </c>
      <c r="CM75" s="7">
        <f t="shared" si="449"/>
        <v>0</v>
      </c>
      <c r="CN75" s="375">
        <f t="shared" si="288"/>
        <v>-631.25</v>
      </c>
      <c r="CO75" s="7">
        <f t="shared" si="241"/>
        <v>-3.9763313228507466E-6</v>
      </c>
      <c r="CP75" s="375"/>
      <c r="CQ75" s="7">
        <f t="shared" si="422"/>
        <v>0</v>
      </c>
      <c r="CR75" s="375">
        <f t="shared" ref="CR75:CR77" si="481">+CN75+CP75</f>
        <v>-631.25</v>
      </c>
      <c r="CS75" s="7">
        <f t="shared" si="244"/>
        <v>-3.5395484671671081E-6</v>
      </c>
      <c r="CT75" s="375"/>
      <c r="CU75" s="7">
        <f t="shared" si="199"/>
        <v>0</v>
      </c>
      <c r="CV75" s="375"/>
      <c r="CW75" s="7">
        <f t="shared" si="452"/>
        <v>0</v>
      </c>
      <c r="CX75" s="375">
        <f>+CV75+CT75+CP75</f>
        <v>0</v>
      </c>
      <c r="CY75" s="7">
        <f t="shared" si="424"/>
        <v>0</v>
      </c>
      <c r="CZ75" s="375">
        <f>+CD75+CL75+CX75</f>
        <v>-631.25</v>
      </c>
      <c r="DA75" s="7">
        <f t="shared" si="453"/>
        <v>-2.4602699852187156E-6</v>
      </c>
      <c r="DB75" s="375"/>
      <c r="DC75" s="7">
        <f t="shared" si="250"/>
        <v>0</v>
      </c>
      <c r="DD75" s="375"/>
      <c r="DE75" s="7">
        <f t="shared" si="250"/>
        <v>0</v>
      </c>
      <c r="DF75" s="375">
        <v>0</v>
      </c>
      <c r="DG75" s="7">
        <f t="shared" si="250"/>
        <v>0</v>
      </c>
      <c r="DH75" s="375">
        <f t="shared" ref="DH75:DH77" si="482">+DB75+DD75+DF75</f>
        <v>0</v>
      </c>
      <c r="DI75" s="7">
        <f t="shared" si="425"/>
        <v>0</v>
      </c>
      <c r="DJ75" s="375"/>
      <c r="DK75" s="7">
        <f t="shared" si="254"/>
        <v>0</v>
      </c>
      <c r="DL75" s="375"/>
      <c r="DM75" s="7">
        <f t="shared" si="255"/>
        <v>0</v>
      </c>
      <c r="DN75" s="375">
        <v>0</v>
      </c>
      <c r="DO75" s="7">
        <f t="shared" si="256"/>
        <v>0</v>
      </c>
      <c r="DP75" s="375">
        <v>0</v>
      </c>
      <c r="DQ75" s="7">
        <f t="shared" si="257"/>
        <v>0</v>
      </c>
      <c r="DR75" s="375">
        <f t="shared" ref="DR75:DR77" si="483">+DL75+DN75+DP75</f>
        <v>0</v>
      </c>
      <c r="DS75" s="7">
        <f t="shared" si="426"/>
        <v>0</v>
      </c>
      <c r="DT75" s="375">
        <f t="shared" si="259"/>
        <v>0</v>
      </c>
      <c r="DU75" s="7">
        <f t="shared" si="454"/>
        <v>0</v>
      </c>
      <c r="DV75" s="375">
        <v>-200</v>
      </c>
      <c r="DW75" s="7">
        <f t="shared" si="260"/>
        <v>-4.3939334763761973E-6</v>
      </c>
      <c r="DX75" s="375"/>
      <c r="DY75" s="7">
        <f t="shared" si="261"/>
        <v>0</v>
      </c>
      <c r="DZ75" s="375">
        <v>-200</v>
      </c>
      <c r="EA75" s="7">
        <f t="shared" si="262"/>
        <v>-1.6347430039560063E-6</v>
      </c>
      <c r="EB75" s="375">
        <f t="shared" ref="EB75:EB77" si="484">+DV75+DX75+DZ75</f>
        <v>-400</v>
      </c>
      <c r="EC75" s="7">
        <f t="shared" si="427"/>
        <v>-2.0649088031741675E-6</v>
      </c>
      <c r="ED75" s="375">
        <f>+EB75+DT75</f>
        <v>-400</v>
      </c>
      <c r="EE75" s="7">
        <f t="shared" si="455"/>
        <v>-1.0536380293261868E-6</v>
      </c>
      <c r="EF75" s="375">
        <v>-100</v>
      </c>
      <c r="EG75" s="7">
        <f t="shared" si="264"/>
        <v>-6.7674184953704478E-6</v>
      </c>
      <c r="EH75" s="375">
        <v>-160</v>
      </c>
      <c r="EI75" s="7">
        <f t="shared" si="265"/>
        <v>-1.2550341567311488E-5</v>
      </c>
      <c r="EJ75" s="375">
        <v>-50</v>
      </c>
      <c r="EK75" s="7">
        <f t="shared" si="266"/>
        <v>-3.2017820020283997E-7</v>
      </c>
      <c r="EL75" s="375">
        <f t="shared" ref="EL75:EL77" si="485">+EF75+EH75+EJ75</f>
        <v>-310</v>
      </c>
      <c r="EM75" s="7">
        <f t="shared" si="428"/>
        <v>-1.6876408032134687E-6</v>
      </c>
      <c r="EN75" s="375">
        <f>+EL75+ED75</f>
        <v>-710</v>
      </c>
      <c r="EO75" s="7">
        <f t="shared" si="456"/>
        <v>-1.2603727894838596E-6</v>
      </c>
      <c r="EP75" s="373"/>
      <c r="EQ75" s="373"/>
      <c r="ER75" s="373"/>
      <c r="ES75" s="373"/>
      <c r="ET75" s="375">
        <v>-400</v>
      </c>
      <c r="EU75" s="7">
        <f t="shared" si="269"/>
        <v>-5.4230528033716985E-5</v>
      </c>
      <c r="EV75" s="375"/>
      <c r="EW75" s="7">
        <f t="shared" si="270"/>
        <v>0</v>
      </c>
      <c r="EX75" s="375">
        <v>-100</v>
      </c>
      <c r="EY75" s="7">
        <f t="shared" si="271"/>
        <v>-4.3804491463937939E-7</v>
      </c>
      <c r="EZ75" s="375">
        <f t="shared" ref="EZ75:EZ77" si="486">+ET75+EV75+EX75</f>
        <v>-500</v>
      </c>
      <c r="FA75" s="7">
        <f t="shared" si="429"/>
        <v>-2.0681887473680709E-6</v>
      </c>
      <c r="FB75" s="375">
        <v>-300</v>
      </c>
      <c r="FC75" s="7">
        <f t="shared" si="273"/>
        <v>-3.3105444100345842E-5</v>
      </c>
      <c r="FD75" s="375">
        <v>-100</v>
      </c>
      <c r="FE75" s="7">
        <f t="shared" si="200"/>
        <v>-9.5008510845299989E-7</v>
      </c>
      <c r="FF75" s="375"/>
      <c r="FG75" s="7">
        <f t="shared" si="430"/>
        <v>0</v>
      </c>
      <c r="FH75" s="375">
        <f t="shared" ref="FH75:FH77" si="487">+FB75+FD75+FF75</f>
        <v>-400</v>
      </c>
      <c r="FI75" s="7">
        <f t="shared" si="431"/>
        <v>-1.4545586308896079E-6</v>
      </c>
      <c r="FJ75" s="375">
        <f t="shared" ref="FJ75:FJ77" si="488">EZ75+FH75</f>
        <v>-900</v>
      </c>
      <c r="FK75" s="7">
        <f t="shared" si="459"/>
        <v>-1.7416379200321439E-6</v>
      </c>
      <c r="FL75" s="375"/>
      <c r="FM75" s="7">
        <f t="shared" si="276"/>
        <v>0</v>
      </c>
      <c r="FN75" s="375"/>
      <c r="FO75" s="7">
        <f t="shared" si="432"/>
        <v>0</v>
      </c>
      <c r="FP75" s="375"/>
      <c r="FQ75" s="7">
        <f t="shared" si="433"/>
        <v>0</v>
      </c>
      <c r="FR75" s="375">
        <f t="shared" ref="FR75:FR77" si="489">+FL75+FN75+FP75</f>
        <v>0</v>
      </c>
      <c r="FS75" s="7">
        <f t="shared" si="434"/>
        <v>0</v>
      </c>
      <c r="FT75" s="375">
        <f t="shared" ref="FT75:FT77" si="490">FJ75+FR75</f>
        <v>-900</v>
      </c>
      <c r="FU75" s="7">
        <f t="shared" si="462"/>
        <v>-1.1123335308633426E-6</v>
      </c>
      <c r="FV75" s="375">
        <v>-800</v>
      </c>
      <c r="FW75" s="7">
        <f t="shared" si="279"/>
        <v>-2.8828891213510538E-5</v>
      </c>
      <c r="FX75" s="375"/>
      <c r="FY75" s="7">
        <f t="shared" si="435"/>
        <v>0</v>
      </c>
      <c r="FZ75" s="375"/>
      <c r="GA75" s="7">
        <f t="shared" si="436"/>
        <v>0</v>
      </c>
      <c r="GB75" s="375">
        <f t="shared" ref="GB75:GB77" si="491">+FV75+FX75+FZ75</f>
        <v>-800</v>
      </c>
      <c r="GC75" s="7">
        <f t="shared" si="437"/>
        <v>-2.3355574547244802E-6</v>
      </c>
      <c r="GD75" s="375">
        <f t="shared" ref="GD75:GD77" si="492">FT75+GB75</f>
        <v>-1700</v>
      </c>
      <c r="GE75" s="7">
        <f t="shared" si="465"/>
        <v>-1.4761551281905276E-6</v>
      </c>
      <c r="GF75" s="566">
        <f t="shared" si="282"/>
        <v>0</v>
      </c>
      <c r="GG75" s="525">
        <f t="shared" si="438"/>
        <v>0</v>
      </c>
      <c r="GH75" s="528">
        <f t="shared" ref="GH75:GH76" si="493">+GQ75*$GO$2</f>
        <v>0</v>
      </c>
      <c r="GI75" s="525">
        <f t="shared" si="439"/>
        <v>0</v>
      </c>
      <c r="GJ75" s="528"/>
      <c r="GK75" s="525">
        <f t="shared" si="440"/>
        <v>0</v>
      </c>
      <c r="GL75" s="528">
        <f t="shared" si="284"/>
        <v>-1700</v>
      </c>
      <c r="GM75" s="565">
        <f t="shared" si="468"/>
        <v>-1.4669898060057992E-6</v>
      </c>
      <c r="GO75" s="586"/>
      <c r="GQ75" s="586"/>
      <c r="GT75" s="551">
        <f t="shared" si="182"/>
        <v>-506.53285412665866</v>
      </c>
      <c r="GU75" s="551">
        <f t="shared" si="471"/>
        <v>-593.46714587334134</v>
      </c>
      <c r="GV75" s="550">
        <f t="shared" si="441"/>
        <v>-1100</v>
      </c>
      <c r="GW75" s="527">
        <f>+EZ75*4</f>
        <v>-2000</v>
      </c>
      <c r="GX75" s="525">
        <f t="shared" si="285"/>
        <v>-1.6890251365736577E-6</v>
      </c>
      <c r="GY75" s="528">
        <f>+GW75</f>
        <v>-2000</v>
      </c>
      <c r="GZ75" s="525">
        <f t="shared" si="286"/>
        <v>-2.2217281438497366E-6</v>
      </c>
      <c r="HA75" s="528">
        <f>+GY75</f>
        <v>-2000</v>
      </c>
      <c r="HB75" s="526">
        <f t="shared" si="287"/>
        <v>-2.7474948164896416E-6</v>
      </c>
      <c r="HD75" s="527">
        <v>-2000</v>
      </c>
      <c r="HE75" s="525">
        <v>-1.6835925815715466E-6</v>
      </c>
      <c r="HF75" s="528">
        <v>-2000</v>
      </c>
      <c r="HG75" s="525">
        <v>-2.2217281438497366E-6</v>
      </c>
      <c r="HH75" s="528">
        <v>-2000</v>
      </c>
      <c r="HI75" s="526">
        <v>-2.7474948164896416E-6</v>
      </c>
    </row>
    <row r="76" spans="1:218" ht="15" customHeight="1" outlineLevel="1">
      <c r="A76" s="386" t="s">
        <v>68</v>
      </c>
      <c r="B76" s="386" t="s">
        <v>70</v>
      </c>
      <c r="C76" s="375">
        <v>-4360</v>
      </c>
      <c r="D76" s="4"/>
      <c r="E76" s="375">
        <v>-1800</v>
      </c>
      <c r="F76" s="4"/>
      <c r="G76" s="375"/>
      <c r="H76" s="375">
        <v>-100</v>
      </c>
      <c r="I76" s="4"/>
      <c r="J76" s="375"/>
      <c r="K76" s="375"/>
      <c r="L76" s="4"/>
      <c r="M76" s="375"/>
      <c r="N76" s="375">
        <v>-100</v>
      </c>
      <c r="O76" s="4"/>
      <c r="P76" s="375">
        <f t="shared" si="421"/>
        <v>0</v>
      </c>
      <c r="Q76" s="375">
        <f t="shared" si="421"/>
        <v>-200</v>
      </c>
      <c r="R76" s="7">
        <f t="shared" si="442"/>
        <v>-5.4993283646896059E-6</v>
      </c>
      <c r="S76" s="375">
        <v>-745</v>
      </c>
      <c r="T76" s="375">
        <v>-745</v>
      </c>
      <c r="U76" s="4"/>
      <c r="V76" s="375">
        <v>-200</v>
      </c>
      <c r="W76" s="375">
        <v>-200</v>
      </c>
      <c r="X76" s="4"/>
      <c r="Y76" s="375">
        <v>-645</v>
      </c>
      <c r="Z76" s="375">
        <v>-645</v>
      </c>
      <c r="AA76" s="4"/>
      <c r="AB76" s="375">
        <f t="shared" si="224"/>
        <v>-1590</v>
      </c>
      <c r="AC76" s="375">
        <f t="shared" si="371"/>
        <v>-1590</v>
      </c>
      <c r="AD76" s="7">
        <f t="shared" si="443"/>
        <v>-4.2871776623863211E-5</v>
      </c>
      <c r="AE76" s="375">
        <f t="shared" si="472"/>
        <v>-1790</v>
      </c>
      <c r="AF76" s="375">
        <f t="shared" si="473"/>
        <v>-1790</v>
      </c>
      <c r="AG76" s="4"/>
      <c r="AH76" s="375"/>
      <c r="AI76" s="375"/>
      <c r="AJ76" s="4"/>
      <c r="AK76" s="375"/>
      <c r="AL76" s="375"/>
      <c r="AM76" s="4"/>
      <c r="AN76" s="375"/>
      <c r="AO76" s="375"/>
      <c r="AP76" s="4"/>
      <c r="AQ76" s="375">
        <f t="shared" si="474"/>
        <v>0</v>
      </c>
      <c r="AR76" s="375">
        <f>AO76+AL76+AI76</f>
        <v>0</v>
      </c>
      <c r="AS76" s="7">
        <f t="shared" si="444"/>
        <v>0</v>
      </c>
      <c r="AT76" s="375">
        <f t="shared" si="475"/>
        <v>-1790</v>
      </c>
      <c r="AU76" s="4"/>
      <c r="AV76" s="375"/>
      <c r="AW76" s="375"/>
      <c r="AX76" s="4"/>
      <c r="AY76" s="375"/>
      <c r="AZ76" s="375">
        <v>-200</v>
      </c>
      <c r="BA76" s="4"/>
      <c r="BB76" s="375"/>
      <c r="BC76" s="375"/>
      <c r="BD76" s="448"/>
      <c r="BE76" s="375">
        <f t="shared" si="476"/>
        <v>0</v>
      </c>
      <c r="BF76" s="375">
        <f>BC76+AZ76+AW76</f>
        <v>-200</v>
      </c>
      <c r="BG76" s="7">
        <f t="shared" si="445"/>
        <v>-6.3694942094044373E-6</v>
      </c>
      <c r="BH76" s="375">
        <f t="shared" si="477"/>
        <v>-1790</v>
      </c>
      <c r="BI76" s="388">
        <f t="shared" si="478"/>
        <v>-1990</v>
      </c>
      <c r="BJ76" s="7">
        <f t="shared" si="446"/>
        <v>-1.513564387547423E-5</v>
      </c>
      <c r="BK76" s="375"/>
      <c r="BL76" s="282"/>
      <c r="BM76" s="378"/>
      <c r="BN76" s="375"/>
      <c r="BO76" s="4"/>
      <c r="BP76" s="375"/>
      <c r="BQ76" s="4"/>
      <c r="BR76" s="375"/>
      <c r="BS76" s="4"/>
      <c r="BT76" s="375">
        <f t="shared" si="479"/>
        <v>0</v>
      </c>
      <c r="BU76" s="7">
        <f t="shared" si="447"/>
        <v>0</v>
      </c>
      <c r="BV76" s="375">
        <v>-200</v>
      </c>
      <c r="BW76" s="7"/>
      <c r="BX76" s="375"/>
      <c r="BY76" s="7"/>
      <c r="BZ76" s="375">
        <v>-1191</v>
      </c>
      <c r="CA76" s="7"/>
      <c r="CB76" s="375">
        <f>+BV76+BX76+BZ76</f>
        <v>-1391</v>
      </c>
      <c r="CC76" s="7">
        <f t="shared" si="158"/>
        <v>-4.0621477403711401E-5</v>
      </c>
      <c r="CD76" s="375">
        <f t="shared" si="238"/>
        <v>-1391</v>
      </c>
      <c r="CE76" s="7">
        <f t="shared" si="448"/>
        <v>-1.5724893150340206E-5</v>
      </c>
      <c r="CF76" s="375">
        <v>-100</v>
      </c>
      <c r="CG76" s="7">
        <f t="shared" si="449"/>
        <v>-1.9798474103882945E-5</v>
      </c>
      <c r="CH76" s="375"/>
      <c r="CI76" s="7">
        <f t="shared" si="449"/>
        <v>0</v>
      </c>
      <c r="CJ76" s="375">
        <v>0</v>
      </c>
      <c r="CK76" s="7">
        <f t="shared" si="449"/>
        <v>0</v>
      </c>
      <c r="CL76" s="375">
        <f t="shared" si="480"/>
        <v>-100</v>
      </c>
      <c r="CM76" s="7">
        <f t="shared" si="449"/>
        <v>-1.42260884932065E-6</v>
      </c>
      <c r="CN76" s="375">
        <f t="shared" si="288"/>
        <v>-1491</v>
      </c>
      <c r="CO76" s="7">
        <f t="shared" si="241"/>
        <v>-9.3920158453393475E-6</v>
      </c>
      <c r="CP76" s="472">
        <v>-200</v>
      </c>
      <c r="CQ76" s="7">
        <f t="shared" si="422"/>
        <v>-1.0209240836047983E-5</v>
      </c>
      <c r="CR76" s="375">
        <f t="shared" si="481"/>
        <v>-1691</v>
      </c>
      <c r="CS76" s="7">
        <f t="shared" si="244"/>
        <v>-9.4817844878884424E-6</v>
      </c>
      <c r="CT76" s="375">
        <v>0</v>
      </c>
      <c r="CU76" s="7">
        <f t="shared" si="199"/>
        <v>0</v>
      </c>
      <c r="CV76" s="375"/>
      <c r="CW76" s="7">
        <f t="shared" si="452"/>
        <v>0</v>
      </c>
      <c r="CX76" s="375">
        <f>+CV76+CT76+CP76</f>
        <v>-200</v>
      </c>
      <c r="CY76" s="7">
        <f t="shared" si="424"/>
        <v>-2.044453158149139E-6</v>
      </c>
      <c r="CZ76" s="375">
        <f>+CD76+CL76+CX76</f>
        <v>-1691</v>
      </c>
      <c r="DA76" s="7">
        <f t="shared" si="453"/>
        <v>-6.5906004673344122E-6</v>
      </c>
      <c r="DB76" s="375">
        <v>-200</v>
      </c>
      <c r="DC76" s="7">
        <f t="shared" si="250"/>
        <v>-1.0418669835013337E-5</v>
      </c>
      <c r="DD76" s="375"/>
      <c r="DE76" s="7">
        <f t="shared" si="250"/>
        <v>0</v>
      </c>
      <c r="DF76" s="375">
        <f>+DD76</f>
        <v>0</v>
      </c>
      <c r="DG76" s="7">
        <f t="shared" si="250"/>
        <v>0</v>
      </c>
      <c r="DH76" s="375">
        <f t="shared" si="482"/>
        <v>-200</v>
      </c>
      <c r="DI76" s="7">
        <f t="shared" si="425"/>
        <v>-2.6252329114022466E-6</v>
      </c>
      <c r="DJ76" s="375">
        <v>-500</v>
      </c>
      <c r="DK76" s="7">
        <f t="shared" si="254"/>
        <v>-9.5067717614950413E-6</v>
      </c>
      <c r="DL76" s="375">
        <v>-200</v>
      </c>
      <c r="DM76" s="7">
        <f t="shared" si="255"/>
        <v>-2.3057458440525006E-5</v>
      </c>
      <c r="DN76" s="375">
        <v>-200</v>
      </c>
      <c r="DO76" s="7">
        <f t="shared" si="256"/>
        <v>-1.1654563171664057E-5</v>
      </c>
      <c r="DP76" s="375">
        <v>-315</v>
      </c>
      <c r="DQ76" s="7">
        <f t="shared" si="257"/>
        <v>-3.7542233569177056E-6</v>
      </c>
      <c r="DR76" s="375">
        <f t="shared" si="483"/>
        <v>-715</v>
      </c>
      <c r="DS76" s="7">
        <f t="shared" si="426"/>
        <v>-6.515391340949373E-6</v>
      </c>
      <c r="DT76" s="375">
        <f t="shared" si="259"/>
        <v>-915</v>
      </c>
      <c r="DU76" s="7">
        <f t="shared" si="454"/>
        <v>-4.9213693454227881E-6</v>
      </c>
      <c r="DV76" s="375">
        <v>-200</v>
      </c>
      <c r="DW76" s="7">
        <f t="shared" si="260"/>
        <v>-4.3939334763761973E-6</v>
      </c>
      <c r="DX76" s="375">
        <v>-200</v>
      </c>
      <c r="DY76" s="7">
        <f t="shared" si="261"/>
        <v>-7.7362067020234735E-6</v>
      </c>
      <c r="DZ76" s="375">
        <v>-110</v>
      </c>
      <c r="EA76" s="7">
        <f t="shared" si="262"/>
        <v>-8.9910865217580353E-7</v>
      </c>
      <c r="EB76" s="375">
        <f t="shared" si="484"/>
        <v>-510</v>
      </c>
      <c r="EC76" s="7">
        <f t="shared" si="427"/>
        <v>-2.6327587240470635E-6</v>
      </c>
      <c r="ED76" s="375">
        <f>+EB76+DT76</f>
        <v>-1425</v>
      </c>
      <c r="EE76" s="7">
        <f t="shared" si="455"/>
        <v>-3.7535854794745404E-6</v>
      </c>
      <c r="EF76" s="375">
        <v>-510</v>
      </c>
      <c r="EG76" s="7">
        <f t="shared" si="264"/>
        <v>-3.4513834326389287E-5</v>
      </c>
      <c r="EH76" s="375"/>
      <c r="EI76" s="7">
        <f t="shared" si="265"/>
        <v>0</v>
      </c>
      <c r="EJ76" s="375">
        <v>-470</v>
      </c>
      <c r="EK76" s="7">
        <f t="shared" si="266"/>
        <v>-3.0096750819066957E-6</v>
      </c>
      <c r="EL76" s="375">
        <f t="shared" si="485"/>
        <v>-980</v>
      </c>
      <c r="EM76" s="7">
        <f t="shared" si="428"/>
        <v>-5.3351225391909658E-6</v>
      </c>
      <c r="EN76" s="375">
        <f>+EL76+ED76</f>
        <v>-2405</v>
      </c>
      <c r="EO76" s="7">
        <f t="shared" si="456"/>
        <v>-4.2692909277587075E-6</v>
      </c>
      <c r="EP76" s="373"/>
      <c r="EQ76" s="373"/>
      <c r="ER76" s="373"/>
      <c r="ES76" s="373"/>
      <c r="ET76" s="375">
        <v>-420</v>
      </c>
      <c r="EU76" s="7">
        <f t="shared" si="269"/>
        <v>-5.6942054435402832E-5</v>
      </c>
      <c r="EV76" s="375">
        <v>-300</v>
      </c>
      <c r="EW76" s="7">
        <f t="shared" si="270"/>
        <v>-4.9225358338990571E-5</v>
      </c>
      <c r="EX76" s="375">
        <v>-615</v>
      </c>
      <c r="EY76" s="7">
        <f t="shared" si="271"/>
        <v>-2.6939762250321834E-6</v>
      </c>
      <c r="EZ76" s="375">
        <f t="shared" si="486"/>
        <v>-1335</v>
      </c>
      <c r="FA76" s="7">
        <f t="shared" si="429"/>
        <v>-5.5220639554727484E-6</v>
      </c>
      <c r="FB76" s="375">
        <v>-400</v>
      </c>
      <c r="FC76" s="7">
        <f t="shared" si="273"/>
        <v>-4.4140592133794458E-5</v>
      </c>
      <c r="FD76" s="375">
        <v>-500</v>
      </c>
      <c r="FE76" s="7">
        <f t="shared" si="200"/>
        <v>-4.7504255422649993E-6</v>
      </c>
      <c r="FF76" s="375">
        <v>-475</v>
      </c>
      <c r="FG76" s="7">
        <f t="shared" si="430"/>
        <v>-2.9561525999474325E-6</v>
      </c>
      <c r="FH76" s="375">
        <f t="shared" si="487"/>
        <v>-1375</v>
      </c>
      <c r="FI76" s="7">
        <f t="shared" si="431"/>
        <v>-5.0000452936830273E-6</v>
      </c>
      <c r="FJ76" s="375">
        <f t="shared" si="488"/>
        <v>-2710</v>
      </c>
      <c r="FK76" s="7">
        <f t="shared" si="459"/>
        <v>-5.2442652925412335E-6</v>
      </c>
      <c r="FL76" s="375">
        <v>-150</v>
      </c>
      <c r="FM76" s="7">
        <f t="shared" si="276"/>
        <v>-1.3718282234012385E-5</v>
      </c>
      <c r="FN76" s="375">
        <v>-650</v>
      </c>
      <c r="FO76" s="7">
        <f t="shared" si="432"/>
        <v>-1.3603947266085771E-4</v>
      </c>
      <c r="FP76" s="375">
        <v>-475</v>
      </c>
      <c r="FQ76" s="7">
        <f t="shared" si="433"/>
        <v>-1.7170171021276214E-6</v>
      </c>
      <c r="FR76" s="375">
        <f t="shared" si="489"/>
        <v>-1275</v>
      </c>
      <c r="FS76" s="7">
        <f t="shared" si="434"/>
        <v>-4.3611378607221635E-6</v>
      </c>
      <c r="FT76" s="375">
        <f t="shared" si="490"/>
        <v>-3985</v>
      </c>
      <c r="FU76" s="7">
        <f t="shared" si="462"/>
        <v>-4.9251656894338005E-6</v>
      </c>
      <c r="FV76" s="375">
        <v>-340</v>
      </c>
      <c r="FW76" s="7">
        <f t="shared" si="279"/>
        <v>-1.2252278765741978E-5</v>
      </c>
      <c r="FX76" s="375">
        <v>-380</v>
      </c>
      <c r="FY76" s="7">
        <f t="shared" si="435"/>
        <v>-1.4802508724659995E-5</v>
      </c>
      <c r="FZ76" s="375">
        <v>-450</v>
      </c>
      <c r="GA76" s="7">
        <f t="shared" si="436"/>
        <v>-1.5565043222194273E-6</v>
      </c>
      <c r="GB76" s="375">
        <f t="shared" si="491"/>
        <v>-1170</v>
      </c>
      <c r="GC76" s="7">
        <f t="shared" si="437"/>
        <v>-3.4157527775345524E-6</v>
      </c>
      <c r="GD76" s="375">
        <f t="shared" si="492"/>
        <v>-5155</v>
      </c>
      <c r="GE76" s="7">
        <f t="shared" si="465"/>
        <v>-4.4762233446012761E-6</v>
      </c>
      <c r="GF76" s="566">
        <f t="shared" si="282"/>
        <v>0</v>
      </c>
      <c r="GG76" s="525">
        <f t="shared" si="438"/>
        <v>0</v>
      </c>
      <c r="GH76" s="528">
        <f t="shared" si="493"/>
        <v>0</v>
      </c>
      <c r="GI76" s="525">
        <f t="shared" si="439"/>
        <v>0</v>
      </c>
      <c r="GJ76" s="528"/>
      <c r="GK76" s="525">
        <f t="shared" si="440"/>
        <v>0</v>
      </c>
      <c r="GL76" s="528">
        <f t="shared" si="284"/>
        <v>-5155</v>
      </c>
      <c r="GM76" s="565">
        <f t="shared" si="468"/>
        <v>-4.448430852917585E-6</v>
      </c>
      <c r="GO76" s="586"/>
      <c r="GQ76" s="586"/>
      <c r="GT76" s="551">
        <f t="shared" si="182"/>
        <v>-1211.0740057755565</v>
      </c>
      <c r="GU76" s="551">
        <f t="shared" si="471"/>
        <v>-1418.9259942244435</v>
      </c>
      <c r="GV76" s="550">
        <f t="shared" si="441"/>
        <v>-2630</v>
      </c>
      <c r="GW76" s="527">
        <f>+EZ76*4</f>
        <v>-5340</v>
      </c>
      <c r="GX76" s="525">
        <f t="shared" si="285"/>
        <v>-4.5096971146516662E-6</v>
      </c>
      <c r="GY76" s="528">
        <f>+GW76</f>
        <v>-5340</v>
      </c>
      <c r="GZ76" s="525">
        <f t="shared" si="286"/>
        <v>-5.9320141440787967E-6</v>
      </c>
      <c r="HA76" s="528">
        <f>+GY76</f>
        <v>-5340</v>
      </c>
      <c r="HB76" s="526">
        <f t="shared" si="287"/>
        <v>-7.335811160027343E-6</v>
      </c>
      <c r="HD76" s="527">
        <v>-5340</v>
      </c>
      <c r="HE76" s="525">
        <v>-4.4951921927960299E-6</v>
      </c>
      <c r="HF76" s="528">
        <v>-5340</v>
      </c>
      <c r="HG76" s="525">
        <v>-5.9320141440787967E-6</v>
      </c>
      <c r="HH76" s="528">
        <v>-5340</v>
      </c>
      <c r="HI76" s="526">
        <v>-7.335811160027343E-6</v>
      </c>
    </row>
    <row r="77" spans="1:218" ht="15" customHeight="1" outlineLevel="1">
      <c r="A77" s="386" t="s">
        <v>68</v>
      </c>
      <c r="B77" s="386" t="s">
        <v>71</v>
      </c>
      <c r="C77" s="375">
        <v>-26997.06</v>
      </c>
      <c r="D77" s="4"/>
      <c r="E77" s="375">
        <v>-3813.65</v>
      </c>
      <c r="F77" s="4"/>
      <c r="G77" s="375"/>
      <c r="H77" s="375">
        <v>-85</v>
      </c>
      <c r="I77" s="4"/>
      <c r="J77" s="375"/>
      <c r="K77" s="375"/>
      <c r="L77" s="4"/>
      <c r="M77" s="375"/>
      <c r="N77" s="375">
        <v>-8320.67</v>
      </c>
      <c r="O77" s="4"/>
      <c r="P77" s="375">
        <f t="shared" si="421"/>
        <v>0</v>
      </c>
      <c r="Q77" s="375">
        <f t="shared" si="421"/>
        <v>-8405.67</v>
      </c>
      <c r="R77" s="7">
        <f t="shared" si="442"/>
        <v>-2.3112769727610242E-4</v>
      </c>
      <c r="S77" s="375">
        <v>-582.63</v>
      </c>
      <c r="T77" s="375">
        <v>-582.63</v>
      </c>
      <c r="U77" s="4"/>
      <c r="V77" s="375">
        <v>-2232.8200000000002</v>
      </c>
      <c r="W77" s="375">
        <v>-2232.8200000000002</v>
      </c>
      <c r="X77" s="4"/>
      <c r="Y77" s="375"/>
      <c r="Z77" s="375"/>
      <c r="AA77" s="4"/>
      <c r="AB77" s="375">
        <f t="shared" si="224"/>
        <v>-2815.4500000000003</v>
      </c>
      <c r="AC77" s="375">
        <f t="shared" si="371"/>
        <v>-2815.4500000000003</v>
      </c>
      <c r="AD77" s="7">
        <f t="shared" si="443"/>
        <v>-7.5914052512990991E-5</v>
      </c>
      <c r="AE77" s="375">
        <f t="shared" si="472"/>
        <v>-11221.12</v>
      </c>
      <c r="AF77" s="375">
        <f t="shared" si="473"/>
        <v>-11221.12</v>
      </c>
      <c r="AG77" s="4"/>
      <c r="AH77" s="375"/>
      <c r="AI77" s="375"/>
      <c r="AJ77" s="4"/>
      <c r="AK77" s="375">
        <v>-1456.21</v>
      </c>
      <c r="AL77" s="375">
        <v>-1456.21</v>
      </c>
      <c r="AM77" s="4"/>
      <c r="AN77" s="375">
        <v>-90</v>
      </c>
      <c r="AO77" s="375">
        <v>-90</v>
      </c>
      <c r="AP77" s="4"/>
      <c r="AQ77" s="375">
        <f t="shared" si="474"/>
        <v>-1546.21</v>
      </c>
      <c r="AR77" s="375">
        <f>AO77+AL77+AI77</f>
        <v>-1546.21</v>
      </c>
      <c r="AS77" s="7">
        <f t="shared" si="444"/>
        <v>-5.8078758260169526E-5</v>
      </c>
      <c r="AT77" s="375">
        <f t="shared" si="475"/>
        <v>-12767.330000000002</v>
      </c>
      <c r="AU77" s="4"/>
      <c r="AV77" s="375"/>
      <c r="AW77" s="375"/>
      <c r="AX77" s="4"/>
      <c r="AY77" s="375"/>
      <c r="AZ77" s="375">
        <v>-1278</v>
      </c>
      <c r="BA77" s="4"/>
      <c r="BB77" s="375"/>
      <c r="BC77" s="375"/>
      <c r="BD77" s="448"/>
      <c r="BE77" s="375">
        <f t="shared" si="476"/>
        <v>0</v>
      </c>
      <c r="BF77" s="375">
        <f>BC77+AZ77+AW77</f>
        <v>-1278</v>
      </c>
      <c r="BG77" s="7">
        <f t="shared" si="445"/>
        <v>-4.0701067998094354E-5</v>
      </c>
      <c r="BH77" s="375">
        <f t="shared" si="477"/>
        <v>-12767.330000000002</v>
      </c>
      <c r="BI77" s="388">
        <f t="shared" si="478"/>
        <v>-14045.330000000002</v>
      </c>
      <c r="BJ77" s="7">
        <f t="shared" si="446"/>
        <v>-1.0682668994648969E-4</v>
      </c>
      <c r="BK77" s="375"/>
      <c r="BL77" s="282"/>
      <c r="BM77" s="378"/>
      <c r="BN77" s="375">
        <v>0</v>
      </c>
      <c r="BO77" s="4"/>
      <c r="BP77" s="375">
        <v>-50</v>
      </c>
      <c r="BQ77" s="4"/>
      <c r="BR77" s="375"/>
      <c r="BS77" s="4"/>
      <c r="BT77" s="375">
        <f t="shared" si="479"/>
        <v>-50</v>
      </c>
      <c r="BU77" s="7">
        <f t="shared" si="447"/>
        <v>-9.2224545795675175E-7</v>
      </c>
      <c r="BV77" s="375">
        <v>-5368.15</v>
      </c>
      <c r="BW77" s="7"/>
      <c r="BX77" s="375"/>
      <c r="BY77" s="7"/>
      <c r="BZ77" s="375">
        <v>-9666.81</v>
      </c>
      <c r="CA77" s="7"/>
      <c r="CB77" s="375">
        <f>+BV77+BX77+BZ77</f>
        <v>-15034.96</v>
      </c>
      <c r="CC77" s="7">
        <f t="shared" si="158"/>
        <v>-4.3906706535277123E-4</v>
      </c>
      <c r="CD77" s="375">
        <f t="shared" si="238"/>
        <v>-15084.96</v>
      </c>
      <c r="CE77" s="7">
        <f t="shared" si="448"/>
        <v>-1.7053154865359884E-4</v>
      </c>
      <c r="CF77" s="375">
        <v>-3553</v>
      </c>
      <c r="CG77" s="7">
        <f t="shared" si="449"/>
        <v>-7.0343978491096114E-4</v>
      </c>
      <c r="CH77" s="375"/>
      <c r="CI77" s="7">
        <f t="shared" si="449"/>
        <v>0</v>
      </c>
      <c r="CJ77" s="375">
        <v>-4621.6400000000003</v>
      </c>
      <c r="CK77" s="7">
        <f t="shared" si="449"/>
        <v>-1.6410741225199245E-4</v>
      </c>
      <c r="CL77" s="375">
        <f t="shared" si="480"/>
        <v>-8174.64</v>
      </c>
      <c r="CM77" s="7">
        <f t="shared" si="449"/>
        <v>-1.1629315204010558E-4</v>
      </c>
      <c r="CN77" s="375">
        <f t="shared" si="288"/>
        <v>-23259.599999999999</v>
      </c>
      <c r="CO77" s="7">
        <f t="shared" si="241"/>
        <v>-1.4651544718729382E-4</v>
      </c>
      <c r="CP77" s="472">
        <v>-11116</v>
      </c>
      <c r="CQ77" s="7">
        <f t="shared" si="422"/>
        <v>-5.6742960566754687E-4</v>
      </c>
      <c r="CR77" s="375">
        <f t="shared" si="481"/>
        <v>-34375.599999999999</v>
      </c>
      <c r="CS77" s="7">
        <f t="shared" si="244"/>
        <v>-1.9275105312942516E-4</v>
      </c>
      <c r="CT77" s="375">
        <v>-8790.1200000000008</v>
      </c>
      <c r="CU77" s="7">
        <f t="shared" ref="CU77" si="494">+CT77/CT$8</f>
        <v>-5.6114510192827667E-4</v>
      </c>
      <c r="CV77" s="375">
        <v>-1527.7</v>
      </c>
      <c r="CW77" s="7">
        <f t="shared" si="452"/>
        <v>-2.4415478341653335E-5</v>
      </c>
      <c r="CX77" s="375">
        <f>+CV77+CT77+CP77</f>
        <v>-21433.82</v>
      </c>
      <c r="CY77" s="7">
        <f t="shared" si="424"/>
        <v>-2.191022049510009E-4</v>
      </c>
      <c r="CZ77" s="375">
        <f>+CD77+CL77+CX77</f>
        <v>-44693.42</v>
      </c>
      <c r="DA77" s="7">
        <f t="shared" si="453"/>
        <v>-1.7419070061429519E-4</v>
      </c>
      <c r="DB77" s="375">
        <v>-1000</v>
      </c>
      <c r="DC77" s="7">
        <f t="shared" si="250"/>
        <v>-5.2093349175066679E-5</v>
      </c>
      <c r="DD77" s="375">
        <v>-2500</v>
      </c>
      <c r="DE77" s="7">
        <f t="shared" si="250"/>
        <v>-9.627526336898341E-5</v>
      </c>
      <c r="DF77" s="72">
        <v>-845</v>
      </c>
      <c r="DG77" s="7">
        <f t="shared" si="250"/>
        <v>-2.7240316228685412E-5</v>
      </c>
      <c r="DH77" s="375">
        <f t="shared" si="482"/>
        <v>-4345</v>
      </c>
      <c r="DI77" s="7">
        <f t="shared" si="425"/>
        <v>-5.7033185000213805E-5</v>
      </c>
      <c r="DJ77" s="375">
        <v>-4500</v>
      </c>
      <c r="DK77" s="7">
        <f t="shared" si="254"/>
        <v>-8.5560945853455374E-5</v>
      </c>
      <c r="DL77" s="72">
        <v>-2726.57</v>
      </c>
      <c r="DM77" s="7">
        <f t="shared" si="255"/>
        <v>-3.1433887230091135E-4</v>
      </c>
      <c r="DN77" s="72">
        <v>-1536</v>
      </c>
      <c r="DO77" s="7">
        <f t="shared" si="256"/>
        <v>-8.950704515837996E-5</v>
      </c>
      <c r="DP77" s="72">
        <v>-24572</v>
      </c>
      <c r="DQ77" s="7">
        <f t="shared" si="257"/>
        <v>-2.9285325817835509E-4</v>
      </c>
      <c r="DR77" s="375">
        <f t="shared" si="483"/>
        <v>-28834.57</v>
      </c>
      <c r="DS77" s="7">
        <f t="shared" si="426"/>
        <v>-2.6275315761957837E-4</v>
      </c>
      <c r="DT77" s="375">
        <f t="shared" si="259"/>
        <v>-33179.57</v>
      </c>
      <c r="DU77" s="7">
        <f t="shared" si="454"/>
        <v>-1.7845783463640391E-4</v>
      </c>
      <c r="DV77" s="375">
        <v>-3741.77</v>
      </c>
      <c r="DW77" s="7">
        <f t="shared" si="260"/>
        <v>-8.2205442319500813E-5</v>
      </c>
      <c r="DX77" s="375">
        <v>-307</v>
      </c>
      <c r="DY77" s="7">
        <f t="shared" si="261"/>
        <v>-1.187507728760603E-5</v>
      </c>
      <c r="DZ77" s="375">
        <v>-755</v>
      </c>
      <c r="EA77" s="7">
        <f t="shared" si="262"/>
        <v>-6.1711548399339238E-6</v>
      </c>
      <c r="EB77" s="375">
        <f t="shared" si="484"/>
        <v>-4803.7700000000004</v>
      </c>
      <c r="EC77" s="7">
        <f t="shared" si="427"/>
        <v>-2.4798367403559929E-5</v>
      </c>
      <c r="ED77" s="375">
        <f>+EB77+DT77</f>
        <v>-37983.339999999997</v>
      </c>
      <c r="EE77" s="7">
        <f t="shared" si="455"/>
        <v>-1.000517287620663E-4</v>
      </c>
      <c r="EF77" s="375">
        <v>-1226</v>
      </c>
      <c r="EG77" s="7">
        <f t="shared" si="264"/>
        <v>-8.2968550753241687E-5</v>
      </c>
      <c r="EH77" s="375">
        <v>-752</v>
      </c>
      <c r="EI77" s="7">
        <f t="shared" si="265"/>
        <v>-5.8986605366363999E-5</v>
      </c>
      <c r="EJ77" s="375">
        <v>-2147.5</v>
      </c>
      <c r="EK77" s="7">
        <f t="shared" si="266"/>
        <v>-1.3751653698711976E-5</v>
      </c>
      <c r="EL77" s="375">
        <f t="shared" si="485"/>
        <v>-4125.5</v>
      </c>
      <c r="EM77" s="7">
        <f t="shared" si="428"/>
        <v>-2.2459232689216663E-5</v>
      </c>
      <c r="EN77" s="375">
        <f>+EL77+ED77</f>
        <v>-42108.84</v>
      </c>
      <c r="EO77" s="7">
        <f t="shared" si="456"/>
        <v>-7.4750473426379602E-5</v>
      </c>
      <c r="EP77" s="373"/>
      <c r="EQ77" s="373"/>
      <c r="ER77" s="373"/>
      <c r="ES77" s="373"/>
      <c r="ET77" s="375">
        <v>-7621</v>
      </c>
      <c r="EU77" s="7">
        <f t="shared" si="269"/>
        <v>-1.0332271353623928E-3</v>
      </c>
      <c r="EV77" s="375">
        <v>-102</v>
      </c>
      <c r="EW77" s="7">
        <f t="shared" si="270"/>
        <v>-1.6736621835256793E-5</v>
      </c>
      <c r="EX77" s="375">
        <v>-1309</v>
      </c>
      <c r="EY77" s="7">
        <f t="shared" si="271"/>
        <v>-5.734007932629476E-6</v>
      </c>
      <c r="EZ77" s="375">
        <f t="shared" si="486"/>
        <v>-9032</v>
      </c>
      <c r="FA77" s="7">
        <f t="shared" si="429"/>
        <v>-3.7359761532456831E-5</v>
      </c>
      <c r="FB77" s="375">
        <v>-1007.8</v>
      </c>
      <c r="FC77" s="7">
        <f t="shared" si="273"/>
        <v>-1.1121222188109514E-4</v>
      </c>
      <c r="FD77" s="375">
        <v>-1321</v>
      </c>
      <c r="FE77" s="7">
        <f t="shared" si="200"/>
        <v>-1.2550624282664129E-5</v>
      </c>
      <c r="FF77" s="375">
        <v>-500</v>
      </c>
      <c r="FG77" s="7">
        <f t="shared" si="430"/>
        <v>-3.1117395788920341E-6</v>
      </c>
      <c r="FH77" s="375">
        <f t="shared" si="487"/>
        <v>-2828.8</v>
      </c>
      <c r="FI77" s="7">
        <f t="shared" si="431"/>
        <v>-1.0286638637651307E-5</v>
      </c>
      <c r="FJ77" s="375">
        <f t="shared" si="488"/>
        <v>-11860.8</v>
      </c>
      <c r="FK77" s="7">
        <f t="shared" si="459"/>
        <v>-2.2952465602130279E-5</v>
      </c>
      <c r="FL77" s="375">
        <v>-2931</v>
      </c>
      <c r="FM77" s="7">
        <f t="shared" si="276"/>
        <v>-2.68055234852602E-4</v>
      </c>
      <c r="FN77" s="375">
        <v>-2300</v>
      </c>
      <c r="FO77" s="7">
        <f t="shared" si="432"/>
        <v>-4.81370441723035E-4</v>
      </c>
      <c r="FP77" s="375">
        <v>-960</v>
      </c>
      <c r="FQ77" s="7">
        <f t="shared" si="433"/>
        <v>-3.4701819327210875E-6</v>
      </c>
      <c r="FR77" s="375">
        <f t="shared" si="489"/>
        <v>-6191</v>
      </c>
      <c r="FS77" s="7">
        <f t="shared" si="434"/>
        <v>-2.117631725155366E-5</v>
      </c>
      <c r="FT77" s="375">
        <f t="shared" si="490"/>
        <v>-18051.8</v>
      </c>
      <c r="FU77" s="7">
        <f t="shared" si="462"/>
        <v>-2.2310691591598763E-5</v>
      </c>
      <c r="FV77" s="375">
        <v>-4000</v>
      </c>
      <c r="FW77" s="7">
        <f t="shared" si="279"/>
        <v>-1.441444560675527E-4</v>
      </c>
      <c r="FX77" s="375"/>
      <c r="FY77" s="7">
        <f t="shared" si="435"/>
        <v>0</v>
      </c>
      <c r="FZ77" s="375">
        <v>-3101</v>
      </c>
      <c r="GA77" s="7">
        <f t="shared" si="436"/>
        <v>-1.0726044229338764E-5</v>
      </c>
      <c r="GB77" s="375">
        <f t="shared" si="491"/>
        <v>-7101</v>
      </c>
      <c r="GC77" s="7">
        <f t="shared" si="437"/>
        <v>-2.0730991857498169E-5</v>
      </c>
      <c r="GD77" s="375">
        <f t="shared" si="492"/>
        <v>-25152.799999999999</v>
      </c>
      <c r="GE77" s="7">
        <f t="shared" si="465"/>
        <v>-2.1840843946088646E-5</v>
      </c>
      <c r="GF77" s="566">
        <f t="shared" si="282"/>
        <v>0</v>
      </c>
      <c r="GG77" s="525">
        <f t="shared" si="438"/>
        <v>0</v>
      </c>
      <c r="GH77" s="528">
        <f>+GQ77*$GO$2</f>
        <v>0</v>
      </c>
      <c r="GI77" s="525">
        <f t="shared" si="439"/>
        <v>0</v>
      </c>
      <c r="GJ77" s="528"/>
      <c r="GK77" s="525">
        <f t="shared" si="440"/>
        <v>0</v>
      </c>
      <c r="GL77" s="528">
        <f>+GD77+GF77+GH77-GJ77</f>
        <v>-25152.799999999999</v>
      </c>
      <c r="GM77" s="565">
        <f t="shared" si="468"/>
        <v>-2.1705235995589803E-5</v>
      </c>
      <c r="GO77" s="586"/>
      <c r="GQ77" s="586"/>
      <c r="GT77" s="551">
        <f t="shared" si="182"/>
        <v>-11174.667343329502</v>
      </c>
      <c r="GU77" s="551">
        <f t="shared" si="471"/>
        <v>-13092.532656670501</v>
      </c>
      <c r="GV77" s="550">
        <f t="shared" si="441"/>
        <v>-24267.200000000001</v>
      </c>
      <c r="GW77" s="527">
        <f>+EZ77*4</f>
        <v>-36128</v>
      </c>
      <c r="GX77" s="525">
        <f t="shared" si="285"/>
        <v>-3.0510550067066553E-5</v>
      </c>
      <c r="GY77" s="528">
        <f>+GW77</f>
        <v>-36128</v>
      </c>
      <c r="GZ77" s="525">
        <f t="shared" si="286"/>
        <v>-4.0133297190501643E-5</v>
      </c>
      <c r="HA77" s="528">
        <f>+GY77</f>
        <v>-36128</v>
      </c>
      <c r="HB77" s="526">
        <f t="shared" si="287"/>
        <v>-4.9630746365068888E-5</v>
      </c>
      <c r="HD77" s="527">
        <v>-36128</v>
      </c>
      <c r="HE77" s="525">
        <v>-3.0412416393508418E-5</v>
      </c>
      <c r="HF77" s="528">
        <v>-36128</v>
      </c>
      <c r="HG77" s="525">
        <v>-4.0133297190501643E-5</v>
      </c>
      <c r="HH77" s="528">
        <v>-36128</v>
      </c>
      <c r="HI77" s="526">
        <v>-4.9630746365068888E-5</v>
      </c>
    </row>
    <row r="78" spans="1:218">
      <c r="A78" s="386" t="s">
        <v>68</v>
      </c>
      <c r="B78" s="386"/>
      <c r="C78" s="389">
        <f>SUM(C75:C77)</f>
        <v>-40461.660000000003</v>
      </c>
      <c r="D78" s="4"/>
      <c r="E78" s="389">
        <f>SUM(E75:E77)</f>
        <v>-7083.7199999999993</v>
      </c>
      <c r="F78" s="4"/>
      <c r="G78" s="389">
        <f>SUM(G75:G77)</f>
        <v>0</v>
      </c>
      <c r="H78" s="389">
        <f>SUM(H75:H77)</f>
        <v>-845</v>
      </c>
      <c r="I78" s="4"/>
      <c r="J78" s="389">
        <f>SUM(J75:J77)</f>
        <v>0</v>
      </c>
      <c r="K78" s="389">
        <f>SUM(K75:K77)</f>
        <v>-60</v>
      </c>
      <c r="L78" s="4"/>
      <c r="M78" s="389">
        <f>SUM(M75:M77)</f>
        <v>0</v>
      </c>
      <c r="N78" s="389">
        <f>SUM(N75:N77)</f>
        <v>-8923.4</v>
      </c>
      <c r="O78" s="4"/>
      <c r="P78" s="389">
        <f t="shared" si="421"/>
        <v>0</v>
      </c>
      <c r="Q78" s="389">
        <f t="shared" si="421"/>
        <v>-9828.4</v>
      </c>
      <c r="R78" s="7">
        <f t="shared" si="442"/>
        <v>-2.7024799449757662E-4</v>
      </c>
      <c r="S78" s="389">
        <f>SUM(S75:S77)</f>
        <v>-1360.35</v>
      </c>
      <c r="T78" s="389">
        <f>SUM(T75:T77)</f>
        <v>-1360.35</v>
      </c>
      <c r="U78" s="4"/>
      <c r="V78" s="389">
        <f>SUM(V75:V77)</f>
        <v>-2465.54</v>
      </c>
      <c r="W78" s="389">
        <f>SUM(W75:W77)</f>
        <v>-2465.54</v>
      </c>
      <c r="X78" s="4"/>
      <c r="Y78" s="389">
        <f>SUM(Y75:Y77)</f>
        <v>-677.72</v>
      </c>
      <c r="Z78" s="389">
        <f>SUM(Z75:Z77)</f>
        <v>-677.72</v>
      </c>
      <c r="AA78" s="4"/>
      <c r="AB78" s="389">
        <f>SUM(AB75:AB77)</f>
        <v>-4503.6100000000006</v>
      </c>
      <c r="AC78" s="389">
        <f>SUM(AC75:AC77)</f>
        <v>-4503.6100000000006</v>
      </c>
      <c r="AD78" s="7">
        <f t="shared" si="443"/>
        <v>-1.2143255466729347E-4</v>
      </c>
      <c r="AE78" s="389">
        <f>SUM(AE75:AE77)</f>
        <v>-14332.010000000002</v>
      </c>
      <c r="AF78" s="389">
        <f>SUM(AF75:AF77)</f>
        <v>-14332.010000000002</v>
      </c>
      <c r="AG78" s="4"/>
      <c r="AH78" s="389">
        <f>SUM(AH75:AH77)</f>
        <v>-32.72</v>
      </c>
      <c r="AI78" s="389">
        <f>SUM(AI75:AI77)</f>
        <v>-32.72</v>
      </c>
      <c r="AJ78" s="4"/>
      <c r="AK78" s="389">
        <f>SUM(AK75:AK77)</f>
        <v>-3668.37</v>
      </c>
      <c r="AL78" s="389">
        <f>SUM(AL75:AL77)</f>
        <v>-3668.37</v>
      </c>
      <c r="AM78" s="4"/>
      <c r="AN78" s="389">
        <f>SUM(AN75:AN77)</f>
        <v>-90</v>
      </c>
      <c r="AO78" s="389">
        <f>SUM(AO75:AO77)</f>
        <v>-90</v>
      </c>
      <c r="AP78" s="4"/>
      <c r="AQ78" s="389">
        <f>SUM(AQ75:AQ77)</f>
        <v>-3791.0899999999997</v>
      </c>
      <c r="AR78" s="389">
        <f>SUM(AR75:AR77)</f>
        <v>-3791.0899999999997</v>
      </c>
      <c r="AS78" s="7">
        <f t="shared" si="444"/>
        <v>-1.4240096730233672E-4</v>
      </c>
      <c r="AT78" s="389">
        <f>SUM(AT75:AT77)</f>
        <v>-18123.100000000002</v>
      </c>
      <c r="AU78" s="4"/>
      <c r="AV78" s="389">
        <f>SUM(AV75:AV77)</f>
        <v>0</v>
      </c>
      <c r="AW78" s="389">
        <f>SUM(AW75:AW77)</f>
        <v>0</v>
      </c>
      <c r="AX78" s="4"/>
      <c r="AY78" s="389">
        <f>SUM(AY75:AY77)</f>
        <v>0</v>
      </c>
      <c r="AZ78" s="389">
        <f>SUM(AZ75:AZ77)</f>
        <v>-1478</v>
      </c>
      <c r="BA78" s="4"/>
      <c r="BB78" s="389">
        <f>SUM(BB75:BB77)</f>
        <v>0</v>
      </c>
      <c r="BC78" s="389">
        <f>SUM(BC75:BC77)</f>
        <v>0</v>
      </c>
      <c r="BD78" s="448"/>
      <c r="BE78" s="389">
        <f>SUM(BE75:BE77)</f>
        <v>0</v>
      </c>
      <c r="BF78" s="389">
        <f>SUM(BF75:BF77)</f>
        <v>-1478</v>
      </c>
      <c r="BG78" s="7">
        <f t="shared" si="445"/>
        <v>-4.7070562207498792E-5</v>
      </c>
      <c r="BH78" s="389">
        <f>SUM(BH75:BH77)</f>
        <v>-18123.100000000002</v>
      </c>
      <c r="BI78" s="389">
        <f>SUM(BI75:BI77)</f>
        <v>-19601.100000000002</v>
      </c>
      <c r="BJ78" s="7">
        <f t="shared" si="446"/>
        <v>-1.490830498329437E-4</v>
      </c>
      <c r="BK78" s="389">
        <v>-22550</v>
      </c>
      <c r="BL78" s="282"/>
      <c r="BM78" s="378">
        <v>-22550</v>
      </c>
      <c r="BN78" s="389">
        <f>SUM(BN75:BN77)</f>
        <v>0</v>
      </c>
      <c r="BO78" s="4"/>
      <c r="BP78" s="389">
        <f>SUM(BP75:BP77)</f>
        <v>-50</v>
      </c>
      <c r="BQ78" s="4"/>
      <c r="BR78" s="389">
        <f>SUM(BR75:BR77)</f>
        <v>0</v>
      </c>
      <c r="BS78" s="4"/>
      <c r="BT78" s="389">
        <f>SUM(BT75:BT77)</f>
        <v>-50</v>
      </c>
      <c r="BU78" s="7">
        <f t="shared" si="447"/>
        <v>-9.2224545795675175E-7</v>
      </c>
      <c r="BV78" s="389">
        <f>SUM(BV75:BV77)</f>
        <v>-6199.4</v>
      </c>
      <c r="BW78" s="7"/>
      <c r="BX78" s="389">
        <f>SUM(BX75:BX77)</f>
        <v>0</v>
      </c>
      <c r="BY78" s="7"/>
      <c r="BZ78" s="389">
        <f>SUM(BZ75:BZ77)</f>
        <v>-10857.81</v>
      </c>
      <c r="CA78" s="7"/>
      <c r="CB78" s="389">
        <f>SUM(CB75:CB77)</f>
        <v>-17057.21</v>
      </c>
      <c r="CC78" s="7">
        <f t="shared" si="158"/>
        <v>-4.9812298388595268E-4</v>
      </c>
      <c r="CD78" s="389">
        <f>SUM(CD75:CD77)</f>
        <v>-17107.21</v>
      </c>
      <c r="CE78" s="7">
        <f t="shared" si="448"/>
        <v>-1.9339255884286952E-4</v>
      </c>
      <c r="CF78" s="389">
        <f>SUM(CF75:CF77)</f>
        <v>-3653</v>
      </c>
      <c r="CG78" s="7">
        <f t="shared" si="449"/>
        <v>-7.2323825901484404E-4</v>
      </c>
      <c r="CH78" s="389">
        <f>SUM(CH75:CH77)</f>
        <v>0</v>
      </c>
      <c r="CI78" s="7">
        <f t="shared" si="449"/>
        <v>0</v>
      </c>
      <c r="CJ78" s="389">
        <f>SUM(CJ75:CJ77)</f>
        <v>-4621.6400000000003</v>
      </c>
      <c r="CK78" s="7">
        <f t="shared" si="449"/>
        <v>-1.6410741225199245E-4</v>
      </c>
      <c r="CL78" s="389">
        <f>SUM(CL75:CL77)</f>
        <v>-8274.64</v>
      </c>
      <c r="CM78" s="7">
        <f t="shared" si="449"/>
        <v>-1.1771576088942622E-4</v>
      </c>
      <c r="CN78" s="389">
        <f>SUM(CN75:CN77)</f>
        <v>-25381.85</v>
      </c>
      <c r="CO78" s="7">
        <f t="shared" si="241"/>
        <v>-1.5988379435548391E-4</v>
      </c>
      <c r="CP78" s="389">
        <f>SUM(CP75:CP77)</f>
        <v>-11316</v>
      </c>
      <c r="CQ78" s="7">
        <f t="shared" si="422"/>
        <v>-5.7763884650359487E-4</v>
      </c>
      <c r="CR78" s="389">
        <f>SUM(CR75:CR77)</f>
        <v>-36697.85</v>
      </c>
      <c r="CS78" s="7">
        <f t="shared" si="244"/>
        <v>-2.0577238608448072E-4</v>
      </c>
      <c r="CT78" s="389">
        <f t="shared" ref="CT78" si="495">SUM(CT75:CT77)</f>
        <v>-8790.1200000000008</v>
      </c>
      <c r="CU78" s="7">
        <f t="shared" si="199"/>
        <v>-5.6114510192827667E-4</v>
      </c>
      <c r="CV78" s="389">
        <f t="shared" ref="CV78" si="496">SUM(CV75:CV77)</f>
        <v>-1527.7</v>
      </c>
      <c r="CW78" s="7">
        <f t="shared" si="452"/>
        <v>-2.4415478341653335E-5</v>
      </c>
      <c r="CX78" s="389">
        <f>SUM(CX75:CX77)</f>
        <v>-21633.82</v>
      </c>
      <c r="CY78" s="7">
        <f t="shared" si="424"/>
        <v>-2.2114665810915005E-4</v>
      </c>
      <c r="CZ78" s="389">
        <f>SUM(CZ75:CZ77)</f>
        <v>-47015.67</v>
      </c>
      <c r="DA78" s="7">
        <f t="shared" si="453"/>
        <v>-1.832415710668483E-4</v>
      </c>
      <c r="DB78" s="389">
        <f>SUM(DB75:DB77)</f>
        <v>-1200</v>
      </c>
      <c r="DC78" s="7">
        <f t="shared" si="250"/>
        <v>-6.2512019010080023E-5</v>
      </c>
      <c r="DD78" s="389">
        <f>SUM(DD75:DD77)</f>
        <v>-2500</v>
      </c>
      <c r="DE78" s="7">
        <f t="shared" si="250"/>
        <v>-9.627526336898341E-5</v>
      </c>
      <c r="DF78" s="389">
        <f>SUM(DF75:DF77)</f>
        <v>-845</v>
      </c>
      <c r="DG78" s="7">
        <f t="shared" si="250"/>
        <v>-2.7240316228685412E-5</v>
      </c>
      <c r="DH78" s="389">
        <f>SUM(DH75:DH77)</f>
        <v>-4545</v>
      </c>
      <c r="DI78" s="7">
        <f t="shared" si="425"/>
        <v>-5.9658417911616049E-5</v>
      </c>
      <c r="DJ78" s="389">
        <f>SUM(DJ75:DJ77)</f>
        <v>-5000</v>
      </c>
      <c r="DK78" s="7">
        <f t="shared" si="254"/>
        <v>-9.5067717614950417E-5</v>
      </c>
      <c r="DL78" s="389">
        <f>SUM(DL75:DL77)</f>
        <v>-2926.57</v>
      </c>
      <c r="DM78" s="7">
        <f t="shared" si="255"/>
        <v>-3.3739633074143636E-4</v>
      </c>
      <c r="DN78" s="389">
        <f>SUM(DN75:DN77)</f>
        <v>-1736</v>
      </c>
      <c r="DO78" s="7">
        <f t="shared" si="256"/>
        <v>-1.0116160833004402E-4</v>
      </c>
      <c r="DP78" s="389">
        <f>SUM(DP75:DP77)</f>
        <v>-24887</v>
      </c>
      <c r="DQ78" s="7">
        <f t="shared" si="257"/>
        <v>-2.9660748153527281E-4</v>
      </c>
      <c r="DR78" s="389">
        <f>SUM(DR75:DR77)</f>
        <v>-29549.57</v>
      </c>
      <c r="DS78" s="7">
        <f t="shared" si="426"/>
        <v>-2.6926854896052778E-4</v>
      </c>
      <c r="DT78" s="389">
        <f>SUM(DT75:DT77)</f>
        <v>-34094.57</v>
      </c>
      <c r="DU78" s="7">
        <f t="shared" si="454"/>
        <v>-1.8337920398182672E-4</v>
      </c>
      <c r="DV78" s="389">
        <f>SUM(DV75:DV77)</f>
        <v>-4141.7700000000004</v>
      </c>
      <c r="DW78" s="7">
        <f t="shared" si="260"/>
        <v>-9.0993309272253221E-5</v>
      </c>
      <c r="DX78" s="389">
        <f>SUM(DX75:DX77)</f>
        <v>-507</v>
      </c>
      <c r="DY78" s="7">
        <f t="shared" si="261"/>
        <v>-1.9611283989629504E-5</v>
      </c>
      <c r="DZ78" s="389">
        <f>SUM(DZ75:DZ77)</f>
        <v>-1065</v>
      </c>
      <c r="EA78" s="7">
        <f t="shared" si="262"/>
        <v>-8.7050064960657335E-6</v>
      </c>
      <c r="EB78" s="389">
        <f>SUM(EB75:EB77)</f>
        <v>-5713.77</v>
      </c>
      <c r="EC78" s="7">
        <f t="shared" si="427"/>
        <v>-2.9496034930781158E-5</v>
      </c>
      <c r="ED78" s="389">
        <f>SUM(ED75:ED77)</f>
        <v>-39808.339999999997</v>
      </c>
      <c r="EE78" s="7">
        <f t="shared" si="455"/>
        <v>-1.0485895227086702E-4</v>
      </c>
      <c r="EF78" s="389">
        <f>SUM(EF75:EF77)</f>
        <v>-1836</v>
      </c>
      <c r="EG78" s="7">
        <f t="shared" si="264"/>
        <v>-1.2424980357500143E-4</v>
      </c>
      <c r="EH78" s="389">
        <f>SUM(EH75:EH77)</f>
        <v>-912</v>
      </c>
      <c r="EI78" s="7">
        <f t="shared" si="265"/>
        <v>-7.1536946933675489E-5</v>
      </c>
      <c r="EJ78" s="389">
        <f>SUM(EJ75:EJ77)</f>
        <v>-2667.5</v>
      </c>
      <c r="EK78" s="7">
        <f t="shared" si="266"/>
        <v>-1.7081506980821512E-5</v>
      </c>
      <c r="EL78" s="389">
        <f>SUM(EL75:EL77)</f>
        <v>-5415.5</v>
      </c>
      <c r="EM78" s="7">
        <f t="shared" si="428"/>
        <v>-2.9481996031621098E-5</v>
      </c>
      <c r="EN78" s="389">
        <f>SUM(EN75:EN77)</f>
        <v>-45223.839999999997</v>
      </c>
      <c r="EO78" s="7">
        <f t="shared" si="456"/>
        <v>-8.028013714362218E-5</v>
      </c>
      <c r="EP78" s="373"/>
      <c r="EQ78" s="373"/>
      <c r="ER78" s="373"/>
      <c r="ES78" s="373"/>
      <c r="ET78" s="389">
        <f>SUM(ET75:ET77)</f>
        <v>-8441</v>
      </c>
      <c r="EU78" s="7">
        <f t="shared" si="269"/>
        <v>-1.1443997178315127E-3</v>
      </c>
      <c r="EV78" s="389">
        <f>SUM(EV75:EV77)</f>
        <v>-402</v>
      </c>
      <c r="EW78" s="7">
        <f t="shared" si="270"/>
        <v>-6.5961980174247364E-5</v>
      </c>
      <c r="EX78" s="389">
        <f>SUM(EX75:EX77)</f>
        <v>-2024</v>
      </c>
      <c r="EY78" s="7">
        <f t="shared" si="271"/>
        <v>-8.8660290723010388E-6</v>
      </c>
      <c r="EZ78" s="389">
        <f>SUM(EZ75:EZ77)</f>
        <v>-10867</v>
      </c>
      <c r="FA78" s="7">
        <f t="shared" si="429"/>
        <v>-4.4950014235297648E-5</v>
      </c>
      <c r="FB78" s="389">
        <f>SUM(FB75:FB77)</f>
        <v>-1707.8</v>
      </c>
      <c r="FC78" s="7">
        <f t="shared" si="273"/>
        <v>-1.8845825811523545E-4</v>
      </c>
      <c r="FD78" s="389">
        <f t="shared" ref="FD78" si="497">SUM(FD75:FD77)</f>
        <v>-1921</v>
      </c>
      <c r="FE78" s="7">
        <f t="shared" si="200"/>
        <v>-1.8251134933382127E-5</v>
      </c>
      <c r="FF78" s="389">
        <f t="shared" ref="FF78" si="498">SUM(FF75:FF77)</f>
        <v>-975</v>
      </c>
      <c r="FG78" s="7">
        <f t="shared" si="430"/>
        <v>-6.0678921788394666E-6</v>
      </c>
      <c r="FH78" s="389">
        <f>SUM(FH75:FH77)</f>
        <v>-4603.8</v>
      </c>
      <c r="FI78" s="7">
        <f t="shared" si="431"/>
        <v>-1.6741242562223943E-5</v>
      </c>
      <c r="FJ78" s="389">
        <f>SUM(FJ75:FJ77)</f>
        <v>-15470.8</v>
      </c>
      <c r="FK78" s="7">
        <f t="shared" si="459"/>
        <v>-2.9938368814703655E-5</v>
      </c>
      <c r="FL78" s="389">
        <f>SUM(FL75:FL77)</f>
        <v>-3081</v>
      </c>
      <c r="FM78" s="7">
        <f t="shared" si="276"/>
        <v>-2.8177351708661439E-4</v>
      </c>
      <c r="FN78" s="389">
        <f t="shared" ref="FN78" si="499">SUM(FN75:FN77)</f>
        <v>-2950</v>
      </c>
      <c r="FO78" s="7">
        <f t="shared" si="432"/>
        <v>-6.1740991438389268E-4</v>
      </c>
      <c r="FP78" s="389">
        <f t="shared" ref="FP78" si="500">SUM(FP75:FP77)</f>
        <v>-1435</v>
      </c>
      <c r="FQ78" s="7">
        <f t="shared" si="433"/>
        <v>-5.187199034848709E-6</v>
      </c>
      <c r="FR78" s="389">
        <f>SUM(FR75:FR77)</f>
        <v>-7466</v>
      </c>
      <c r="FS78" s="7">
        <f t="shared" si="434"/>
        <v>-2.5537455112275821E-5</v>
      </c>
      <c r="FT78" s="389">
        <f>SUM(FT75:FT77)</f>
        <v>-22936.799999999999</v>
      </c>
      <c r="FU78" s="7">
        <f t="shared" si="462"/>
        <v>-2.8348190811895906E-5</v>
      </c>
      <c r="FV78" s="389">
        <f>SUM(FV75:FV77)</f>
        <v>-5140</v>
      </c>
      <c r="FW78" s="7">
        <f t="shared" si="279"/>
        <v>-1.8522562604680521E-4</v>
      </c>
      <c r="FX78" s="389">
        <f t="shared" ref="FX78" si="501">SUM(FX75:FX77)</f>
        <v>-380</v>
      </c>
      <c r="FY78" s="7">
        <f t="shared" si="435"/>
        <v>-1.4802508724659995E-5</v>
      </c>
      <c r="FZ78" s="389">
        <f t="shared" ref="FZ78" si="502">SUM(FZ75:FZ77)</f>
        <v>-3551</v>
      </c>
      <c r="GA78" s="7">
        <f t="shared" si="436"/>
        <v>-1.2282548551558192E-5</v>
      </c>
      <c r="GB78" s="389">
        <f>SUM(GB75:GB77)</f>
        <v>-9071</v>
      </c>
      <c r="GC78" s="7">
        <f t="shared" si="437"/>
        <v>-2.6482302089757199E-5</v>
      </c>
      <c r="GD78" s="389">
        <f>SUM(GD75:GD77)</f>
        <v>-32007.8</v>
      </c>
      <c r="GE78" s="7">
        <f t="shared" si="465"/>
        <v>-2.7793222418880449E-5</v>
      </c>
      <c r="GF78" s="567">
        <f t="shared" ref="GF78:GH78" si="503">SUM(GF75:GF77)</f>
        <v>0</v>
      </c>
      <c r="GG78" s="525">
        <f t="shared" si="438"/>
        <v>0</v>
      </c>
      <c r="GH78" s="530">
        <f t="shared" si="503"/>
        <v>0</v>
      </c>
      <c r="GI78" s="525">
        <f t="shared" si="439"/>
        <v>0</v>
      </c>
      <c r="GJ78" s="530">
        <f t="shared" ref="GJ78" si="504">SUM(GJ75:GJ77)</f>
        <v>0</v>
      </c>
      <c r="GK78" s="525">
        <f t="shared" si="440"/>
        <v>0</v>
      </c>
      <c r="GL78" s="530">
        <f>SUM(GL75:GL77)</f>
        <v>-32007.8</v>
      </c>
      <c r="GM78" s="565">
        <f t="shared" si="468"/>
        <v>-2.7620656654513184E-5</v>
      </c>
      <c r="GO78" s="587">
        <f t="shared" ref="GO78" si="505">SUM(GO75:GO77)</f>
        <v>0</v>
      </c>
      <c r="GQ78" s="587">
        <f t="shared" ref="GQ78" si="506">SUM(GQ75:GQ77)</f>
        <v>0</v>
      </c>
      <c r="GT78" s="551">
        <f t="shared" si="182"/>
        <v>-12892.274203231716</v>
      </c>
      <c r="GU78" s="551">
        <f t="shared" si="471"/>
        <v>-15104.925796768286</v>
      </c>
      <c r="GV78" s="550">
        <f t="shared" si="441"/>
        <v>-27997.200000000001</v>
      </c>
      <c r="GW78" s="529">
        <f>SUM(GW75:GW77)</f>
        <v>-43468</v>
      </c>
      <c r="GX78" s="525">
        <f t="shared" si="285"/>
        <v>-3.6709272318291876E-5</v>
      </c>
      <c r="GY78" s="530">
        <f>SUM(GY75:GY77)</f>
        <v>-43468</v>
      </c>
      <c r="GZ78" s="525">
        <f t="shared" si="286"/>
        <v>-4.8287039478430176E-5</v>
      </c>
      <c r="HA78" s="530">
        <f>SUM(HA75:HA77)</f>
        <v>-43468</v>
      </c>
      <c r="HB78" s="526">
        <f t="shared" si="287"/>
        <v>-5.971405234158587E-5</v>
      </c>
      <c r="HD78" s="529">
        <v>-43468</v>
      </c>
      <c r="HE78" s="525">
        <v>-3.6591201167875993E-5</v>
      </c>
      <c r="HF78" s="530">
        <v>-43468</v>
      </c>
      <c r="HG78" s="525">
        <v>-4.8287039478430176E-5</v>
      </c>
      <c r="HH78" s="530">
        <v>-43468</v>
      </c>
      <c r="HI78" s="526">
        <v>-5.971405234158587E-5</v>
      </c>
      <c r="HJ78" s="373" t="s">
        <v>727</v>
      </c>
    </row>
    <row r="79" spans="1:218" ht="15" customHeight="1" outlineLevel="1">
      <c r="A79" s="386" t="s">
        <v>72</v>
      </c>
      <c r="B79" s="386" t="s">
        <v>73</v>
      </c>
      <c r="C79" s="375">
        <v>-49442.75</v>
      </c>
      <c r="D79" s="4"/>
      <c r="E79" s="375">
        <v>-10133.5</v>
      </c>
      <c r="F79" s="4"/>
      <c r="G79" s="375"/>
      <c r="H79" s="375"/>
      <c r="I79" s="4"/>
      <c r="J79" s="375"/>
      <c r="K79" s="375"/>
      <c r="L79" s="4"/>
      <c r="M79" s="375"/>
      <c r="N79" s="375">
        <v>-14301.67</v>
      </c>
      <c r="O79" s="4"/>
      <c r="P79" s="375">
        <f t="shared" si="421"/>
        <v>0</v>
      </c>
      <c r="Q79" s="375">
        <f t="shared" si="421"/>
        <v>-14301.67</v>
      </c>
      <c r="R79" s="7">
        <f t="shared" si="442"/>
        <v>-3.9324789746715197E-4</v>
      </c>
      <c r="S79" s="375">
        <v>-21529</v>
      </c>
      <c r="T79" s="375">
        <v>-21529</v>
      </c>
      <c r="U79" s="4"/>
      <c r="V79" s="375">
        <v>-21899.56</v>
      </c>
      <c r="W79" s="375">
        <v>-21899.56</v>
      </c>
      <c r="X79" s="4"/>
      <c r="Y79" s="375"/>
      <c r="Z79" s="375"/>
      <c r="AA79" s="4"/>
      <c r="AB79" s="375">
        <f t="shared" si="224"/>
        <v>-43428.56</v>
      </c>
      <c r="AC79" s="375">
        <f t="shared" si="371"/>
        <v>-43428.56</v>
      </c>
      <c r="AD79" s="7">
        <f t="shared" si="443"/>
        <v>-1.1709808323371324E-3</v>
      </c>
      <c r="AE79" s="375">
        <f t="shared" ref="AE79:AE83" si="507">+Q79+AB79</f>
        <v>-57730.229999999996</v>
      </c>
      <c r="AF79" s="375">
        <f t="shared" ref="AF79:AF83" si="508">+AC79+Q79</f>
        <v>-57730.229999999996</v>
      </c>
      <c r="AG79" s="4"/>
      <c r="AH79" s="375">
        <v>-6669</v>
      </c>
      <c r="AI79" s="375">
        <v>-6669</v>
      </c>
      <c r="AJ79" s="4"/>
      <c r="AK79" s="375">
        <v>-23813.57</v>
      </c>
      <c r="AL79" s="375">
        <v>-23813.57</v>
      </c>
      <c r="AM79" s="4"/>
      <c r="AN79" s="375"/>
      <c r="AO79" s="375"/>
      <c r="AP79" s="4"/>
      <c r="AQ79" s="375">
        <f t="shared" ref="AQ79:AQ83" si="509">AN79+AK79+AH79</f>
        <v>-30482.57</v>
      </c>
      <c r="AR79" s="375">
        <f t="shared" ref="AR79:AR83" si="510">AO79+AL79+AI79</f>
        <v>-30482.57</v>
      </c>
      <c r="AS79" s="7">
        <f t="shared" si="444"/>
        <v>-1.1449866539336156E-3</v>
      </c>
      <c r="AT79" s="375">
        <f t="shared" ref="AT79:AT83" si="511">+AF79+AR79</f>
        <v>-88212.799999999988</v>
      </c>
      <c r="AU79" s="4"/>
      <c r="AV79" s="375"/>
      <c r="AW79" s="375">
        <v>-8718</v>
      </c>
      <c r="AX79" s="4"/>
      <c r="AY79" s="375"/>
      <c r="AZ79" s="375">
        <v>-25530</v>
      </c>
      <c r="BA79" s="4"/>
      <c r="BB79" s="375"/>
      <c r="BC79" s="375">
        <v>-1485</v>
      </c>
      <c r="BD79" s="448"/>
      <c r="BE79" s="375">
        <f t="shared" ref="BE79:BE83" si="512">BB79+AY79+AV79</f>
        <v>0</v>
      </c>
      <c r="BF79" s="375">
        <f t="shared" ref="BF79:BF83" si="513">BC79+AZ79+AW79</f>
        <v>-35733</v>
      </c>
      <c r="BG79" s="7">
        <f t="shared" si="445"/>
        <v>-1.1380056829232439E-3</v>
      </c>
      <c r="BH79" s="375">
        <f t="shared" ref="BH79:BH83" si="514">Q79+AB79+AQ79+BE79</f>
        <v>-88212.799999999988</v>
      </c>
      <c r="BI79" s="388">
        <f t="shared" ref="BI79:BI83" si="515">Q79+AC79+AR79+BF79</f>
        <v>-123945.79999999999</v>
      </c>
      <c r="BJ79" s="7">
        <f t="shared" si="446"/>
        <v>-9.4271331088480084E-4</v>
      </c>
      <c r="BK79" s="375"/>
      <c r="BL79" s="282"/>
      <c r="BM79" s="378"/>
      <c r="BN79" s="375">
        <v>-9650</v>
      </c>
      <c r="BO79" s="4"/>
      <c r="BP79" s="375">
        <v>0</v>
      </c>
      <c r="BQ79" s="4"/>
      <c r="BR79" s="375">
        <v>-550</v>
      </c>
      <c r="BS79" s="4"/>
      <c r="BT79" s="375">
        <f t="shared" ref="BT79:BT83" si="516">SUM(BN79:BS79)</f>
        <v>-10200</v>
      </c>
      <c r="BU79" s="7">
        <f t="shared" si="447"/>
        <v>-1.8813807342317736E-4</v>
      </c>
      <c r="BV79" s="375">
        <v>-5435.35</v>
      </c>
      <c r="BW79" s="7"/>
      <c r="BX79" s="375"/>
      <c r="BY79" s="7"/>
      <c r="BZ79" s="375">
        <v>-27263.599999999999</v>
      </c>
      <c r="CA79" s="7"/>
      <c r="CB79" s="375">
        <f>+BV79+BX79+BZ79</f>
        <v>-32698.949999999997</v>
      </c>
      <c r="CC79" s="7">
        <f t="shared" si="158"/>
        <v>-9.5490989112155913E-4</v>
      </c>
      <c r="CD79" s="375">
        <f t="shared" si="238"/>
        <v>-42898.95</v>
      </c>
      <c r="CE79" s="7">
        <f t="shared" si="448"/>
        <v>-4.8496147017382241E-4</v>
      </c>
      <c r="CF79" s="375">
        <v>-5086.6000000000004</v>
      </c>
      <c r="CG79" s="7">
        <f t="shared" si="449"/>
        <v>-1.0070691837681101E-3</v>
      </c>
      <c r="CH79" s="375"/>
      <c r="CI79" s="7">
        <f t="shared" si="449"/>
        <v>0</v>
      </c>
      <c r="CJ79" s="375">
        <v>-1410.85</v>
      </c>
      <c r="CK79" s="7">
        <f t="shared" si="449"/>
        <v>-5.0097139235363099E-5</v>
      </c>
      <c r="CL79" s="375">
        <f t="shared" ref="CL79:CL83" si="517">+CF79+CH79+CJ79</f>
        <v>-6497.4500000000007</v>
      </c>
      <c r="CM79" s="7">
        <f t="shared" si="449"/>
        <v>-9.243329868018459E-5</v>
      </c>
      <c r="CN79" s="375">
        <f t="shared" si="288"/>
        <v>-49396.399999999994</v>
      </c>
      <c r="CO79" s="7">
        <f t="shared" si="241"/>
        <v>-3.1115477632643896E-4</v>
      </c>
      <c r="CP79" s="375">
        <v>0</v>
      </c>
      <c r="CQ79" s="7">
        <f t="shared" si="422"/>
        <v>0</v>
      </c>
      <c r="CR79" s="375">
        <f t="shared" ref="CR79:CR83" si="518">+CN79+CP79</f>
        <v>-49396.399999999994</v>
      </c>
      <c r="CS79" s="7">
        <f t="shared" si="244"/>
        <v>-2.7697576539179931E-4</v>
      </c>
      <c r="CT79" s="375">
        <v>-1539</v>
      </c>
      <c r="CU79" s="7">
        <f t="shared" ref="CU79:CU81" si="519">+CT79/CT$8</f>
        <v>-9.8246930857328197E-5</v>
      </c>
      <c r="CV79" s="375">
        <v>-4700</v>
      </c>
      <c r="CW79" s="7">
        <f t="shared" si="452"/>
        <v>-7.5114713756477505E-5</v>
      </c>
      <c r="CX79" s="375">
        <f>+CV79+CT79+CP79</f>
        <v>-6239</v>
      </c>
      <c r="CY79" s="7">
        <f t="shared" si="424"/>
        <v>-6.3776716268462396E-5</v>
      </c>
      <c r="CZ79" s="375">
        <f>+CD79+CL79+CX79</f>
        <v>-55635.399999999994</v>
      </c>
      <c r="DA79" s="7">
        <f t="shared" si="453"/>
        <v>-2.1683660156140562E-4</v>
      </c>
      <c r="DB79" s="375"/>
      <c r="DC79" s="7">
        <f t="shared" si="250"/>
        <v>0</v>
      </c>
      <c r="DD79" s="375"/>
      <c r="DE79" s="7">
        <f t="shared" si="250"/>
        <v>0</v>
      </c>
      <c r="DF79" s="375"/>
      <c r="DG79" s="7">
        <f t="shared" si="250"/>
        <v>0</v>
      </c>
      <c r="DH79" s="375">
        <f t="shared" ref="DH79:DH83" si="520">+DB79+DD79+DF79</f>
        <v>0</v>
      </c>
      <c r="DI79" s="7">
        <f t="shared" si="425"/>
        <v>0</v>
      </c>
      <c r="DJ79" s="375"/>
      <c r="DK79" s="7">
        <f t="shared" si="254"/>
        <v>0</v>
      </c>
      <c r="DL79" s="375">
        <v>-13429.5</v>
      </c>
      <c r="DM79" s="7">
        <f t="shared" si="255"/>
        <v>-1.5482506906351529E-3</v>
      </c>
      <c r="DN79" s="375">
        <v>-1644</v>
      </c>
      <c r="DO79" s="7">
        <f t="shared" si="256"/>
        <v>-9.5800509271078553E-5</v>
      </c>
      <c r="DP79" s="375">
        <v>-524.4</v>
      </c>
      <c r="DQ79" s="7">
        <f t="shared" si="257"/>
        <v>-6.2498880265639516E-6</v>
      </c>
      <c r="DR79" s="375">
        <f t="shared" ref="DR79:DR83" si="521">+DL79+DN79+DP79</f>
        <v>-15597.9</v>
      </c>
      <c r="DS79" s="7">
        <f t="shared" si="426"/>
        <v>-1.4213485677901289E-4</v>
      </c>
      <c r="DT79" s="375">
        <f t="shared" si="259"/>
        <v>-15597.9</v>
      </c>
      <c r="DU79" s="7">
        <f t="shared" si="454"/>
        <v>-8.3894018484120342E-5</v>
      </c>
      <c r="DV79" s="375">
        <v>-15000</v>
      </c>
      <c r="DW79" s="7">
        <f t="shared" si="260"/>
        <v>-3.295450107282148E-4</v>
      </c>
      <c r="DX79" s="375">
        <v>-1043.5</v>
      </c>
      <c r="DY79" s="7">
        <f t="shared" si="261"/>
        <v>-4.0363658467807467E-5</v>
      </c>
      <c r="DZ79" s="375">
        <v>-200</v>
      </c>
      <c r="EA79" s="7">
        <f t="shared" si="262"/>
        <v>-1.6347430039560063E-6</v>
      </c>
      <c r="EB79" s="375">
        <f t="shared" ref="EB79:EB83" si="522">+DV79+DX79+DZ79</f>
        <v>-16243.5</v>
      </c>
      <c r="EC79" s="7">
        <f t="shared" si="427"/>
        <v>-8.3853365360898977E-5</v>
      </c>
      <c r="ED79" s="375">
        <f>+EB79+DT79</f>
        <v>-31841.4</v>
      </c>
      <c r="EE79" s="7">
        <f t="shared" si="455"/>
        <v>-8.3873274867467113E-5</v>
      </c>
      <c r="EF79" s="375">
        <v>-1700</v>
      </c>
      <c r="EG79" s="7">
        <f t="shared" si="264"/>
        <v>-1.1504611442129761E-4</v>
      </c>
      <c r="EH79" s="375">
        <v>-3332</v>
      </c>
      <c r="EI79" s="7">
        <f t="shared" si="265"/>
        <v>-2.6136086313926176E-4</v>
      </c>
      <c r="EJ79" s="375"/>
      <c r="EK79" s="7">
        <f t="shared" si="266"/>
        <v>0</v>
      </c>
      <c r="EL79" s="375">
        <f t="shared" ref="EL79:EL83" si="523">+EF79+EH79+EJ79</f>
        <v>-5032</v>
      </c>
      <c r="EM79" s="7">
        <f t="shared" si="428"/>
        <v>-2.7394221037968306E-5</v>
      </c>
      <c r="EN79" s="375">
        <f>+EL79+ED79</f>
        <v>-36873.4</v>
      </c>
      <c r="EO79" s="7">
        <f t="shared" si="456"/>
        <v>-6.5456661994019936E-5</v>
      </c>
      <c r="EP79" s="373"/>
      <c r="EQ79" s="373"/>
      <c r="ER79" s="373"/>
      <c r="ES79" s="373"/>
      <c r="ET79" s="375">
        <v>14797.6</v>
      </c>
      <c r="EU79" s="7">
        <f t="shared" si="269"/>
        <v>2.0062041540793263E-3</v>
      </c>
      <c r="EV79" s="375"/>
      <c r="EW79" s="7">
        <f t="shared" si="270"/>
        <v>0</v>
      </c>
      <c r="EX79" s="375">
        <v>-3327.93</v>
      </c>
      <c r="EY79" s="7">
        <f t="shared" si="271"/>
        <v>-1.4577828127758297E-5</v>
      </c>
      <c r="EZ79" s="375">
        <f t="shared" ref="EZ79:EZ83" si="524">+ET79+EV79+EX79</f>
        <v>11469.67</v>
      </c>
      <c r="FA79" s="7">
        <f t="shared" si="429"/>
        <v>4.7442884860050281E-5</v>
      </c>
      <c r="FB79" s="375">
        <v>-8949</v>
      </c>
      <c r="FC79" s="7">
        <f t="shared" si="273"/>
        <v>-9.8753539751331642E-4</v>
      </c>
      <c r="FD79" s="375"/>
      <c r="FE79" s="7">
        <f t="shared" si="200"/>
        <v>0</v>
      </c>
      <c r="FF79" s="375">
        <v>-19668.12</v>
      </c>
      <c r="FG79" s="7">
        <f t="shared" si="430"/>
        <v>-1.2240413489279599E-4</v>
      </c>
      <c r="FH79" s="375">
        <f t="shared" ref="FH79:FH83" si="525">+FB79+FD79+FF79</f>
        <v>-28617.119999999999</v>
      </c>
      <c r="FI79" s="7">
        <f t="shared" si="431"/>
        <v>-1.0406319721800904E-4</v>
      </c>
      <c r="FJ79" s="375">
        <f t="shared" ref="FJ79:FJ83" si="526">EZ79+FH79</f>
        <v>-17147.449999999997</v>
      </c>
      <c r="FK79" s="7">
        <f t="shared" si="459"/>
        <v>-3.3182943502061312E-5</v>
      </c>
      <c r="FL79" s="375">
        <v>-170</v>
      </c>
      <c r="FM79" s="7">
        <f t="shared" si="276"/>
        <v>-1.5547386531880703E-5</v>
      </c>
      <c r="FN79" s="375">
        <v>-3021</v>
      </c>
      <c r="FO79" s="7">
        <f t="shared" si="432"/>
        <v>-6.3226961062838637E-4</v>
      </c>
      <c r="FP79" s="375">
        <v>-11223.3</v>
      </c>
      <c r="FQ79" s="7">
        <f t="shared" si="433"/>
        <v>-4.0569680089071441E-5</v>
      </c>
      <c r="FR79" s="375">
        <f t="shared" ref="FR79:FR83" si="527">+FL79+FN79+FP79</f>
        <v>-14414.3</v>
      </c>
      <c r="FS79" s="7">
        <f t="shared" si="434"/>
        <v>-4.9304117228084296E-5</v>
      </c>
      <c r="FT79" s="375">
        <f t="shared" ref="FT79:FT83" si="528">FJ79+FR79</f>
        <v>-31561.749999999996</v>
      </c>
      <c r="FU79" s="7">
        <f t="shared" si="462"/>
        <v>-3.9007992019695665E-5</v>
      </c>
      <c r="FV79" s="375"/>
      <c r="FW79" s="7">
        <f t="shared" si="279"/>
        <v>0</v>
      </c>
      <c r="FX79" s="375"/>
      <c r="FY79" s="7">
        <f t="shared" si="435"/>
        <v>0</v>
      </c>
      <c r="FZ79" s="375">
        <v>-8508.7999999999993</v>
      </c>
      <c r="GA79" s="7">
        <f t="shared" si="436"/>
        <v>-2.9431075504223692E-5</v>
      </c>
      <c r="GB79" s="375">
        <f t="shared" ref="GB79:GB83" si="529">+FV79+FX79+FZ79</f>
        <v>-8508.7999999999993</v>
      </c>
      <c r="GC79" s="7">
        <f t="shared" si="437"/>
        <v>-2.484098908844957E-5</v>
      </c>
      <c r="GD79" s="375">
        <f t="shared" ref="GD79:GD83" si="530">FT79+GB79</f>
        <v>-40070.549999999996</v>
      </c>
      <c r="GE79" s="7">
        <f t="shared" si="465"/>
        <v>-3.4794322277597024E-5</v>
      </c>
      <c r="GF79" s="566">
        <f t="shared" si="282"/>
        <v>0</v>
      </c>
      <c r="GG79" s="525">
        <f t="shared" si="438"/>
        <v>0</v>
      </c>
      <c r="GH79" s="528">
        <f t="shared" ref="GH79:GH83" si="531">+GQ79*$GO$2</f>
        <v>0</v>
      </c>
      <c r="GI79" s="525">
        <f t="shared" si="439"/>
        <v>0</v>
      </c>
      <c r="GJ79" s="528"/>
      <c r="GK79" s="525">
        <f t="shared" si="440"/>
        <v>0</v>
      </c>
      <c r="GL79" s="528">
        <f t="shared" ref="GL79:GL83" si="532">+GD79+GF79+GH79-GJ79</f>
        <v>-40070.549999999996</v>
      </c>
      <c r="GM79" s="565">
        <f t="shared" si="468"/>
        <v>-3.4578287277085685E-5</v>
      </c>
      <c r="GO79" s="586"/>
      <c r="GQ79" s="586"/>
      <c r="GT79" s="551">
        <f t="shared" si="182"/>
        <v>29022.550466779841</v>
      </c>
      <c r="GU79" s="551">
        <f t="shared" si="471"/>
        <v>34003.57953322016</v>
      </c>
      <c r="GV79" s="550">
        <f t="shared" si="441"/>
        <v>63026.13</v>
      </c>
      <c r="GW79" s="527">
        <f>+EZ79*4</f>
        <v>45878.68</v>
      </c>
      <c r="GX79" s="525">
        <f t="shared" si="285"/>
        <v>3.8745121876409568E-5</v>
      </c>
      <c r="GY79" s="528">
        <f>+GW79</f>
        <v>45878.68</v>
      </c>
      <c r="GZ79" s="525">
        <f t="shared" si="286"/>
        <v>5.0964977279338016E-5</v>
      </c>
      <c r="HA79" s="528">
        <f>+GY79</f>
        <v>45878.68</v>
      </c>
      <c r="HB79" s="526">
        <f t="shared" si="287"/>
        <v>6.30257177436935E-5</v>
      </c>
      <c r="HD79" s="527">
        <v>45878.68</v>
      </c>
      <c r="HE79" s="525">
        <v>3.8620502650147443E-5</v>
      </c>
      <c r="HF79" s="528">
        <v>45878.68</v>
      </c>
      <c r="HG79" s="525">
        <v>5.0964977279338016E-5</v>
      </c>
      <c r="HH79" s="528">
        <v>45878.68</v>
      </c>
      <c r="HI79" s="526">
        <v>6.30257177436935E-5</v>
      </c>
    </row>
    <row r="80" spans="1:218" ht="15" customHeight="1" outlineLevel="1">
      <c r="A80" s="386" t="s">
        <v>72</v>
      </c>
      <c r="B80" s="386" t="s">
        <v>74</v>
      </c>
      <c r="C80" s="375">
        <v>-346261.19</v>
      </c>
      <c r="D80" s="4"/>
      <c r="E80" s="375">
        <v>-30147.46</v>
      </c>
      <c r="F80" s="4"/>
      <c r="G80" s="375"/>
      <c r="H80" s="375"/>
      <c r="I80" s="4"/>
      <c r="J80" s="375"/>
      <c r="K80" s="375"/>
      <c r="L80" s="4"/>
      <c r="M80" s="375"/>
      <c r="N80" s="375">
        <v>0</v>
      </c>
      <c r="O80" s="4"/>
      <c r="P80" s="375">
        <f t="shared" si="421"/>
        <v>0</v>
      </c>
      <c r="Q80" s="375">
        <f t="shared" si="421"/>
        <v>0</v>
      </c>
      <c r="R80" s="7">
        <f t="shared" si="442"/>
        <v>0</v>
      </c>
      <c r="S80" s="375">
        <v>-906</v>
      </c>
      <c r="T80" s="375">
        <v>-906</v>
      </c>
      <c r="U80" s="4"/>
      <c r="V80" s="375">
        <v>-36017.86</v>
      </c>
      <c r="W80" s="375">
        <v>-36017.86</v>
      </c>
      <c r="X80" s="4"/>
      <c r="Y80" s="375">
        <v>-35092.67</v>
      </c>
      <c r="Z80" s="375">
        <v>-35092.67</v>
      </c>
      <c r="AA80" s="4"/>
      <c r="AB80" s="375">
        <f t="shared" si="224"/>
        <v>-72016.53</v>
      </c>
      <c r="AC80" s="375">
        <f t="shared" si="371"/>
        <v>-72016.53</v>
      </c>
      <c r="AD80" s="7">
        <f t="shared" si="443"/>
        <v>-1.9418091744564424E-3</v>
      </c>
      <c r="AE80" s="375">
        <f t="shared" si="507"/>
        <v>-72016.53</v>
      </c>
      <c r="AF80" s="375">
        <f t="shared" si="508"/>
        <v>-72016.53</v>
      </c>
      <c r="AG80" s="4"/>
      <c r="AH80" s="375">
        <v>-35092.67</v>
      </c>
      <c r="AI80" s="375">
        <v>-35092.67</v>
      </c>
      <c r="AJ80" s="4"/>
      <c r="AK80" s="375">
        <v>-35092.67</v>
      </c>
      <c r="AL80" s="375">
        <v>-35092.67</v>
      </c>
      <c r="AM80" s="4"/>
      <c r="AN80" s="375">
        <v>-35092.67</v>
      </c>
      <c r="AO80" s="375">
        <v>-35092.67</v>
      </c>
      <c r="AP80" s="4"/>
      <c r="AQ80" s="375">
        <f t="shared" si="509"/>
        <v>-105278.01</v>
      </c>
      <c r="AR80" s="375">
        <f t="shared" si="510"/>
        <v>-105278.01</v>
      </c>
      <c r="AS80" s="7">
        <f t="shared" si="444"/>
        <v>-3.9544538535526931E-3</v>
      </c>
      <c r="AT80" s="375">
        <f t="shared" si="511"/>
        <v>-177294.53999999998</v>
      </c>
      <c r="AU80" s="4"/>
      <c r="AV80" s="375"/>
      <c r="AW80" s="375">
        <v>-35092.67</v>
      </c>
      <c r="AX80" s="4"/>
      <c r="AY80" s="375"/>
      <c r="AZ80" s="375">
        <v>-35092.67</v>
      </c>
      <c r="BA80" s="4"/>
      <c r="BB80" s="375"/>
      <c r="BC80" s="375">
        <v>-35092.67</v>
      </c>
      <c r="BD80" s="448"/>
      <c r="BE80" s="375">
        <f t="shared" si="512"/>
        <v>0</v>
      </c>
      <c r="BF80" s="375">
        <f t="shared" si="513"/>
        <v>-105278.01</v>
      </c>
      <c r="BG80" s="7">
        <f t="shared" si="445"/>
        <v>-3.352838375363112E-3</v>
      </c>
      <c r="BH80" s="375">
        <f t="shared" si="514"/>
        <v>-177294.53999999998</v>
      </c>
      <c r="BI80" s="388">
        <f t="shared" si="515"/>
        <v>-282572.55</v>
      </c>
      <c r="BJ80" s="7">
        <f t="shared" si="446"/>
        <v>-2.1492047667259475E-3</v>
      </c>
      <c r="BK80" s="375"/>
      <c r="BL80" s="282"/>
      <c r="BM80" s="378"/>
      <c r="BN80" s="375">
        <v>0</v>
      </c>
      <c r="BO80" s="4"/>
      <c r="BP80" s="375">
        <v>-321932.75</v>
      </c>
      <c r="BQ80" s="4"/>
      <c r="BR80" s="375">
        <v>241449.59</v>
      </c>
      <c r="BS80" s="4"/>
      <c r="BT80" s="375">
        <f t="shared" si="516"/>
        <v>-80483.16</v>
      </c>
      <c r="BU80" s="7">
        <f t="shared" si="447"/>
        <v>-1.4845045750401305E-3</v>
      </c>
      <c r="BV80" s="375">
        <v>-102472.65</v>
      </c>
      <c r="BW80" s="7"/>
      <c r="BX80" s="375">
        <v>-102472.65</v>
      </c>
      <c r="BY80" s="7"/>
      <c r="BZ80" s="375">
        <v>-103449.28</v>
      </c>
      <c r="CA80" s="7"/>
      <c r="CB80" s="375">
        <f>+BV80+BX80+BZ80</f>
        <v>-308394.57999999996</v>
      </c>
      <c r="CC80" s="7">
        <f t="shared" si="158"/>
        <v>-9.0060700667843763E-3</v>
      </c>
      <c r="CD80" s="375">
        <f t="shared" si="238"/>
        <v>-388877.74</v>
      </c>
      <c r="CE80" s="7">
        <f t="shared" si="448"/>
        <v>-4.3961616894649747E-3</v>
      </c>
      <c r="CF80" s="375">
        <v>-26827.72</v>
      </c>
      <c r="CG80" s="7">
        <f t="shared" si="449"/>
        <v>-5.3114791968622262E-3</v>
      </c>
      <c r="CH80" s="375">
        <v>-26827.72</v>
      </c>
      <c r="CI80" s="7">
        <f t="shared" si="449"/>
        <v>-7.2350507379409415E-4</v>
      </c>
      <c r="CJ80" s="375">
        <v>-26827.72</v>
      </c>
      <c r="CK80" s="7">
        <f t="shared" si="449"/>
        <v>-9.5261156338897514E-4</v>
      </c>
      <c r="CL80" s="375">
        <f t="shared" si="517"/>
        <v>-80483.16</v>
      </c>
      <c r="CM80" s="7">
        <f t="shared" si="449"/>
        <v>-1.1449605563728976E-3</v>
      </c>
      <c r="CN80" s="375">
        <f t="shared" si="288"/>
        <v>-469360.9</v>
      </c>
      <c r="CO80" s="7">
        <f t="shared" si="241"/>
        <v>-2.9565694231943242E-3</v>
      </c>
      <c r="CP80" s="375">
        <v>-26828</v>
      </c>
      <c r="CQ80" s="7">
        <f t="shared" si="422"/>
        <v>-1.3694675657474765E-3</v>
      </c>
      <c r="CR80" s="375">
        <f t="shared" si="518"/>
        <v>-496188.9</v>
      </c>
      <c r="CS80" s="7">
        <f t="shared" si="244"/>
        <v>-2.78223312541835E-3</v>
      </c>
      <c r="CT80" s="375">
        <v>-26827.759999999998</v>
      </c>
      <c r="CU80" s="7">
        <f t="shared" si="519"/>
        <v>-1.7126348809467153E-3</v>
      </c>
      <c r="CV80" s="375">
        <v>-26828.240000000005</v>
      </c>
      <c r="CW80" s="7">
        <f t="shared" si="452"/>
        <v>-4.2876501450852774E-4</v>
      </c>
      <c r="CX80" s="375">
        <f>+CV80+CT80+CP80</f>
        <v>-80484</v>
      </c>
      <c r="CY80" s="7">
        <f t="shared" si="424"/>
        <v>-8.2272883990237649E-4</v>
      </c>
      <c r="CZ80" s="375">
        <f>+CD80+CL80+CX80</f>
        <v>-549844.9</v>
      </c>
      <c r="DA80" s="7">
        <f t="shared" si="453"/>
        <v>-2.1429970756365719E-3</v>
      </c>
      <c r="DB80" s="375"/>
      <c r="DC80" s="7">
        <f t="shared" si="250"/>
        <v>0</v>
      </c>
      <c r="DD80" s="375"/>
      <c r="DE80" s="7">
        <f t="shared" si="250"/>
        <v>0</v>
      </c>
      <c r="DF80" s="375"/>
      <c r="DG80" s="7">
        <f t="shared" si="250"/>
        <v>0</v>
      </c>
      <c r="DH80" s="375">
        <f t="shared" si="520"/>
        <v>0</v>
      </c>
      <c r="DI80" s="7">
        <f t="shared" si="425"/>
        <v>0</v>
      </c>
      <c r="DJ80" s="375"/>
      <c r="DK80" s="7">
        <f t="shared" si="254"/>
        <v>0</v>
      </c>
      <c r="DL80" s="375"/>
      <c r="DM80" s="7">
        <f t="shared" si="255"/>
        <v>0</v>
      </c>
      <c r="DN80" s="375"/>
      <c r="DO80" s="7">
        <f t="shared" si="256"/>
        <v>0</v>
      </c>
      <c r="DP80" s="375"/>
      <c r="DQ80" s="7">
        <f t="shared" si="257"/>
        <v>0</v>
      </c>
      <c r="DR80" s="375">
        <f t="shared" si="521"/>
        <v>0</v>
      </c>
      <c r="DS80" s="7">
        <f t="shared" si="426"/>
        <v>0</v>
      </c>
      <c r="DT80" s="375">
        <f t="shared" si="259"/>
        <v>0</v>
      </c>
      <c r="DU80" s="7">
        <f t="shared" si="454"/>
        <v>0</v>
      </c>
      <c r="DV80" s="375">
        <v>-72157.539999999994</v>
      </c>
      <c r="DW80" s="7">
        <f t="shared" si="260"/>
        <v>-1.5852771528947723E-3</v>
      </c>
      <c r="DX80" s="375">
        <v>-40215.39</v>
      </c>
      <c r="DY80" s="7">
        <f t="shared" si="261"/>
        <v>-1.5555728482124387E-3</v>
      </c>
      <c r="DZ80" s="375"/>
      <c r="EA80" s="7">
        <f t="shared" si="262"/>
        <v>0</v>
      </c>
      <c r="EB80" s="375">
        <f t="shared" si="522"/>
        <v>-112372.93</v>
      </c>
      <c r="EC80" s="7">
        <f t="shared" si="427"/>
        <v>-5.8009963098868626E-4</v>
      </c>
      <c r="ED80" s="375">
        <f>+EB80+DT80</f>
        <v>-112372.93</v>
      </c>
      <c r="EE80" s="7">
        <f t="shared" si="455"/>
        <v>-2.9600098128702379E-4</v>
      </c>
      <c r="EF80" s="375">
        <v>-347720.49</v>
      </c>
      <c r="EG80" s="7">
        <f t="shared" si="264"/>
        <v>-2.3531700752452749E-2</v>
      </c>
      <c r="EH80" s="375"/>
      <c r="EI80" s="7">
        <f t="shared" si="265"/>
        <v>0</v>
      </c>
      <c r="EJ80" s="375"/>
      <c r="EK80" s="7">
        <f t="shared" si="266"/>
        <v>0</v>
      </c>
      <c r="EL80" s="375">
        <f t="shared" si="523"/>
        <v>-347720.49</v>
      </c>
      <c r="EM80" s="7">
        <f t="shared" si="428"/>
        <v>-1.8929912485076803E-3</v>
      </c>
      <c r="EN80" s="375">
        <f>+EL80+ED80</f>
        <v>-460093.42</v>
      </c>
      <c r="EO80" s="7">
        <f t="shared" si="456"/>
        <v>-8.1674539040643517E-4</v>
      </c>
      <c r="EP80" s="373"/>
      <c r="EQ80" s="373"/>
      <c r="ER80" s="373"/>
      <c r="ES80" s="373"/>
      <c r="ET80" s="375"/>
      <c r="EU80" s="7">
        <f t="shared" si="269"/>
        <v>0</v>
      </c>
      <c r="EV80" s="375"/>
      <c r="EW80" s="7">
        <f t="shared" si="270"/>
        <v>0</v>
      </c>
      <c r="EX80" s="375">
        <v>0</v>
      </c>
      <c r="EY80" s="7">
        <f t="shared" si="271"/>
        <v>0</v>
      </c>
      <c r="EZ80" s="375">
        <f t="shared" si="524"/>
        <v>0</v>
      </c>
      <c r="FA80" s="7">
        <f t="shared" si="429"/>
        <v>0</v>
      </c>
      <c r="FB80" s="375"/>
      <c r="FC80" s="7">
        <f t="shared" si="273"/>
        <v>0</v>
      </c>
      <c r="FD80" s="375"/>
      <c r="FE80" s="7">
        <f t="shared" si="200"/>
        <v>0</v>
      </c>
      <c r="FF80" s="375">
        <v>-252005.88</v>
      </c>
      <c r="FG80" s="7">
        <f t="shared" si="430"/>
        <v>-1.5683533418190331E-3</v>
      </c>
      <c r="FH80" s="375">
        <f t="shared" si="525"/>
        <v>-252005.88</v>
      </c>
      <c r="FI80" s="7">
        <f t="shared" si="431"/>
        <v>-9.16393319472327E-4</v>
      </c>
      <c r="FJ80" s="375">
        <f t="shared" si="526"/>
        <v>-252005.88</v>
      </c>
      <c r="FK80" s="7">
        <f t="shared" si="459"/>
        <v>-4.8766999631007782E-4</v>
      </c>
      <c r="FL80" s="375"/>
      <c r="FM80" s="7">
        <f t="shared" si="276"/>
        <v>0</v>
      </c>
      <c r="FN80" s="375"/>
      <c r="FO80" s="7">
        <f t="shared" si="432"/>
        <v>0</v>
      </c>
      <c r="FP80" s="375"/>
      <c r="FQ80" s="7">
        <f t="shared" si="433"/>
        <v>0</v>
      </c>
      <c r="FR80" s="375">
        <f t="shared" si="527"/>
        <v>0</v>
      </c>
      <c r="FS80" s="7">
        <f t="shared" si="434"/>
        <v>0</v>
      </c>
      <c r="FT80" s="375">
        <f t="shared" si="528"/>
        <v>-252005.88</v>
      </c>
      <c r="FU80" s="7">
        <f t="shared" si="462"/>
        <v>-3.1146065588747091E-4</v>
      </c>
      <c r="FV80" s="375"/>
      <c r="FW80" s="7">
        <f t="shared" si="279"/>
        <v>0</v>
      </c>
      <c r="FX80" s="375"/>
      <c r="FY80" s="7">
        <f t="shared" si="435"/>
        <v>0</v>
      </c>
      <c r="FZ80" s="375">
        <v>-217728.61</v>
      </c>
      <c r="GA80" s="7">
        <f t="shared" si="436"/>
        <v>-7.5310116119072889E-4</v>
      </c>
      <c r="GB80" s="375">
        <f t="shared" si="529"/>
        <v>-217728.61</v>
      </c>
      <c r="GC80" s="7">
        <f t="shared" si="437"/>
        <v>-6.3564709774037377E-4</v>
      </c>
      <c r="GD80" s="375">
        <f t="shared" si="530"/>
        <v>-469734.49</v>
      </c>
      <c r="GE80" s="7">
        <f t="shared" si="465"/>
        <v>-4.0788292723615416E-4</v>
      </c>
      <c r="GF80" s="566">
        <f t="shared" si="282"/>
        <v>0</v>
      </c>
      <c r="GG80" s="525">
        <f t="shared" si="438"/>
        <v>0</v>
      </c>
      <c r="GH80" s="528">
        <f t="shared" si="531"/>
        <v>0</v>
      </c>
      <c r="GI80" s="525">
        <f t="shared" si="439"/>
        <v>0</v>
      </c>
      <c r="GJ80" s="528"/>
      <c r="GK80" s="525">
        <f t="shared" si="440"/>
        <v>0</v>
      </c>
      <c r="GL80" s="528">
        <f t="shared" si="532"/>
        <v>-469734.49</v>
      </c>
      <c r="GM80" s="565">
        <f t="shared" si="468"/>
        <v>-4.053504166819606E-4</v>
      </c>
      <c r="GO80" s="586"/>
      <c r="GQ80" s="586"/>
      <c r="GT80" s="551">
        <f t="shared" si="182"/>
        <v>116044.7796846366</v>
      </c>
      <c r="GU80" s="551">
        <f t="shared" si="471"/>
        <v>135961.10031536344</v>
      </c>
      <c r="GV80" s="550">
        <f t="shared" si="441"/>
        <v>252005.88</v>
      </c>
      <c r="GW80" s="527"/>
      <c r="GX80" s="525">
        <f t="shared" si="285"/>
        <v>0</v>
      </c>
      <c r="GY80" s="528"/>
      <c r="GZ80" s="525">
        <f t="shared" si="286"/>
        <v>0</v>
      </c>
      <c r="HA80" s="528"/>
      <c r="HB80" s="526">
        <f t="shared" si="287"/>
        <v>0</v>
      </c>
      <c r="HD80" s="527"/>
      <c r="HE80" s="525">
        <v>0</v>
      </c>
      <c r="HF80" s="528"/>
      <c r="HG80" s="525">
        <v>0</v>
      </c>
      <c r="HH80" s="528"/>
      <c r="HI80" s="526">
        <v>0</v>
      </c>
    </row>
    <row r="81" spans="1:218" ht="15" customHeight="1" outlineLevel="1">
      <c r="A81" s="386" t="s">
        <v>72</v>
      </c>
      <c r="B81" s="386" t="s">
        <v>75</v>
      </c>
      <c r="C81" s="375">
        <v>-603605.62</v>
      </c>
      <c r="D81" s="4"/>
      <c r="E81" s="375">
        <v>-209756.5</v>
      </c>
      <c r="F81" s="4"/>
      <c r="G81" s="375"/>
      <c r="H81" s="375">
        <v>-37175</v>
      </c>
      <c r="I81" s="4"/>
      <c r="J81" s="375"/>
      <c r="K81" s="375">
        <v>-37157.5</v>
      </c>
      <c r="L81" s="4"/>
      <c r="M81" s="375"/>
      <c r="N81" s="375">
        <v>-37642</v>
      </c>
      <c r="O81" s="4"/>
      <c r="P81" s="375">
        <f t="shared" si="421"/>
        <v>0</v>
      </c>
      <c r="Q81" s="375">
        <f t="shared" si="421"/>
        <v>-111974.5</v>
      </c>
      <c r="R81" s="7">
        <f t="shared" si="442"/>
        <v>-3.0789227198596814E-3</v>
      </c>
      <c r="S81" s="375">
        <v>-37052.5</v>
      </c>
      <c r="T81" s="375">
        <v>-37052.5</v>
      </c>
      <c r="U81" s="4"/>
      <c r="V81" s="375">
        <v>44895</v>
      </c>
      <c r="W81" s="375">
        <v>44895</v>
      </c>
      <c r="X81" s="4"/>
      <c r="Y81" s="375">
        <v>104132</v>
      </c>
      <c r="Z81" s="375">
        <v>104132</v>
      </c>
      <c r="AA81" s="4"/>
      <c r="AB81" s="375">
        <f t="shared" si="224"/>
        <v>111974.5</v>
      </c>
      <c r="AC81" s="375">
        <f t="shared" si="371"/>
        <v>111974.5</v>
      </c>
      <c r="AD81" s="7">
        <f t="shared" si="443"/>
        <v>3.019211164508661E-3</v>
      </c>
      <c r="AE81" s="375">
        <f t="shared" si="507"/>
        <v>0</v>
      </c>
      <c r="AF81" s="375">
        <f t="shared" si="508"/>
        <v>0</v>
      </c>
      <c r="AG81" s="4"/>
      <c r="AH81" s="375">
        <v>-10174</v>
      </c>
      <c r="AI81" s="375">
        <v>-10174</v>
      </c>
      <c r="AJ81" s="4"/>
      <c r="AK81" s="375">
        <v>-9665</v>
      </c>
      <c r="AL81" s="375">
        <v>-9665</v>
      </c>
      <c r="AM81" s="4"/>
      <c r="AN81" s="375">
        <v>-9665</v>
      </c>
      <c r="AO81" s="375">
        <v>-9665</v>
      </c>
      <c r="AP81" s="4"/>
      <c r="AQ81" s="375">
        <f t="shared" si="509"/>
        <v>-29504</v>
      </c>
      <c r="AR81" s="375">
        <f t="shared" si="510"/>
        <v>-29504</v>
      </c>
      <c r="AS81" s="7">
        <f t="shared" si="444"/>
        <v>-1.1082295960497227E-3</v>
      </c>
      <c r="AT81" s="375">
        <f t="shared" si="511"/>
        <v>-29504</v>
      </c>
      <c r="AU81" s="4"/>
      <c r="AV81" s="375"/>
      <c r="AW81" s="375"/>
      <c r="AX81" s="4"/>
      <c r="AY81" s="375"/>
      <c r="AZ81" s="375">
        <v>-11300</v>
      </c>
      <c r="BA81" s="4"/>
      <c r="BB81" s="375"/>
      <c r="BC81" s="375">
        <v>-11817</v>
      </c>
      <c r="BD81" s="448"/>
      <c r="BE81" s="375">
        <f t="shared" si="512"/>
        <v>0</v>
      </c>
      <c r="BF81" s="375">
        <f t="shared" si="513"/>
        <v>-23117</v>
      </c>
      <c r="BG81" s="7">
        <f t="shared" si="445"/>
        <v>-7.3621798819401192E-4</v>
      </c>
      <c r="BH81" s="375">
        <f t="shared" si="514"/>
        <v>-29504</v>
      </c>
      <c r="BI81" s="388">
        <f t="shared" si="515"/>
        <v>-52621</v>
      </c>
      <c r="BJ81" s="7">
        <f t="shared" si="446"/>
        <v>-4.0022749566398464E-4</v>
      </c>
      <c r="BK81" s="375"/>
      <c r="BL81" s="282"/>
      <c r="BM81" s="378"/>
      <c r="BN81" s="375">
        <v>-11300</v>
      </c>
      <c r="BO81" s="4"/>
      <c r="BP81" s="375">
        <v>-11300</v>
      </c>
      <c r="BQ81" s="4"/>
      <c r="BR81" s="375">
        <v>-11300</v>
      </c>
      <c r="BS81" s="4"/>
      <c r="BT81" s="375">
        <f t="shared" si="516"/>
        <v>-33900</v>
      </c>
      <c r="BU81" s="7">
        <f t="shared" si="447"/>
        <v>-6.2528242049467771E-4</v>
      </c>
      <c r="BV81" s="375">
        <v>-11767</v>
      </c>
      <c r="BW81" s="7"/>
      <c r="BX81" s="375">
        <v>-11300</v>
      </c>
      <c r="BY81" s="7"/>
      <c r="BZ81" s="375">
        <v>-11300</v>
      </c>
      <c r="CA81" s="7"/>
      <c r="CB81" s="375">
        <f>+BV81+BX81+BZ81</f>
        <v>-34367</v>
      </c>
      <c r="CC81" s="7">
        <f t="shared" si="158"/>
        <v>-1.0036220804696978E-3</v>
      </c>
      <c r="CD81" s="375">
        <f t="shared" si="238"/>
        <v>-68267</v>
      </c>
      <c r="CE81" s="7">
        <f t="shared" si="448"/>
        <v>-7.7174067627194462E-4</v>
      </c>
      <c r="CF81" s="375">
        <v>-11300</v>
      </c>
      <c r="CG81" s="7">
        <f t="shared" si="449"/>
        <v>-2.2372275737387731E-3</v>
      </c>
      <c r="CH81" s="375">
        <v>-11300</v>
      </c>
      <c r="CI81" s="7">
        <f t="shared" si="449"/>
        <v>-3.0474476898794469E-4</v>
      </c>
      <c r="CJ81" s="375">
        <v>-11300</v>
      </c>
      <c r="CK81" s="7">
        <f t="shared" si="449"/>
        <v>-4.0124582582103205E-4</v>
      </c>
      <c r="CL81" s="375">
        <f t="shared" si="517"/>
        <v>-33900</v>
      </c>
      <c r="CM81" s="7">
        <f t="shared" si="449"/>
        <v>-4.8226439991970037E-4</v>
      </c>
      <c r="CN81" s="375">
        <f t="shared" si="288"/>
        <v>-102167</v>
      </c>
      <c r="CO81" s="7">
        <f t="shared" si="241"/>
        <v>-6.435641065531759E-4</v>
      </c>
      <c r="CP81" s="472">
        <v>-11858</v>
      </c>
      <c r="CQ81" s="7">
        <f t="shared" si="422"/>
        <v>-6.0530588916928496E-4</v>
      </c>
      <c r="CR81" s="375">
        <f t="shared" si="518"/>
        <v>-114025</v>
      </c>
      <c r="CS81" s="7">
        <f t="shared" si="244"/>
        <v>-6.3936160628709623E-4</v>
      </c>
      <c r="CT81" s="375">
        <v>-11300</v>
      </c>
      <c r="CU81" s="7">
        <f t="shared" si="519"/>
        <v>-7.2137122721754941E-4</v>
      </c>
      <c r="CV81" s="375">
        <v>-11825</v>
      </c>
      <c r="CW81" s="7">
        <f t="shared" si="452"/>
        <v>-1.8898542344049924E-4</v>
      </c>
      <c r="CX81" s="375">
        <f>+CV81+CT81+CP81</f>
        <v>-34983</v>
      </c>
      <c r="CY81" s="7">
        <f t="shared" si="424"/>
        <v>-3.5760552415765667E-4</v>
      </c>
      <c r="CZ81" s="375">
        <f>+CD81+CL81+CX81</f>
        <v>-137150</v>
      </c>
      <c r="DA81" s="7">
        <f t="shared" si="453"/>
        <v>-5.3453628272910386E-4</v>
      </c>
      <c r="DB81" s="375">
        <v>-12410</v>
      </c>
      <c r="DC81" s="7">
        <f t="shared" si="250"/>
        <v>-6.4647846326257752E-4</v>
      </c>
      <c r="DD81" s="375">
        <v>-12410</v>
      </c>
      <c r="DE81" s="7">
        <f t="shared" si="250"/>
        <v>-4.7791040736363367E-4</v>
      </c>
      <c r="DF81" s="72">
        <v>-69880</v>
      </c>
      <c r="DG81" s="7">
        <f t="shared" si="250"/>
        <v>-2.2527257965213451E-3</v>
      </c>
      <c r="DH81" s="375">
        <f t="shared" si="520"/>
        <v>-94700</v>
      </c>
      <c r="DI81" s="7">
        <f t="shared" si="425"/>
        <v>-1.2430477835489637E-3</v>
      </c>
      <c r="DJ81" s="375">
        <v>-37230</v>
      </c>
      <c r="DK81" s="7">
        <f t="shared" si="254"/>
        <v>-7.0787422536092073E-4</v>
      </c>
      <c r="DL81" s="72">
        <v>-12940</v>
      </c>
      <c r="DM81" s="7">
        <f t="shared" si="255"/>
        <v>-1.4918175611019679E-3</v>
      </c>
      <c r="DN81" s="72">
        <f>+DL81</f>
        <v>-12940</v>
      </c>
      <c r="DO81" s="7">
        <f t="shared" si="256"/>
        <v>-7.540502372066645E-4</v>
      </c>
      <c r="DP81" s="72">
        <v>-12410</v>
      </c>
      <c r="DQ81" s="7">
        <f t="shared" si="257"/>
        <v>-1.4790448209317056E-4</v>
      </c>
      <c r="DR81" s="375">
        <f t="shared" si="521"/>
        <v>-38290</v>
      </c>
      <c r="DS81" s="7">
        <f t="shared" si="426"/>
        <v>-3.4891515306986222E-4</v>
      </c>
      <c r="DT81" s="375">
        <f t="shared" si="259"/>
        <v>-132990</v>
      </c>
      <c r="DU81" s="7">
        <f t="shared" si="454"/>
        <v>-7.1529279699210563E-4</v>
      </c>
      <c r="DV81" s="375">
        <v>-12410</v>
      </c>
      <c r="DW81" s="7">
        <f t="shared" si="260"/>
        <v>-2.7264357220914306E-4</v>
      </c>
      <c r="DX81" s="375">
        <v>-13026</v>
      </c>
      <c r="DY81" s="7">
        <f t="shared" si="261"/>
        <v>-5.0385914250278881E-4</v>
      </c>
      <c r="DZ81" s="375">
        <v>-13026</v>
      </c>
      <c r="EA81" s="7">
        <f t="shared" si="262"/>
        <v>-1.064708118476547E-4</v>
      </c>
      <c r="EB81" s="375">
        <f t="shared" si="522"/>
        <v>-38462</v>
      </c>
      <c r="EC81" s="7">
        <f t="shared" si="427"/>
        <v>-1.9855130596921206E-4</v>
      </c>
      <c r="ED81" s="375">
        <f>+EB81+DT81</f>
        <v>-171452</v>
      </c>
      <c r="EE81" s="7">
        <f t="shared" si="455"/>
        <v>-4.5162086851008342E-4</v>
      </c>
      <c r="EF81" s="375">
        <v>-13026</v>
      </c>
      <c r="EG81" s="7">
        <f t="shared" si="264"/>
        <v>-8.8152393320695458E-4</v>
      </c>
      <c r="EH81" s="375">
        <v>-13026</v>
      </c>
      <c r="EI81" s="7">
        <f t="shared" si="265"/>
        <v>-1.0217546828487467E-3</v>
      </c>
      <c r="EJ81" s="375">
        <v>-12410</v>
      </c>
      <c r="EK81" s="7">
        <f t="shared" si="266"/>
        <v>-7.9468229290344882E-5</v>
      </c>
      <c r="EL81" s="375">
        <f t="shared" si="523"/>
        <v>-38462</v>
      </c>
      <c r="EM81" s="7">
        <f t="shared" si="428"/>
        <v>-2.0938722765547236E-4</v>
      </c>
      <c r="EN81" s="375">
        <f>+EL81+ED81</f>
        <v>-209914</v>
      </c>
      <c r="EO81" s="7">
        <f t="shared" si="456"/>
        <v>-3.7263365314326043E-4</v>
      </c>
      <c r="EP81" s="373"/>
      <c r="EQ81" s="373"/>
      <c r="ER81" s="373"/>
      <c r="ES81" s="373"/>
      <c r="ET81" s="375">
        <v>-15453</v>
      </c>
      <c r="EU81" s="7">
        <f t="shared" si="269"/>
        <v>-2.0950608742625713E-3</v>
      </c>
      <c r="EV81" s="375">
        <v>-14147</v>
      </c>
      <c r="EW81" s="7">
        <f t="shared" si="270"/>
        <v>-2.3213038147389987E-3</v>
      </c>
      <c r="EX81" s="375">
        <v>-14147</v>
      </c>
      <c r="EY81" s="7">
        <f t="shared" si="271"/>
        <v>-6.1970214074033E-5</v>
      </c>
      <c r="EZ81" s="375">
        <f t="shared" si="524"/>
        <v>-43747</v>
      </c>
      <c r="FA81" s="7">
        <f t="shared" si="429"/>
        <v>-1.8095410626222197E-4</v>
      </c>
      <c r="FB81" s="375">
        <v>-14800</v>
      </c>
      <c r="FC81" s="7">
        <f t="shared" si="273"/>
        <v>-1.6332019089503949E-3</v>
      </c>
      <c r="FD81" s="375">
        <v>-15489</v>
      </c>
      <c r="FE81" s="7">
        <f t="shared" si="200"/>
        <v>-1.4715868244828516E-4</v>
      </c>
      <c r="FF81" s="375">
        <v>-71361.39</v>
      </c>
      <c r="FG81" s="7">
        <f t="shared" si="430"/>
        <v>-4.4411612333550044E-4</v>
      </c>
      <c r="FH81" s="375">
        <f t="shared" si="525"/>
        <v>-101650.39</v>
      </c>
      <c r="FI81" s="7">
        <f t="shared" si="431"/>
        <v>-3.6964113026948669E-4</v>
      </c>
      <c r="FJ81" s="375">
        <f t="shared" si="526"/>
        <v>-145397.39000000001</v>
      </c>
      <c r="FK81" s="7">
        <f t="shared" si="459"/>
        <v>-2.8136623099744715E-4</v>
      </c>
      <c r="FL81" s="375">
        <v>-15489</v>
      </c>
      <c r="FM81" s="7">
        <f t="shared" si="276"/>
        <v>-1.4165498234841188E-3</v>
      </c>
      <c r="FN81" s="375">
        <v>-14889</v>
      </c>
      <c r="FO81" s="7">
        <f t="shared" si="432"/>
        <v>-3.1161410899192472E-3</v>
      </c>
      <c r="FP81" s="375">
        <v>-14889</v>
      </c>
      <c r="FQ81" s="7">
        <f t="shared" si="433"/>
        <v>-5.3820352912796117E-5</v>
      </c>
      <c r="FR81" s="375">
        <f t="shared" si="527"/>
        <v>-45267</v>
      </c>
      <c r="FS81" s="7">
        <f t="shared" si="434"/>
        <v>-1.5483578630690994E-4</v>
      </c>
      <c r="FT81" s="375">
        <f t="shared" si="528"/>
        <v>-190664.39</v>
      </c>
      <c r="FU81" s="7">
        <f t="shared" si="462"/>
        <v>-2.3564710459845047E-4</v>
      </c>
      <c r="FV81" s="375">
        <v>-14997</v>
      </c>
      <c r="FW81" s="7">
        <f t="shared" si="279"/>
        <v>-5.404336019112719E-4</v>
      </c>
      <c r="FX81" s="375">
        <v>-15853</v>
      </c>
      <c r="FY81" s="7">
        <f t="shared" si="435"/>
        <v>-6.1753729161061807E-4</v>
      </c>
      <c r="FZ81" s="375">
        <v>-14997</v>
      </c>
      <c r="GA81" s="7">
        <f t="shared" si="436"/>
        <v>-5.1873100711832777E-5</v>
      </c>
      <c r="GB81" s="375">
        <f t="shared" si="529"/>
        <v>-45847</v>
      </c>
      <c r="GC81" s="7">
        <f t="shared" si="437"/>
        <v>-1.3384787828344156E-4</v>
      </c>
      <c r="GD81" s="375">
        <f t="shared" si="530"/>
        <v>-236511.39</v>
      </c>
      <c r="GE81" s="7">
        <f t="shared" si="465"/>
        <v>-2.0536911836704111E-4</v>
      </c>
      <c r="GF81" s="566">
        <f t="shared" si="282"/>
        <v>0</v>
      </c>
      <c r="GG81" s="525">
        <f t="shared" si="438"/>
        <v>0</v>
      </c>
      <c r="GH81" s="528">
        <f t="shared" si="531"/>
        <v>0</v>
      </c>
      <c r="GI81" s="525">
        <f t="shared" si="439"/>
        <v>0</v>
      </c>
      <c r="GJ81" s="528"/>
      <c r="GK81" s="525">
        <f t="shared" si="440"/>
        <v>0</v>
      </c>
      <c r="GL81" s="528">
        <f t="shared" si="532"/>
        <v>-236511.39</v>
      </c>
      <c r="GM81" s="565">
        <f t="shared" si="468"/>
        <v>-2.0409399890250701E-4</v>
      </c>
      <c r="GO81" s="586"/>
      <c r="GQ81" s="586"/>
      <c r="GT81" s="551">
        <f t="shared" si="182"/>
        <v>-13626.014671498946</v>
      </c>
      <c r="GU81" s="551">
        <f t="shared" si="471"/>
        <v>-15964.595328501042</v>
      </c>
      <c r="GV81" s="550">
        <f t="shared" si="441"/>
        <v>-29590.609999999986</v>
      </c>
      <c r="GW81" s="527">
        <f>+EZ81*4</f>
        <v>-174988</v>
      </c>
      <c r="GX81" s="525">
        <f t="shared" si="285"/>
        <v>-1.4777956529937562E-4</v>
      </c>
      <c r="GY81" s="528">
        <f>+GW81</f>
        <v>-174988</v>
      </c>
      <c r="GZ81" s="525">
        <f t="shared" si="286"/>
        <v>-1.9438788221798884E-4</v>
      </c>
      <c r="HA81" s="528">
        <f>+GY81</f>
        <v>-174988</v>
      </c>
      <c r="HB81" s="526">
        <f t="shared" si="287"/>
        <v>-2.403893114739447E-4</v>
      </c>
      <c r="HD81" s="527">
        <v>-174988</v>
      </c>
      <c r="HE81" s="525">
        <v>-1.4730424933202092E-4</v>
      </c>
      <c r="HF81" s="528">
        <v>-174988</v>
      </c>
      <c r="HG81" s="525">
        <v>-1.9438788221798884E-4</v>
      </c>
      <c r="HH81" s="528">
        <v>-174988</v>
      </c>
      <c r="HI81" s="526">
        <v>-2.403893114739447E-4</v>
      </c>
    </row>
    <row r="82" spans="1:218" ht="15" customHeight="1" outlineLevel="1">
      <c r="A82" s="386" t="s">
        <v>72</v>
      </c>
      <c r="B82" s="386" t="s">
        <v>76</v>
      </c>
      <c r="C82" s="375">
        <v>0</v>
      </c>
      <c r="D82" s="4"/>
      <c r="E82" s="375">
        <v>0</v>
      </c>
      <c r="F82" s="4"/>
      <c r="G82" s="375"/>
      <c r="H82" s="375"/>
      <c r="I82" s="4"/>
      <c r="J82" s="375"/>
      <c r="K82" s="375"/>
      <c r="L82" s="4"/>
      <c r="M82" s="375"/>
      <c r="N82" s="375">
        <v>0</v>
      </c>
      <c r="O82" s="4"/>
      <c r="P82" s="375">
        <f t="shared" si="421"/>
        <v>0</v>
      </c>
      <c r="Q82" s="375">
        <f t="shared" si="421"/>
        <v>0</v>
      </c>
      <c r="R82" s="7">
        <f t="shared" si="442"/>
        <v>0</v>
      </c>
      <c r="S82" s="375"/>
      <c r="T82" s="375"/>
      <c r="U82" s="4"/>
      <c r="V82" s="375"/>
      <c r="W82" s="375"/>
      <c r="X82" s="4"/>
      <c r="Y82" s="375"/>
      <c r="Z82" s="375"/>
      <c r="AA82" s="4"/>
      <c r="AB82" s="375">
        <f t="shared" si="224"/>
        <v>0</v>
      </c>
      <c r="AC82" s="375">
        <f t="shared" ref="AC82:AC134" si="533">+T82+W82+Z82</f>
        <v>0</v>
      </c>
      <c r="AD82" s="7">
        <f t="shared" si="443"/>
        <v>0</v>
      </c>
      <c r="AE82" s="375">
        <f t="shared" si="507"/>
        <v>0</v>
      </c>
      <c r="AF82" s="375">
        <f t="shared" si="508"/>
        <v>0</v>
      </c>
      <c r="AG82" s="4"/>
      <c r="AH82" s="375"/>
      <c r="AI82" s="375"/>
      <c r="AJ82" s="4"/>
      <c r="AK82" s="375"/>
      <c r="AL82" s="375"/>
      <c r="AM82" s="4"/>
      <c r="AN82" s="375"/>
      <c r="AO82" s="375"/>
      <c r="AP82" s="4"/>
      <c r="AQ82" s="375">
        <f t="shared" si="509"/>
        <v>0</v>
      </c>
      <c r="AR82" s="375">
        <f t="shared" si="510"/>
        <v>0</v>
      </c>
      <c r="AS82" s="7">
        <f t="shared" si="444"/>
        <v>0</v>
      </c>
      <c r="AT82" s="375">
        <f t="shared" si="511"/>
        <v>0</v>
      </c>
      <c r="AU82" s="4"/>
      <c r="AV82" s="375"/>
      <c r="AW82" s="375"/>
      <c r="AX82" s="4"/>
      <c r="AY82" s="375"/>
      <c r="AZ82" s="375"/>
      <c r="BA82" s="4"/>
      <c r="BB82" s="375"/>
      <c r="BC82" s="375"/>
      <c r="BD82" s="448"/>
      <c r="BE82" s="375">
        <f t="shared" si="512"/>
        <v>0</v>
      </c>
      <c r="BF82" s="375">
        <f t="shared" si="513"/>
        <v>0</v>
      </c>
      <c r="BG82" s="7">
        <f t="shared" si="445"/>
        <v>0</v>
      </c>
      <c r="BH82" s="375">
        <f t="shared" si="514"/>
        <v>0</v>
      </c>
      <c r="BI82" s="388">
        <f t="shared" si="515"/>
        <v>0</v>
      </c>
      <c r="BJ82" s="7">
        <f t="shared" si="446"/>
        <v>0</v>
      </c>
      <c r="BK82" s="375"/>
      <c r="BL82" s="282"/>
      <c r="BM82" s="378"/>
      <c r="BN82" s="375"/>
      <c r="BO82" s="4"/>
      <c r="BP82" s="375"/>
      <c r="BQ82" s="4"/>
      <c r="BR82" s="375"/>
      <c r="BS82" s="4"/>
      <c r="BT82" s="375">
        <f t="shared" si="516"/>
        <v>0</v>
      </c>
      <c r="BU82" s="7">
        <f t="shared" si="447"/>
        <v>0</v>
      </c>
      <c r="BV82" s="375"/>
      <c r="BW82" s="7"/>
      <c r="BX82" s="375"/>
      <c r="BY82" s="7"/>
      <c r="BZ82" s="375">
        <f>+BT82+BV82+BX82</f>
        <v>0</v>
      </c>
      <c r="CA82" s="7"/>
      <c r="CB82" s="375">
        <f>+BV82+BX82+BZ82</f>
        <v>0</v>
      </c>
      <c r="CC82" s="7">
        <f t="shared" si="158"/>
        <v>0</v>
      </c>
      <c r="CD82" s="375">
        <f t="shared" si="238"/>
        <v>0</v>
      </c>
      <c r="CE82" s="7">
        <f t="shared" si="448"/>
        <v>0</v>
      </c>
      <c r="CF82" s="375">
        <f>+BZ82+CB82+CD82</f>
        <v>0</v>
      </c>
      <c r="CG82" s="7">
        <f t="shared" si="449"/>
        <v>0</v>
      </c>
      <c r="CH82" s="375">
        <f>+CB82+CD82+CF82</f>
        <v>0</v>
      </c>
      <c r="CI82" s="7">
        <f t="shared" si="449"/>
        <v>0</v>
      </c>
      <c r="CJ82" s="375">
        <f>+CD82+CF82+CH82</f>
        <v>0</v>
      </c>
      <c r="CK82" s="7">
        <f t="shared" si="449"/>
        <v>0</v>
      </c>
      <c r="CL82" s="375">
        <f t="shared" si="517"/>
        <v>0</v>
      </c>
      <c r="CM82" s="7">
        <f t="shared" si="449"/>
        <v>0</v>
      </c>
      <c r="CN82" s="375">
        <f t="shared" si="288"/>
        <v>0</v>
      </c>
      <c r="CO82" s="7">
        <f t="shared" si="241"/>
        <v>0</v>
      </c>
      <c r="CP82" s="375">
        <v>0</v>
      </c>
      <c r="CQ82" s="7">
        <f t="shared" si="422"/>
        <v>0</v>
      </c>
      <c r="CR82" s="375">
        <f t="shared" si="518"/>
        <v>0</v>
      </c>
      <c r="CS82" s="7">
        <f t="shared" si="244"/>
        <v>0</v>
      </c>
      <c r="CT82" s="375">
        <v>0</v>
      </c>
      <c r="CU82" s="7">
        <f t="shared" si="199"/>
        <v>0</v>
      </c>
      <c r="CV82" s="375">
        <v>0</v>
      </c>
      <c r="CW82" s="7">
        <f t="shared" si="452"/>
        <v>0</v>
      </c>
      <c r="CX82" s="375">
        <f>+CV82+CT82+CP82</f>
        <v>0</v>
      </c>
      <c r="CY82" s="7">
        <f t="shared" si="424"/>
        <v>0</v>
      </c>
      <c r="CZ82" s="375">
        <f>+CD82+CL82+CX82</f>
        <v>0</v>
      </c>
      <c r="DA82" s="7">
        <f t="shared" si="453"/>
        <v>0</v>
      </c>
      <c r="DB82" s="375">
        <f>+CV82+CX82+CZ82</f>
        <v>0</v>
      </c>
      <c r="DC82" s="7">
        <f t="shared" si="250"/>
        <v>0</v>
      </c>
      <c r="DD82" s="375">
        <f>+CX82+CZ82+DB82</f>
        <v>0</v>
      </c>
      <c r="DE82" s="7">
        <f t="shared" si="250"/>
        <v>0</v>
      </c>
      <c r="DF82" s="375">
        <f>+CZ82+DB82+DD82</f>
        <v>0</v>
      </c>
      <c r="DG82" s="7">
        <f t="shared" si="250"/>
        <v>0</v>
      </c>
      <c r="DH82" s="375">
        <f t="shared" si="520"/>
        <v>0</v>
      </c>
      <c r="DI82" s="7">
        <f t="shared" si="425"/>
        <v>0</v>
      </c>
      <c r="DJ82" s="375">
        <f>+DD82+DF82+DH82</f>
        <v>0</v>
      </c>
      <c r="DK82" s="7">
        <f t="shared" si="254"/>
        <v>0</v>
      </c>
      <c r="DL82" s="375">
        <f>+DF82+DH82+DJ82</f>
        <v>0</v>
      </c>
      <c r="DM82" s="7">
        <f t="shared" si="255"/>
        <v>0</v>
      </c>
      <c r="DN82" s="375">
        <f>+DH82+DJ82+DL82</f>
        <v>0</v>
      </c>
      <c r="DO82" s="7">
        <f t="shared" si="256"/>
        <v>0</v>
      </c>
      <c r="DP82" s="375">
        <f>+DJ82+DL82+DN82</f>
        <v>0</v>
      </c>
      <c r="DQ82" s="7">
        <f t="shared" si="257"/>
        <v>0</v>
      </c>
      <c r="DR82" s="375">
        <f t="shared" si="521"/>
        <v>0</v>
      </c>
      <c r="DS82" s="7">
        <f t="shared" si="426"/>
        <v>0</v>
      </c>
      <c r="DT82" s="375">
        <f t="shared" si="259"/>
        <v>0</v>
      </c>
      <c r="DU82" s="7">
        <f t="shared" si="454"/>
        <v>0</v>
      </c>
      <c r="DV82" s="375">
        <f>+DP82+DR82+DT82</f>
        <v>0</v>
      </c>
      <c r="DW82" s="7">
        <f t="shared" si="260"/>
        <v>0</v>
      </c>
      <c r="DX82" s="375">
        <f>+DR82+DT82+DV82</f>
        <v>0</v>
      </c>
      <c r="DY82" s="7">
        <f t="shared" si="261"/>
        <v>0</v>
      </c>
      <c r="DZ82" s="375">
        <f>+DT82+DV82+DX82</f>
        <v>0</v>
      </c>
      <c r="EA82" s="7">
        <f t="shared" si="262"/>
        <v>0</v>
      </c>
      <c r="EB82" s="375">
        <f t="shared" si="522"/>
        <v>0</v>
      </c>
      <c r="EC82" s="7">
        <f t="shared" si="427"/>
        <v>0</v>
      </c>
      <c r="ED82" s="375">
        <f>+EB82+DT82</f>
        <v>0</v>
      </c>
      <c r="EE82" s="7">
        <f t="shared" si="455"/>
        <v>0</v>
      </c>
      <c r="EF82" s="375"/>
      <c r="EG82" s="7">
        <f t="shared" si="264"/>
        <v>0</v>
      </c>
      <c r="EH82" s="375"/>
      <c r="EI82" s="7">
        <f t="shared" si="265"/>
        <v>0</v>
      </c>
      <c r="EJ82" s="375"/>
      <c r="EK82" s="7">
        <f t="shared" si="266"/>
        <v>0</v>
      </c>
      <c r="EL82" s="375">
        <f t="shared" si="523"/>
        <v>0</v>
      </c>
      <c r="EM82" s="7">
        <f t="shared" si="428"/>
        <v>0</v>
      </c>
      <c r="EN82" s="375">
        <f>+EL82+ED82</f>
        <v>0</v>
      </c>
      <c r="EO82" s="7">
        <f t="shared" si="456"/>
        <v>0</v>
      </c>
      <c r="EP82" s="373"/>
      <c r="EQ82" s="373"/>
      <c r="ER82" s="373"/>
      <c r="ES82" s="373"/>
      <c r="ET82" s="375"/>
      <c r="EU82" s="7">
        <f t="shared" si="269"/>
        <v>0</v>
      </c>
      <c r="EV82" s="375"/>
      <c r="EW82" s="7">
        <f t="shared" si="270"/>
        <v>0</v>
      </c>
      <c r="EX82" s="375"/>
      <c r="EY82" s="7">
        <f t="shared" si="271"/>
        <v>0</v>
      </c>
      <c r="EZ82" s="375">
        <f t="shared" si="524"/>
        <v>0</v>
      </c>
      <c r="FA82" s="7">
        <f t="shared" si="429"/>
        <v>0</v>
      </c>
      <c r="FB82" s="375"/>
      <c r="FC82" s="7">
        <f t="shared" si="273"/>
        <v>0</v>
      </c>
      <c r="FD82" s="375"/>
      <c r="FE82" s="7">
        <f t="shared" si="200"/>
        <v>0</v>
      </c>
      <c r="FF82" s="375"/>
      <c r="FG82" s="7">
        <f t="shared" si="430"/>
        <v>0</v>
      </c>
      <c r="FH82" s="375">
        <f t="shared" si="525"/>
        <v>0</v>
      </c>
      <c r="FI82" s="7">
        <f t="shared" si="431"/>
        <v>0</v>
      </c>
      <c r="FJ82" s="375">
        <f t="shared" si="526"/>
        <v>0</v>
      </c>
      <c r="FK82" s="7">
        <f t="shared" si="459"/>
        <v>0</v>
      </c>
      <c r="FL82" s="375"/>
      <c r="FM82" s="7">
        <f t="shared" si="276"/>
        <v>0</v>
      </c>
      <c r="FN82" s="375"/>
      <c r="FO82" s="7">
        <f t="shared" si="432"/>
        <v>0</v>
      </c>
      <c r="FP82" s="375"/>
      <c r="FQ82" s="7">
        <f t="shared" si="433"/>
        <v>0</v>
      </c>
      <c r="FR82" s="375">
        <f t="shared" si="527"/>
        <v>0</v>
      </c>
      <c r="FS82" s="7">
        <f t="shared" si="434"/>
        <v>0</v>
      </c>
      <c r="FT82" s="375">
        <f t="shared" si="528"/>
        <v>0</v>
      </c>
      <c r="FU82" s="7">
        <f t="shared" si="462"/>
        <v>0</v>
      </c>
      <c r="FV82" s="375"/>
      <c r="FW82" s="7">
        <f t="shared" si="279"/>
        <v>0</v>
      </c>
      <c r="FX82" s="375"/>
      <c r="FY82" s="7">
        <f t="shared" si="435"/>
        <v>0</v>
      </c>
      <c r="FZ82" s="375"/>
      <c r="GA82" s="7">
        <f t="shared" si="436"/>
        <v>0</v>
      </c>
      <c r="GB82" s="375">
        <f t="shared" si="529"/>
        <v>0</v>
      </c>
      <c r="GC82" s="7">
        <f t="shared" si="437"/>
        <v>0</v>
      </c>
      <c r="GD82" s="375">
        <f t="shared" si="530"/>
        <v>0</v>
      </c>
      <c r="GE82" s="7">
        <f t="shared" si="465"/>
        <v>0</v>
      </c>
      <c r="GF82" s="566">
        <f t="shared" si="282"/>
        <v>0</v>
      </c>
      <c r="GG82" s="525">
        <f t="shared" si="438"/>
        <v>0</v>
      </c>
      <c r="GH82" s="528">
        <f t="shared" si="531"/>
        <v>0</v>
      </c>
      <c r="GI82" s="525">
        <f t="shared" si="439"/>
        <v>0</v>
      </c>
      <c r="GJ82" s="528"/>
      <c r="GK82" s="525">
        <f t="shared" si="440"/>
        <v>0</v>
      </c>
      <c r="GL82" s="528">
        <f t="shared" si="532"/>
        <v>0</v>
      </c>
      <c r="GM82" s="565">
        <f t="shared" si="468"/>
        <v>0</v>
      </c>
      <c r="GO82" s="586"/>
      <c r="GQ82" s="586"/>
      <c r="GT82" s="551">
        <f t="shared" si="182"/>
        <v>0</v>
      </c>
      <c r="GU82" s="551">
        <f t="shared" si="471"/>
        <v>0</v>
      </c>
      <c r="GV82" s="550">
        <f t="shared" si="441"/>
        <v>0</v>
      </c>
      <c r="GW82" s="527"/>
      <c r="GX82" s="525">
        <f t="shared" si="285"/>
        <v>0</v>
      </c>
      <c r="GY82" s="528"/>
      <c r="GZ82" s="525">
        <f t="shared" si="286"/>
        <v>0</v>
      </c>
      <c r="HA82" s="528"/>
      <c r="HB82" s="526">
        <f t="shared" si="287"/>
        <v>0</v>
      </c>
      <c r="HD82" s="527"/>
      <c r="HE82" s="525">
        <v>0</v>
      </c>
      <c r="HF82" s="528"/>
      <c r="HG82" s="525">
        <v>0</v>
      </c>
      <c r="HH82" s="528"/>
      <c r="HI82" s="526">
        <v>0</v>
      </c>
    </row>
    <row r="83" spans="1:218" ht="15" customHeight="1" outlineLevel="1">
      <c r="A83" s="386" t="s">
        <v>72</v>
      </c>
      <c r="B83" s="386" t="s">
        <v>77</v>
      </c>
      <c r="C83" s="375">
        <v>0</v>
      </c>
      <c r="D83" s="4"/>
      <c r="E83" s="375">
        <v>0</v>
      </c>
      <c r="F83" s="4"/>
      <c r="G83" s="375"/>
      <c r="H83" s="375"/>
      <c r="I83" s="4"/>
      <c r="J83" s="375"/>
      <c r="K83" s="375"/>
      <c r="L83" s="4"/>
      <c r="M83" s="375"/>
      <c r="N83" s="375">
        <v>0</v>
      </c>
      <c r="O83" s="4"/>
      <c r="P83" s="375">
        <f t="shared" si="421"/>
        <v>0</v>
      </c>
      <c r="Q83" s="375">
        <f t="shared" si="421"/>
        <v>0</v>
      </c>
      <c r="R83" s="7">
        <f t="shared" si="442"/>
        <v>0</v>
      </c>
      <c r="S83" s="375"/>
      <c r="T83" s="375"/>
      <c r="U83" s="4"/>
      <c r="V83" s="375"/>
      <c r="W83" s="375"/>
      <c r="X83" s="4"/>
      <c r="Y83" s="375"/>
      <c r="Z83" s="375"/>
      <c r="AA83" s="4"/>
      <c r="AB83" s="375">
        <f t="shared" si="224"/>
        <v>0</v>
      </c>
      <c r="AC83" s="375">
        <f t="shared" si="533"/>
        <v>0</v>
      </c>
      <c r="AD83" s="7">
        <f t="shared" si="443"/>
        <v>0</v>
      </c>
      <c r="AE83" s="375">
        <f t="shared" si="507"/>
        <v>0</v>
      </c>
      <c r="AF83" s="375">
        <f t="shared" si="508"/>
        <v>0</v>
      </c>
      <c r="AG83" s="4"/>
      <c r="AH83" s="375"/>
      <c r="AI83" s="375"/>
      <c r="AJ83" s="4"/>
      <c r="AK83" s="375"/>
      <c r="AL83" s="375"/>
      <c r="AM83" s="4"/>
      <c r="AN83" s="375"/>
      <c r="AO83" s="375"/>
      <c r="AP83" s="4"/>
      <c r="AQ83" s="375">
        <f t="shared" si="509"/>
        <v>0</v>
      </c>
      <c r="AR83" s="375">
        <f t="shared" si="510"/>
        <v>0</v>
      </c>
      <c r="AS83" s="7">
        <f t="shared" si="444"/>
        <v>0</v>
      </c>
      <c r="AT83" s="375">
        <f t="shared" si="511"/>
        <v>0</v>
      </c>
      <c r="AU83" s="4"/>
      <c r="AV83" s="375"/>
      <c r="AW83" s="375"/>
      <c r="AX83" s="4"/>
      <c r="AY83" s="375"/>
      <c r="AZ83" s="375"/>
      <c r="BA83" s="4"/>
      <c r="BB83" s="375"/>
      <c r="BC83" s="375"/>
      <c r="BD83" s="448"/>
      <c r="BE83" s="375">
        <f t="shared" si="512"/>
        <v>0</v>
      </c>
      <c r="BF83" s="375">
        <f t="shared" si="513"/>
        <v>0</v>
      </c>
      <c r="BG83" s="7">
        <f t="shared" si="445"/>
        <v>0</v>
      </c>
      <c r="BH83" s="375">
        <f t="shared" si="514"/>
        <v>0</v>
      </c>
      <c r="BI83" s="388">
        <f t="shared" si="515"/>
        <v>0</v>
      </c>
      <c r="BJ83" s="7">
        <f t="shared" si="446"/>
        <v>0</v>
      </c>
      <c r="BK83" s="375"/>
      <c r="BL83" s="282"/>
      <c r="BM83" s="378"/>
      <c r="BN83" s="375"/>
      <c r="BO83" s="4"/>
      <c r="BP83" s="375"/>
      <c r="BQ83" s="4"/>
      <c r="BR83" s="375"/>
      <c r="BS83" s="4"/>
      <c r="BT83" s="375">
        <f t="shared" si="516"/>
        <v>0</v>
      </c>
      <c r="BU83" s="7">
        <f t="shared" si="447"/>
        <v>0</v>
      </c>
      <c r="BV83" s="375"/>
      <c r="BW83" s="7"/>
      <c r="BX83" s="375"/>
      <c r="BY83" s="7"/>
      <c r="BZ83" s="375">
        <f>+BT83+BV83+BX83</f>
        <v>0</v>
      </c>
      <c r="CA83" s="7"/>
      <c r="CB83" s="375">
        <f>+BV83+BX83+BZ83</f>
        <v>0</v>
      </c>
      <c r="CC83" s="7">
        <f t="shared" si="158"/>
        <v>0</v>
      </c>
      <c r="CD83" s="375">
        <f t="shared" si="238"/>
        <v>0</v>
      </c>
      <c r="CE83" s="7">
        <f t="shared" si="448"/>
        <v>0</v>
      </c>
      <c r="CF83" s="375">
        <f>+BZ83+CB83+CD83</f>
        <v>0</v>
      </c>
      <c r="CG83" s="7">
        <f t="shared" si="449"/>
        <v>0</v>
      </c>
      <c r="CH83" s="375">
        <f>+CB83+CD83+CF83</f>
        <v>0</v>
      </c>
      <c r="CI83" s="7">
        <f t="shared" si="449"/>
        <v>0</v>
      </c>
      <c r="CJ83" s="375">
        <f>+CD83+CF83+CH83</f>
        <v>0</v>
      </c>
      <c r="CK83" s="7">
        <f t="shared" si="449"/>
        <v>0</v>
      </c>
      <c r="CL83" s="375">
        <f t="shared" si="517"/>
        <v>0</v>
      </c>
      <c r="CM83" s="7">
        <f t="shared" si="449"/>
        <v>0</v>
      </c>
      <c r="CN83" s="375">
        <f t="shared" si="288"/>
        <v>0</v>
      </c>
      <c r="CO83" s="7">
        <f t="shared" si="241"/>
        <v>0</v>
      </c>
      <c r="CP83" s="375">
        <v>0</v>
      </c>
      <c r="CQ83" s="7">
        <f t="shared" si="422"/>
        <v>0</v>
      </c>
      <c r="CR83" s="375">
        <f t="shared" si="518"/>
        <v>0</v>
      </c>
      <c r="CS83" s="7">
        <f t="shared" si="244"/>
        <v>0</v>
      </c>
      <c r="CT83" s="375">
        <v>0</v>
      </c>
      <c r="CU83" s="7">
        <f t="shared" si="199"/>
        <v>0</v>
      </c>
      <c r="CV83" s="375">
        <v>0</v>
      </c>
      <c r="CW83" s="7">
        <f t="shared" si="452"/>
        <v>0</v>
      </c>
      <c r="CX83" s="375">
        <f>+CV83+CT83+CP83</f>
        <v>0</v>
      </c>
      <c r="CY83" s="7">
        <f t="shared" si="424"/>
        <v>0</v>
      </c>
      <c r="CZ83" s="375">
        <f>+CD83+CL83+CX83</f>
        <v>0</v>
      </c>
      <c r="DA83" s="7">
        <f t="shared" si="453"/>
        <v>0</v>
      </c>
      <c r="DB83" s="375">
        <f>+CV83+CX83+CZ83</f>
        <v>0</v>
      </c>
      <c r="DC83" s="7">
        <f t="shared" si="250"/>
        <v>0</v>
      </c>
      <c r="DD83" s="375">
        <f>+CX83+CZ83+DB83</f>
        <v>0</v>
      </c>
      <c r="DE83" s="7">
        <f t="shared" si="250"/>
        <v>0</v>
      </c>
      <c r="DF83" s="375">
        <f>+CZ83+DB83+DD83</f>
        <v>0</v>
      </c>
      <c r="DG83" s="7">
        <f t="shared" si="250"/>
        <v>0</v>
      </c>
      <c r="DH83" s="375">
        <f t="shared" si="520"/>
        <v>0</v>
      </c>
      <c r="DI83" s="7">
        <f t="shared" si="425"/>
        <v>0</v>
      </c>
      <c r="DJ83" s="375">
        <f>+DD83+DF83+DH83</f>
        <v>0</v>
      </c>
      <c r="DK83" s="7">
        <f t="shared" si="254"/>
        <v>0</v>
      </c>
      <c r="DL83" s="375">
        <f>+DF83+DH83+DJ83</f>
        <v>0</v>
      </c>
      <c r="DM83" s="7">
        <f t="shared" si="255"/>
        <v>0</v>
      </c>
      <c r="DN83" s="375">
        <f>+DH83+DJ83+DL83</f>
        <v>0</v>
      </c>
      <c r="DO83" s="7">
        <f t="shared" si="256"/>
        <v>0</v>
      </c>
      <c r="DP83" s="375">
        <f>+DJ83+DL83+DN83</f>
        <v>0</v>
      </c>
      <c r="DQ83" s="7">
        <f t="shared" si="257"/>
        <v>0</v>
      </c>
      <c r="DR83" s="375">
        <f t="shared" si="521"/>
        <v>0</v>
      </c>
      <c r="DS83" s="7">
        <f t="shared" si="426"/>
        <v>0</v>
      </c>
      <c r="DT83" s="375">
        <f t="shared" si="259"/>
        <v>0</v>
      </c>
      <c r="DU83" s="7">
        <f t="shared" si="454"/>
        <v>0</v>
      </c>
      <c r="DV83" s="375">
        <f>+DP83+DR83+DT83</f>
        <v>0</v>
      </c>
      <c r="DW83" s="7">
        <f t="shared" si="260"/>
        <v>0</v>
      </c>
      <c r="DX83" s="375">
        <f>+DR83+DT83+DV83</f>
        <v>0</v>
      </c>
      <c r="DY83" s="7">
        <f t="shared" si="261"/>
        <v>0</v>
      </c>
      <c r="DZ83" s="375">
        <f>+DT83+DV83+DX83</f>
        <v>0</v>
      </c>
      <c r="EA83" s="7">
        <f t="shared" si="262"/>
        <v>0</v>
      </c>
      <c r="EB83" s="375">
        <f t="shared" si="522"/>
        <v>0</v>
      </c>
      <c r="EC83" s="7">
        <f t="shared" si="427"/>
        <v>0</v>
      </c>
      <c r="ED83" s="375">
        <f>+EB83+DT83</f>
        <v>0</v>
      </c>
      <c r="EE83" s="7">
        <f t="shared" si="455"/>
        <v>0</v>
      </c>
      <c r="EF83" s="375"/>
      <c r="EG83" s="7">
        <f t="shared" si="264"/>
        <v>0</v>
      </c>
      <c r="EH83" s="375"/>
      <c r="EI83" s="7">
        <f t="shared" si="265"/>
        <v>0</v>
      </c>
      <c r="EJ83" s="375"/>
      <c r="EK83" s="7">
        <f t="shared" si="266"/>
        <v>0</v>
      </c>
      <c r="EL83" s="375">
        <f t="shared" si="523"/>
        <v>0</v>
      </c>
      <c r="EM83" s="7">
        <f t="shared" si="428"/>
        <v>0</v>
      </c>
      <c r="EN83" s="375">
        <f>+EL83+ED83</f>
        <v>0</v>
      </c>
      <c r="EO83" s="7">
        <f t="shared" si="456"/>
        <v>0</v>
      </c>
      <c r="EP83" s="373"/>
      <c r="EQ83" s="373"/>
      <c r="ER83" s="373"/>
      <c r="ES83" s="373"/>
      <c r="ET83" s="375"/>
      <c r="EU83" s="7">
        <f t="shared" si="269"/>
        <v>0</v>
      </c>
      <c r="EV83" s="375"/>
      <c r="EW83" s="7">
        <f t="shared" si="270"/>
        <v>0</v>
      </c>
      <c r="EX83" s="375"/>
      <c r="EY83" s="7">
        <f t="shared" si="271"/>
        <v>0</v>
      </c>
      <c r="EZ83" s="375">
        <f t="shared" si="524"/>
        <v>0</v>
      </c>
      <c r="FA83" s="7">
        <f t="shared" si="429"/>
        <v>0</v>
      </c>
      <c r="FB83" s="375"/>
      <c r="FC83" s="7">
        <f t="shared" si="273"/>
        <v>0</v>
      </c>
      <c r="FD83" s="375"/>
      <c r="FE83" s="7">
        <f t="shared" si="200"/>
        <v>0</v>
      </c>
      <c r="FF83" s="375"/>
      <c r="FG83" s="7">
        <f t="shared" si="430"/>
        <v>0</v>
      </c>
      <c r="FH83" s="375">
        <f t="shared" si="525"/>
        <v>0</v>
      </c>
      <c r="FI83" s="7">
        <f t="shared" si="431"/>
        <v>0</v>
      </c>
      <c r="FJ83" s="375">
        <f t="shared" si="526"/>
        <v>0</v>
      </c>
      <c r="FK83" s="7">
        <f t="shared" si="459"/>
        <v>0</v>
      </c>
      <c r="FL83" s="375"/>
      <c r="FM83" s="7">
        <f t="shared" si="276"/>
        <v>0</v>
      </c>
      <c r="FN83" s="375"/>
      <c r="FO83" s="7">
        <f t="shared" si="432"/>
        <v>0</v>
      </c>
      <c r="FP83" s="375"/>
      <c r="FQ83" s="7">
        <f t="shared" si="433"/>
        <v>0</v>
      </c>
      <c r="FR83" s="375">
        <f t="shared" si="527"/>
        <v>0</v>
      </c>
      <c r="FS83" s="7">
        <f t="shared" si="434"/>
        <v>0</v>
      </c>
      <c r="FT83" s="375">
        <f t="shared" si="528"/>
        <v>0</v>
      </c>
      <c r="FU83" s="7">
        <f t="shared" si="462"/>
        <v>0</v>
      </c>
      <c r="FV83" s="375"/>
      <c r="FW83" s="7">
        <f t="shared" si="279"/>
        <v>0</v>
      </c>
      <c r="FX83" s="375"/>
      <c r="FY83" s="7">
        <f t="shared" si="435"/>
        <v>0</v>
      </c>
      <c r="FZ83" s="375"/>
      <c r="GA83" s="7">
        <f t="shared" si="436"/>
        <v>0</v>
      </c>
      <c r="GB83" s="375">
        <f t="shared" si="529"/>
        <v>0</v>
      </c>
      <c r="GC83" s="7">
        <f t="shared" si="437"/>
        <v>0</v>
      </c>
      <c r="GD83" s="375">
        <f t="shared" si="530"/>
        <v>0</v>
      </c>
      <c r="GE83" s="7">
        <f t="shared" si="465"/>
        <v>0</v>
      </c>
      <c r="GF83" s="566">
        <f t="shared" si="282"/>
        <v>0</v>
      </c>
      <c r="GG83" s="525">
        <f t="shared" si="438"/>
        <v>0</v>
      </c>
      <c r="GH83" s="528">
        <f t="shared" si="531"/>
        <v>0</v>
      </c>
      <c r="GI83" s="525">
        <f t="shared" si="439"/>
        <v>0</v>
      </c>
      <c r="GJ83" s="528"/>
      <c r="GK83" s="525">
        <f t="shared" si="440"/>
        <v>0</v>
      </c>
      <c r="GL83" s="528">
        <f t="shared" si="532"/>
        <v>0</v>
      </c>
      <c r="GM83" s="565">
        <f t="shared" si="468"/>
        <v>0</v>
      </c>
      <c r="GO83" s="586"/>
      <c r="GQ83" s="586"/>
      <c r="GT83" s="551">
        <f t="shared" si="182"/>
        <v>0</v>
      </c>
      <c r="GU83" s="551">
        <f t="shared" si="471"/>
        <v>0</v>
      </c>
      <c r="GV83" s="550">
        <f t="shared" si="441"/>
        <v>0</v>
      </c>
      <c r="GW83" s="527"/>
      <c r="GX83" s="525">
        <f t="shared" si="285"/>
        <v>0</v>
      </c>
      <c r="GY83" s="528"/>
      <c r="GZ83" s="525">
        <f t="shared" si="286"/>
        <v>0</v>
      </c>
      <c r="HA83" s="528"/>
      <c r="HB83" s="526">
        <f t="shared" si="287"/>
        <v>0</v>
      </c>
      <c r="HD83" s="527"/>
      <c r="HE83" s="525">
        <v>0</v>
      </c>
      <c r="HF83" s="528"/>
      <c r="HG83" s="525">
        <v>0</v>
      </c>
      <c r="HH83" s="528"/>
      <c r="HI83" s="526">
        <v>0</v>
      </c>
    </row>
    <row r="84" spans="1:218">
      <c r="A84" s="386" t="s">
        <v>72</v>
      </c>
      <c r="B84" s="386"/>
      <c r="C84" s="389">
        <f>SUM(C79:C83)</f>
        <v>-999309.56</v>
      </c>
      <c r="D84" s="4"/>
      <c r="E84" s="389">
        <f>SUM(E79:E83)</f>
        <v>-250037.46</v>
      </c>
      <c r="F84" s="4"/>
      <c r="G84" s="389">
        <f>SUM(G79:G83)</f>
        <v>0</v>
      </c>
      <c r="H84" s="389">
        <f>SUM(H79:H83)</f>
        <v>-37175</v>
      </c>
      <c r="I84" s="4"/>
      <c r="J84" s="389">
        <f>SUM(J79:J83)</f>
        <v>0</v>
      </c>
      <c r="K84" s="389">
        <f>SUM(K79:K83)</f>
        <v>-37157.5</v>
      </c>
      <c r="L84" s="4"/>
      <c r="M84" s="389">
        <f>SUM(M79:M83)</f>
        <v>0</v>
      </c>
      <c r="N84" s="389">
        <f>SUM(N79:N83)</f>
        <v>-51943.67</v>
      </c>
      <c r="O84" s="4"/>
      <c r="P84" s="389">
        <f t="shared" si="421"/>
        <v>0</v>
      </c>
      <c r="Q84" s="389">
        <f t="shared" si="421"/>
        <v>-126276.17</v>
      </c>
      <c r="R84" s="7">
        <f t="shared" si="442"/>
        <v>-3.4721706173268334E-3</v>
      </c>
      <c r="S84" s="389">
        <f>SUM(S79:S83)</f>
        <v>-59487.5</v>
      </c>
      <c r="T84" s="389">
        <f>SUM(T79:T83)</f>
        <v>-59487.5</v>
      </c>
      <c r="U84" s="4"/>
      <c r="V84" s="389">
        <f>SUM(V79:V83)</f>
        <v>-13022.419999999998</v>
      </c>
      <c r="W84" s="389">
        <f>SUM(W79:W83)</f>
        <v>-13022.419999999998</v>
      </c>
      <c r="X84" s="4"/>
      <c r="Y84" s="389">
        <f>SUM(Y79:Y83)</f>
        <v>69039.33</v>
      </c>
      <c r="Z84" s="389">
        <f>SUM(Z79:Z83)</f>
        <v>69039.33</v>
      </c>
      <c r="AA84" s="4"/>
      <c r="AB84" s="389">
        <f>SUM(AB79:AB83)</f>
        <v>-3470.5899999999965</v>
      </c>
      <c r="AC84" s="389">
        <f>SUM(AC79:AC83)</f>
        <v>-3470.5899999999965</v>
      </c>
      <c r="AD84" s="7">
        <f t="shared" si="443"/>
        <v>-9.3578842284914007E-5</v>
      </c>
      <c r="AE84" s="389">
        <f>SUM(AE79:AE83)</f>
        <v>-129746.76</v>
      </c>
      <c r="AF84" s="389">
        <f>SUM(AF79:AF83)</f>
        <v>-129746.76</v>
      </c>
      <c r="AG84" s="4"/>
      <c r="AH84" s="389">
        <f>SUM(AH79:AH83)</f>
        <v>-51935.67</v>
      </c>
      <c r="AI84" s="389">
        <f>SUM(AI79:AI83)</f>
        <v>-51935.67</v>
      </c>
      <c r="AJ84" s="4"/>
      <c r="AK84" s="389">
        <f>SUM(AK79:AK83)</f>
        <v>-68571.239999999991</v>
      </c>
      <c r="AL84" s="389">
        <f>SUM(AL79:AL83)</f>
        <v>-68571.239999999991</v>
      </c>
      <c r="AM84" s="4"/>
      <c r="AN84" s="389">
        <f>SUM(AN79:AN83)</f>
        <v>-44757.67</v>
      </c>
      <c r="AO84" s="389">
        <f>SUM(AO79:AO83)</f>
        <v>-44757.67</v>
      </c>
      <c r="AP84" s="4"/>
      <c r="AQ84" s="389">
        <f>SUM(AQ79:AQ83)</f>
        <v>-165264.57999999999</v>
      </c>
      <c r="AR84" s="389">
        <f>SUM(AR79:AR83)</f>
        <v>-165264.57999999999</v>
      </c>
      <c r="AS84" s="7">
        <f t="shared" si="444"/>
        <v>-6.2076701035360306E-3</v>
      </c>
      <c r="AT84" s="389">
        <f>SUM(AT79:AT83)</f>
        <v>-295011.33999999997</v>
      </c>
      <c r="AU84" s="4"/>
      <c r="AV84" s="389">
        <f>SUM(AV79:AV83)</f>
        <v>0</v>
      </c>
      <c r="AW84" s="389">
        <f>SUM(AW79:AW83)</f>
        <v>-43810.67</v>
      </c>
      <c r="AX84" s="4"/>
      <c r="AY84" s="389">
        <f>SUM(AY79:AY83)</f>
        <v>0</v>
      </c>
      <c r="AZ84" s="389">
        <f>SUM(AZ79:AZ83)</f>
        <v>-71922.67</v>
      </c>
      <c r="BA84" s="4"/>
      <c r="BB84" s="389">
        <f>SUM(BB79:BB83)</f>
        <v>0</v>
      </c>
      <c r="BC84" s="389">
        <f>SUM(BC79:BC83)</f>
        <v>-48394.67</v>
      </c>
      <c r="BD84" s="448"/>
      <c r="BE84" s="389">
        <f>SUM(BE79:BE83)</f>
        <v>0</v>
      </c>
      <c r="BF84" s="389">
        <f>SUM(BF79:BF83)</f>
        <v>-164128.01</v>
      </c>
      <c r="BG84" s="7">
        <f t="shared" si="445"/>
        <v>-5.2270620464803684E-3</v>
      </c>
      <c r="BH84" s="389">
        <f>SUM(BH79:BH83)</f>
        <v>-295011.33999999997</v>
      </c>
      <c r="BI84" s="389">
        <f>SUM(BI79:BI83)</f>
        <v>-459139.35</v>
      </c>
      <c r="BJ84" s="7">
        <f t="shared" si="446"/>
        <v>-3.4921455732747331E-3</v>
      </c>
      <c r="BK84" s="389">
        <v>-535000</v>
      </c>
      <c r="BL84" s="282"/>
      <c r="BM84" s="378">
        <v>-535000</v>
      </c>
      <c r="BN84" s="389">
        <f>SUM(BN79:BN83)</f>
        <v>-20950</v>
      </c>
      <c r="BO84" s="4"/>
      <c r="BP84" s="389">
        <f>SUM(BP79:BP83)</f>
        <v>-333232.75</v>
      </c>
      <c r="BQ84" s="4"/>
      <c r="BR84" s="389">
        <f>SUM(BR79:BR83)</f>
        <v>229599.59</v>
      </c>
      <c r="BS84" s="4"/>
      <c r="BT84" s="389">
        <f>SUM(BT79:BT83)</f>
        <v>-124583.16</v>
      </c>
      <c r="BU84" s="7">
        <f t="shared" si="447"/>
        <v>-2.2979250689579853E-3</v>
      </c>
      <c r="BV84" s="389">
        <f>SUM(BV79:BV83)</f>
        <v>-119675</v>
      </c>
      <c r="BW84" s="7"/>
      <c r="BX84" s="389">
        <f>SUM(BX79:BX83)</f>
        <v>-113772.65</v>
      </c>
      <c r="BY84" s="7"/>
      <c r="BZ84" s="389">
        <f>SUM(BZ79:BZ83)</f>
        <v>-142012.88</v>
      </c>
      <c r="CA84" s="7"/>
      <c r="CB84" s="389">
        <f>SUM(CB79:CB83)</f>
        <v>-375460.52999999997</v>
      </c>
      <c r="CC84" s="7">
        <f t="shared" ref="CC84:CC147" si="534">+CB84/CB$8</f>
        <v>-1.0964602038375633E-2</v>
      </c>
      <c r="CD84" s="389">
        <f>SUM(CD79:CD83)</f>
        <v>-500043.69</v>
      </c>
      <c r="CE84" s="7">
        <f t="shared" si="448"/>
        <v>-5.6528638359107418E-3</v>
      </c>
      <c r="CF84" s="389">
        <f>SUM(CF79:CF83)</f>
        <v>-43214.32</v>
      </c>
      <c r="CG84" s="7">
        <f t="shared" si="449"/>
        <v>-8.5557759543691096E-3</v>
      </c>
      <c r="CH84" s="389">
        <f>SUM(CH79:CH83)</f>
        <v>-38127.72</v>
      </c>
      <c r="CI84" s="7">
        <f t="shared" si="449"/>
        <v>-1.028249842782039E-3</v>
      </c>
      <c r="CJ84" s="389">
        <f>SUM(CJ79:CJ83)</f>
        <v>-39538.57</v>
      </c>
      <c r="CK84" s="7">
        <f t="shared" si="449"/>
        <v>-1.4039545284453702E-3</v>
      </c>
      <c r="CL84" s="389">
        <f>SUM(CL79:CL83)</f>
        <v>-120880.61</v>
      </c>
      <c r="CM84" s="7">
        <f t="shared" si="449"/>
        <v>-1.7196582549727827E-3</v>
      </c>
      <c r="CN84" s="389">
        <f>SUM(CN79:CN83)</f>
        <v>-620924.30000000005</v>
      </c>
      <c r="CO84" s="7">
        <f t="shared" si="241"/>
        <v>-3.9112883060739394E-3</v>
      </c>
      <c r="CP84" s="389">
        <f>SUM(CP79:CP83)</f>
        <v>-38686</v>
      </c>
      <c r="CQ84" s="7">
        <f t="shared" si="422"/>
        <v>-1.9747734549167614E-3</v>
      </c>
      <c r="CR84" s="389">
        <f>SUM(CR79:CR83)</f>
        <v>-659610.30000000005</v>
      </c>
      <c r="CS84" s="7">
        <f t="shared" si="244"/>
        <v>-3.6985704970972457E-3</v>
      </c>
      <c r="CT84" s="389">
        <f t="shared" ref="CT84" si="535">SUM(CT79:CT83)</f>
        <v>-39666.759999999995</v>
      </c>
      <c r="CU84" s="7">
        <f t="shared" si="199"/>
        <v>-2.5322530390215927E-3</v>
      </c>
      <c r="CV84" s="389">
        <f t="shared" ref="CV84" si="536">SUM(CV79:CV83)</f>
        <v>-43353.240000000005</v>
      </c>
      <c r="CW84" s="7">
        <f t="shared" si="452"/>
        <v>-6.9286515170550447E-4</v>
      </c>
      <c r="CX84" s="389">
        <f>SUM(CX79:CX83)</f>
        <v>-121706</v>
      </c>
      <c r="CY84" s="7">
        <f t="shared" si="424"/>
        <v>-1.2441110803284956E-3</v>
      </c>
      <c r="CZ84" s="389">
        <f>SUM(CZ79:CZ83)</f>
        <v>-742630.3</v>
      </c>
      <c r="DA84" s="7">
        <f t="shared" si="453"/>
        <v>-2.8943699599270818E-3</v>
      </c>
      <c r="DB84" s="389">
        <f>SUM(DB79:DB83)</f>
        <v>-12410</v>
      </c>
      <c r="DC84" s="7">
        <f t="shared" si="250"/>
        <v>-6.4647846326257752E-4</v>
      </c>
      <c r="DD84" s="389">
        <f>SUM(DD79:DD83)</f>
        <v>-12410</v>
      </c>
      <c r="DE84" s="7">
        <f t="shared" si="250"/>
        <v>-4.7791040736363367E-4</v>
      </c>
      <c r="DF84" s="389">
        <f>SUM(DF79:DF83)</f>
        <v>-69880</v>
      </c>
      <c r="DG84" s="7">
        <f t="shared" si="250"/>
        <v>-2.2527257965213451E-3</v>
      </c>
      <c r="DH84" s="389">
        <f>SUM(DH79:DH83)</f>
        <v>-94700</v>
      </c>
      <c r="DI84" s="7">
        <f t="shared" si="425"/>
        <v>-1.2430477835489637E-3</v>
      </c>
      <c r="DJ84" s="389">
        <f>SUM(DJ79:DJ83)</f>
        <v>-37230</v>
      </c>
      <c r="DK84" s="7">
        <f t="shared" si="254"/>
        <v>-7.0787422536092073E-4</v>
      </c>
      <c r="DL84" s="389">
        <f>SUM(DL79:DL83)</f>
        <v>-26369.5</v>
      </c>
      <c r="DM84" s="7">
        <f t="shared" si="255"/>
        <v>-3.0400682517371207E-3</v>
      </c>
      <c r="DN84" s="389">
        <f>SUM(DN79:DN83)</f>
        <v>-14584</v>
      </c>
      <c r="DO84" s="7">
        <f t="shared" si="256"/>
        <v>-8.4985074647774309E-4</v>
      </c>
      <c r="DP84" s="389">
        <f>SUM(DP79:DP83)</f>
        <v>-12934.4</v>
      </c>
      <c r="DQ84" s="7">
        <f t="shared" si="257"/>
        <v>-1.5415437011973452E-4</v>
      </c>
      <c r="DR84" s="389">
        <f>SUM(DR79:DR83)</f>
        <v>-53887.9</v>
      </c>
      <c r="DS84" s="7">
        <f t="shared" si="426"/>
        <v>-4.9105000984887512E-4</v>
      </c>
      <c r="DT84" s="389">
        <f>SUM(DT79:DT83)</f>
        <v>-148587.9</v>
      </c>
      <c r="DU84" s="7">
        <f t="shared" si="454"/>
        <v>-7.9918681547622595E-4</v>
      </c>
      <c r="DV84" s="389">
        <f>SUM(DV79:DV83)</f>
        <v>-99567.54</v>
      </c>
      <c r="DW84" s="7">
        <f t="shared" si="260"/>
        <v>-2.1874657358321305E-3</v>
      </c>
      <c r="DX84" s="389">
        <f>SUM(DX79:DX83)</f>
        <v>-54284.89</v>
      </c>
      <c r="DY84" s="7">
        <f t="shared" si="261"/>
        <v>-2.0997956491830348E-3</v>
      </c>
      <c r="DZ84" s="389">
        <f>SUM(DZ79:DZ83)</f>
        <v>-13226</v>
      </c>
      <c r="EA84" s="7">
        <f t="shared" si="262"/>
        <v>-1.081055548516107E-4</v>
      </c>
      <c r="EB84" s="389">
        <f>SUM(EB79:EB83)</f>
        <v>-167078.43</v>
      </c>
      <c r="EC84" s="7">
        <f t="shared" si="427"/>
        <v>-8.6250430231879721E-4</v>
      </c>
      <c r="ED84" s="389">
        <f>SUM(ED79:ED83)</f>
        <v>-315666.32999999996</v>
      </c>
      <c r="EE84" s="7">
        <f t="shared" si="455"/>
        <v>-8.3149512466457426E-4</v>
      </c>
      <c r="EF84" s="389">
        <f>SUM(EF79:EF83)</f>
        <v>-362446.49</v>
      </c>
      <c r="EG84" s="7">
        <f t="shared" si="264"/>
        <v>-2.4528270800081003E-2</v>
      </c>
      <c r="EH84" s="389">
        <f>SUM(EH79:EH83)</f>
        <v>-16358</v>
      </c>
      <c r="EI84" s="7">
        <f t="shared" si="265"/>
        <v>-1.2831155459880083E-3</v>
      </c>
      <c r="EJ84" s="389">
        <f>SUM(EJ79:EJ83)</f>
        <v>-12410</v>
      </c>
      <c r="EK84" s="7">
        <f t="shared" si="266"/>
        <v>-7.9468229290344882E-5</v>
      </c>
      <c r="EL84" s="389">
        <f>SUM(EL79:EL83)</f>
        <v>-391214.49</v>
      </c>
      <c r="EM84" s="7">
        <f t="shared" si="428"/>
        <v>-2.1297726972011209E-3</v>
      </c>
      <c r="EN84" s="389">
        <f>SUM(EN79:EN83)</f>
        <v>-706880.82000000007</v>
      </c>
      <c r="EO84" s="7">
        <f t="shared" si="456"/>
        <v>-1.2548357055437156E-3</v>
      </c>
      <c r="EP84" s="373"/>
      <c r="EQ84" s="373"/>
      <c r="ER84" s="373"/>
      <c r="ES84" s="373"/>
      <c r="ET84" s="389">
        <f>SUM(ET79:ET83)</f>
        <v>-655.39999999999964</v>
      </c>
      <c r="EU84" s="7">
        <f t="shared" si="269"/>
        <v>-8.8856720183245225E-5</v>
      </c>
      <c r="EV84" s="389">
        <f>SUM(EV79:EV83)</f>
        <v>-14147</v>
      </c>
      <c r="EW84" s="7">
        <f t="shared" si="270"/>
        <v>-2.3213038147389987E-3</v>
      </c>
      <c r="EX84" s="389">
        <f>SUM(EX79:EX83)</f>
        <v>-17474.93</v>
      </c>
      <c r="EY84" s="7">
        <f t="shared" si="271"/>
        <v>-7.654804220179131E-5</v>
      </c>
      <c r="EZ84" s="389">
        <f>SUM(EZ79:EZ83)</f>
        <v>-32277.33</v>
      </c>
      <c r="FA84" s="7">
        <f t="shared" si="429"/>
        <v>-1.3351122140217169E-4</v>
      </c>
      <c r="FB84" s="389">
        <f>SUM(FB79:FB83)</f>
        <v>-23749</v>
      </c>
      <c r="FC84" s="7">
        <f t="shared" si="273"/>
        <v>-2.6207373064637113E-3</v>
      </c>
      <c r="FD84" s="389">
        <f t="shared" ref="FD84" si="537">SUM(FD79:FD83)</f>
        <v>-15489</v>
      </c>
      <c r="FE84" s="7">
        <f t="shared" si="200"/>
        <v>-1.4715868244828516E-4</v>
      </c>
      <c r="FF84" s="389">
        <f t="shared" ref="FF84" si="538">SUM(FF79:FF83)</f>
        <v>-343035.39</v>
      </c>
      <c r="FG84" s="7">
        <f t="shared" si="430"/>
        <v>-2.1348736000473298E-3</v>
      </c>
      <c r="FH84" s="389">
        <f>SUM(FH79:FH83)</f>
        <v>-382273.39</v>
      </c>
      <c r="FI84" s="7">
        <f t="shared" si="431"/>
        <v>-1.3900976469598228E-3</v>
      </c>
      <c r="FJ84" s="389">
        <f>SUM(FJ79:FJ83)</f>
        <v>-414550.72000000003</v>
      </c>
      <c r="FK84" s="7">
        <f t="shared" si="459"/>
        <v>-8.0221917080958638E-4</v>
      </c>
      <c r="FL84" s="389">
        <f>SUM(FL79:FL83)</f>
        <v>-15659</v>
      </c>
      <c r="FM84" s="7">
        <f t="shared" si="276"/>
        <v>-1.4320972100159996E-3</v>
      </c>
      <c r="FN84" s="389">
        <f t="shared" ref="FN84" si="539">SUM(FN79:FN83)</f>
        <v>-17910</v>
      </c>
      <c r="FO84" s="7">
        <f t="shared" si="432"/>
        <v>-3.7484107005476336E-3</v>
      </c>
      <c r="FP84" s="389">
        <f t="shared" ref="FP84" si="540">SUM(FP79:FP83)</f>
        <v>-26112.3</v>
      </c>
      <c r="FQ84" s="7">
        <f t="shared" si="433"/>
        <v>-9.4390033001867551E-5</v>
      </c>
      <c r="FR84" s="389">
        <f>SUM(FR79:FR83)</f>
        <v>-59681.3</v>
      </c>
      <c r="FS84" s="7">
        <f t="shared" si="434"/>
        <v>-2.0413990353499426E-4</v>
      </c>
      <c r="FT84" s="389">
        <f>SUM(FT79:FT83)</f>
        <v>-474232.02</v>
      </c>
      <c r="FU84" s="7">
        <f t="shared" si="462"/>
        <v>-5.8611575250561707E-4</v>
      </c>
      <c r="FV84" s="389">
        <f>SUM(FV79:FV83)</f>
        <v>-14997</v>
      </c>
      <c r="FW84" s="7">
        <f t="shared" si="279"/>
        <v>-5.404336019112719E-4</v>
      </c>
      <c r="FX84" s="389">
        <f t="shared" ref="FX84" si="541">SUM(FX79:FX83)</f>
        <v>-15853</v>
      </c>
      <c r="FY84" s="7">
        <f t="shared" si="435"/>
        <v>-6.1753729161061807E-4</v>
      </c>
      <c r="FZ84" s="389">
        <f t="shared" ref="FZ84" si="542">SUM(FZ79:FZ83)</f>
        <v>-241234.40999999997</v>
      </c>
      <c r="GA84" s="7">
        <f t="shared" si="436"/>
        <v>-8.3440533740678532E-4</v>
      </c>
      <c r="GB84" s="389">
        <f>SUM(GB79:GB83)</f>
        <v>-272084.40999999997</v>
      </c>
      <c r="GC84" s="7">
        <f t="shared" si="437"/>
        <v>-7.9433596511226481E-4</v>
      </c>
      <c r="GD84" s="389">
        <f>SUM(GD79:GD83)</f>
        <v>-746316.42999999993</v>
      </c>
      <c r="GE84" s="7">
        <f t="shared" si="465"/>
        <v>-6.4804636788079223E-4</v>
      </c>
      <c r="GF84" s="567">
        <f t="shared" ref="GF84:GH84" si="543">SUM(GF79:GF83)</f>
        <v>0</v>
      </c>
      <c r="GG84" s="525">
        <f t="shared" si="438"/>
        <v>0</v>
      </c>
      <c r="GH84" s="530">
        <f t="shared" si="543"/>
        <v>0</v>
      </c>
      <c r="GI84" s="525">
        <f t="shared" si="439"/>
        <v>0</v>
      </c>
      <c r="GJ84" s="530">
        <f t="shared" ref="GJ84" si="544">SUM(GJ79:GJ83)</f>
        <v>0</v>
      </c>
      <c r="GK84" s="525">
        <f t="shared" si="440"/>
        <v>0</v>
      </c>
      <c r="GL84" s="530">
        <f>SUM(GL79:GL83)</f>
        <v>-746316.42999999993</v>
      </c>
      <c r="GM84" s="565">
        <f t="shared" si="468"/>
        <v>-6.440227028615532E-4</v>
      </c>
      <c r="GO84" s="587">
        <f t="shared" ref="GO84" si="545">SUM(GO79:GO83)</f>
        <v>0</v>
      </c>
      <c r="GQ84" s="587">
        <f t="shared" ref="GQ84" si="546">SUM(GQ79:GQ83)</f>
        <v>0</v>
      </c>
      <c r="GT84" s="551">
        <f t="shared" si="182"/>
        <v>131441.31547991748</v>
      </c>
      <c r="GU84" s="551">
        <f t="shared" si="471"/>
        <v>154000.08452008254</v>
      </c>
      <c r="GV84" s="550">
        <f t="shared" si="441"/>
        <v>285441.40000000002</v>
      </c>
      <c r="GW84" s="529">
        <f>SUM(GW79:GW83)</f>
        <v>-129109.32</v>
      </c>
      <c r="GX84" s="525">
        <f t="shared" si="285"/>
        <v>-1.0903444342296604E-4</v>
      </c>
      <c r="GY84" s="530">
        <f>SUM(GY79:GY83)</f>
        <v>-129109.32</v>
      </c>
      <c r="GZ84" s="525">
        <f t="shared" si="286"/>
        <v>-1.4342290493865085E-4</v>
      </c>
      <c r="HA84" s="530">
        <f>SUM(HA79:HA83)</f>
        <v>-129109.32</v>
      </c>
      <c r="HB84" s="526">
        <f t="shared" si="287"/>
        <v>-1.773635937302512E-4</v>
      </c>
      <c r="HD84" s="529">
        <v>-129109.32</v>
      </c>
      <c r="HE84" s="525">
        <v>-1.0868374668187347E-4</v>
      </c>
      <c r="HF84" s="530">
        <v>-129109.32</v>
      </c>
      <c r="HG84" s="525">
        <v>-1.4342290493865085E-4</v>
      </c>
      <c r="HH84" s="530">
        <v>-129109.32</v>
      </c>
      <c r="HI84" s="526">
        <v>-1.773635937302512E-4</v>
      </c>
      <c r="HJ84" s="373" t="s">
        <v>726</v>
      </c>
    </row>
    <row r="85" spans="1:218" ht="15" customHeight="1" outlineLevel="1">
      <c r="A85" s="386" t="s">
        <v>35</v>
      </c>
      <c r="B85" s="386" t="s">
        <v>35</v>
      </c>
      <c r="C85" s="375">
        <v>-236685</v>
      </c>
      <c r="D85" s="4"/>
      <c r="E85" s="375">
        <v>-78987</v>
      </c>
      <c r="F85" s="4"/>
      <c r="G85" s="375"/>
      <c r="H85" s="375">
        <v>-13969.6</v>
      </c>
      <c r="I85" s="4"/>
      <c r="J85" s="375"/>
      <c r="K85" s="375">
        <v>-9925</v>
      </c>
      <c r="L85" s="4"/>
      <c r="M85" s="375"/>
      <c r="N85" s="375">
        <v>-6197</v>
      </c>
      <c r="O85" s="4"/>
      <c r="P85" s="375">
        <f t="shared" si="421"/>
        <v>0</v>
      </c>
      <c r="Q85" s="375">
        <f t="shared" si="421"/>
        <v>-30091.599999999999</v>
      </c>
      <c r="R85" s="7">
        <f t="shared" si="442"/>
        <v>-8.2741794709446871E-4</v>
      </c>
      <c r="S85" s="375">
        <v>-17470</v>
      </c>
      <c r="T85" s="375">
        <v>-17470</v>
      </c>
      <c r="U85" s="4"/>
      <c r="V85" s="375">
        <v>-7170</v>
      </c>
      <c r="W85" s="375">
        <v>-7170</v>
      </c>
      <c r="X85" s="4"/>
      <c r="Y85" s="375">
        <v>-8980</v>
      </c>
      <c r="Z85" s="375">
        <f>-8980-150</f>
        <v>-9130</v>
      </c>
      <c r="AA85" s="4"/>
      <c r="AB85" s="375">
        <f t="shared" si="224"/>
        <v>-33620</v>
      </c>
      <c r="AC85" s="375">
        <f t="shared" ref="AC85" si="547">+T85+W85+Z85</f>
        <v>-33770</v>
      </c>
      <c r="AD85" s="7">
        <f t="shared" si="443"/>
        <v>-9.1055339408041547E-4</v>
      </c>
      <c r="AE85" s="375">
        <f>+Q85+AB85</f>
        <v>-63711.6</v>
      </c>
      <c r="AF85" s="375">
        <f>+AC85+Q85</f>
        <v>-63861.599999999999</v>
      </c>
      <c r="AG85" s="4"/>
      <c r="AH85" s="375">
        <v>-7385</v>
      </c>
      <c r="AI85" s="375">
        <v>-7385</v>
      </c>
      <c r="AJ85" s="4"/>
      <c r="AK85" s="375">
        <v>-9792</v>
      </c>
      <c r="AL85" s="375">
        <v>-9792</v>
      </c>
      <c r="AM85" s="4"/>
      <c r="AN85" s="375">
        <v>-15756.56</v>
      </c>
      <c r="AO85" s="375">
        <v>-15756.56</v>
      </c>
      <c r="AP85" s="4"/>
      <c r="AQ85" s="375">
        <f t="shared" ref="AQ85" si="548">AN85+AK85+AH85</f>
        <v>-32933.56</v>
      </c>
      <c r="AR85" s="375">
        <f t="shared" ref="AR85" si="549">AO85+AL85+AI85</f>
        <v>-32933.56</v>
      </c>
      <c r="AS85" s="7">
        <f t="shared" si="444"/>
        <v>-1.2370507692271997E-3</v>
      </c>
      <c r="AT85" s="375">
        <f t="shared" ref="AT85" si="550">+AF85+AR85</f>
        <v>-96795.16</v>
      </c>
      <c r="AU85" s="4"/>
      <c r="AV85" s="375"/>
      <c r="AW85" s="375">
        <v>-7360</v>
      </c>
      <c r="AX85" s="4"/>
      <c r="AY85" s="375"/>
      <c r="AZ85" s="375">
        <v>-4707</v>
      </c>
      <c r="BA85" s="4"/>
      <c r="BB85" s="375"/>
      <c r="BC85" s="375">
        <f>-12901</f>
        <v>-12901</v>
      </c>
      <c r="BD85" s="448"/>
      <c r="BE85" s="375">
        <f t="shared" ref="BE85" si="551">BB85+AY85+AV85</f>
        <v>0</v>
      </c>
      <c r="BF85" s="375">
        <f t="shared" ref="BF85" si="552">BC85+AZ85+AW85</f>
        <v>-24968</v>
      </c>
      <c r="BG85" s="7">
        <f t="shared" si="445"/>
        <v>-7.9516765710205002E-4</v>
      </c>
      <c r="BH85" s="375">
        <f>Q85+AB85+AQ85+BE85</f>
        <v>-96645.16</v>
      </c>
      <c r="BI85" s="388">
        <f>Q85+AC85+AR85+BF85</f>
        <v>-121763.16</v>
      </c>
      <c r="BJ85" s="7">
        <f t="shared" si="446"/>
        <v>-9.2611247583537131E-4</v>
      </c>
      <c r="BK85" s="375"/>
      <c r="BL85" s="282"/>
      <c r="BM85" s="378"/>
      <c r="BN85" s="375">
        <v>-10996</v>
      </c>
      <c r="BO85" s="4"/>
      <c r="BP85" s="375">
        <v>-9085</v>
      </c>
      <c r="BQ85" s="4"/>
      <c r="BR85" s="375">
        <v>-14005</v>
      </c>
      <c r="BS85" s="4"/>
      <c r="BT85" s="375">
        <f t="shared" ref="BT85" si="553">SUM(BN85:BS85)</f>
        <v>-34086</v>
      </c>
      <c r="BU85" s="7">
        <f t="shared" si="447"/>
        <v>-6.2871317359827674E-4</v>
      </c>
      <c r="BV85" s="375">
        <v>-12858</v>
      </c>
      <c r="BW85" s="7"/>
      <c r="BX85" s="375">
        <v>-6960</v>
      </c>
      <c r="BY85" s="7"/>
      <c r="BZ85" s="375">
        <v>-48650.89</v>
      </c>
      <c r="CA85" s="7"/>
      <c r="CB85" s="375">
        <f>+BV85+BX85+BZ85</f>
        <v>-68468.89</v>
      </c>
      <c r="CC85" s="7">
        <f t="shared" si="534"/>
        <v>-1.9995021337111444E-3</v>
      </c>
      <c r="CD85" s="375">
        <f t="shared" si="238"/>
        <v>-102554.89</v>
      </c>
      <c r="CE85" s="7">
        <f t="shared" si="448"/>
        <v>-1.1593563531954662E-3</v>
      </c>
      <c r="CF85" s="375">
        <v>-11854.36</v>
      </c>
      <c r="CG85" s="7">
        <f t="shared" si="449"/>
        <v>-2.3469823947810586E-3</v>
      </c>
      <c r="CH85" s="375">
        <v>-13520</v>
      </c>
      <c r="CI85" s="7">
        <f t="shared" si="449"/>
        <v>-3.6461498024044359E-4</v>
      </c>
      <c r="CJ85" s="375">
        <v>-23310</v>
      </c>
      <c r="CK85" s="7">
        <f t="shared" si="449"/>
        <v>-8.2770267255648298E-4</v>
      </c>
      <c r="CL85" s="375">
        <f>+CF85+CH85+CJ85</f>
        <v>-48684.36</v>
      </c>
      <c r="CM85" s="7">
        <f t="shared" si="449"/>
        <v>-6.9258801359512281E-4</v>
      </c>
      <c r="CN85" s="375">
        <f t="shared" si="288"/>
        <v>-151239.25</v>
      </c>
      <c r="CO85" s="7">
        <f t="shared" si="241"/>
        <v>-9.5267701706052246E-4</v>
      </c>
      <c r="CP85" s="472">
        <v>-23007</v>
      </c>
      <c r="CQ85" s="7">
        <f t="shared" si="422"/>
        <v>-1.1744200195747798E-3</v>
      </c>
      <c r="CR85" s="375">
        <f>+CN85+CP85</f>
        <v>-174246.25</v>
      </c>
      <c r="CS85" s="7">
        <f t="shared" si="244"/>
        <v>-9.7703453005483823E-4</v>
      </c>
      <c r="CT85" s="375">
        <v>-28275</v>
      </c>
      <c r="CU85" s="7">
        <f t="shared" ref="CU85" si="554">+CT85/CT$8</f>
        <v>-1.8050240220863904E-3</v>
      </c>
      <c r="CV85" s="375">
        <v>-152248</v>
      </c>
      <c r="CW85" s="7">
        <f t="shared" si="452"/>
        <v>-2.4332053063821674E-3</v>
      </c>
      <c r="CX85" s="375">
        <f>+CV85+CT85+CP85</f>
        <v>-203530</v>
      </c>
      <c r="CY85" s="7">
        <f t="shared" si="424"/>
        <v>-2.0805377563904714E-3</v>
      </c>
      <c r="CZ85" s="375">
        <f>+CD85+CL85+CX85</f>
        <v>-354769.25</v>
      </c>
      <c r="DA85" s="7">
        <f t="shared" si="453"/>
        <v>-1.3826980395303839E-3</v>
      </c>
      <c r="DB85" s="375">
        <v>-16535</v>
      </c>
      <c r="DC85" s="7">
        <f t="shared" si="250"/>
        <v>-8.6136352860972758E-4</v>
      </c>
      <c r="DD85" s="375">
        <v>-18305</v>
      </c>
      <c r="DE85" s="7">
        <f t="shared" si="250"/>
        <v>-7.0492747838769658E-4</v>
      </c>
      <c r="DF85" s="72">
        <v>-26345</v>
      </c>
      <c r="DG85" s="7">
        <f t="shared" si="250"/>
        <v>-8.4928536218309729E-4</v>
      </c>
      <c r="DH85" s="375">
        <f>+DB85+DD85+DF85</f>
        <v>-61185</v>
      </c>
      <c r="DI85" s="7">
        <f t="shared" si="425"/>
        <v>-8.0312437842073225E-4</v>
      </c>
      <c r="DJ85" s="375">
        <v>-75000</v>
      </c>
      <c r="DK85" s="7">
        <f t="shared" si="254"/>
        <v>-1.4260157642242562E-3</v>
      </c>
      <c r="DL85" s="72">
        <v>-9550</v>
      </c>
      <c r="DM85" s="7">
        <f t="shared" si="255"/>
        <v>-1.100993640535069E-3</v>
      </c>
      <c r="DN85" s="72">
        <v>-23992</v>
      </c>
      <c r="DO85" s="7">
        <f t="shared" si="256"/>
        <v>-1.3980813980728204E-3</v>
      </c>
      <c r="DP85" s="72">
        <v>-146370</v>
      </c>
      <c r="DQ85" s="7">
        <f t="shared" si="257"/>
        <v>-1.7444624531810938E-3</v>
      </c>
      <c r="DR85" s="375">
        <f>+DL85+DN85+DP85</f>
        <v>-179912</v>
      </c>
      <c r="DS85" s="7">
        <f t="shared" si="426"/>
        <v>-1.6394364852208162E-3</v>
      </c>
      <c r="DT85" s="375">
        <f t="shared" si="259"/>
        <v>-241097</v>
      </c>
      <c r="DU85" s="7">
        <f t="shared" si="454"/>
        <v>-1.296751240517375E-3</v>
      </c>
      <c r="DV85" s="375">
        <v>-105280.84</v>
      </c>
      <c r="DW85" s="7">
        <f t="shared" si="260"/>
        <v>-2.3129850364850307E-3</v>
      </c>
      <c r="DX85" s="375">
        <v>-22480</v>
      </c>
      <c r="DY85" s="7">
        <f t="shared" si="261"/>
        <v>-8.6954963330743834E-4</v>
      </c>
      <c r="DZ85" s="375">
        <v>-20354</v>
      </c>
      <c r="EA85" s="7">
        <f t="shared" si="262"/>
        <v>-1.6636779551260276E-4</v>
      </c>
      <c r="EB85" s="375">
        <f>+DV85+DX85+DZ85</f>
        <v>-148114.84</v>
      </c>
      <c r="EC85" s="7">
        <f t="shared" si="427"/>
        <v>-7.6460909249183328E-4</v>
      </c>
      <c r="ED85" s="375">
        <f>+EB85+DT85</f>
        <v>-389211.83999999997</v>
      </c>
      <c r="EE85" s="7">
        <f t="shared" si="455"/>
        <v>-1.0252209902200477E-3</v>
      </c>
      <c r="EF85" s="375">
        <v>-12629</v>
      </c>
      <c r="EG85" s="7">
        <f t="shared" si="264"/>
        <v>-8.5465728178033386E-4</v>
      </c>
      <c r="EH85" s="375">
        <v>-17096</v>
      </c>
      <c r="EI85" s="7">
        <f t="shared" si="265"/>
        <v>-1.3410039964672326E-3</v>
      </c>
      <c r="EJ85" s="375">
        <v>-22100</v>
      </c>
      <c r="EK85" s="7">
        <f t="shared" si="266"/>
        <v>-1.4151876448965527E-4</v>
      </c>
      <c r="EL85" s="375">
        <f>+EF85+EH85+EJ85</f>
        <v>-51825</v>
      </c>
      <c r="EM85" s="7">
        <f t="shared" si="428"/>
        <v>-2.8213543427915488E-4</v>
      </c>
      <c r="EN85" s="375">
        <f>+EL85+ED85</f>
        <v>-441036.83999999997</v>
      </c>
      <c r="EO85" s="7">
        <f t="shared" si="456"/>
        <v>-7.8291666520555864E-4</v>
      </c>
      <c r="EP85" s="378"/>
      <c r="EQ85" s="373"/>
      <c r="ER85" s="373"/>
      <c r="ES85" s="373"/>
      <c r="ET85" s="375">
        <v>-18762</v>
      </c>
      <c r="EU85" s="7">
        <f t="shared" si="269"/>
        <v>-2.5436829174214953E-3</v>
      </c>
      <c r="EV85" s="375">
        <v>-64650.559999999998</v>
      </c>
      <c r="EW85" s="7">
        <f t="shared" si="270"/>
        <v>-1.0608156609388034E-2</v>
      </c>
      <c r="EX85" s="375">
        <v>-19969.95</v>
      </c>
      <c r="EY85" s="7">
        <f t="shared" si="271"/>
        <v>-8.7477350431026742E-5</v>
      </c>
      <c r="EZ85" s="375">
        <f>+ET85+EV85+EX85</f>
        <v>-103382.51</v>
      </c>
      <c r="FA85" s="7">
        <f t="shared" si="429"/>
        <v>-4.2762908771333405E-4</v>
      </c>
      <c r="FB85" s="375">
        <v>-8640.4</v>
      </c>
      <c r="FC85" s="7">
        <f t="shared" si="273"/>
        <v>-9.5348093068209404E-4</v>
      </c>
      <c r="FD85" s="375">
        <v>-133022.07</v>
      </c>
      <c r="FE85" s="7">
        <f t="shared" si="200"/>
        <v>-1.2638228780259256E-3</v>
      </c>
      <c r="FF85" s="375">
        <v>-18925</v>
      </c>
      <c r="FG85" s="7">
        <f t="shared" si="430"/>
        <v>-1.177793430610635E-4</v>
      </c>
      <c r="FH85" s="375">
        <f>+FB85+FD85+FF85</f>
        <v>-160587.47</v>
      </c>
      <c r="FI85" s="7">
        <f t="shared" si="431"/>
        <v>-5.8395972625306495E-4</v>
      </c>
      <c r="FJ85" s="375">
        <f t="shared" ref="FJ85" si="555">EZ85+FH85</f>
        <v>-263969.98</v>
      </c>
      <c r="FK85" s="7">
        <f t="shared" si="459"/>
        <v>-5.1082236324236292E-4</v>
      </c>
      <c r="FL85" s="375">
        <v>-11679.5</v>
      </c>
      <c r="FM85" s="7">
        <f t="shared" si="276"/>
        <v>-1.0681511823476509E-3</v>
      </c>
      <c r="FN85" s="375">
        <v>-17275</v>
      </c>
      <c r="FO85" s="7">
        <f t="shared" si="432"/>
        <v>-3.6155106003327954E-3</v>
      </c>
      <c r="FP85" s="375">
        <v>-16705</v>
      </c>
      <c r="FQ85" s="7">
        <f t="shared" si="433"/>
        <v>-6.0384780402193507E-5</v>
      </c>
      <c r="FR85" s="375">
        <f>+FL85+FN85+FP85</f>
        <v>-45659.5</v>
      </c>
      <c r="FS85" s="7">
        <f t="shared" si="434"/>
        <v>-1.5617833266795577E-4</v>
      </c>
      <c r="FT85" s="375">
        <f t="shared" ref="FT85" si="556">FJ85+FR85</f>
        <v>-309629.48</v>
      </c>
      <c r="FU85" s="7">
        <f t="shared" si="462"/>
        <v>-3.8267916971975634E-4</v>
      </c>
      <c r="FV85" s="375">
        <v>-16382</v>
      </c>
      <c r="FW85" s="7">
        <f t="shared" si="279"/>
        <v>-5.9034361982466198E-4</v>
      </c>
      <c r="FX85" s="375">
        <v>-205637.2</v>
      </c>
      <c r="FY85" s="7">
        <f t="shared" si="435"/>
        <v>-8.0103853871438223E-3</v>
      </c>
      <c r="FZ85" s="375">
        <v>-106775.24</v>
      </c>
      <c r="GA85" s="7">
        <f t="shared" si="436"/>
        <v>-3.6932471681337041E-4</v>
      </c>
      <c r="GB85" s="375">
        <f>+FV85+FX85+FZ85</f>
        <v>-328794.44</v>
      </c>
      <c r="GC85" s="7">
        <f t="shared" si="437"/>
        <v>-9.5989788176745108E-4</v>
      </c>
      <c r="GD85" s="375">
        <f t="shared" ref="GD85" si="557">FT85+GB85</f>
        <v>-638423.91999999993</v>
      </c>
      <c r="GE85" s="7">
        <f t="shared" si="465"/>
        <v>-5.5436043733382296E-4</v>
      </c>
      <c r="GF85" s="566">
        <f t="shared" si="282"/>
        <v>-485841.33731908334</v>
      </c>
      <c r="GG85" s="525">
        <f t="shared" si="438"/>
        <v>-3.7702204199304576E-2</v>
      </c>
      <c r="GH85" s="528">
        <f>+GQ85*$GO$2</f>
        <v>0</v>
      </c>
      <c r="GI85" s="525">
        <f t="shared" si="439"/>
        <v>0</v>
      </c>
      <c r="GJ85" s="528"/>
      <c r="GK85" s="525">
        <f t="shared" si="440"/>
        <v>0</v>
      </c>
      <c r="GL85" s="528">
        <f>+GD85+GF85+GH85-GJ85</f>
        <v>-1124265.2573190832</v>
      </c>
      <c r="GM85" s="565">
        <f t="shared" si="468"/>
        <v>-9.7016804219622447E-4</v>
      </c>
      <c r="GO85" s="586">
        <f>-'KSA IS'!B21-'KSA IS'!B28</f>
        <v>-39753.79</v>
      </c>
      <c r="GQ85" s="586"/>
      <c r="GT85" s="551">
        <f t="shared" ref="GT85:GT148" si="558">+GV85*GT$8</f>
        <v>29457.178679841149</v>
      </c>
      <c r="GU85" s="551">
        <f t="shared" si="471"/>
        <v>34512.801320158833</v>
      </c>
      <c r="GV85" s="550">
        <f t="shared" si="441"/>
        <v>63969.979999999981</v>
      </c>
      <c r="GW85" s="527">
        <v>-200000</v>
      </c>
      <c r="GX85" s="525">
        <f t="shared" si="285"/>
        <v>-1.6890251365736576E-4</v>
      </c>
      <c r="GY85" s="528">
        <f>+GW85</f>
        <v>-200000</v>
      </c>
      <c r="GZ85" s="525">
        <f t="shared" si="286"/>
        <v>-2.2217281438497366E-4</v>
      </c>
      <c r="HA85" s="528">
        <f>+GY85</f>
        <v>-200000</v>
      </c>
      <c r="HB85" s="526">
        <f t="shared" si="287"/>
        <v>-2.7474948164896417E-4</v>
      </c>
      <c r="HD85" s="527">
        <v>-200000</v>
      </c>
      <c r="HE85" s="525">
        <v>-1.6835925815715468E-4</v>
      </c>
      <c r="HF85" s="528">
        <v>-200000</v>
      </c>
      <c r="HG85" s="525">
        <v>-2.2217281438497366E-4</v>
      </c>
      <c r="HH85" s="528">
        <v>-200000</v>
      </c>
      <c r="HI85" s="526">
        <v>-2.7474948164896417E-4</v>
      </c>
    </row>
    <row r="86" spans="1:218">
      <c r="A86" s="386" t="s">
        <v>35</v>
      </c>
      <c r="B86" s="386"/>
      <c r="C86" s="389">
        <f>SUM(C85)</f>
        <v>-236685</v>
      </c>
      <c r="D86" s="4"/>
      <c r="E86" s="389">
        <f>SUM(E85)</f>
        <v>-78987</v>
      </c>
      <c r="F86" s="4"/>
      <c r="G86" s="389">
        <f>SUM(G85)</f>
        <v>0</v>
      </c>
      <c r="H86" s="389">
        <f>SUM(H85)</f>
        <v>-13969.6</v>
      </c>
      <c r="I86" s="4"/>
      <c r="J86" s="389">
        <f>SUM(J85)</f>
        <v>0</v>
      </c>
      <c r="K86" s="389">
        <f>SUM(K85)</f>
        <v>-9925</v>
      </c>
      <c r="L86" s="4"/>
      <c r="M86" s="389">
        <f>SUM(M85)</f>
        <v>0</v>
      </c>
      <c r="N86" s="389">
        <f>SUM(N85)</f>
        <v>-6197</v>
      </c>
      <c r="O86" s="4"/>
      <c r="P86" s="389">
        <f t="shared" si="421"/>
        <v>0</v>
      </c>
      <c r="Q86" s="389">
        <f t="shared" si="421"/>
        <v>-30091.599999999999</v>
      </c>
      <c r="R86" s="7">
        <f t="shared" si="442"/>
        <v>-8.2741794709446871E-4</v>
      </c>
      <c r="S86" s="389">
        <f>SUM(S85)</f>
        <v>-17470</v>
      </c>
      <c r="T86" s="389">
        <f>SUM(T85)</f>
        <v>-17470</v>
      </c>
      <c r="U86" s="4"/>
      <c r="V86" s="389">
        <f>SUM(V85)</f>
        <v>-7170</v>
      </c>
      <c r="W86" s="389">
        <f>SUM(W85)</f>
        <v>-7170</v>
      </c>
      <c r="X86" s="4"/>
      <c r="Y86" s="389">
        <f>SUM(Y85)</f>
        <v>-8980</v>
      </c>
      <c r="Z86" s="389">
        <f>SUM(Z85)</f>
        <v>-9130</v>
      </c>
      <c r="AA86" s="4"/>
      <c r="AB86" s="389">
        <f>SUM(AB85)</f>
        <v>-33620</v>
      </c>
      <c r="AC86" s="389">
        <f>SUM(AC85)</f>
        <v>-33770</v>
      </c>
      <c r="AD86" s="7">
        <f t="shared" si="443"/>
        <v>-9.1055339408041547E-4</v>
      </c>
      <c r="AE86" s="389">
        <f>SUM(AE85)</f>
        <v>-63711.6</v>
      </c>
      <c r="AF86" s="389">
        <f>SUM(AF85)</f>
        <v>-63861.599999999999</v>
      </c>
      <c r="AG86" s="4"/>
      <c r="AH86" s="389">
        <f>SUM(AH85)</f>
        <v>-7385</v>
      </c>
      <c r="AI86" s="389">
        <f>SUM(AI85)</f>
        <v>-7385</v>
      </c>
      <c r="AJ86" s="4"/>
      <c r="AK86" s="389">
        <f>SUM(AK85)</f>
        <v>-9792</v>
      </c>
      <c r="AL86" s="389">
        <f>SUM(AL85)</f>
        <v>-9792</v>
      </c>
      <c r="AM86" s="4"/>
      <c r="AN86" s="389">
        <f>SUM(AN85)</f>
        <v>-15756.56</v>
      </c>
      <c r="AO86" s="389">
        <f>SUM(AO85)</f>
        <v>-15756.56</v>
      </c>
      <c r="AP86" s="4"/>
      <c r="AQ86" s="389">
        <f>SUM(AQ85)</f>
        <v>-32933.56</v>
      </c>
      <c r="AR86" s="389">
        <f>SUM(AR85)</f>
        <v>-32933.56</v>
      </c>
      <c r="AS86" s="7">
        <f t="shared" si="444"/>
        <v>-1.2370507692271997E-3</v>
      </c>
      <c r="AT86" s="389">
        <f>SUM(AT85)</f>
        <v>-96795.16</v>
      </c>
      <c r="AU86" s="4"/>
      <c r="AV86" s="389">
        <f>SUM(AV85)</f>
        <v>0</v>
      </c>
      <c r="AW86" s="389">
        <f>SUM(AW85)</f>
        <v>-7360</v>
      </c>
      <c r="AX86" s="4"/>
      <c r="AY86" s="389">
        <f>SUM(AY85)</f>
        <v>0</v>
      </c>
      <c r="AZ86" s="389">
        <f>SUM(AZ85)</f>
        <v>-4707</v>
      </c>
      <c r="BA86" s="4"/>
      <c r="BB86" s="389">
        <f>SUM(BB85)</f>
        <v>0</v>
      </c>
      <c r="BC86" s="389">
        <f>SUM(BC85)</f>
        <v>-12901</v>
      </c>
      <c r="BD86" s="448"/>
      <c r="BE86" s="389">
        <f>SUM(BE85)</f>
        <v>0</v>
      </c>
      <c r="BF86" s="389">
        <f>SUM(BF85)</f>
        <v>-24968</v>
      </c>
      <c r="BG86" s="7">
        <f t="shared" si="445"/>
        <v>-7.9516765710205002E-4</v>
      </c>
      <c r="BH86" s="389">
        <f>SUM(BH85)</f>
        <v>-96645.16</v>
      </c>
      <c r="BI86" s="389">
        <f>SUM(BI85)</f>
        <v>-121763.16</v>
      </c>
      <c r="BJ86" s="7">
        <f t="shared" si="446"/>
        <v>-9.2611247583537131E-4</v>
      </c>
      <c r="BK86" s="389">
        <v>-150000</v>
      </c>
      <c r="BL86" s="282"/>
      <c r="BM86" s="378">
        <v>-150000</v>
      </c>
      <c r="BN86" s="389">
        <f>SUM(BN85)</f>
        <v>-10996</v>
      </c>
      <c r="BO86" s="4"/>
      <c r="BP86" s="389">
        <f>SUM(BP85)</f>
        <v>-9085</v>
      </c>
      <c r="BQ86" s="4"/>
      <c r="BR86" s="389">
        <f>SUM(BR85)</f>
        <v>-14005</v>
      </c>
      <c r="BS86" s="4"/>
      <c r="BT86" s="389">
        <f>SUM(BT85)</f>
        <v>-34086</v>
      </c>
      <c r="BU86" s="7">
        <f t="shared" si="447"/>
        <v>-6.2871317359827674E-4</v>
      </c>
      <c r="BV86" s="389">
        <f>SUM(BV85)</f>
        <v>-12858</v>
      </c>
      <c r="BW86" s="7"/>
      <c r="BX86" s="389">
        <f>SUM(BX85)</f>
        <v>-6960</v>
      </c>
      <c r="BY86" s="7"/>
      <c r="BZ86" s="389">
        <f>SUM(BZ85)</f>
        <v>-48650.89</v>
      </c>
      <c r="CA86" s="7"/>
      <c r="CB86" s="389">
        <f>SUM(CB85)</f>
        <v>-68468.89</v>
      </c>
      <c r="CC86" s="7">
        <f t="shared" si="534"/>
        <v>-1.9995021337111444E-3</v>
      </c>
      <c r="CD86" s="389">
        <f>SUM(CD85)</f>
        <v>-102554.89</v>
      </c>
      <c r="CE86" s="7">
        <f t="shared" si="448"/>
        <v>-1.1593563531954662E-3</v>
      </c>
      <c r="CF86" s="389">
        <f>SUM(CF85)</f>
        <v>-11854.36</v>
      </c>
      <c r="CG86" s="7">
        <f t="shared" si="449"/>
        <v>-2.3469823947810586E-3</v>
      </c>
      <c r="CH86" s="389">
        <f>SUM(CH85)</f>
        <v>-13520</v>
      </c>
      <c r="CI86" s="7">
        <f t="shared" si="449"/>
        <v>-3.6461498024044359E-4</v>
      </c>
      <c r="CJ86" s="389">
        <f>SUM(CJ85)</f>
        <v>-23310</v>
      </c>
      <c r="CK86" s="7">
        <f t="shared" si="449"/>
        <v>-8.2770267255648298E-4</v>
      </c>
      <c r="CL86" s="389">
        <f>SUM(CL85)</f>
        <v>-48684.36</v>
      </c>
      <c r="CM86" s="7">
        <f t="shared" si="449"/>
        <v>-6.9258801359512281E-4</v>
      </c>
      <c r="CN86" s="389">
        <f>SUM(CN85)</f>
        <v>-151239.25</v>
      </c>
      <c r="CO86" s="7">
        <f t="shared" si="241"/>
        <v>-9.5267701706052246E-4</v>
      </c>
      <c r="CP86" s="389">
        <f>SUM(CP85)</f>
        <v>-23007</v>
      </c>
      <c r="CQ86" s="7">
        <f t="shared" si="422"/>
        <v>-1.1744200195747798E-3</v>
      </c>
      <c r="CR86" s="389">
        <f>SUM(CR85)</f>
        <v>-174246.25</v>
      </c>
      <c r="CS86" s="7">
        <f t="shared" si="244"/>
        <v>-9.7703453005483823E-4</v>
      </c>
      <c r="CT86" s="389">
        <f t="shared" ref="CT86" si="559">SUM(CT85)</f>
        <v>-28275</v>
      </c>
      <c r="CU86" s="7">
        <f t="shared" si="199"/>
        <v>-1.8050240220863904E-3</v>
      </c>
      <c r="CV86" s="389">
        <f t="shared" ref="CV86" si="560">SUM(CV85)</f>
        <v>-152248</v>
      </c>
      <c r="CW86" s="7">
        <f t="shared" si="452"/>
        <v>-2.4332053063821674E-3</v>
      </c>
      <c r="CX86" s="389">
        <f>SUM(CX85)</f>
        <v>-203530</v>
      </c>
      <c r="CY86" s="7">
        <f t="shared" si="424"/>
        <v>-2.0805377563904714E-3</v>
      </c>
      <c r="CZ86" s="389">
        <f>SUM(CZ85)</f>
        <v>-354769.25</v>
      </c>
      <c r="DA86" s="7">
        <f t="shared" si="453"/>
        <v>-1.3826980395303839E-3</v>
      </c>
      <c r="DB86" s="389">
        <f>SUM(DB85)</f>
        <v>-16535</v>
      </c>
      <c r="DC86" s="7">
        <f t="shared" si="250"/>
        <v>-8.6136352860972758E-4</v>
      </c>
      <c r="DD86" s="389">
        <f>SUM(DD85)</f>
        <v>-18305</v>
      </c>
      <c r="DE86" s="7">
        <f t="shared" si="250"/>
        <v>-7.0492747838769658E-4</v>
      </c>
      <c r="DF86" s="389">
        <f>SUM(DF85)</f>
        <v>-26345</v>
      </c>
      <c r="DG86" s="7">
        <f t="shared" si="250"/>
        <v>-8.4928536218309729E-4</v>
      </c>
      <c r="DH86" s="389">
        <f>SUM(DH85)</f>
        <v>-61185</v>
      </c>
      <c r="DI86" s="7">
        <f t="shared" si="425"/>
        <v>-8.0312437842073225E-4</v>
      </c>
      <c r="DJ86" s="389">
        <f>SUM(DJ85)</f>
        <v>-75000</v>
      </c>
      <c r="DK86" s="7">
        <f t="shared" si="254"/>
        <v>-1.4260157642242562E-3</v>
      </c>
      <c r="DL86" s="389">
        <f>SUM(DL85)</f>
        <v>-9550</v>
      </c>
      <c r="DM86" s="7">
        <f t="shared" si="255"/>
        <v>-1.100993640535069E-3</v>
      </c>
      <c r="DN86" s="389">
        <f>SUM(DN85)</f>
        <v>-23992</v>
      </c>
      <c r="DO86" s="7">
        <f t="shared" si="256"/>
        <v>-1.3980813980728204E-3</v>
      </c>
      <c r="DP86" s="389">
        <f>SUM(DP85)</f>
        <v>-146370</v>
      </c>
      <c r="DQ86" s="7">
        <f t="shared" si="257"/>
        <v>-1.7444624531810938E-3</v>
      </c>
      <c r="DR86" s="389">
        <f>SUM(DR85)</f>
        <v>-179912</v>
      </c>
      <c r="DS86" s="7">
        <f t="shared" si="426"/>
        <v>-1.6394364852208162E-3</v>
      </c>
      <c r="DT86" s="389">
        <f>SUM(DT85)</f>
        <v>-241097</v>
      </c>
      <c r="DU86" s="7">
        <f t="shared" si="454"/>
        <v>-1.296751240517375E-3</v>
      </c>
      <c r="DV86" s="389">
        <f>SUM(DV85)</f>
        <v>-105280.84</v>
      </c>
      <c r="DW86" s="7">
        <f t="shared" si="260"/>
        <v>-2.3129850364850307E-3</v>
      </c>
      <c r="DX86" s="389">
        <f>SUM(DX85)</f>
        <v>-22480</v>
      </c>
      <c r="DY86" s="7">
        <f t="shared" si="261"/>
        <v>-8.6954963330743834E-4</v>
      </c>
      <c r="DZ86" s="389">
        <f>SUM(DZ85)</f>
        <v>-20354</v>
      </c>
      <c r="EA86" s="7">
        <f t="shared" si="262"/>
        <v>-1.6636779551260276E-4</v>
      </c>
      <c r="EB86" s="389">
        <f>SUM(EB85)</f>
        <v>-148114.84</v>
      </c>
      <c r="EC86" s="7">
        <f t="shared" si="427"/>
        <v>-7.6460909249183328E-4</v>
      </c>
      <c r="ED86" s="389">
        <f>SUM(ED85)</f>
        <v>-389211.83999999997</v>
      </c>
      <c r="EE86" s="7">
        <f t="shared" si="455"/>
        <v>-1.0252209902200477E-3</v>
      </c>
      <c r="EF86" s="389">
        <f>SUM(EF85)</f>
        <v>-12629</v>
      </c>
      <c r="EG86" s="7">
        <f t="shared" si="264"/>
        <v>-8.5465728178033386E-4</v>
      </c>
      <c r="EH86" s="389">
        <f>SUM(EH85)</f>
        <v>-17096</v>
      </c>
      <c r="EI86" s="7">
        <f t="shared" si="265"/>
        <v>-1.3410039964672326E-3</v>
      </c>
      <c r="EJ86" s="389">
        <f>SUM(EJ85)</f>
        <v>-22100</v>
      </c>
      <c r="EK86" s="7">
        <f t="shared" si="266"/>
        <v>-1.4151876448965527E-4</v>
      </c>
      <c r="EL86" s="389">
        <f>SUM(EL85)</f>
        <v>-51825</v>
      </c>
      <c r="EM86" s="7">
        <f t="shared" si="428"/>
        <v>-2.8213543427915488E-4</v>
      </c>
      <c r="EN86" s="389">
        <f>SUM(EN85)</f>
        <v>-441036.83999999997</v>
      </c>
      <c r="EO86" s="7">
        <f t="shared" si="456"/>
        <v>-7.8291666520555864E-4</v>
      </c>
      <c r="EP86" s="373"/>
      <c r="EQ86" s="373"/>
      <c r="ER86" s="373"/>
      <c r="ES86" s="373"/>
      <c r="ET86" s="389">
        <f>SUM(ET85)</f>
        <v>-18762</v>
      </c>
      <c r="EU86" s="7">
        <f t="shared" si="269"/>
        <v>-2.5436829174214953E-3</v>
      </c>
      <c r="EV86" s="389">
        <f>SUM(EV85)</f>
        <v>-64650.559999999998</v>
      </c>
      <c r="EW86" s="7">
        <f t="shared" si="270"/>
        <v>-1.0608156609388034E-2</v>
      </c>
      <c r="EX86" s="389">
        <f>SUM(EX85)</f>
        <v>-19969.95</v>
      </c>
      <c r="EY86" s="7">
        <f t="shared" si="271"/>
        <v>-8.7477350431026742E-5</v>
      </c>
      <c r="EZ86" s="389">
        <f>SUM(EZ85)</f>
        <v>-103382.51</v>
      </c>
      <c r="FA86" s="7">
        <f t="shared" si="429"/>
        <v>-4.2762908771333405E-4</v>
      </c>
      <c r="FB86" s="389">
        <f>SUM(FB85)</f>
        <v>-8640.4</v>
      </c>
      <c r="FC86" s="7">
        <f t="shared" si="273"/>
        <v>-9.5348093068209404E-4</v>
      </c>
      <c r="FD86" s="389">
        <f t="shared" ref="FD86" si="561">SUM(FD85)</f>
        <v>-133022.07</v>
      </c>
      <c r="FE86" s="7">
        <f t="shared" si="200"/>
        <v>-1.2638228780259256E-3</v>
      </c>
      <c r="FF86" s="389">
        <f t="shared" ref="FF86" si="562">SUM(FF85)</f>
        <v>-18925</v>
      </c>
      <c r="FG86" s="7">
        <f t="shared" si="430"/>
        <v>-1.177793430610635E-4</v>
      </c>
      <c r="FH86" s="389">
        <f>SUM(FH85)</f>
        <v>-160587.47</v>
      </c>
      <c r="FI86" s="7">
        <f t="shared" si="431"/>
        <v>-5.8395972625306495E-4</v>
      </c>
      <c r="FJ86" s="389">
        <f>SUM(FJ85)</f>
        <v>-263969.98</v>
      </c>
      <c r="FK86" s="7">
        <f t="shared" si="459"/>
        <v>-5.1082236324236292E-4</v>
      </c>
      <c r="FL86" s="389">
        <f>SUM(FL85)</f>
        <v>-11679.5</v>
      </c>
      <c r="FM86" s="7">
        <f t="shared" si="276"/>
        <v>-1.0681511823476509E-3</v>
      </c>
      <c r="FN86" s="389">
        <f t="shared" ref="FN86" si="563">SUM(FN85)</f>
        <v>-17275</v>
      </c>
      <c r="FO86" s="7">
        <f t="shared" si="432"/>
        <v>-3.6155106003327954E-3</v>
      </c>
      <c r="FP86" s="389">
        <f t="shared" ref="FP86" si="564">SUM(FP85)</f>
        <v>-16705</v>
      </c>
      <c r="FQ86" s="7">
        <f t="shared" si="433"/>
        <v>-6.0384780402193507E-5</v>
      </c>
      <c r="FR86" s="389">
        <f>SUM(FR85)</f>
        <v>-45659.5</v>
      </c>
      <c r="FS86" s="7">
        <f t="shared" si="434"/>
        <v>-1.5617833266795577E-4</v>
      </c>
      <c r="FT86" s="389">
        <f>SUM(FT85)</f>
        <v>-309629.48</v>
      </c>
      <c r="FU86" s="7">
        <f t="shared" si="462"/>
        <v>-3.8267916971975634E-4</v>
      </c>
      <c r="FV86" s="389">
        <f>SUM(FV85)</f>
        <v>-16382</v>
      </c>
      <c r="FW86" s="7">
        <f t="shared" si="279"/>
        <v>-5.9034361982466198E-4</v>
      </c>
      <c r="FX86" s="389">
        <f t="shared" ref="FX86" si="565">SUM(FX85)</f>
        <v>-205637.2</v>
      </c>
      <c r="FY86" s="7">
        <f t="shared" si="435"/>
        <v>-8.0103853871438223E-3</v>
      </c>
      <c r="FZ86" s="389">
        <f t="shared" ref="FZ86" si="566">SUM(FZ85)</f>
        <v>-106775.24</v>
      </c>
      <c r="GA86" s="7">
        <f t="shared" si="436"/>
        <v>-3.6932471681337041E-4</v>
      </c>
      <c r="GB86" s="389">
        <f>SUM(GB85)</f>
        <v>-328794.44</v>
      </c>
      <c r="GC86" s="7">
        <f t="shared" si="437"/>
        <v>-9.5989788176745108E-4</v>
      </c>
      <c r="GD86" s="389">
        <f>SUM(GD85)</f>
        <v>-638423.91999999993</v>
      </c>
      <c r="GE86" s="7">
        <f t="shared" si="465"/>
        <v>-5.5436043733382296E-4</v>
      </c>
      <c r="GF86" s="567">
        <f t="shared" ref="GF86:GH86" si="567">SUM(GF85)</f>
        <v>-485841.33731908334</v>
      </c>
      <c r="GG86" s="525">
        <f t="shared" si="438"/>
        <v>-3.7702204199304576E-2</v>
      </c>
      <c r="GH86" s="530">
        <f t="shared" si="567"/>
        <v>0</v>
      </c>
      <c r="GI86" s="525">
        <f t="shared" si="439"/>
        <v>0</v>
      </c>
      <c r="GJ86" s="530">
        <f t="shared" ref="GJ86" si="568">SUM(GJ85)</f>
        <v>0</v>
      </c>
      <c r="GK86" s="525">
        <f t="shared" si="440"/>
        <v>0</v>
      </c>
      <c r="GL86" s="530">
        <f>SUM(GL85)</f>
        <v>-1124265.2573190832</v>
      </c>
      <c r="GM86" s="565">
        <f t="shared" si="468"/>
        <v>-9.7016804219622447E-4</v>
      </c>
      <c r="GO86" s="587">
        <f t="shared" ref="GO86" si="569">SUM(GO85)</f>
        <v>-39753.79</v>
      </c>
      <c r="GQ86" s="587">
        <f t="shared" ref="GQ86" si="570">SUM(GQ85)</f>
        <v>0</v>
      </c>
      <c r="GT86" s="551">
        <f t="shared" si="558"/>
        <v>29457.178679841149</v>
      </c>
      <c r="GU86" s="551">
        <f t="shared" si="471"/>
        <v>34512.801320158833</v>
      </c>
      <c r="GV86" s="550">
        <f t="shared" si="441"/>
        <v>63969.979999999981</v>
      </c>
      <c r="GW86" s="529">
        <f>SUM(GW85)</f>
        <v>-200000</v>
      </c>
      <c r="GX86" s="525">
        <f t="shared" si="285"/>
        <v>-1.6890251365736576E-4</v>
      </c>
      <c r="GY86" s="530">
        <f>SUM(GY85)</f>
        <v>-200000</v>
      </c>
      <c r="GZ86" s="525">
        <f t="shared" si="286"/>
        <v>-2.2217281438497366E-4</v>
      </c>
      <c r="HA86" s="530">
        <f>SUM(HA85)</f>
        <v>-200000</v>
      </c>
      <c r="HB86" s="526">
        <f t="shared" si="287"/>
        <v>-2.7474948164896417E-4</v>
      </c>
      <c r="HD86" s="529">
        <v>-200000</v>
      </c>
      <c r="HE86" s="525">
        <v>-1.6835925815715468E-4</v>
      </c>
      <c r="HF86" s="530">
        <v>-200000</v>
      </c>
      <c r="HG86" s="525">
        <v>-2.2217281438497366E-4</v>
      </c>
      <c r="HH86" s="530">
        <v>-200000</v>
      </c>
      <c r="HI86" s="526">
        <v>-2.7474948164896417E-4</v>
      </c>
      <c r="HJ86" s="373" t="s">
        <v>728</v>
      </c>
    </row>
    <row r="87" spans="1:218" ht="15" customHeight="1" outlineLevel="1">
      <c r="A87" s="386" t="s">
        <v>78</v>
      </c>
      <c r="B87" s="386" t="s">
        <v>79</v>
      </c>
      <c r="C87" s="375">
        <v>-124792.5</v>
      </c>
      <c r="D87" s="4"/>
      <c r="E87" s="375">
        <v>-70052.5</v>
      </c>
      <c r="F87" s="4"/>
      <c r="G87" s="375"/>
      <c r="H87" s="375">
        <v>-200</v>
      </c>
      <c r="I87" s="4"/>
      <c r="J87" s="375"/>
      <c r="K87" s="375">
        <v>-250</v>
      </c>
      <c r="L87" s="4"/>
      <c r="M87" s="375"/>
      <c r="N87" s="375">
        <v>-14018</v>
      </c>
      <c r="O87" s="4"/>
      <c r="P87" s="375">
        <f t="shared" si="421"/>
        <v>0</v>
      </c>
      <c r="Q87" s="375">
        <f t="shared" si="421"/>
        <v>-14468</v>
      </c>
      <c r="R87" s="7">
        <f t="shared" si="442"/>
        <v>-3.9782141390164611E-4</v>
      </c>
      <c r="S87" s="375">
        <v>-300</v>
      </c>
      <c r="T87" s="375">
        <v>-300</v>
      </c>
      <c r="U87" s="4"/>
      <c r="V87" s="375">
        <v>-4045</v>
      </c>
      <c r="W87" s="375">
        <v>-4045</v>
      </c>
      <c r="X87" s="4"/>
      <c r="Y87" s="375">
        <v>-5565</v>
      </c>
      <c r="Z87" s="375">
        <v>-5565</v>
      </c>
      <c r="AA87" s="4"/>
      <c r="AB87" s="375">
        <f t="shared" si="224"/>
        <v>-9910</v>
      </c>
      <c r="AC87" s="375">
        <f t="shared" ref="AC87" si="571">+T87+W87+Z87</f>
        <v>-9910</v>
      </c>
      <c r="AD87" s="7">
        <f t="shared" si="443"/>
        <v>-2.672071109072229E-4</v>
      </c>
      <c r="AE87" s="375">
        <f>+Q87+AB87</f>
        <v>-24378</v>
      </c>
      <c r="AF87" s="375">
        <f>+AC87+Q87</f>
        <v>-24378</v>
      </c>
      <c r="AG87" s="4"/>
      <c r="AH87" s="375">
        <v>-3000</v>
      </c>
      <c r="AI87" s="375">
        <v>-3000</v>
      </c>
      <c r="AJ87" s="4"/>
      <c r="AK87" s="375">
        <v>-7698.03</v>
      </c>
      <c r="AL87" s="375">
        <v>-7698.03</v>
      </c>
      <c r="AM87" s="4"/>
      <c r="AN87" s="375">
        <v>-2800</v>
      </c>
      <c r="AO87" s="375">
        <v>-2800</v>
      </c>
      <c r="AP87" s="4"/>
      <c r="AQ87" s="375">
        <f t="shared" ref="AQ87" si="572">AN87+AK87+AH87</f>
        <v>-13498.029999999999</v>
      </c>
      <c r="AR87" s="375">
        <f t="shared" ref="AR87" si="573">AO87+AL87+AI87</f>
        <v>-13498.029999999999</v>
      </c>
      <c r="AS87" s="7">
        <f t="shared" si="444"/>
        <v>-5.0701316209215822E-4</v>
      </c>
      <c r="AT87" s="375">
        <f t="shared" ref="AT87" si="574">+AF87+AR87</f>
        <v>-37876.03</v>
      </c>
      <c r="AU87" s="4"/>
      <c r="AV87" s="375"/>
      <c r="AW87" s="375">
        <v>-3433</v>
      </c>
      <c r="AX87" s="4"/>
      <c r="AY87" s="375"/>
      <c r="AZ87" s="375">
        <v>-24381</v>
      </c>
      <c r="BA87" s="4"/>
      <c r="BB87" s="375"/>
      <c r="BC87" s="375">
        <v>-3021.15</v>
      </c>
      <c r="BD87" s="448"/>
      <c r="BE87" s="375">
        <f t="shared" ref="BE87" si="575">BB87+AY87+AV87</f>
        <v>0</v>
      </c>
      <c r="BF87" s="375">
        <f t="shared" ref="BF87" si="576">BC87+AZ87+AW87</f>
        <v>-30835.15</v>
      </c>
      <c r="BG87" s="7">
        <f t="shared" si="445"/>
        <v>-9.8202154685558623E-4</v>
      </c>
      <c r="BH87" s="375">
        <f>Q87+AB87+AQ87+BE87</f>
        <v>-37876.03</v>
      </c>
      <c r="BI87" s="388">
        <f>Q87+AC87+AR87+BF87</f>
        <v>-68711.179999999993</v>
      </c>
      <c r="BJ87" s="7">
        <f t="shared" si="446"/>
        <v>-5.2260701042392325E-4</v>
      </c>
      <c r="BK87" s="375"/>
      <c r="BL87" s="282"/>
      <c r="BM87" s="378"/>
      <c r="BN87" s="375">
        <v>-2100</v>
      </c>
      <c r="BO87" s="4"/>
      <c r="BP87" s="375">
        <v>-55030</v>
      </c>
      <c r="BQ87" s="4"/>
      <c r="BR87" s="375">
        <v>-200</v>
      </c>
      <c r="BS87" s="4"/>
      <c r="BT87" s="375">
        <f t="shared" ref="BT87" si="577">SUM(BN87:BS87)</f>
        <v>-57330</v>
      </c>
      <c r="BU87" s="7">
        <f t="shared" si="447"/>
        <v>-1.0574466420932116E-3</v>
      </c>
      <c r="BV87" s="375">
        <v>-65875</v>
      </c>
      <c r="BW87" s="7"/>
      <c r="BX87" s="375">
        <v>-20</v>
      </c>
      <c r="BY87" s="7"/>
      <c r="BZ87" s="375">
        <v>-150</v>
      </c>
      <c r="CA87" s="7"/>
      <c r="CB87" s="375">
        <f>+BV87+BX87+BZ87</f>
        <v>-66045</v>
      </c>
      <c r="CC87" s="7">
        <f t="shared" si="534"/>
        <v>-1.9287170921122355E-3</v>
      </c>
      <c r="CD87" s="375">
        <f t="shared" si="238"/>
        <v>-123375</v>
      </c>
      <c r="CE87" s="7">
        <f t="shared" si="448"/>
        <v>-1.3947222806780899E-3</v>
      </c>
      <c r="CF87" s="375">
        <v>-20</v>
      </c>
      <c r="CG87" s="7">
        <f t="shared" si="449"/>
        <v>-3.9596948207765893E-6</v>
      </c>
      <c r="CH87" s="375">
        <v>-77896</v>
      </c>
      <c r="CI87" s="7">
        <f t="shared" si="449"/>
        <v>-2.1007432323084021E-3</v>
      </c>
      <c r="CJ87" s="375">
        <v>-49208.9</v>
      </c>
      <c r="CK87" s="7">
        <f t="shared" si="449"/>
        <v>-1.7473332494021756E-3</v>
      </c>
      <c r="CL87" s="375">
        <f>+CF87+CH87+CJ87</f>
        <v>-127124.9</v>
      </c>
      <c r="CM87" s="7">
        <f t="shared" si="449"/>
        <v>-1.8084900770900269E-3</v>
      </c>
      <c r="CN87" s="375">
        <f t="shared" si="288"/>
        <v>-250499.9</v>
      </c>
      <c r="CO87" s="7">
        <f t="shared" si="241"/>
        <v>-1.5779336217678888E-3</v>
      </c>
      <c r="CP87" s="472">
        <v>-1340</v>
      </c>
      <c r="CQ87" s="7">
        <f t="shared" si="422"/>
        <v>-6.8401913601521486E-5</v>
      </c>
      <c r="CR87" s="375">
        <f>+CN87+CP87</f>
        <v>-251839.9</v>
      </c>
      <c r="CS87" s="7">
        <f t="shared" si="244"/>
        <v>-1.4121180705212162E-3</v>
      </c>
      <c r="CT87" s="375">
        <v>-4385</v>
      </c>
      <c r="CU87" s="7">
        <f t="shared" ref="CU87" si="578">+CT87/CT$8</f>
        <v>-2.7993033905742955E-4</v>
      </c>
      <c r="CV87" s="375">
        <v>-23190</v>
      </c>
      <c r="CW87" s="7">
        <f t="shared" si="452"/>
        <v>-3.7061919404525814E-4</v>
      </c>
      <c r="CX87" s="375">
        <f>+CV87+CT87+CP87</f>
        <v>-28915</v>
      </c>
      <c r="CY87" s="7">
        <f t="shared" si="424"/>
        <v>-2.9557681533941179E-4</v>
      </c>
      <c r="CZ87" s="375">
        <f>+CD87+CL87+CX87</f>
        <v>-279414.90000000002</v>
      </c>
      <c r="DA87" s="7">
        <f t="shared" si="453"/>
        <v>-1.0890076703253685E-3</v>
      </c>
      <c r="DB87" s="375">
        <v>-4855</v>
      </c>
      <c r="DC87" s="7">
        <f t="shared" si="250"/>
        <v>-2.5291321024494874E-4</v>
      </c>
      <c r="DD87" s="375">
        <v>-220</v>
      </c>
      <c r="DE87" s="7">
        <f t="shared" si="250"/>
        <v>-8.4722231764705405E-6</v>
      </c>
      <c r="DF87" s="72">
        <v>-100175</v>
      </c>
      <c r="DG87" s="7">
        <f t="shared" si="250"/>
        <v>-3.2293475481758121E-3</v>
      </c>
      <c r="DH87" s="375">
        <f>+DB87+DD87+DF87</f>
        <v>-105250</v>
      </c>
      <c r="DI87" s="7">
        <f t="shared" si="425"/>
        <v>-1.3815288196254321E-3</v>
      </c>
      <c r="DJ87" s="375">
        <v>-16500</v>
      </c>
      <c r="DK87" s="7">
        <f t="shared" si="254"/>
        <v>-3.1372346812933637E-4</v>
      </c>
      <c r="DL87" s="72">
        <v>-750</v>
      </c>
      <c r="DM87" s="7">
        <f t="shared" si="255"/>
        <v>-8.6465469151968772E-5</v>
      </c>
      <c r="DN87" s="72">
        <v>-23308</v>
      </c>
      <c r="DO87" s="7">
        <f t="shared" si="256"/>
        <v>-1.3582227920257291E-3</v>
      </c>
      <c r="DP87" s="72">
        <v>-5300</v>
      </c>
      <c r="DQ87" s="7">
        <f t="shared" si="257"/>
        <v>-6.3166297751313769E-5</v>
      </c>
      <c r="DR87" s="375">
        <f>+DL87+DN87+DP87</f>
        <v>-29358</v>
      </c>
      <c r="DS87" s="7">
        <f t="shared" si="426"/>
        <v>-2.6752287970292543E-4</v>
      </c>
      <c r="DT87" s="375">
        <f t="shared" si="259"/>
        <v>-134608</v>
      </c>
      <c r="DU87" s="7">
        <f t="shared" si="454"/>
        <v>-7.2399528398761832E-4</v>
      </c>
      <c r="DV87" s="375">
        <v>-36028</v>
      </c>
      <c r="DW87" s="7">
        <f t="shared" si="260"/>
        <v>-7.9152317643440813E-4</v>
      </c>
      <c r="DX87" s="375">
        <v>-8860</v>
      </c>
      <c r="DY87" s="7">
        <f t="shared" si="261"/>
        <v>-3.4271395689963984E-4</v>
      </c>
      <c r="DZ87" s="375">
        <v>-5000</v>
      </c>
      <c r="EA87" s="7">
        <f t="shared" si="262"/>
        <v>-4.0868575098900158E-5</v>
      </c>
      <c r="EB87" s="375">
        <f>+DV87+DX87+DZ87</f>
        <v>-49888</v>
      </c>
      <c r="EC87" s="7">
        <f t="shared" si="427"/>
        <v>-2.5753542593188219E-4</v>
      </c>
      <c r="ED87" s="375">
        <f>+EB87+DT87</f>
        <v>-184496</v>
      </c>
      <c r="EE87" s="7">
        <f t="shared" si="455"/>
        <v>-4.8598000464641038E-4</v>
      </c>
      <c r="EF87" s="375">
        <v>-8950</v>
      </c>
      <c r="EG87" s="7">
        <f t="shared" si="264"/>
        <v>-6.0568395533565507E-4</v>
      </c>
      <c r="EH87" s="375">
        <v>-12636</v>
      </c>
      <c r="EI87" s="7">
        <f t="shared" si="265"/>
        <v>-9.911632252784248E-4</v>
      </c>
      <c r="EJ87" s="375">
        <v>-2000</v>
      </c>
      <c r="EK87" s="7">
        <f t="shared" si="266"/>
        <v>-1.2807128008113598E-5</v>
      </c>
      <c r="EL87" s="375">
        <f>+EF87+EH87+EJ87</f>
        <v>-23586</v>
      </c>
      <c r="EM87" s="7">
        <f t="shared" si="428"/>
        <v>-1.2840224511158991E-4</v>
      </c>
      <c r="EN87" s="375">
        <f>+EL87+ED87</f>
        <v>-208082</v>
      </c>
      <c r="EO87" s="7">
        <f t="shared" si="456"/>
        <v>-3.6938153631180346E-4</v>
      </c>
      <c r="EP87" s="373"/>
      <c r="EQ87" s="373"/>
      <c r="ER87" s="373"/>
      <c r="ES87" s="373"/>
      <c r="ET87" s="375">
        <v>-116818.16</v>
      </c>
      <c r="EU87" s="7">
        <f t="shared" si="269"/>
        <v>-1.5837776251818092E-2</v>
      </c>
      <c r="EV87" s="375">
        <v>-24627.49</v>
      </c>
      <c r="EW87" s="7">
        <f t="shared" si="270"/>
        <v>-4.0409900674663567E-3</v>
      </c>
      <c r="EX87" s="375">
        <v>-193750</v>
      </c>
      <c r="EY87" s="7">
        <f t="shared" si="271"/>
        <v>-8.4871202211379761E-4</v>
      </c>
      <c r="EZ87" s="375">
        <f>+ET87+EV87+EX87</f>
        <v>-335195.65000000002</v>
      </c>
      <c r="FA87" s="7">
        <f t="shared" si="429"/>
        <v>-1.3864957429934525E-3</v>
      </c>
      <c r="FB87" s="375">
        <v>-3000</v>
      </c>
      <c r="FC87" s="7">
        <f t="shared" si="273"/>
        <v>-3.3105444100345842E-4</v>
      </c>
      <c r="FD87" s="375">
        <v>-2600</v>
      </c>
      <c r="FE87" s="7">
        <f t="shared" si="200"/>
        <v>-2.4702212819777997E-5</v>
      </c>
      <c r="FF87" s="375">
        <v>-14775</v>
      </c>
      <c r="FG87" s="7">
        <f t="shared" si="430"/>
        <v>-9.1951904556259608E-5</v>
      </c>
      <c r="FH87" s="375">
        <f>+FB87+FD87+FF87</f>
        <v>-20375</v>
      </c>
      <c r="FI87" s="7">
        <f t="shared" si="431"/>
        <v>-7.4091580260939402E-5</v>
      </c>
      <c r="FJ87" s="375">
        <f t="shared" ref="FJ87" si="579">EZ87+FH87</f>
        <v>-355570.65</v>
      </c>
      <c r="FK87" s="7">
        <f t="shared" si="459"/>
        <v>-6.8808369698941934E-4</v>
      </c>
      <c r="FL87" s="375">
        <v>-1800</v>
      </c>
      <c r="FM87" s="7">
        <f t="shared" si="276"/>
        <v>-1.6461938680814863E-4</v>
      </c>
      <c r="FN87" s="375"/>
      <c r="FO87" s="7">
        <f t="shared" si="432"/>
        <v>0</v>
      </c>
      <c r="FP87" s="375">
        <v>-2250</v>
      </c>
      <c r="FQ87" s="7">
        <f t="shared" si="433"/>
        <v>-8.133238904815049E-6</v>
      </c>
      <c r="FR87" s="375">
        <f>+FL87+FN87+FP87</f>
        <v>-4050</v>
      </c>
      <c r="FS87" s="7">
        <f t="shared" si="434"/>
        <v>-1.3853026145823343E-5</v>
      </c>
      <c r="FT87" s="375">
        <f t="shared" ref="FT87" si="580">FJ87+FR87</f>
        <v>-359620.65</v>
      </c>
      <c r="FU87" s="7">
        <f t="shared" si="462"/>
        <v>-4.4446456376207819E-4</v>
      </c>
      <c r="FV87" s="375">
        <v>-7820</v>
      </c>
      <c r="FW87" s="7">
        <f t="shared" si="279"/>
        <v>-2.818024116120655E-4</v>
      </c>
      <c r="FX87" s="375">
        <v>-900</v>
      </c>
      <c r="FY87" s="7">
        <f t="shared" si="435"/>
        <v>-3.5058573295247357E-5</v>
      </c>
      <c r="FZ87" s="375">
        <v>-3275</v>
      </c>
      <c r="GA87" s="7">
        <f t="shared" si="436"/>
        <v>-1.132789256726361E-5</v>
      </c>
      <c r="GB87" s="375">
        <f>+FV87+FX87+FZ87</f>
        <v>-11995</v>
      </c>
      <c r="GC87" s="7">
        <f t="shared" si="437"/>
        <v>-3.5018764586775175E-5</v>
      </c>
      <c r="GD87" s="375">
        <f t="shared" ref="GD87" si="581">FT87+GB87</f>
        <v>-371615.65</v>
      </c>
      <c r="GE87" s="7">
        <f t="shared" si="465"/>
        <v>-3.2268373380197425E-4</v>
      </c>
      <c r="GF87" s="566">
        <f t="shared" si="282"/>
        <v>0</v>
      </c>
      <c r="GG87" s="525">
        <f t="shared" si="438"/>
        <v>0</v>
      </c>
      <c r="GH87" s="528">
        <f>+GQ87*$GO$2</f>
        <v>0</v>
      </c>
      <c r="GI87" s="525">
        <f t="shared" si="439"/>
        <v>0</v>
      </c>
      <c r="GJ87" s="528"/>
      <c r="GK87" s="525">
        <f t="shared" si="440"/>
        <v>0</v>
      </c>
      <c r="GL87" s="528">
        <f>+GD87+GF87+GH87-GJ87</f>
        <v>-371615.65</v>
      </c>
      <c r="GM87" s="565">
        <f t="shared" si="468"/>
        <v>-3.2068021782483467E-4</v>
      </c>
      <c r="GO87" s="586"/>
      <c r="GQ87" s="586"/>
      <c r="GT87" s="551">
        <f t="shared" si="558"/>
        <v>-20459.023147720229</v>
      </c>
      <c r="GU87" s="551">
        <f t="shared" si="471"/>
        <v>-23970.326852279752</v>
      </c>
      <c r="GV87" s="550">
        <f t="shared" si="441"/>
        <v>-44429.349999999977</v>
      </c>
      <c r="GW87" s="527">
        <v>-400000</v>
      </c>
      <c r="GX87" s="525">
        <f t="shared" si="285"/>
        <v>-3.3780502731473153E-4</v>
      </c>
      <c r="GY87" s="528">
        <f>+GW87</f>
        <v>-400000</v>
      </c>
      <c r="GZ87" s="525">
        <f t="shared" si="286"/>
        <v>-4.4434562876994731E-4</v>
      </c>
      <c r="HA87" s="528">
        <f>+GY87</f>
        <v>-400000</v>
      </c>
      <c r="HB87" s="526">
        <f t="shared" si="287"/>
        <v>-5.4949896329792834E-4</v>
      </c>
      <c r="HD87" s="527">
        <v>-400000</v>
      </c>
      <c r="HE87" s="525">
        <v>-3.3671851631430935E-4</v>
      </c>
      <c r="HF87" s="528">
        <v>-400000</v>
      </c>
      <c r="HG87" s="525">
        <v>-4.4434562876994731E-4</v>
      </c>
      <c r="HH87" s="528">
        <v>-400000</v>
      </c>
      <c r="HI87" s="526">
        <v>-5.4949896329792834E-4</v>
      </c>
    </row>
    <row r="88" spans="1:218">
      <c r="A88" s="386" t="s">
        <v>78</v>
      </c>
      <c r="B88" s="386"/>
      <c r="C88" s="389">
        <f>SUM(C87)</f>
        <v>-124792.5</v>
      </c>
      <c r="D88" s="4"/>
      <c r="E88" s="389">
        <f>SUM(E87)</f>
        <v>-70052.5</v>
      </c>
      <c r="F88" s="4"/>
      <c r="G88" s="389">
        <f>SUM(G87)</f>
        <v>0</v>
      </c>
      <c r="H88" s="389">
        <f>SUM(H87)</f>
        <v>-200</v>
      </c>
      <c r="I88" s="4"/>
      <c r="J88" s="389">
        <f>SUM(J87)</f>
        <v>0</v>
      </c>
      <c r="K88" s="389">
        <f>SUM(K87)</f>
        <v>-250</v>
      </c>
      <c r="L88" s="4"/>
      <c r="M88" s="389">
        <f>SUM(M87)</f>
        <v>0</v>
      </c>
      <c r="N88" s="389">
        <f>SUM(N87)</f>
        <v>-14018</v>
      </c>
      <c r="O88" s="4"/>
      <c r="P88" s="389">
        <f t="shared" si="421"/>
        <v>0</v>
      </c>
      <c r="Q88" s="389">
        <f t="shared" si="421"/>
        <v>-14468</v>
      </c>
      <c r="R88" s="7">
        <f t="shared" si="442"/>
        <v>-3.9782141390164611E-4</v>
      </c>
      <c r="S88" s="389">
        <f>SUM(S87)</f>
        <v>-300</v>
      </c>
      <c r="T88" s="389">
        <f>SUM(T87)</f>
        <v>-300</v>
      </c>
      <c r="U88" s="4"/>
      <c r="V88" s="389">
        <f>SUM(V87)</f>
        <v>-4045</v>
      </c>
      <c r="W88" s="389">
        <f>SUM(W87)</f>
        <v>-4045</v>
      </c>
      <c r="X88" s="4"/>
      <c r="Y88" s="389">
        <f>SUM(Y87)</f>
        <v>-5565</v>
      </c>
      <c r="Z88" s="389">
        <f>SUM(Z87)</f>
        <v>-5565</v>
      </c>
      <c r="AA88" s="4"/>
      <c r="AB88" s="389">
        <f>SUM(AB87)</f>
        <v>-9910</v>
      </c>
      <c r="AC88" s="389">
        <f>SUM(AC87)</f>
        <v>-9910</v>
      </c>
      <c r="AD88" s="7">
        <f t="shared" si="443"/>
        <v>-2.672071109072229E-4</v>
      </c>
      <c r="AE88" s="389">
        <f>SUM(AE87)</f>
        <v>-24378</v>
      </c>
      <c r="AF88" s="389">
        <f>SUM(AF87)</f>
        <v>-24378</v>
      </c>
      <c r="AG88" s="4"/>
      <c r="AH88" s="389">
        <f>SUM(AH87)</f>
        <v>-3000</v>
      </c>
      <c r="AI88" s="389">
        <f>SUM(AI87)</f>
        <v>-3000</v>
      </c>
      <c r="AJ88" s="4"/>
      <c r="AK88" s="389">
        <f>SUM(AK87)</f>
        <v>-7698.03</v>
      </c>
      <c r="AL88" s="389">
        <f>SUM(AL87)</f>
        <v>-7698.03</v>
      </c>
      <c r="AM88" s="4"/>
      <c r="AN88" s="389">
        <f>SUM(AN87)</f>
        <v>-2800</v>
      </c>
      <c r="AO88" s="389">
        <f>SUM(AO87)</f>
        <v>-2800</v>
      </c>
      <c r="AP88" s="4"/>
      <c r="AQ88" s="389">
        <f>SUM(AQ87)</f>
        <v>-13498.029999999999</v>
      </c>
      <c r="AR88" s="389">
        <f>SUM(AR87)</f>
        <v>-13498.029999999999</v>
      </c>
      <c r="AS88" s="7">
        <f t="shared" si="444"/>
        <v>-5.0701316209215822E-4</v>
      </c>
      <c r="AT88" s="389">
        <f>SUM(AT87)</f>
        <v>-37876.03</v>
      </c>
      <c r="AU88" s="4"/>
      <c r="AV88" s="389">
        <f>SUM(AV87)</f>
        <v>0</v>
      </c>
      <c r="AW88" s="389">
        <f>SUM(AW87)</f>
        <v>-3433</v>
      </c>
      <c r="AX88" s="4"/>
      <c r="AY88" s="389">
        <f>SUM(AY87)</f>
        <v>0</v>
      </c>
      <c r="AZ88" s="389">
        <f>SUM(AZ87)</f>
        <v>-24381</v>
      </c>
      <c r="BA88" s="4"/>
      <c r="BB88" s="389">
        <f>SUM(BB87)</f>
        <v>0</v>
      </c>
      <c r="BC88" s="389">
        <f>SUM(BC87)</f>
        <v>-3021.15</v>
      </c>
      <c r="BD88" s="448"/>
      <c r="BE88" s="389">
        <f>SUM(BE87)</f>
        <v>0</v>
      </c>
      <c r="BF88" s="389">
        <f>SUM(BF87)</f>
        <v>-30835.15</v>
      </c>
      <c r="BG88" s="7">
        <f t="shared" si="445"/>
        <v>-9.8202154685558623E-4</v>
      </c>
      <c r="BH88" s="389">
        <f>SUM(BH87)</f>
        <v>-37876.03</v>
      </c>
      <c r="BI88" s="389">
        <f>SUM(BI87)</f>
        <v>-68711.179999999993</v>
      </c>
      <c r="BJ88" s="7">
        <f t="shared" si="446"/>
        <v>-5.2260701042392325E-4</v>
      </c>
      <c r="BK88" s="389">
        <v>-85500</v>
      </c>
      <c r="BL88" s="282"/>
      <c r="BM88" s="378">
        <v>-85500</v>
      </c>
      <c r="BN88" s="389">
        <f>SUM(BN87)</f>
        <v>-2100</v>
      </c>
      <c r="BO88" s="4"/>
      <c r="BP88" s="389">
        <f>SUM(BP87)</f>
        <v>-55030</v>
      </c>
      <c r="BQ88" s="4"/>
      <c r="BR88" s="389">
        <f>SUM(BR87)</f>
        <v>-200</v>
      </c>
      <c r="BS88" s="4"/>
      <c r="BT88" s="389">
        <f>SUM(BT87)</f>
        <v>-57330</v>
      </c>
      <c r="BU88" s="7">
        <f t="shared" si="447"/>
        <v>-1.0574466420932116E-3</v>
      </c>
      <c r="BV88" s="389">
        <f>SUM(BV87)</f>
        <v>-65875</v>
      </c>
      <c r="BW88" s="7"/>
      <c r="BX88" s="389">
        <f>SUM(BX87)</f>
        <v>-20</v>
      </c>
      <c r="BY88" s="7"/>
      <c r="BZ88" s="389">
        <f>SUM(BZ87)</f>
        <v>-150</v>
      </c>
      <c r="CA88" s="7"/>
      <c r="CB88" s="389">
        <f>SUM(CB87)</f>
        <v>-66045</v>
      </c>
      <c r="CC88" s="7">
        <f t="shared" si="534"/>
        <v>-1.9287170921122355E-3</v>
      </c>
      <c r="CD88" s="389">
        <f>SUM(CD87)</f>
        <v>-123375</v>
      </c>
      <c r="CE88" s="7">
        <f t="shared" si="448"/>
        <v>-1.3947222806780899E-3</v>
      </c>
      <c r="CF88" s="389">
        <f>SUM(CF87)</f>
        <v>-20</v>
      </c>
      <c r="CG88" s="7">
        <f t="shared" si="449"/>
        <v>-3.9596948207765893E-6</v>
      </c>
      <c r="CH88" s="389">
        <f>SUM(CH87)</f>
        <v>-77896</v>
      </c>
      <c r="CI88" s="7">
        <f t="shared" si="449"/>
        <v>-2.1007432323084021E-3</v>
      </c>
      <c r="CJ88" s="389">
        <f>SUM(CJ87)</f>
        <v>-49208.9</v>
      </c>
      <c r="CK88" s="7">
        <f t="shared" si="449"/>
        <v>-1.7473332494021756E-3</v>
      </c>
      <c r="CL88" s="389">
        <f>SUM(CL87)</f>
        <v>-127124.9</v>
      </c>
      <c r="CM88" s="7">
        <f t="shared" si="449"/>
        <v>-1.8084900770900269E-3</v>
      </c>
      <c r="CN88" s="389">
        <f>SUM(CN87)</f>
        <v>-250499.9</v>
      </c>
      <c r="CO88" s="7">
        <f t="shared" si="241"/>
        <v>-1.5779336217678888E-3</v>
      </c>
      <c r="CP88" s="389">
        <f>SUM(CP87)</f>
        <v>-1340</v>
      </c>
      <c r="CQ88" s="7">
        <f t="shared" si="422"/>
        <v>-6.8401913601521486E-5</v>
      </c>
      <c r="CR88" s="389">
        <f>SUM(CR87)</f>
        <v>-251839.9</v>
      </c>
      <c r="CS88" s="7">
        <f t="shared" si="244"/>
        <v>-1.4121180705212162E-3</v>
      </c>
      <c r="CT88" s="389">
        <f t="shared" ref="CT88" si="582">SUM(CT87)</f>
        <v>-4385</v>
      </c>
      <c r="CU88" s="7">
        <f t="shared" si="199"/>
        <v>-2.7993033905742955E-4</v>
      </c>
      <c r="CV88" s="389">
        <f t="shared" ref="CV88" si="583">SUM(CV87)</f>
        <v>-23190</v>
      </c>
      <c r="CW88" s="7">
        <f t="shared" si="452"/>
        <v>-3.7061919404525814E-4</v>
      </c>
      <c r="CX88" s="389">
        <f>SUM(CX87)</f>
        <v>-28915</v>
      </c>
      <c r="CY88" s="7">
        <f t="shared" si="424"/>
        <v>-2.9557681533941179E-4</v>
      </c>
      <c r="CZ88" s="389">
        <f>SUM(CZ87)</f>
        <v>-279414.90000000002</v>
      </c>
      <c r="DA88" s="7">
        <f t="shared" si="453"/>
        <v>-1.0890076703253685E-3</v>
      </c>
      <c r="DB88" s="389">
        <f>SUM(DB87)</f>
        <v>-4855</v>
      </c>
      <c r="DC88" s="7">
        <f t="shared" si="250"/>
        <v>-2.5291321024494874E-4</v>
      </c>
      <c r="DD88" s="389">
        <f>SUM(DD87)</f>
        <v>-220</v>
      </c>
      <c r="DE88" s="7">
        <f t="shared" si="250"/>
        <v>-8.4722231764705405E-6</v>
      </c>
      <c r="DF88" s="389">
        <f>SUM(DF87)</f>
        <v>-100175</v>
      </c>
      <c r="DG88" s="7">
        <f t="shared" si="250"/>
        <v>-3.2293475481758121E-3</v>
      </c>
      <c r="DH88" s="389">
        <f>SUM(DH87)</f>
        <v>-105250</v>
      </c>
      <c r="DI88" s="7">
        <f t="shared" si="425"/>
        <v>-1.3815288196254321E-3</v>
      </c>
      <c r="DJ88" s="389">
        <f>SUM(DJ87)</f>
        <v>-16500</v>
      </c>
      <c r="DK88" s="7">
        <f t="shared" si="254"/>
        <v>-3.1372346812933637E-4</v>
      </c>
      <c r="DL88" s="389">
        <f>SUM(DL87)</f>
        <v>-750</v>
      </c>
      <c r="DM88" s="7">
        <f t="shared" si="255"/>
        <v>-8.6465469151968772E-5</v>
      </c>
      <c r="DN88" s="389">
        <f>SUM(DN87)</f>
        <v>-23308</v>
      </c>
      <c r="DO88" s="7">
        <f t="shared" si="256"/>
        <v>-1.3582227920257291E-3</v>
      </c>
      <c r="DP88" s="389">
        <f>SUM(DP87)</f>
        <v>-5300</v>
      </c>
      <c r="DQ88" s="7">
        <f t="shared" si="257"/>
        <v>-6.3166297751313769E-5</v>
      </c>
      <c r="DR88" s="389">
        <f>SUM(DR87)</f>
        <v>-29358</v>
      </c>
      <c r="DS88" s="7">
        <f t="shared" si="426"/>
        <v>-2.6752287970292543E-4</v>
      </c>
      <c r="DT88" s="389">
        <f>SUM(DT87)</f>
        <v>-134608</v>
      </c>
      <c r="DU88" s="7">
        <f t="shared" si="454"/>
        <v>-7.2399528398761832E-4</v>
      </c>
      <c r="DV88" s="389">
        <f>SUM(DV87)</f>
        <v>-36028</v>
      </c>
      <c r="DW88" s="7">
        <f t="shared" si="260"/>
        <v>-7.9152317643440813E-4</v>
      </c>
      <c r="DX88" s="389">
        <f>SUM(DX87)</f>
        <v>-8860</v>
      </c>
      <c r="DY88" s="7">
        <f t="shared" si="261"/>
        <v>-3.4271395689963984E-4</v>
      </c>
      <c r="DZ88" s="389">
        <f>SUM(DZ87)</f>
        <v>-5000</v>
      </c>
      <c r="EA88" s="7">
        <f t="shared" si="262"/>
        <v>-4.0868575098900158E-5</v>
      </c>
      <c r="EB88" s="389">
        <f>SUM(EB87)</f>
        <v>-49888</v>
      </c>
      <c r="EC88" s="7">
        <f t="shared" si="427"/>
        <v>-2.5753542593188219E-4</v>
      </c>
      <c r="ED88" s="389">
        <f>SUM(ED87)</f>
        <v>-184496</v>
      </c>
      <c r="EE88" s="7">
        <f t="shared" si="455"/>
        <v>-4.8598000464641038E-4</v>
      </c>
      <c r="EF88" s="389">
        <f>SUM(EF87)</f>
        <v>-8950</v>
      </c>
      <c r="EG88" s="7">
        <f t="shared" si="264"/>
        <v>-6.0568395533565507E-4</v>
      </c>
      <c r="EH88" s="389">
        <f>SUM(EH87)</f>
        <v>-12636</v>
      </c>
      <c r="EI88" s="7">
        <f t="shared" si="265"/>
        <v>-9.911632252784248E-4</v>
      </c>
      <c r="EJ88" s="389">
        <f>SUM(EJ87)</f>
        <v>-2000</v>
      </c>
      <c r="EK88" s="7">
        <f t="shared" si="266"/>
        <v>-1.2807128008113598E-5</v>
      </c>
      <c r="EL88" s="389">
        <f>SUM(EL87)</f>
        <v>-23586</v>
      </c>
      <c r="EM88" s="7">
        <f t="shared" si="428"/>
        <v>-1.2840224511158991E-4</v>
      </c>
      <c r="EN88" s="389">
        <f>SUM(EN87)</f>
        <v>-208082</v>
      </c>
      <c r="EO88" s="7">
        <f t="shared" si="456"/>
        <v>-3.6938153631180346E-4</v>
      </c>
      <c r="EP88" s="373"/>
      <c r="EQ88" s="373"/>
      <c r="ER88" s="373"/>
      <c r="ES88" s="373"/>
      <c r="ET88" s="389">
        <f>SUM(ET87)</f>
        <v>-116818.16</v>
      </c>
      <c r="EU88" s="7">
        <f t="shared" si="269"/>
        <v>-1.5837776251818092E-2</v>
      </c>
      <c r="EV88" s="389">
        <f>SUM(EV87)</f>
        <v>-24627.49</v>
      </c>
      <c r="EW88" s="7">
        <f t="shared" si="270"/>
        <v>-4.0409900674663567E-3</v>
      </c>
      <c r="EX88" s="389">
        <f>SUM(EX87)</f>
        <v>-193750</v>
      </c>
      <c r="EY88" s="7">
        <f t="shared" si="271"/>
        <v>-8.4871202211379761E-4</v>
      </c>
      <c r="EZ88" s="389">
        <f>SUM(EZ87)</f>
        <v>-335195.65000000002</v>
      </c>
      <c r="FA88" s="7">
        <f t="shared" si="429"/>
        <v>-1.3864957429934525E-3</v>
      </c>
      <c r="FB88" s="389">
        <f>SUM(FB87)</f>
        <v>-3000</v>
      </c>
      <c r="FC88" s="7">
        <f t="shared" si="273"/>
        <v>-3.3105444100345842E-4</v>
      </c>
      <c r="FD88" s="389">
        <f t="shared" ref="FD88" si="584">SUM(FD87)</f>
        <v>-2600</v>
      </c>
      <c r="FE88" s="7">
        <f t="shared" si="200"/>
        <v>-2.4702212819777997E-5</v>
      </c>
      <c r="FF88" s="389">
        <f t="shared" ref="FF88" si="585">SUM(FF87)</f>
        <v>-14775</v>
      </c>
      <c r="FG88" s="7">
        <f t="shared" si="430"/>
        <v>-9.1951904556259608E-5</v>
      </c>
      <c r="FH88" s="389">
        <f>SUM(FH87)</f>
        <v>-20375</v>
      </c>
      <c r="FI88" s="7">
        <f t="shared" si="431"/>
        <v>-7.4091580260939402E-5</v>
      </c>
      <c r="FJ88" s="389">
        <f>SUM(FJ87)</f>
        <v>-355570.65</v>
      </c>
      <c r="FK88" s="7">
        <f t="shared" si="459"/>
        <v>-6.8808369698941934E-4</v>
      </c>
      <c r="FL88" s="389">
        <f>SUM(FL87)</f>
        <v>-1800</v>
      </c>
      <c r="FM88" s="7">
        <f t="shared" si="276"/>
        <v>-1.6461938680814863E-4</v>
      </c>
      <c r="FN88" s="389">
        <f t="shared" ref="FN88" si="586">SUM(FN87)</f>
        <v>0</v>
      </c>
      <c r="FO88" s="7">
        <f t="shared" si="432"/>
        <v>0</v>
      </c>
      <c r="FP88" s="389">
        <f t="shared" ref="FP88" si="587">SUM(FP87)</f>
        <v>-2250</v>
      </c>
      <c r="FQ88" s="7">
        <f t="shared" si="433"/>
        <v>-8.133238904815049E-6</v>
      </c>
      <c r="FR88" s="389">
        <f>SUM(FR87)</f>
        <v>-4050</v>
      </c>
      <c r="FS88" s="7">
        <f t="shared" si="434"/>
        <v>-1.3853026145823343E-5</v>
      </c>
      <c r="FT88" s="389">
        <f>SUM(FT87)</f>
        <v>-359620.65</v>
      </c>
      <c r="FU88" s="7">
        <f t="shared" si="462"/>
        <v>-4.4446456376207819E-4</v>
      </c>
      <c r="FV88" s="389">
        <f>SUM(FV87)</f>
        <v>-7820</v>
      </c>
      <c r="FW88" s="7">
        <f t="shared" si="279"/>
        <v>-2.818024116120655E-4</v>
      </c>
      <c r="FX88" s="389">
        <f t="shared" ref="FX88" si="588">SUM(FX87)</f>
        <v>-900</v>
      </c>
      <c r="FY88" s="7">
        <f t="shared" si="435"/>
        <v>-3.5058573295247357E-5</v>
      </c>
      <c r="FZ88" s="389">
        <f t="shared" ref="FZ88" si="589">SUM(FZ87)</f>
        <v>-3275</v>
      </c>
      <c r="GA88" s="7">
        <f t="shared" si="436"/>
        <v>-1.132789256726361E-5</v>
      </c>
      <c r="GB88" s="389">
        <f>SUM(GB87)</f>
        <v>-11995</v>
      </c>
      <c r="GC88" s="7">
        <f t="shared" si="437"/>
        <v>-3.5018764586775175E-5</v>
      </c>
      <c r="GD88" s="389">
        <f>SUM(GD87)</f>
        <v>-371615.65</v>
      </c>
      <c r="GE88" s="7">
        <f t="shared" si="465"/>
        <v>-3.2268373380197425E-4</v>
      </c>
      <c r="GF88" s="567">
        <f t="shared" ref="GF88:GH88" si="590">SUM(GF87)</f>
        <v>0</v>
      </c>
      <c r="GG88" s="525">
        <f t="shared" si="438"/>
        <v>0</v>
      </c>
      <c r="GH88" s="530">
        <f t="shared" si="590"/>
        <v>0</v>
      </c>
      <c r="GI88" s="525">
        <f t="shared" si="439"/>
        <v>0</v>
      </c>
      <c r="GJ88" s="530">
        <f t="shared" ref="GJ88" si="591">SUM(GJ87)</f>
        <v>0</v>
      </c>
      <c r="GK88" s="525">
        <f t="shared" si="440"/>
        <v>0</v>
      </c>
      <c r="GL88" s="530">
        <f>SUM(GL87)</f>
        <v>-371615.65</v>
      </c>
      <c r="GM88" s="565">
        <f t="shared" si="468"/>
        <v>-3.2068021782483467E-4</v>
      </c>
      <c r="GO88" s="587">
        <f t="shared" ref="GO88" si="592">SUM(GO87)</f>
        <v>0</v>
      </c>
      <c r="GQ88" s="587">
        <f t="shared" ref="GQ88" si="593">SUM(GQ87)</f>
        <v>0</v>
      </c>
      <c r="GT88" s="551">
        <f t="shared" si="558"/>
        <v>-20459.023147720229</v>
      </c>
      <c r="GU88" s="551">
        <f t="shared" si="471"/>
        <v>-23970.326852279752</v>
      </c>
      <c r="GV88" s="550">
        <f t="shared" si="441"/>
        <v>-44429.349999999977</v>
      </c>
      <c r="GW88" s="529">
        <f>SUM(GW87)</f>
        <v>-400000</v>
      </c>
      <c r="GX88" s="525">
        <f t="shared" si="285"/>
        <v>-3.3780502731473153E-4</v>
      </c>
      <c r="GY88" s="530">
        <f>SUM(GY87)</f>
        <v>-400000</v>
      </c>
      <c r="GZ88" s="525">
        <f t="shared" si="286"/>
        <v>-4.4434562876994731E-4</v>
      </c>
      <c r="HA88" s="530">
        <f>SUM(HA87)</f>
        <v>-400000</v>
      </c>
      <c r="HB88" s="526">
        <f t="shared" si="287"/>
        <v>-5.4949896329792834E-4</v>
      </c>
      <c r="HD88" s="529">
        <v>-400000</v>
      </c>
      <c r="HE88" s="525">
        <v>-3.3671851631430935E-4</v>
      </c>
      <c r="HF88" s="530">
        <v>-400000</v>
      </c>
      <c r="HG88" s="525">
        <v>-4.4434562876994731E-4</v>
      </c>
      <c r="HH88" s="530">
        <v>-400000</v>
      </c>
      <c r="HI88" s="526">
        <v>-5.4949896329792834E-4</v>
      </c>
    </row>
    <row r="89" spans="1:218" ht="15" customHeight="1" outlineLevel="1">
      <c r="A89" s="386" t="s">
        <v>36</v>
      </c>
      <c r="B89" s="386" t="s">
        <v>80</v>
      </c>
      <c r="C89" s="375">
        <v>0</v>
      </c>
      <c r="D89" s="4"/>
      <c r="E89" s="375">
        <v>0</v>
      </c>
      <c r="F89" s="4"/>
      <c r="G89" s="375"/>
      <c r="H89" s="375"/>
      <c r="I89" s="4"/>
      <c r="J89" s="375"/>
      <c r="K89" s="375"/>
      <c r="L89" s="4"/>
      <c r="M89" s="375"/>
      <c r="N89" s="375">
        <v>0</v>
      </c>
      <c r="O89" s="4"/>
      <c r="P89" s="375">
        <f t="shared" si="421"/>
        <v>0</v>
      </c>
      <c r="Q89" s="375">
        <f t="shared" si="421"/>
        <v>0</v>
      </c>
      <c r="R89" s="7">
        <f t="shared" si="442"/>
        <v>0</v>
      </c>
      <c r="S89" s="375"/>
      <c r="T89" s="375"/>
      <c r="U89" s="4"/>
      <c r="V89" s="375"/>
      <c r="W89" s="375"/>
      <c r="X89" s="4"/>
      <c r="Y89" s="375"/>
      <c r="Z89" s="375"/>
      <c r="AA89" s="4"/>
      <c r="AB89" s="375">
        <f t="shared" si="224"/>
        <v>0</v>
      </c>
      <c r="AC89" s="375">
        <f t="shared" si="533"/>
        <v>0</v>
      </c>
      <c r="AD89" s="7">
        <f t="shared" si="443"/>
        <v>0</v>
      </c>
      <c r="AE89" s="375">
        <f t="shared" ref="AE89:AE92" si="594">+Q89+AB89</f>
        <v>0</v>
      </c>
      <c r="AF89" s="375">
        <f t="shared" ref="AF89:AF90" si="595">+AC89+Q89</f>
        <v>0</v>
      </c>
      <c r="AG89" s="4"/>
      <c r="AH89" s="375"/>
      <c r="AI89" s="375"/>
      <c r="AJ89" s="4"/>
      <c r="AK89" s="375"/>
      <c r="AL89" s="375"/>
      <c r="AM89" s="4"/>
      <c r="AN89" s="375"/>
      <c r="AO89" s="375"/>
      <c r="AP89" s="4"/>
      <c r="AQ89" s="375">
        <f t="shared" ref="AQ89:AQ92" si="596">AN89+AK89+AH89</f>
        <v>0</v>
      </c>
      <c r="AR89" s="375">
        <f t="shared" ref="AR89:AR90" si="597">AO89+AL89+AI89</f>
        <v>0</v>
      </c>
      <c r="AS89" s="7">
        <f t="shared" si="444"/>
        <v>0</v>
      </c>
      <c r="AT89" s="375">
        <f t="shared" ref="AT89:AT92" si="598">+AF89+AR89</f>
        <v>0</v>
      </c>
      <c r="AU89" s="4"/>
      <c r="AV89" s="375"/>
      <c r="AW89" s="375"/>
      <c r="AX89" s="4"/>
      <c r="AY89" s="375"/>
      <c r="AZ89" s="375"/>
      <c r="BA89" s="4"/>
      <c r="BB89" s="375"/>
      <c r="BC89" s="375"/>
      <c r="BD89" s="448"/>
      <c r="BE89" s="375">
        <f t="shared" ref="BE89:BE92" si="599">BB89+AY89+AV89</f>
        <v>0</v>
      </c>
      <c r="BF89" s="375">
        <f t="shared" ref="BF89:BF90" si="600">BC89+AZ89+AW89</f>
        <v>0</v>
      </c>
      <c r="BG89" s="7">
        <f t="shared" si="445"/>
        <v>0</v>
      </c>
      <c r="BH89" s="375">
        <f t="shared" ref="BH89:BH92" si="601">Q89+AB89+AQ89+BE89</f>
        <v>0</v>
      </c>
      <c r="BI89" s="388">
        <f t="shared" ref="BI89:BI92" si="602">Q89+AC89+AR89+BF89</f>
        <v>0</v>
      </c>
      <c r="BJ89" s="7">
        <f t="shared" si="446"/>
        <v>0</v>
      </c>
      <c r="BK89" s="375"/>
      <c r="BL89" s="282"/>
      <c r="BM89" s="378"/>
      <c r="BN89" s="375"/>
      <c r="BO89" s="4"/>
      <c r="BP89" s="375"/>
      <c r="BQ89" s="4"/>
      <c r="BR89" s="375"/>
      <c r="BS89" s="4"/>
      <c r="BT89" s="375">
        <f t="shared" ref="BT89:BT92" si="603">SUM(BN89:BS89)</f>
        <v>0</v>
      </c>
      <c r="BU89" s="7">
        <f t="shared" si="447"/>
        <v>0</v>
      </c>
      <c r="BV89" s="375"/>
      <c r="BW89" s="7"/>
      <c r="BX89" s="375"/>
      <c r="BY89" s="7"/>
      <c r="BZ89" s="375">
        <f>+BT89+BV89+BX89</f>
        <v>0</v>
      </c>
      <c r="CA89" s="7"/>
      <c r="CB89" s="375">
        <f>+BV89+BX89+BZ89</f>
        <v>0</v>
      </c>
      <c r="CC89" s="7">
        <f t="shared" si="534"/>
        <v>0</v>
      </c>
      <c r="CD89" s="375">
        <f t="shared" si="238"/>
        <v>0</v>
      </c>
      <c r="CE89" s="7">
        <f t="shared" si="448"/>
        <v>0</v>
      </c>
      <c r="CF89" s="375">
        <f>+BZ89+CB89+CD89</f>
        <v>0</v>
      </c>
      <c r="CG89" s="7">
        <f t="shared" si="449"/>
        <v>0</v>
      </c>
      <c r="CH89" s="375">
        <f>+CB89+CD89+CF89</f>
        <v>0</v>
      </c>
      <c r="CI89" s="7">
        <f t="shared" si="449"/>
        <v>0</v>
      </c>
      <c r="CJ89" s="375">
        <f>+CD89+CF89+CH89</f>
        <v>0</v>
      </c>
      <c r="CK89" s="7">
        <f t="shared" si="449"/>
        <v>0</v>
      </c>
      <c r="CL89" s="375">
        <f>+CF89+CH89+CJ89</f>
        <v>0</v>
      </c>
      <c r="CM89" s="7">
        <f t="shared" si="449"/>
        <v>0</v>
      </c>
      <c r="CN89" s="375">
        <f t="shared" si="288"/>
        <v>0</v>
      </c>
      <c r="CO89" s="7">
        <f t="shared" si="241"/>
        <v>0</v>
      </c>
      <c r="CP89" s="375">
        <v>0</v>
      </c>
      <c r="CQ89" s="7">
        <f t="shared" si="422"/>
        <v>0</v>
      </c>
      <c r="CR89" s="375">
        <f t="shared" ref="CR89:CR92" si="604">+CN89+CP89</f>
        <v>0</v>
      </c>
      <c r="CS89" s="7">
        <f t="shared" si="244"/>
        <v>0</v>
      </c>
      <c r="CT89" s="375">
        <v>0</v>
      </c>
      <c r="CU89" s="7">
        <f t="shared" si="199"/>
        <v>0</v>
      </c>
      <c r="CV89" s="375">
        <v>-88765</v>
      </c>
      <c r="CW89" s="7">
        <f t="shared" si="452"/>
        <v>-1.4186292694880265E-3</v>
      </c>
      <c r="CX89" s="375">
        <f t="shared" ref="CX89:CX96" si="605">+CV89+CT89+CP89</f>
        <v>-88765</v>
      </c>
      <c r="CY89" s="7">
        <f t="shared" si="424"/>
        <v>-9.073794229155416E-4</v>
      </c>
      <c r="CZ89" s="375">
        <f>+CD89+CL89+CX89</f>
        <v>-88765</v>
      </c>
      <c r="DA89" s="7">
        <f t="shared" si="453"/>
        <v>-3.4595780631752754E-4</v>
      </c>
      <c r="DB89" s="375"/>
      <c r="DC89" s="7">
        <f t="shared" si="250"/>
        <v>0</v>
      </c>
      <c r="DD89" s="375"/>
      <c r="DE89" s="7">
        <f t="shared" si="250"/>
        <v>0</v>
      </c>
      <c r="DF89" s="375"/>
      <c r="DG89" s="7">
        <f t="shared" si="250"/>
        <v>0</v>
      </c>
      <c r="DH89" s="375">
        <f>+DB89+DD89+DF89</f>
        <v>0</v>
      </c>
      <c r="DI89" s="7">
        <f t="shared" si="425"/>
        <v>0</v>
      </c>
      <c r="DJ89" s="375"/>
      <c r="DK89" s="7">
        <f t="shared" si="254"/>
        <v>0</v>
      </c>
      <c r="DL89" s="375"/>
      <c r="DM89" s="7">
        <f t="shared" si="255"/>
        <v>0</v>
      </c>
      <c r="DN89" s="375"/>
      <c r="DO89" s="7">
        <f t="shared" si="256"/>
        <v>0</v>
      </c>
      <c r="DP89" s="375">
        <v>0</v>
      </c>
      <c r="DQ89" s="7">
        <f t="shared" si="257"/>
        <v>0</v>
      </c>
      <c r="DR89" s="375">
        <f>+DL89+DN89+DP89</f>
        <v>0</v>
      </c>
      <c r="DS89" s="7">
        <f t="shared" si="426"/>
        <v>0</v>
      </c>
      <c r="DT89" s="375">
        <f t="shared" si="259"/>
        <v>0</v>
      </c>
      <c r="DU89" s="7">
        <f t="shared" si="454"/>
        <v>0</v>
      </c>
      <c r="DV89" s="375"/>
      <c r="DW89" s="7">
        <f t="shared" si="260"/>
        <v>0</v>
      </c>
      <c r="DX89" s="375"/>
      <c r="DY89" s="7">
        <f t="shared" si="261"/>
        <v>0</v>
      </c>
      <c r="DZ89" s="375"/>
      <c r="EA89" s="7">
        <f t="shared" si="262"/>
        <v>0</v>
      </c>
      <c r="EB89" s="375">
        <f>+DV89+DX89+DZ89</f>
        <v>0</v>
      </c>
      <c r="EC89" s="7">
        <f t="shared" si="427"/>
        <v>0</v>
      </c>
      <c r="ED89" s="375">
        <f>+EB89+DT89</f>
        <v>0</v>
      </c>
      <c r="EE89" s="7">
        <f t="shared" si="455"/>
        <v>0</v>
      </c>
      <c r="EF89" s="375"/>
      <c r="EG89" s="7">
        <f t="shared" si="264"/>
        <v>0</v>
      </c>
      <c r="EH89" s="375"/>
      <c r="EI89" s="7">
        <f t="shared" si="265"/>
        <v>0</v>
      </c>
      <c r="EJ89" s="375"/>
      <c r="EK89" s="7">
        <f t="shared" si="266"/>
        <v>0</v>
      </c>
      <c r="EL89" s="375">
        <f>+EF89+EH89+EJ89</f>
        <v>0</v>
      </c>
      <c r="EM89" s="7">
        <f t="shared" si="428"/>
        <v>0</v>
      </c>
      <c r="EN89" s="375">
        <f>+EL89+ED89</f>
        <v>0</v>
      </c>
      <c r="EO89" s="7">
        <f t="shared" si="456"/>
        <v>0</v>
      </c>
      <c r="EP89" s="373"/>
      <c r="EQ89" s="373"/>
      <c r="ER89" s="373"/>
      <c r="ES89" s="373"/>
      <c r="ET89" s="375"/>
      <c r="EU89" s="7">
        <f t="shared" si="269"/>
        <v>0</v>
      </c>
      <c r="EV89" s="375"/>
      <c r="EW89" s="7">
        <f t="shared" si="270"/>
        <v>0</v>
      </c>
      <c r="EX89" s="375"/>
      <c r="EY89" s="7">
        <f t="shared" si="271"/>
        <v>0</v>
      </c>
      <c r="EZ89" s="375">
        <f>+ET89+EV89+EX89</f>
        <v>0</v>
      </c>
      <c r="FA89" s="7">
        <f t="shared" si="429"/>
        <v>0</v>
      </c>
      <c r="FB89" s="375"/>
      <c r="FC89" s="7">
        <f t="shared" si="273"/>
        <v>0</v>
      </c>
      <c r="FD89" s="375"/>
      <c r="FE89" s="7">
        <f t="shared" si="200"/>
        <v>0</v>
      </c>
      <c r="FF89" s="375"/>
      <c r="FG89" s="7">
        <f t="shared" si="430"/>
        <v>0</v>
      </c>
      <c r="FH89" s="375">
        <f>+FB89+FD89+FF89</f>
        <v>0</v>
      </c>
      <c r="FI89" s="7">
        <f t="shared" si="431"/>
        <v>0</v>
      </c>
      <c r="FJ89" s="375">
        <f t="shared" ref="FJ89" si="606">EZ89+FH89</f>
        <v>0</v>
      </c>
      <c r="FK89" s="7">
        <f t="shared" si="459"/>
        <v>0</v>
      </c>
      <c r="FL89" s="375"/>
      <c r="FM89" s="7">
        <f t="shared" si="276"/>
        <v>0</v>
      </c>
      <c r="FN89" s="375"/>
      <c r="FO89" s="7">
        <f t="shared" si="432"/>
        <v>0</v>
      </c>
      <c r="FP89" s="375"/>
      <c r="FQ89" s="7">
        <f t="shared" si="433"/>
        <v>0</v>
      </c>
      <c r="FR89" s="375">
        <f>+FL89+FN89+FP89</f>
        <v>0</v>
      </c>
      <c r="FS89" s="7">
        <f t="shared" si="434"/>
        <v>0</v>
      </c>
      <c r="FT89" s="375">
        <f t="shared" ref="FT89" si="607">FJ89+FR89</f>
        <v>0</v>
      </c>
      <c r="FU89" s="7">
        <f t="shared" si="462"/>
        <v>0</v>
      </c>
      <c r="FV89" s="375"/>
      <c r="FW89" s="7">
        <f t="shared" si="279"/>
        <v>0</v>
      </c>
      <c r="FX89" s="375"/>
      <c r="FY89" s="7">
        <f t="shared" si="435"/>
        <v>0</v>
      </c>
      <c r="FZ89" s="375"/>
      <c r="GA89" s="7">
        <f t="shared" si="436"/>
        <v>0</v>
      </c>
      <c r="GB89" s="375">
        <f>+FV89+FX89+FZ89</f>
        <v>0</v>
      </c>
      <c r="GC89" s="7">
        <f t="shared" si="437"/>
        <v>0</v>
      </c>
      <c r="GD89" s="375">
        <f t="shared" ref="GD89" si="608">FT89+GB89</f>
        <v>0</v>
      </c>
      <c r="GE89" s="7">
        <f t="shared" si="465"/>
        <v>0</v>
      </c>
      <c r="GF89" s="566">
        <f t="shared" si="282"/>
        <v>0</v>
      </c>
      <c r="GG89" s="525">
        <f t="shared" si="438"/>
        <v>0</v>
      </c>
      <c r="GH89" s="528">
        <f t="shared" ref="GH89:GH92" si="609">+GQ89*$GO$2</f>
        <v>0</v>
      </c>
      <c r="GI89" s="525">
        <f t="shared" si="439"/>
        <v>0</v>
      </c>
      <c r="GJ89" s="528"/>
      <c r="GK89" s="525">
        <f t="shared" si="440"/>
        <v>0</v>
      </c>
      <c r="GL89" s="528">
        <f t="shared" ref="GL89:GL92" si="610">+GD89+GF89+GH89-GJ89</f>
        <v>0</v>
      </c>
      <c r="GM89" s="565">
        <f t="shared" si="468"/>
        <v>0</v>
      </c>
      <c r="GO89" s="586"/>
      <c r="GQ89" s="586"/>
      <c r="GT89" s="551">
        <f t="shared" si="558"/>
        <v>0</v>
      </c>
      <c r="GU89" s="551">
        <f t="shared" si="471"/>
        <v>0</v>
      </c>
      <c r="GV89" s="550">
        <f t="shared" si="441"/>
        <v>0</v>
      </c>
      <c r="GW89" s="527"/>
      <c r="GX89" s="525">
        <f t="shared" si="285"/>
        <v>0</v>
      </c>
      <c r="GY89" s="528"/>
      <c r="GZ89" s="525">
        <f t="shared" si="286"/>
        <v>0</v>
      </c>
      <c r="HA89" s="528"/>
      <c r="HB89" s="526">
        <f t="shared" si="287"/>
        <v>0</v>
      </c>
      <c r="HD89" s="527"/>
      <c r="HE89" s="525">
        <v>0</v>
      </c>
      <c r="HF89" s="528"/>
      <c r="HG89" s="525">
        <v>0</v>
      </c>
      <c r="HH89" s="528"/>
      <c r="HI89" s="526">
        <v>0</v>
      </c>
    </row>
    <row r="90" spans="1:218" ht="15" customHeight="1" outlineLevel="1">
      <c r="A90" s="386" t="s">
        <v>36</v>
      </c>
      <c r="B90" s="386" t="s">
        <v>81</v>
      </c>
      <c r="C90" s="375">
        <v>0</v>
      </c>
      <c r="D90" s="4"/>
      <c r="E90" s="375">
        <v>0</v>
      </c>
      <c r="F90" s="4"/>
      <c r="G90" s="375"/>
      <c r="H90" s="375"/>
      <c r="I90" s="4"/>
      <c r="J90" s="375"/>
      <c r="K90" s="375"/>
      <c r="L90" s="4"/>
      <c r="M90" s="375"/>
      <c r="N90" s="375">
        <v>0</v>
      </c>
      <c r="O90" s="4"/>
      <c r="P90" s="375">
        <f t="shared" si="421"/>
        <v>0</v>
      </c>
      <c r="Q90" s="375">
        <f t="shared" si="421"/>
        <v>0</v>
      </c>
      <c r="R90" s="7">
        <f t="shared" si="442"/>
        <v>0</v>
      </c>
      <c r="S90" s="375"/>
      <c r="T90" s="375"/>
      <c r="U90" s="4"/>
      <c r="V90" s="375"/>
      <c r="W90" s="375"/>
      <c r="X90" s="4"/>
      <c r="Y90" s="375"/>
      <c r="Z90" s="375"/>
      <c r="AA90" s="4"/>
      <c r="AB90" s="375">
        <f t="shared" si="224"/>
        <v>0</v>
      </c>
      <c r="AC90" s="375">
        <f t="shared" si="533"/>
        <v>0</v>
      </c>
      <c r="AD90" s="7">
        <f t="shared" si="443"/>
        <v>0</v>
      </c>
      <c r="AE90" s="375">
        <f t="shared" si="594"/>
        <v>0</v>
      </c>
      <c r="AF90" s="375">
        <f t="shared" si="595"/>
        <v>0</v>
      </c>
      <c r="AG90" s="4"/>
      <c r="AH90" s="375"/>
      <c r="AI90" s="375"/>
      <c r="AJ90" s="4"/>
      <c r="AK90" s="375"/>
      <c r="AL90" s="375"/>
      <c r="AM90" s="4"/>
      <c r="AN90" s="375"/>
      <c r="AO90" s="375"/>
      <c r="AP90" s="4"/>
      <c r="AQ90" s="375">
        <f t="shared" si="596"/>
        <v>0</v>
      </c>
      <c r="AR90" s="375">
        <f t="shared" si="597"/>
        <v>0</v>
      </c>
      <c r="AS90" s="7">
        <f t="shared" si="444"/>
        <v>0</v>
      </c>
      <c r="AT90" s="375">
        <f t="shared" si="598"/>
        <v>0</v>
      </c>
      <c r="AU90" s="4"/>
      <c r="AV90" s="375"/>
      <c r="AW90" s="375"/>
      <c r="AX90" s="4"/>
      <c r="AY90" s="375"/>
      <c r="AZ90" s="375"/>
      <c r="BA90" s="4"/>
      <c r="BB90" s="375"/>
      <c r="BC90" s="375"/>
      <c r="BD90" s="448"/>
      <c r="BE90" s="375">
        <f t="shared" si="599"/>
        <v>0</v>
      </c>
      <c r="BF90" s="375">
        <f t="shared" si="600"/>
        <v>0</v>
      </c>
      <c r="BG90" s="7">
        <f t="shared" si="445"/>
        <v>0</v>
      </c>
      <c r="BH90" s="375">
        <f t="shared" si="601"/>
        <v>0</v>
      </c>
      <c r="BI90" s="388">
        <f t="shared" si="602"/>
        <v>0</v>
      </c>
      <c r="BJ90" s="7">
        <f t="shared" si="446"/>
        <v>0</v>
      </c>
      <c r="BK90" s="375"/>
      <c r="BL90" s="282"/>
      <c r="BM90" s="378"/>
      <c r="BN90" s="375"/>
      <c r="BO90" s="4"/>
      <c r="BP90" s="375"/>
      <c r="BQ90" s="4"/>
      <c r="BR90" s="375"/>
      <c r="BS90" s="4"/>
      <c r="BT90" s="375">
        <f t="shared" si="603"/>
        <v>0</v>
      </c>
      <c r="BU90" s="7">
        <f t="shared" si="447"/>
        <v>0</v>
      </c>
      <c r="BV90" s="375"/>
      <c r="BW90" s="7"/>
      <c r="BX90" s="375"/>
      <c r="BY90" s="7"/>
      <c r="BZ90" s="375">
        <f>+BT90+BV90+BX90</f>
        <v>0</v>
      </c>
      <c r="CA90" s="7"/>
      <c r="CB90" s="375">
        <f>+BV90+BX90+BZ90</f>
        <v>0</v>
      </c>
      <c r="CC90" s="7">
        <f t="shared" si="534"/>
        <v>0</v>
      </c>
      <c r="CD90" s="375">
        <f>BT90+CB90</f>
        <v>0</v>
      </c>
      <c r="CE90" s="7">
        <f t="shared" si="448"/>
        <v>0</v>
      </c>
      <c r="CF90" s="375">
        <f>+BZ90+CB90+CD90</f>
        <v>0</v>
      </c>
      <c r="CG90" s="7">
        <f t="shared" si="449"/>
        <v>0</v>
      </c>
      <c r="CH90" s="375">
        <f>+CB90+CD90+CF90</f>
        <v>0</v>
      </c>
      <c r="CI90" s="7">
        <f t="shared" si="449"/>
        <v>0</v>
      </c>
      <c r="CJ90" s="375">
        <f>+CD90+CF90+CH90</f>
        <v>0</v>
      </c>
      <c r="CK90" s="7">
        <f t="shared" si="449"/>
        <v>0</v>
      </c>
      <c r="CL90" s="375">
        <f>+CF90+CH90+CJ90</f>
        <v>0</v>
      </c>
      <c r="CM90" s="7">
        <f t="shared" si="449"/>
        <v>0</v>
      </c>
      <c r="CN90" s="375">
        <f t="shared" si="288"/>
        <v>0</v>
      </c>
      <c r="CO90" s="7">
        <f t="shared" si="241"/>
        <v>0</v>
      </c>
      <c r="CP90" s="375">
        <v>0</v>
      </c>
      <c r="CQ90" s="7">
        <f t="shared" si="422"/>
        <v>0</v>
      </c>
      <c r="CR90" s="375">
        <f t="shared" si="604"/>
        <v>0</v>
      </c>
      <c r="CS90" s="7">
        <f t="shared" si="244"/>
        <v>0</v>
      </c>
      <c r="CT90" s="375">
        <v>0</v>
      </c>
      <c r="CU90" s="7">
        <f t="shared" ref="CU90:CU153" si="611">+CT90/CT$8</f>
        <v>0</v>
      </c>
      <c r="CV90" s="375">
        <v>0</v>
      </c>
      <c r="CW90" s="7">
        <f t="shared" si="452"/>
        <v>0</v>
      </c>
      <c r="CX90" s="375">
        <f t="shared" si="605"/>
        <v>0</v>
      </c>
      <c r="CY90" s="7">
        <f t="shared" si="424"/>
        <v>0</v>
      </c>
      <c r="CZ90" s="375">
        <f>+CD90+CL90+CX90</f>
        <v>0</v>
      </c>
      <c r="DA90" s="7">
        <f t="shared" si="453"/>
        <v>0</v>
      </c>
      <c r="DB90" s="375">
        <f>+CV90+CX90+CZ90</f>
        <v>0</v>
      </c>
      <c r="DC90" s="7">
        <f t="shared" si="250"/>
        <v>0</v>
      </c>
      <c r="DD90" s="375">
        <f>+CX90+CZ90+DB90</f>
        <v>0</v>
      </c>
      <c r="DE90" s="7">
        <f t="shared" si="250"/>
        <v>0</v>
      </c>
      <c r="DF90" s="375">
        <f>+CZ90+DB90+DD90</f>
        <v>0</v>
      </c>
      <c r="DG90" s="7">
        <f t="shared" si="250"/>
        <v>0</v>
      </c>
      <c r="DH90" s="375">
        <f>+DB90+DD90+DF90</f>
        <v>0</v>
      </c>
      <c r="DI90" s="7">
        <f t="shared" si="425"/>
        <v>0</v>
      </c>
      <c r="DJ90" s="375"/>
      <c r="DK90" s="7">
        <f t="shared" si="254"/>
        <v>0</v>
      </c>
      <c r="DL90" s="375">
        <f>+DF90+DH90+DJ90</f>
        <v>0</v>
      </c>
      <c r="DM90" s="7">
        <f t="shared" si="255"/>
        <v>0</v>
      </c>
      <c r="DN90" s="375">
        <f>+DH90+DJ90+DL90</f>
        <v>0</v>
      </c>
      <c r="DO90" s="7">
        <f t="shared" si="256"/>
        <v>0</v>
      </c>
      <c r="DP90" s="375">
        <f>+DJ90+DL90+DN90</f>
        <v>0</v>
      </c>
      <c r="DQ90" s="7">
        <f t="shared" si="257"/>
        <v>0</v>
      </c>
      <c r="DR90" s="375">
        <f>+DL90+DN90+DP90</f>
        <v>0</v>
      </c>
      <c r="DS90" s="7">
        <f t="shared" si="426"/>
        <v>0</v>
      </c>
      <c r="DT90" s="375">
        <f t="shared" si="259"/>
        <v>0</v>
      </c>
      <c r="DU90" s="7">
        <f t="shared" si="454"/>
        <v>0</v>
      </c>
      <c r="DV90" s="375"/>
      <c r="DW90" s="7">
        <f t="shared" si="260"/>
        <v>0</v>
      </c>
      <c r="DX90" s="375"/>
      <c r="DY90" s="7">
        <f t="shared" si="261"/>
        <v>0</v>
      </c>
      <c r="DZ90" s="375"/>
      <c r="EA90" s="7">
        <f t="shared" si="262"/>
        <v>0</v>
      </c>
      <c r="EB90" s="375">
        <f>+DV90+DX90+DZ90</f>
        <v>0</v>
      </c>
      <c r="EC90" s="7">
        <f t="shared" si="427"/>
        <v>0</v>
      </c>
      <c r="ED90" s="375">
        <f>+EB90+DT90</f>
        <v>0</v>
      </c>
      <c r="EE90" s="7">
        <f t="shared" si="455"/>
        <v>0</v>
      </c>
      <c r="EF90" s="375"/>
      <c r="EG90" s="7">
        <f t="shared" si="264"/>
        <v>0</v>
      </c>
      <c r="EH90" s="375"/>
      <c r="EI90" s="7">
        <f t="shared" si="265"/>
        <v>0</v>
      </c>
      <c r="EJ90" s="375"/>
      <c r="EK90" s="7">
        <f t="shared" si="266"/>
        <v>0</v>
      </c>
      <c r="EL90" s="375">
        <f>+EF90+EH90+EJ90</f>
        <v>0</v>
      </c>
      <c r="EM90" s="7">
        <f t="shared" si="428"/>
        <v>0</v>
      </c>
      <c r="EN90" s="375">
        <f>+EL90+ED90</f>
        <v>0</v>
      </c>
      <c r="EO90" s="7">
        <f t="shared" si="456"/>
        <v>0</v>
      </c>
      <c r="EP90" s="373"/>
      <c r="EQ90" s="373"/>
      <c r="ER90" s="373"/>
      <c r="ES90" s="373"/>
      <c r="ET90" s="375"/>
      <c r="EU90" s="7">
        <f t="shared" si="269"/>
        <v>0</v>
      </c>
      <c r="EV90" s="375"/>
      <c r="EW90" s="7">
        <f t="shared" si="270"/>
        <v>0</v>
      </c>
      <c r="EX90" s="375"/>
      <c r="EY90" s="7">
        <f t="shared" si="271"/>
        <v>0</v>
      </c>
      <c r="EZ90" s="375">
        <f>+ET90+EV90+EX90</f>
        <v>0</v>
      </c>
      <c r="FA90" s="7">
        <f t="shared" si="429"/>
        <v>0</v>
      </c>
      <c r="FB90" s="375"/>
      <c r="FC90" s="7">
        <f t="shared" si="273"/>
        <v>0</v>
      </c>
      <c r="FD90" s="375"/>
      <c r="FE90" s="7">
        <f t="shared" ref="FE90:FE153" si="612">+FD90/FD$8</f>
        <v>0</v>
      </c>
      <c r="FF90" s="375"/>
      <c r="FG90" s="7">
        <f t="shared" si="430"/>
        <v>0</v>
      </c>
      <c r="FH90" s="375">
        <f>+FB90+FD90+FF90</f>
        <v>0</v>
      </c>
      <c r="FI90" s="7">
        <f t="shared" si="431"/>
        <v>0</v>
      </c>
      <c r="FJ90" s="375">
        <f>EZ90+FH90</f>
        <v>0</v>
      </c>
      <c r="FK90" s="7">
        <f t="shared" si="459"/>
        <v>0</v>
      </c>
      <c r="FL90" s="375"/>
      <c r="FM90" s="7">
        <f t="shared" si="276"/>
        <v>0</v>
      </c>
      <c r="FN90" s="375"/>
      <c r="FO90" s="7">
        <f t="shared" si="432"/>
        <v>0</v>
      </c>
      <c r="FP90" s="375"/>
      <c r="FQ90" s="7">
        <f t="shared" si="433"/>
        <v>0</v>
      </c>
      <c r="FR90" s="375">
        <f>+FL90+FN90+FP90</f>
        <v>0</v>
      </c>
      <c r="FS90" s="7">
        <f t="shared" si="434"/>
        <v>0</v>
      </c>
      <c r="FT90" s="375">
        <f>FJ90+FR90</f>
        <v>0</v>
      </c>
      <c r="FU90" s="7">
        <f t="shared" si="462"/>
        <v>0</v>
      </c>
      <c r="FV90" s="375"/>
      <c r="FW90" s="7">
        <f t="shared" si="279"/>
        <v>0</v>
      </c>
      <c r="FX90" s="375"/>
      <c r="FY90" s="7">
        <f t="shared" si="435"/>
        <v>0</v>
      </c>
      <c r="FZ90" s="375"/>
      <c r="GA90" s="7">
        <f t="shared" si="436"/>
        <v>0</v>
      </c>
      <c r="GB90" s="375">
        <f>+FV90+FX90+FZ90</f>
        <v>0</v>
      </c>
      <c r="GC90" s="7">
        <f t="shared" si="437"/>
        <v>0</v>
      </c>
      <c r="GD90" s="375">
        <f>FT90+GB90</f>
        <v>0</v>
      </c>
      <c r="GE90" s="7">
        <f t="shared" si="465"/>
        <v>0</v>
      </c>
      <c r="GF90" s="566">
        <f t="shared" si="282"/>
        <v>0</v>
      </c>
      <c r="GG90" s="525">
        <f t="shared" si="438"/>
        <v>0</v>
      </c>
      <c r="GH90" s="528">
        <f t="shared" si="609"/>
        <v>0</v>
      </c>
      <c r="GI90" s="525">
        <f t="shared" si="439"/>
        <v>0</v>
      </c>
      <c r="GJ90" s="528"/>
      <c r="GK90" s="525">
        <f t="shared" si="440"/>
        <v>0</v>
      </c>
      <c r="GL90" s="528">
        <f t="shared" si="610"/>
        <v>0</v>
      </c>
      <c r="GM90" s="565">
        <f t="shared" si="468"/>
        <v>0</v>
      </c>
      <c r="GO90" s="586"/>
      <c r="GQ90" s="586"/>
      <c r="GT90" s="551">
        <f t="shared" si="558"/>
        <v>0</v>
      </c>
      <c r="GU90" s="551">
        <f t="shared" si="471"/>
        <v>0</v>
      </c>
      <c r="GV90" s="550">
        <f t="shared" si="441"/>
        <v>0</v>
      </c>
      <c r="GW90" s="527"/>
      <c r="GX90" s="525">
        <f t="shared" si="285"/>
        <v>0</v>
      </c>
      <c r="GY90" s="528"/>
      <c r="GZ90" s="525">
        <f t="shared" si="286"/>
        <v>0</v>
      </c>
      <c r="HA90" s="528"/>
      <c r="HB90" s="526">
        <f t="shared" si="287"/>
        <v>0</v>
      </c>
      <c r="HD90" s="527"/>
      <c r="HE90" s="525">
        <v>0</v>
      </c>
      <c r="HF90" s="528"/>
      <c r="HG90" s="525">
        <v>0</v>
      </c>
      <c r="HH90" s="528"/>
      <c r="HI90" s="526">
        <v>0</v>
      </c>
    </row>
    <row r="91" spans="1:218" ht="15" customHeight="1" outlineLevel="1">
      <c r="A91" s="386" t="s">
        <v>36</v>
      </c>
      <c r="B91" s="386" t="s">
        <v>82</v>
      </c>
      <c r="C91" s="375">
        <v>-150822.72</v>
      </c>
      <c r="D91" s="4"/>
      <c r="E91" s="375">
        <v>-10828</v>
      </c>
      <c r="F91" s="4"/>
      <c r="G91" s="375"/>
      <c r="H91" s="375">
        <v>-7702</v>
      </c>
      <c r="I91" s="4"/>
      <c r="J91" s="375"/>
      <c r="K91" s="375">
        <v>-4558</v>
      </c>
      <c r="L91" s="4"/>
      <c r="M91" s="375"/>
      <c r="N91" s="375">
        <v>-4134</v>
      </c>
      <c r="O91" s="4"/>
      <c r="P91" s="375">
        <f t="shared" si="421"/>
        <v>0</v>
      </c>
      <c r="Q91" s="375">
        <f t="shared" si="421"/>
        <v>-16394</v>
      </c>
      <c r="R91" s="7">
        <f t="shared" si="442"/>
        <v>-4.5077994605360704E-4</v>
      </c>
      <c r="S91" s="375">
        <v>-39211</v>
      </c>
      <c r="T91" s="375">
        <v>-39211</v>
      </c>
      <c r="U91" s="4"/>
      <c r="V91" s="375">
        <v>-8480</v>
      </c>
      <c r="W91" s="375">
        <v>-8480</v>
      </c>
      <c r="X91" s="4"/>
      <c r="Y91" s="375">
        <v>-8240</v>
      </c>
      <c r="Z91" s="375">
        <v>-8240</v>
      </c>
      <c r="AA91" s="4"/>
      <c r="AB91" s="375">
        <f t="shared" si="224"/>
        <v>-55931</v>
      </c>
      <c r="AC91" s="375">
        <f t="shared" si="533"/>
        <v>-55931</v>
      </c>
      <c r="AD91" s="7">
        <f t="shared" si="443"/>
        <v>-1.5080888920435806E-3</v>
      </c>
      <c r="AE91" s="375">
        <f t="shared" si="594"/>
        <v>-72325</v>
      </c>
      <c r="AF91" s="375">
        <f>+AC91+Q91</f>
        <v>-72325</v>
      </c>
      <c r="AG91" s="4"/>
      <c r="AH91" s="375">
        <v>-8480</v>
      </c>
      <c r="AI91" s="375">
        <v>-8480</v>
      </c>
      <c r="AJ91" s="4"/>
      <c r="AK91" s="375">
        <v>-13604.54</v>
      </c>
      <c r="AL91" s="375">
        <v>-13604.54</v>
      </c>
      <c r="AM91" s="4"/>
      <c r="AN91" s="375">
        <v>-12350</v>
      </c>
      <c r="AO91" s="375">
        <v>-12350</v>
      </c>
      <c r="AP91" s="4"/>
      <c r="AQ91" s="375">
        <f t="shared" si="596"/>
        <v>-34434.54</v>
      </c>
      <c r="AR91" s="375">
        <f>AO91+AL91+AI91</f>
        <v>-34434.54</v>
      </c>
      <c r="AS91" s="7">
        <f t="shared" si="444"/>
        <v>-1.2934305976938047E-3</v>
      </c>
      <c r="AT91" s="375">
        <f t="shared" si="598"/>
        <v>-106759.54000000001</v>
      </c>
      <c r="AU91" s="4"/>
      <c r="AV91" s="375"/>
      <c r="AW91" s="375">
        <v>-31171.5</v>
      </c>
      <c r="AX91" s="4"/>
      <c r="AY91" s="375"/>
      <c r="AZ91" s="375">
        <v>-12650</v>
      </c>
      <c r="BA91" s="4"/>
      <c r="BB91" s="375"/>
      <c r="BC91" s="375">
        <v>-12650</v>
      </c>
      <c r="BD91" s="448"/>
      <c r="BE91" s="375">
        <f t="shared" si="599"/>
        <v>0</v>
      </c>
      <c r="BF91" s="375">
        <f>BC91+AZ91+AW91</f>
        <v>-56471.5</v>
      </c>
      <c r="BG91" s="7">
        <f t="shared" si="445"/>
        <v>-1.7984744612319135E-3</v>
      </c>
      <c r="BH91" s="375">
        <f t="shared" si="601"/>
        <v>-106759.54000000001</v>
      </c>
      <c r="BI91" s="388">
        <f t="shared" si="602"/>
        <v>-163231.04000000001</v>
      </c>
      <c r="BJ91" s="7">
        <f t="shared" si="446"/>
        <v>-1.2415110004338136E-3</v>
      </c>
      <c r="BK91" s="375"/>
      <c r="BL91" s="282"/>
      <c r="BM91" s="378"/>
      <c r="BN91" s="375">
        <v>-9800</v>
      </c>
      <c r="BO91" s="4"/>
      <c r="BP91" s="375">
        <v>-26400</v>
      </c>
      <c r="BQ91" s="4"/>
      <c r="BR91" s="375">
        <v>-17050</v>
      </c>
      <c r="BS91" s="4"/>
      <c r="BT91" s="375">
        <f t="shared" si="603"/>
        <v>-53250</v>
      </c>
      <c r="BU91" s="7">
        <f t="shared" si="447"/>
        <v>-9.8219141272394062E-4</v>
      </c>
      <c r="BV91" s="375"/>
      <c r="BW91" s="7"/>
      <c r="BX91" s="375">
        <v>-29653</v>
      </c>
      <c r="BY91" s="7"/>
      <c r="BZ91" s="375"/>
      <c r="CA91" s="7"/>
      <c r="CB91" s="375">
        <f>+BV91+BX91+BZ91</f>
        <v>-29653</v>
      </c>
      <c r="CC91" s="7">
        <f t="shared" si="534"/>
        <v>-8.6595878465295058E-4</v>
      </c>
      <c r="CD91" s="375">
        <f t="shared" si="238"/>
        <v>-82903</v>
      </c>
      <c r="CE91" s="7">
        <f t="shared" si="448"/>
        <v>-9.3719684891635817E-4</v>
      </c>
      <c r="CF91" s="375">
        <v>-1299</v>
      </c>
      <c r="CG91" s="7">
        <f t="shared" si="449"/>
        <v>-2.5718217860943947E-4</v>
      </c>
      <c r="CH91" s="375">
        <v>-100</v>
      </c>
      <c r="CI91" s="7">
        <f t="shared" si="449"/>
        <v>-2.6968563627251744E-6</v>
      </c>
      <c r="CJ91" s="375">
        <v>0</v>
      </c>
      <c r="CK91" s="7">
        <f t="shared" si="449"/>
        <v>0</v>
      </c>
      <c r="CL91" s="375">
        <f>+CF91+CH91+CJ91</f>
        <v>-1399</v>
      </c>
      <c r="CM91" s="7">
        <f t="shared" si="449"/>
        <v>-1.9902297801995893E-5</v>
      </c>
      <c r="CN91" s="375">
        <f t="shared" si="288"/>
        <v>-84302</v>
      </c>
      <c r="CO91" s="7">
        <f t="shared" si="241"/>
        <v>-5.3102999315479389E-4</v>
      </c>
      <c r="CP91" s="375">
        <v>0</v>
      </c>
      <c r="CQ91" s="7">
        <f t="shared" si="422"/>
        <v>0</v>
      </c>
      <c r="CR91" s="375">
        <f t="shared" si="604"/>
        <v>-84302</v>
      </c>
      <c r="CS91" s="7">
        <f t="shared" si="244"/>
        <v>-4.7269863743227175E-4</v>
      </c>
      <c r="CT91" s="375">
        <f>+CP91</f>
        <v>0</v>
      </c>
      <c r="CU91" s="7">
        <f t="shared" si="611"/>
        <v>0</v>
      </c>
      <c r="CV91" s="375">
        <f>+CT91</f>
        <v>0</v>
      </c>
      <c r="CW91" s="7">
        <f t="shared" si="452"/>
        <v>0</v>
      </c>
      <c r="CX91" s="375">
        <f t="shared" si="605"/>
        <v>0</v>
      </c>
      <c r="CY91" s="7">
        <f t="shared" si="424"/>
        <v>0</v>
      </c>
      <c r="CZ91" s="375">
        <f>+CD91+CL91+CX91</f>
        <v>-84302</v>
      </c>
      <c r="DA91" s="7">
        <f t="shared" si="453"/>
        <v>-3.2856345393094359E-4</v>
      </c>
      <c r="DB91" s="375"/>
      <c r="DC91" s="7">
        <f t="shared" si="250"/>
        <v>0</v>
      </c>
      <c r="DD91" s="375">
        <v>-9300</v>
      </c>
      <c r="DE91" s="7">
        <f t="shared" si="250"/>
        <v>-3.5814397973261828E-4</v>
      </c>
      <c r="DF91" s="375">
        <v>0</v>
      </c>
      <c r="DG91" s="7">
        <f t="shared" si="250"/>
        <v>0</v>
      </c>
      <c r="DH91" s="375">
        <f>+DB91+DD91+DF91</f>
        <v>-9300</v>
      </c>
      <c r="DI91" s="7">
        <f t="shared" si="425"/>
        <v>-1.2207333038020447E-4</v>
      </c>
      <c r="DJ91" s="375">
        <v>-65200</v>
      </c>
      <c r="DK91" s="7">
        <f t="shared" si="254"/>
        <v>-1.2396830376989534E-3</v>
      </c>
      <c r="DL91" s="375">
        <v>0</v>
      </c>
      <c r="DM91" s="7">
        <f t="shared" si="255"/>
        <v>0</v>
      </c>
      <c r="DN91" s="375">
        <v>-37389.65</v>
      </c>
      <c r="DO91" s="7">
        <f t="shared" si="256"/>
        <v>-2.1788001894570454E-3</v>
      </c>
      <c r="DP91" s="375">
        <v>-18306.2</v>
      </c>
      <c r="DQ91" s="7">
        <f t="shared" si="257"/>
        <v>-2.181763924330378E-4</v>
      </c>
      <c r="DR91" s="375">
        <f>+DL91+DN91+DP91</f>
        <v>-55695.850000000006</v>
      </c>
      <c r="DS91" s="7">
        <f t="shared" si="426"/>
        <v>-5.075248375060352E-4</v>
      </c>
      <c r="DT91" s="375">
        <f t="shared" si="259"/>
        <v>-64995.850000000006</v>
      </c>
      <c r="DU91" s="7">
        <f t="shared" si="454"/>
        <v>-3.4958315166087189E-4</v>
      </c>
      <c r="DV91" s="375">
        <v>-32309.26</v>
      </c>
      <c r="DW91" s="7">
        <f t="shared" si="260"/>
        <v>-7.0982369555471208E-4</v>
      </c>
      <c r="DX91" s="375">
        <v>0</v>
      </c>
      <c r="DY91" s="7">
        <f t="shared" si="261"/>
        <v>0</v>
      </c>
      <c r="DZ91" s="375">
        <v>-19399.310000000001</v>
      </c>
      <c r="EA91" s="7">
        <f t="shared" si="262"/>
        <v>-1.5856443152036898E-4</v>
      </c>
      <c r="EB91" s="375">
        <f>+DV91+DX91+DZ91</f>
        <v>-51708.57</v>
      </c>
      <c r="EC91" s="7">
        <f t="shared" si="427"/>
        <v>-2.6693370348136915E-4</v>
      </c>
      <c r="ED91" s="375">
        <f>+EB91+DT91</f>
        <v>-116704.42000000001</v>
      </c>
      <c r="EE91" s="7">
        <f t="shared" si="455"/>
        <v>-3.0741053775613908E-4</v>
      </c>
      <c r="EF91" s="375">
        <v>-20553.759999999998</v>
      </c>
      <c r="EG91" s="7">
        <f t="shared" si="264"/>
        <v>-1.390958955734053E-3</v>
      </c>
      <c r="EH91" s="375">
        <v>-63686.27</v>
      </c>
      <c r="EI91" s="7">
        <f t="shared" si="265"/>
        <v>-4.995527760300141E-3</v>
      </c>
      <c r="EJ91" s="375">
        <v>-17845.32</v>
      </c>
      <c r="EK91" s="7">
        <f t="shared" si="266"/>
        <v>-1.1427364879287487E-4</v>
      </c>
      <c r="EL91" s="375">
        <f>+EF91+EH91+EJ91</f>
        <v>-102085.35</v>
      </c>
      <c r="EM91" s="7">
        <f t="shared" si="428"/>
        <v>-5.5575290990428415E-4</v>
      </c>
      <c r="EN91" s="375">
        <f>+EL91+ED91</f>
        <v>-218789.77000000002</v>
      </c>
      <c r="EO91" s="7">
        <f t="shared" si="456"/>
        <v>-3.8838967989497474E-4</v>
      </c>
      <c r="EP91" s="373"/>
      <c r="EQ91" s="373"/>
      <c r="ER91" s="373"/>
      <c r="ES91" s="373"/>
      <c r="ET91" s="375"/>
      <c r="EU91" s="7">
        <f t="shared" si="269"/>
        <v>0</v>
      </c>
      <c r="EV91" s="375">
        <v>-214776.57</v>
      </c>
      <c r="EW91" s="7">
        <f t="shared" si="270"/>
        <v>-3.5241512070230976E-2</v>
      </c>
      <c r="EX91" s="375">
        <v>-31963.759999999998</v>
      </c>
      <c r="EY91" s="7">
        <f t="shared" si="271"/>
        <v>-1.4001562520753609E-4</v>
      </c>
      <c r="EZ91" s="375">
        <f>+ET91+EV91+EX91</f>
        <v>-246740.33000000002</v>
      </c>
      <c r="FA91" s="7">
        <f t="shared" si="429"/>
        <v>-1.0206111480557689E-3</v>
      </c>
      <c r="FB91" s="375">
        <v>-17111.259999999998</v>
      </c>
      <c r="FC91" s="7">
        <f t="shared" si="273"/>
        <v>-1.8882528713882792E-3</v>
      </c>
      <c r="FD91" s="375">
        <v>-15211.8</v>
      </c>
      <c r="FE91" s="7">
        <f t="shared" si="612"/>
        <v>-1.4452504652765342E-4</v>
      </c>
      <c r="FF91" s="375">
        <v>-27916.12</v>
      </c>
      <c r="FG91" s="7">
        <f t="shared" si="430"/>
        <v>-1.7373539098619899E-4</v>
      </c>
      <c r="FH91" s="375">
        <f>+FB91+FD91+FF91</f>
        <v>-60239.179999999993</v>
      </c>
      <c r="FI91" s="7">
        <f t="shared" si="431"/>
        <v>-2.190535479667816E-4</v>
      </c>
      <c r="FJ91" s="375">
        <f t="shared" ref="FJ91:FJ92" si="613">EZ91+FH91</f>
        <v>-306979.51</v>
      </c>
      <c r="FK91" s="7">
        <f t="shared" si="459"/>
        <v>-5.9405239476542973E-4</v>
      </c>
      <c r="FL91" s="375">
        <v>-18497.36</v>
      </c>
      <c r="FM91" s="7">
        <f t="shared" si="276"/>
        <v>-1.6916800337608757E-3</v>
      </c>
      <c r="FN91" s="375">
        <v>-27898.25</v>
      </c>
      <c r="FO91" s="7">
        <f t="shared" si="432"/>
        <v>-5.8388664894781133E-3</v>
      </c>
      <c r="FP91" s="375"/>
      <c r="FQ91" s="7">
        <f t="shared" si="433"/>
        <v>0</v>
      </c>
      <c r="FR91" s="375">
        <f>+FL91+FN91+FP91</f>
        <v>-46395.61</v>
      </c>
      <c r="FS91" s="7">
        <f t="shared" si="434"/>
        <v>-1.5869619713121554E-4</v>
      </c>
      <c r="FT91" s="375">
        <f t="shared" ref="FT91:FT92" si="614">FJ91+FR91</f>
        <v>-353375.12</v>
      </c>
      <c r="FU91" s="7">
        <f t="shared" si="462"/>
        <v>-4.3674554994317487E-4</v>
      </c>
      <c r="FV91" s="375">
        <v>-55524.49</v>
      </c>
      <c r="FW91" s="7">
        <f t="shared" si="279"/>
        <v>-2.0008868523695672E-3</v>
      </c>
      <c r="FX91" s="375">
        <v>-21420.46</v>
      </c>
      <c r="FY91" s="7">
        <f t="shared" si="435"/>
        <v>-8.3441196325323788E-4</v>
      </c>
      <c r="FZ91" s="375">
        <v>-51991.88</v>
      </c>
      <c r="GA91" s="7">
        <f t="shared" si="436"/>
        <v>-1.7983463542291952E-4</v>
      </c>
      <c r="GB91" s="375">
        <f>+FV91+FX91+FZ91</f>
        <v>-128936.82999999999</v>
      </c>
      <c r="GC91" s="7">
        <f t="shared" si="437"/>
        <v>-3.7642421811880371E-4</v>
      </c>
      <c r="GD91" s="375">
        <f t="shared" ref="GD91:GD92" si="615">FT91+GB91</f>
        <v>-482311.94999999995</v>
      </c>
      <c r="GE91" s="7">
        <f t="shared" si="465"/>
        <v>-4.1880426963533722E-4</v>
      </c>
      <c r="GF91" s="566">
        <f t="shared" si="282"/>
        <v>0</v>
      </c>
      <c r="GG91" s="525">
        <f t="shared" si="438"/>
        <v>0</v>
      </c>
      <c r="GH91" s="528">
        <f t="shared" si="609"/>
        <v>0</v>
      </c>
      <c r="GI91" s="525">
        <f t="shared" si="439"/>
        <v>0</v>
      </c>
      <c r="GJ91" s="528"/>
      <c r="GK91" s="525">
        <f t="shared" si="440"/>
        <v>0</v>
      </c>
      <c r="GL91" s="528">
        <f t="shared" si="610"/>
        <v>-482311.94999999995</v>
      </c>
      <c r="GM91" s="565">
        <f t="shared" si="468"/>
        <v>-4.1620394939104622E-4</v>
      </c>
      <c r="GO91" s="586"/>
      <c r="GQ91" s="586"/>
      <c r="GT91" s="551">
        <f t="shared" si="558"/>
        <v>-19810.265077843065</v>
      </c>
      <c r="GU91" s="551">
        <f t="shared" si="471"/>
        <v>-23210.224922156925</v>
      </c>
      <c r="GV91" s="550">
        <f t="shared" si="441"/>
        <v>-43020.489999999991</v>
      </c>
      <c r="GW91" s="527">
        <v>-350000</v>
      </c>
      <c r="GX91" s="525">
        <f t="shared" si="285"/>
        <v>-2.9557939890039012E-4</v>
      </c>
      <c r="GY91" s="528">
        <f>+GW91</f>
        <v>-350000</v>
      </c>
      <c r="GZ91" s="525">
        <f t="shared" si="286"/>
        <v>-3.8880242517370391E-4</v>
      </c>
      <c r="HA91" s="528">
        <f>+GY91</f>
        <v>-350000</v>
      </c>
      <c r="HB91" s="526">
        <f t="shared" si="287"/>
        <v>-4.8081159288568726E-4</v>
      </c>
      <c r="HD91" s="527">
        <v>-350000</v>
      </c>
      <c r="HE91" s="525">
        <v>-2.9462870177502065E-4</v>
      </c>
      <c r="HF91" s="528">
        <v>-350000</v>
      </c>
      <c r="HG91" s="525">
        <v>-3.8880242517370391E-4</v>
      </c>
      <c r="HH91" s="528">
        <v>-350000</v>
      </c>
      <c r="HI91" s="526">
        <v>-4.8081159288568726E-4</v>
      </c>
    </row>
    <row r="92" spans="1:218" ht="15" customHeight="1" outlineLevel="1">
      <c r="A92" s="386" t="s">
        <v>36</v>
      </c>
      <c r="B92" s="386" t="s">
        <v>83</v>
      </c>
      <c r="C92" s="375">
        <v>0</v>
      </c>
      <c r="D92" s="4"/>
      <c r="E92" s="375">
        <v>0</v>
      </c>
      <c r="F92" s="4"/>
      <c r="G92" s="375"/>
      <c r="H92" s="375"/>
      <c r="I92" s="4"/>
      <c r="J92" s="375"/>
      <c r="K92" s="375"/>
      <c r="L92" s="4"/>
      <c r="M92" s="375"/>
      <c r="N92" s="375">
        <v>0</v>
      </c>
      <c r="O92" s="4"/>
      <c r="P92" s="375">
        <f t="shared" si="421"/>
        <v>0</v>
      </c>
      <c r="Q92" s="375">
        <f t="shared" si="421"/>
        <v>0</v>
      </c>
      <c r="R92" s="7">
        <f t="shared" si="442"/>
        <v>0</v>
      </c>
      <c r="S92" s="375"/>
      <c r="T92" s="375"/>
      <c r="U92" s="4"/>
      <c r="V92" s="375"/>
      <c r="W92" s="375"/>
      <c r="X92" s="4"/>
      <c r="Y92" s="375"/>
      <c r="Z92" s="375"/>
      <c r="AA92" s="4"/>
      <c r="AB92" s="375">
        <f t="shared" si="224"/>
        <v>0</v>
      </c>
      <c r="AC92" s="375">
        <f t="shared" si="533"/>
        <v>0</v>
      </c>
      <c r="AD92" s="7">
        <f t="shared" si="443"/>
        <v>0</v>
      </c>
      <c r="AE92" s="375">
        <f t="shared" si="594"/>
        <v>0</v>
      </c>
      <c r="AF92" s="375">
        <f>+AC92+Q92</f>
        <v>0</v>
      </c>
      <c r="AG92" s="4"/>
      <c r="AH92" s="375"/>
      <c r="AI92" s="375"/>
      <c r="AJ92" s="4"/>
      <c r="AK92" s="375"/>
      <c r="AL92" s="375"/>
      <c r="AM92" s="4"/>
      <c r="AN92" s="375"/>
      <c r="AO92" s="375"/>
      <c r="AP92" s="4"/>
      <c r="AQ92" s="375">
        <f t="shared" si="596"/>
        <v>0</v>
      </c>
      <c r="AR92" s="375">
        <f>AO92+AL92+AI92</f>
        <v>0</v>
      </c>
      <c r="AS92" s="7">
        <f t="shared" si="444"/>
        <v>0</v>
      </c>
      <c r="AT92" s="375">
        <f t="shared" si="598"/>
        <v>0</v>
      </c>
      <c r="AU92" s="4"/>
      <c r="AV92" s="375"/>
      <c r="AW92" s="375"/>
      <c r="AX92" s="4"/>
      <c r="AY92" s="375"/>
      <c r="AZ92" s="375"/>
      <c r="BA92" s="4"/>
      <c r="BB92" s="375"/>
      <c r="BC92" s="375"/>
      <c r="BD92" s="448"/>
      <c r="BE92" s="375">
        <f t="shared" si="599"/>
        <v>0</v>
      </c>
      <c r="BF92" s="375">
        <f>BC92+AZ92+AW92</f>
        <v>0</v>
      </c>
      <c r="BG92" s="7">
        <f t="shared" si="445"/>
        <v>0</v>
      </c>
      <c r="BH92" s="375">
        <f t="shared" si="601"/>
        <v>0</v>
      </c>
      <c r="BI92" s="388">
        <f t="shared" si="602"/>
        <v>0</v>
      </c>
      <c r="BJ92" s="7">
        <f t="shared" si="446"/>
        <v>0</v>
      </c>
      <c r="BK92" s="375"/>
      <c r="BL92" s="282"/>
      <c r="BM92" s="378"/>
      <c r="BN92" s="375"/>
      <c r="BO92" s="4"/>
      <c r="BP92" s="375"/>
      <c r="BQ92" s="4"/>
      <c r="BR92" s="375"/>
      <c r="BS92" s="4"/>
      <c r="BT92" s="375">
        <f t="shared" si="603"/>
        <v>0</v>
      </c>
      <c r="BU92" s="7">
        <f t="shared" si="447"/>
        <v>0</v>
      </c>
      <c r="BV92" s="375"/>
      <c r="BW92" s="7"/>
      <c r="BX92" s="375"/>
      <c r="BY92" s="7"/>
      <c r="BZ92" s="375">
        <f>+BT92+BV92+BX92</f>
        <v>0</v>
      </c>
      <c r="CA92" s="7"/>
      <c r="CB92" s="375">
        <f>+BV92+BX92+BZ92</f>
        <v>0</v>
      </c>
      <c r="CC92" s="7">
        <f t="shared" si="534"/>
        <v>0</v>
      </c>
      <c r="CD92" s="375">
        <f t="shared" si="238"/>
        <v>0</v>
      </c>
      <c r="CE92" s="7">
        <f t="shared" si="448"/>
        <v>0</v>
      </c>
      <c r="CF92" s="375">
        <f>+BZ92+CB92+CD92</f>
        <v>0</v>
      </c>
      <c r="CG92" s="7">
        <f t="shared" si="449"/>
        <v>0</v>
      </c>
      <c r="CH92" s="375">
        <f>+CB92+CD92+CF92</f>
        <v>0</v>
      </c>
      <c r="CI92" s="7">
        <f t="shared" si="449"/>
        <v>0</v>
      </c>
      <c r="CJ92" s="375">
        <f>+CD92+CF92+CH92</f>
        <v>0</v>
      </c>
      <c r="CK92" s="7">
        <f t="shared" si="449"/>
        <v>0</v>
      </c>
      <c r="CL92" s="375">
        <f>+CF92+CH92+CJ92</f>
        <v>0</v>
      </c>
      <c r="CM92" s="7">
        <f t="shared" si="449"/>
        <v>0</v>
      </c>
      <c r="CN92" s="375">
        <f t="shared" si="288"/>
        <v>0</v>
      </c>
      <c r="CO92" s="7">
        <f t="shared" si="241"/>
        <v>0</v>
      </c>
      <c r="CP92" s="375">
        <v>0</v>
      </c>
      <c r="CQ92" s="7">
        <f t="shared" si="422"/>
        <v>0</v>
      </c>
      <c r="CR92" s="375">
        <f t="shared" si="604"/>
        <v>0</v>
      </c>
      <c r="CS92" s="7">
        <f t="shared" si="244"/>
        <v>0</v>
      </c>
      <c r="CT92" s="375">
        <v>0</v>
      </c>
      <c r="CU92" s="7">
        <f t="shared" si="611"/>
        <v>0</v>
      </c>
      <c r="CV92" s="375">
        <v>0</v>
      </c>
      <c r="CW92" s="7">
        <f t="shared" si="452"/>
        <v>0</v>
      </c>
      <c r="CX92" s="375">
        <f t="shared" si="605"/>
        <v>0</v>
      </c>
      <c r="CY92" s="7">
        <f t="shared" si="424"/>
        <v>0</v>
      </c>
      <c r="CZ92" s="375">
        <f>+CD92+CL92+CX92</f>
        <v>0</v>
      </c>
      <c r="DA92" s="7">
        <f t="shared" si="453"/>
        <v>0</v>
      </c>
      <c r="DB92" s="375">
        <f>+CV92+CX92+CZ92</f>
        <v>0</v>
      </c>
      <c r="DC92" s="7">
        <f t="shared" si="250"/>
        <v>0</v>
      </c>
      <c r="DD92" s="375">
        <f>+CX92+CZ92+DB92</f>
        <v>0</v>
      </c>
      <c r="DE92" s="7">
        <f t="shared" si="250"/>
        <v>0</v>
      </c>
      <c r="DF92" s="375">
        <f>+CZ92+DB92+DD92</f>
        <v>0</v>
      </c>
      <c r="DG92" s="7">
        <f t="shared" si="250"/>
        <v>0</v>
      </c>
      <c r="DH92" s="375">
        <f>+DB92+DD92+DF92</f>
        <v>0</v>
      </c>
      <c r="DI92" s="7">
        <f t="shared" si="425"/>
        <v>0</v>
      </c>
      <c r="DJ92" s="375"/>
      <c r="DK92" s="7">
        <f t="shared" si="254"/>
        <v>0</v>
      </c>
      <c r="DL92" s="375">
        <f>+DF92+DH92+DJ92</f>
        <v>0</v>
      </c>
      <c r="DM92" s="7">
        <f t="shared" si="255"/>
        <v>0</v>
      </c>
      <c r="DN92" s="375">
        <f>+DH92+DJ92+DL92</f>
        <v>0</v>
      </c>
      <c r="DO92" s="7">
        <f t="shared" si="256"/>
        <v>0</v>
      </c>
      <c r="DP92" s="375">
        <f>+DJ92+DL92+DN92</f>
        <v>0</v>
      </c>
      <c r="DQ92" s="7">
        <f t="shared" si="257"/>
        <v>0</v>
      </c>
      <c r="DR92" s="375">
        <f>+DL92+DN92+DP92</f>
        <v>0</v>
      </c>
      <c r="DS92" s="7">
        <f t="shared" si="426"/>
        <v>0</v>
      </c>
      <c r="DT92" s="375">
        <f t="shared" si="259"/>
        <v>0</v>
      </c>
      <c r="DU92" s="7">
        <f t="shared" si="454"/>
        <v>0</v>
      </c>
      <c r="DV92" s="375"/>
      <c r="DW92" s="7">
        <f t="shared" si="260"/>
        <v>0</v>
      </c>
      <c r="DX92" s="375"/>
      <c r="DY92" s="7">
        <f t="shared" si="261"/>
        <v>0</v>
      </c>
      <c r="DZ92" s="375"/>
      <c r="EA92" s="7">
        <f t="shared" si="262"/>
        <v>0</v>
      </c>
      <c r="EB92" s="375">
        <f>+DV92+DX92+DZ92</f>
        <v>0</v>
      </c>
      <c r="EC92" s="7">
        <f t="shared" si="427"/>
        <v>0</v>
      </c>
      <c r="ED92" s="375">
        <f>+EB92+DT92</f>
        <v>0</v>
      </c>
      <c r="EE92" s="7">
        <f t="shared" si="455"/>
        <v>0</v>
      </c>
      <c r="EF92" s="375"/>
      <c r="EG92" s="7">
        <f t="shared" si="264"/>
        <v>0</v>
      </c>
      <c r="EH92" s="375"/>
      <c r="EI92" s="7">
        <f t="shared" si="265"/>
        <v>0</v>
      </c>
      <c r="EJ92" s="375"/>
      <c r="EK92" s="7">
        <f t="shared" si="266"/>
        <v>0</v>
      </c>
      <c r="EL92" s="375">
        <f>+EF92+EH92+EJ92</f>
        <v>0</v>
      </c>
      <c r="EM92" s="7">
        <f t="shared" si="428"/>
        <v>0</v>
      </c>
      <c r="EN92" s="375">
        <f>+EL92+ED92</f>
        <v>0</v>
      </c>
      <c r="EO92" s="7">
        <f t="shared" si="456"/>
        <v>0</v>
      </c>
      <c r="EP92" s="373"/>
      <c r="EQ92" s="373"/>
      <c r="ER92" s="373"/>
      <c r="ES92" s="373"/>
      <c r="ET92" s="375"/>
      <c r="EU92" s="7">
        <f t="shared" si="269"/>
        <v>0</v>
      </c>
      <c r="EV92" s="375"/>
      <c r="EW92" s="7">
        <f t="shared" si="270"/>
        <v>0</v>
      </c>
      <c r="EX92" s="375"/>
      <c r="EY92" s="7">
        <f t="shared" si="271"/>
        <v>0</v>
      </c>
      <c r="EZ92" s="375">
        <f>+ET92+EV92+EX92</f>
        <v>0</v>
      </c>
      <c r="FA92" s="7">
        <f t="shared" si="429"/>
        <v>0</v>
      </c>
      <c r="FB92" s="375"/>
      <c r="FC92" s="7">
        <f t="shared" si="273"/>
        <v>0</v>
      </c>
      <c r="FD92" s="375"/>
      <c r="FE92" s="7">
        <f t="shared" si="612"/>
        <v>0</v>
      </c>
      <c r="FF92" s="375"/>
      <c r="FG92" s="7">
        <f t="shared" si="430"/>
        <v>0</v>
      </c>
      <c r="FH92" s="375">
        <f>+FB92+FD92+FF92</f>
        <v>0</v>
      </c>
      <c r="FI92" s="7">
        <f t="shared" si="431"/>
        <v>0</v>
      </c>
      <c r="FJ92" s="375">
        <f t="shared" si="613"/>
        <v>0</v>
      </c>
      <c r="FK92" s="7">
        <f t="shared" si="459"/>
        <v>0</v>
      </c>
      <c r="FL92" s="375"/>
      <c r="FM92" s="7">
        <f t="shared" si="276"/>
        <v>0</v>
      </c>
      <c r="FN92" s="375"/>
      <c r="FO92" s="7">
        <f t="shared" si="432"/>
        <v>0</v>
      </c>
      <c r="FP92" s="375"/>
      <c r="FQ92" s="7">
        <f t="shared" si="433"/>
        <v>0</v>
      </c>
      <c r="FR92" s="375">
        <f>+FL92+FN92+FP92</f>
        <v>0</v>
      </c>
      <c r="FS92" s="7">
        <f t="shared" si="434"/>
        <v>0</v>
      </c>
      <c r="FT92" s="375">
        <f t="shared" si="614"/>
        <v>0</v>
      </c>
      <c r="FU92" s="7">
        <f t="shared" si="462"/>
        <v>0</v>
      </c>
      <c r="FV92" s="375"/>
      <c r="FW92" s="7">
        <f t="shared" si="279"/>
        <v>0</v>
      </c>
      <c r="FX92" s="375"/>
      <c r="FY92" s="7">
        <f t="shared" si="435"/>
        <v>0</v>
      </c>
      <c r="FZ92" s="375"/>
      <c r="GA92" s="7">
        <f t="shared" si="436"/>
        <v>0</v>
      </c>
      <c r="GB92" s="375">
        <f>+FV92+FX92+FZ92</f>
        <v>0</v>
      </c>
      <c r="GC92" s="7">
        <f t="shared" si="437"/>
        <v>0</v>
      </c>
      <c r="GD92" s="375">
        <f t="shared" si="615"/>
        <v>0</v>
      </c>
      <c r="GE92" s="7">
        <f t="shared" si="465"/>
        <v>0</v>
      </c>
      <c r="GF92" s="566">
        <f t="shared" si="282"/>
        <v>0</v>
      </c>
      <c r="GG92" s="525">
        <f t="shared" si="438"/>
        <v>0</v>
      </c>
      <c r="GH92" s="528">
        <f t="shared" si="609"/>
        <v>0</v>
      </c>
      <c r="GI92" s="525">
        <f t="shared" si="439"/>
        <v>0</v>
      </c>
      <c r="GJ92" s="528"/>
      <c r="GK92" s="525">
        <f t="shared" si="440"/>
        <v>0</v>
      </c>
      <c r="GL92" s="528">
        <f t="shared" si="610"/>
        <v>0</v>
      </c>
      <c r="GM92" s="565">
        <f t="shared" si="468"/>
        <v>0</v>
      </c>
      <c r="GO92" s="586"/>
      <c r="GQ92" s="586"/>
      <c r="GT92" s="551">
        <f t="shared" si="558"/>
        <v>0</v>
      </c>
      <c r="GU92" s="551">
        <f t="shared" si="471"/>
        <v>0</v>
      </c>
      <c r="GV92" s="550">
        <f t="shared" si="441"/>
        <v>0</v>
      </c>
      <c r="GW92" s="527"/>
      <c r="GX92" s="525">
        <f t="shared" si="285"/>
        <v>0</v>
      </c>
      <c r="GY92" s="528"/>
      <c r="GZ92" s="525">
        <f t="shared" si="286"/>
        <v>0</v>
      </c>
      <c r="HA92" s="528"/>
      <c r="HB92" s="526">
        <f t="shared" si="287"/>
        <v>0</v>
      </c>
      <c r="HD92" s="527"/>
      <c r="HE92" s="525">
        <v>0</v>
      </c>
      <c r="HF92" s="528"/>
      <c r="HG92" s="525">
        <v>0</v>
      </c>
      <c r="HH92" s="528"/>
      <c r="HI92" s="526">
        <v>0</v>
      </c>
    </row>
    <row r="93" spans="1:218">
      <c r="A93" s="386" t="s">
        <v>36</v>
      </c>
      <c r="B93" s="386"/>
      <c r="C93" s="389">
        <f>SUM(C89:C92)</f>
        <v>-150822.72</v>
      </c>
      <c r="D93" s="4"/>
      <c r="E93" s="389">
        <f>SUM(E89:E92)</f>
        <v>-10828</v>
      </c>
      <c r="F93" s="4"/>
      <c r="G93" s="389">
        <f>SUM(G89:G92)</f>
        <v>0</v>
      </c>
      <c r="H93" s="389">
        <f>SUM(H89:H92)</f>
        <v>-7702</v>
      </c>
      <c r="I93" s="4"/>
      <c r="J93" s="389">
        <f>SUM(J89:J92)</f>
        <v>0</v>
      </c>
      <c r="K93" s="389">
        <f>SUM(K89:K92)</f>
        <v>-4558</v>
      </c>
      <c r="L93" s="4"/>
      <c r="M93" s="389">
        <f>SUM(M89:M92)</f>
        <v>0</v>
      </c>
      <c r="N93" s="389">
        <f>SUM(N89:N92)</f>
        <v>-4134</v>
      </c>
      <c r="O93" s="4"/>
      <c r="P93" s="389">
        <f t="shared" si="421"/>
        <v>0</v>
      </c>
      <c r="Q93" s="389">
        <f t="shared" si="421"/>
        <v>-16394</v>
      </c>
      <c r="R93" s="7">
        <f t="shared" si="442"/>
        <v>-4.5077994605360704E-4</v>
      </c>
      <c r="S93" s="389">
        <f>SUM(S89:S92)</f>
        <v>-39211</v>
      </c>
      <c r="T93" s="389">
        <f>SUM(T89:T92)</f>
        <v>-39211</v>
      </c>
      <c r="U93" s="4"/>
      <c r="V93" s="389">
        <f>SUM(V89:V92)</f>
        <v>-8480</v>
      </c>
      <c r="W93" s="389">
        <f>SUM(W89:W92)</f>
        <v>-8480</v>
      </c>
      <c r="X93" s="4"/>
      <c r="Y93" s="389">
        <f>SUM(Y89:Y92)</f>
        <v>-8240</v>
      </c>
      <c r="Z93" s="389">
        <f>SUM(Z89:Z92)</f>
        <v>-8240</v>
      </c>
      <c r="AA93" s="4"/>
      <c r="AB93" s="389">
        <f>SUM(AB89:AB92)</f>
        <v>-55931</v>
      </c>
      <c r="AC93" s="389">
        <f>SUM(AC89:AC92)</f>
        <v>-55931</v>
      </c>
      <c r="AD93" s="7">
        <f t="shared" si="443"/>
        <v>-1.5080888920435806E-3</v>
      </c>
      <c r="AE93" s="389">
        <f>SUM(AE89:AE92)</f>
        <v>-72325</v>
      </c>
      <c r="AF93" s="389">
        <f>SUM(AF89:AF92)</f>
        <v>-72325</v>
      </c>
      <c r="AG93" s="4"/>
      <c r="AH93" s="389">
        <f>SUM(AH89:AH92)</f>
        <v>-8480</v>
      </c>
      <c r="AI93" s="389">
        <f>SUM(AI89:AI92)</f>
        <v>-8480</v>
      </c>
      <c r="AJ93" s="4"/>
      <c r="AK93" s="389">
        <f>SUM(AK89:AK92)</f>
        <v>-13604.54</v>
      </c>
      <c r="AL93" s="389">
        <f>SUM(AL89:AL92)</f>
        <v>-13604.54</v>
      </c>
      <c r="AM93" s="4"/>
      <c r="AN93" s="389">
        <f>SUM(AN89:AN92)</f>
        <v>-12350</v>
      </c>
      <c r="AO93" s="389">
        <f>SUM(AO89:AO92)</f>
        <v>-12350</v>
      </c>
      <c r="AP93" s="4"/>
      <c r="AQ93" s="389">
        <f>SUM(AQ89:AQ92)</f>
        <v>-34434.54</v>
      </c>
      <c r="AR93" s="389">
        <f>SUM(AR89:AR92)</f>
        <v>-34434.54</v>
      </c>
      <c r="AS93" s="7">
        <f t="shared" si="444"/>
        <v>-1.2934305976938047E-3</v>
      </c>
      <c r="AT93" s="389">
        <f>SUM(AT89:AT92)</f>
        <v>-106759.54000000001</v>
      </c>
      <c r="AU93" s="4"/>
      <c r="AV93" s="389">
        <f>SUM(AV89:AV92)</f>
        <v>0</v>
      </c>
      <c r="AW93" s="389">
        <f>SUM(AW89:AW92)</f>
        <v>-31171.5</v>
      </c>
      <c r="AX93" s="4"/>
      <c r="AY93" s="389">
        <f>SUM(AY89:AY92)</f>
        <v>0</v>
      </c>
      <c r="AZ93" s="389">
        <f>SUM(AZ89:AZ92)</f>
        <v>-12650</v>
      </c>
      <c r="BA93" s="4"/>
      <c r="BB93" s="389">
        <f>SUM(BB89:BB92)</f>
        <v>0</v>
      </c>
      <c r="BC93" s="389">
        <f>SUM(BC89:BC92)</f>
        <v>-12650</v>
      </c>
      <c r="BD93" s="448"/>
      <c r="BE93" s="389">
        <f>SUM(BE89:BE92)</f>
        <v>0</v>
      </c>
      <c r="BF93" s="389">
        <f>SUM(BF89:BF92)</f>
        <v>-56471.5</v>
      </c>
      <c r="BG93" s="7">
        <f t="shared" si="445"/>
        <v>-1.7984744612319135E-3</v>
      </c>
      <c r="BH93" s="389">
        <f>SUM(BH89:BH92)</f>
        <v>-106759.54000000001</v>
      </c>
      <c r="BI93" s="389">
        <f>SUM(BI89:BI92)</f>
        <v>-163231.04000000001</v>
      </c>
      <c r="BJ93" s="7">
        <f t="shared" si="446"/>
        <v>-1.2415110004338136E-3</v>
      </c>
      <c r="BK93" s="389">
        <v>-186500</v>
      </c>
      <c r="BL93" s="282"/>
      <c r="BM93" s="378">
        <v>-186500</v>
      </c>
      <c r="BN93" s="389">
        <f>SUM(BN89:BN92)</f>
        <v>-9800</v>
      </c>
      <c r="BO93" s="4"/>
      <c r="BP93" s="389">
        <f>SUM(BP89:BP92)</f>
        <v>-26400</v>
      </c>
      <c r="BQ93" s="4"/>
      <c r="BR93" s="389">
        <f>SUM(BR89:BR92)</f>
        <v>-17050</v>
      </c>
      <c r="BS93" s="4"/>
      <c r="BT93" s="389">
        <f>SUM(BT89:BT92)</f>
        <v>-53250</v>
      </c>
      <c r="BU93" s="7">
        <f t="shared" si="447"/>
        <v>-9.8219141272394062E-4</v>
      </c>
      <c r="BV93" s="389">
        <f>SUM(BV89:BV92)</f>
        <v>0</v>
      </c>
      <c r="BW93" s="7"/>
      <c r="BX93" s="389">
        <f>SUM(BX89:BX92)</f>
        <v>-29653</v>
      </c>
      <c r="BY93" s="7"/>
      <c r="BZ93" s="389">
        <f>SUM(BZ89:BZ92)</f>
        <v>0</v>
      </c>
      <c r="CA93" s="7"/>
      <c r="CB93" s="389">
        <f>SUM(CB89:CB92)</f>
        <v>-29653</v>
      </c>
      <c r="CC93" s="7">
        <f t="shared" si="534"/>
        <v>-8.6595878465295058E-4</v>
      </c>
      <c r="CD93" s="389">
        <f>SUM(CD89:CD92)</f>
        <v>-82903</v>
      </c>
      <c r="CE93" s="7">
        <f t="shared" si="448"/>
        <v>-9.3719684891635817E-4</v>
      </c>
      <c r="CF93" s="389">
        <f>SUM(CF89:CF92)</f>
        <v>-1299</v>
      </c>
      <c r="CG93" s="7">
        <f t="shared" si="449"/>
        <v>-2.5718217860943947E-4</v>
      </c>
      <c r="CH93" s="389">
        <f>SUM(CH89:CH92)</f>
        <v>-100</v>
      </c>
      <c r="CI93" s="7">
        <f t="shared" si="449"/>
        <v>-2.6968563627251744E-6</v>
      </c>
      <c r="CJ93" s="389">
        <f>SUM(CJ89:CJ92)</f>
        <v>0</v>
      </c>
      <c r="CK93" s="7">
        <f t="shared" si="449"/>
        <v>0</v>
      </c>
      <c r="CL93" s="389">
        <f>SUM(CL89:CL92)</f>
        <v>-1399</v>
      </c>
      <c r="CM93" s="7">
        <f t="shared" si="449"/>
        <v>-1.9902297801995893E-5</v>
      </c>
      <c r="CN93" s="389">
        <f>SUM(CN89:CN92)</f>
        <v>-84302</v>
      </c>
      <c r="CO93" s="7">
        <f t="shared" si="241"/>
        <v>-5.3102999315479389E-4</v>
      </c>
      <c r="CP93" s="389">
        <f>SUM(CP89:CP92)</f>
        <v>0</v>
      </c>
      <c r="CQ93" s="7">
        <f t="shared" si="422"/>
        <v>0</v>
      </c>
      <c r="CR93" s="389">
        <f>SUM(CR89:CR92)</f>
        <v>-84302</v>
      </c>
      <c r="CS93" s="7">
        <f t="shared" si="244"/>
        <v>-4.7269863743227175E-4</v>
      </c>
      <c r="CT93" s="389">
        <f t="shared" ref="CT93" si="616">SUM(CT89:CT92)</f>
        <v>0</v>
      </c>
      <c r="CU93" s="7">
        <f t="shared" si="611"/>
        <v>0</v>
      </c>
      <c r="CV93" s="389">
        <f t="shared" ref="CV93" si="617">SUM(CV89:CV92)</f>
        <v>-88765</v>
      </c>
      <c r="CW93" s="7">
        <f t="shared" si="452"/>
        <v>-1.4186292694880265E-3</v>
      </c>
      <c r="CX93" s="375">
        <f t="shared" si="605"/>
        <v>-88765</v>
      </c>
      <c r="CY93" s="7">
        <f t="shared" si="424"/>
        <v>-9.073794229155416E-4</v>
      </c>
      <c r="CZ93" s="389">
        <f>SUM(CZ89:CZ92)</f>
        <v>-173067</v>
      </c>
      <c r="DA93" s="7">
        <f t="shared" si="453"/>
        <v>-6.7452126024847119E-4</v>
      </c>
      <c r="DB93" s="389">
        <f>SUM(DB89:DB92)</f>
        <v>0</v>
      </c>
      <c r="DC93" s="7">
        <f t="shared" si="250"/>
        <v>0</v>
      </c>
      <c r="DD93" s="389">
        <f>SUM(DD89:DD92)</f>
        <v>-9300</v>
      </c>
      <c r="DE93" s="7">
        <f t="shared" si="250"/>
        <v>-3.5814397973261828E-4</v>
      </c>
      <c r="DF93" s="389">
        <f>SUM(DF89:DF92)</f>
        <v>0</v>
      </c>
      <c r="DG93" s="7">
        <f t="shared" si="250"/>
        <v>0</v>
      </c>
      <c r="DH93" s="389">
        <f>SUM(DH89:DH92)</f>
        <v>-9300</v>
      </c>
      <c r="DI93" s="7">
        <f t="shared" si="425"/>
        <v>-1.2207333038020447E-4</v>
      </c>
      <c r="DJ93" s="389">
        <f>SUM(DJ89:DJ92)</f>
        <v>-65200</v>
      </c>
      <c r="DK93" s="7">
        <f t="shared" si="254"/>
        <v>-1.2396830376989534E-3</v>
      </c>
      <c r="DL93" s="389">
        <f>SUM(DL89:DL92)</f>
        <v>0</v>
      </c>
      <c r="DM93" s="7">
        <f t="shared" si="255"/>
        <v>0</v>
      </c>
      <c r="DN93" s="389">
        <f>SUM(DN89:DN92)</f>
        <v>-37389.65</v>
      </c>
      <c r="DO93" s="7">
        <f t="shared" si="256"/>
        <v>-2.1788001894570454E-3</v>
      </c>
      <c r="DP93" s="389">
        <f>SUM(DP89:DP92)</f>
        <v>-18306.2</v>
      </c>
      <c r="DQ93" s="7">
        <f t="shared" si="257"/>
        <v>-2.181763924330378E-4</v>
      </c>
      <c r="DR93" s="389">
        <f>SUM(DR89:DR92)</f>
        <v>-55695.850000000006</v>
      </c>
      <c r="DS93" s="7">
        <f t="shared" si="426"/>
        <v>-5.075248375060352E-4</v>
      </c>
      <c r="DT93" s="389">
        <f>SUM(DT89:DT92)</f>
        <v>-64995.850000000006</v>
      </c>
      <c r="DU93" s="7">
        <f t="shared" si="454"/>
        <v>-3.4958315166087189E-4</v>
      </c>
      <c r="DV93" s="389">
        <f>SUM(DV89:DV92)</f>
        <v>-32309.26</v>
      </c>
      <c r="DW93" s="7">
        <f t="shared" si="260"/>
        <v>-7.0982369555471208E-4</v>
      </c>
      <c r="DX93" s="389">
        <f>SUM(DX89:DX92)</f>
        <v>0</v>
      </c>
      <c r="DY93" s="7">
        <f t="shared" si="261"/>
        <v>0</v>
      </c>
      <c r="DZ93" s="389">
        <f>SUM(DZ89:DZ92)</f>
        <v>-19399.310000000001</v>
      </c>
      <c r="EA93" s="7">
        <f t="shared" si="262"/>
        <v>-1.5856443152036898E-4</v>
      </c>
      <c r="EB93" s="389">
        <f>SUM(EB89:EB92)</f>
        <v>-51708.57</v>
      </c>
      <c r="EC93" s="7">
        <f t="shared" si="427"/>
        <v>-2.6693370348136915E-4</v>
      </c>
      <c r="ED93" s="389">
        <f>SUM(ED89:ED92)</f>
        <v>-116704.42000000001</v>
      </c>
      <c r="EE93" s="7">
        <f t="shared" si="455"/>
        <v>-3.0741053775613908E-4</v>
      </c>
      <c r="EF93" s="389">
        <f>SUM(EF89:EF92)</f>
        <v>-20553.759999999998</v>
      </c>
      <c r="EG93" s="7">
        <f t="shared" si="264"/>
        <v>-1.390958955734053E-3</v>
      </c>
      <c r="EH93" s="389">
        <f>SUM(EH89:EH92)</f>
        <v>-63686.27</v>
      </c>
      <c r="EI93" s="7">
        <f t="shared" si="265"/>
        <v>-4.995527760300141E-3</v>
      </c>
      <c r="EJ93" s="389">
        <f>SUM(EJ89:EJ92)</f>
        <v>-17845.32</v>
      </c>
      <c r="EK93" s="7">
        <f t="shared" si="266"/>
        <v>-1.1427364879287487E-4</v>
      </c>
      <c r="EL93" s="389">
        <f>SUM(EL89:EL92)</f>
        <v>-102085.35</v>
      </c>
      <c r="EM93" s="7">
        <f t="shared" si="428"/>
        <v>-5.5575290990428415E-4</v>
      </c>
      <c r="EN93" s="389">
        <f>SUM(EN89:EN92)</f>
        <v>-218789.77000000002</v>
      </c>
      <c r="EO93" s="7">
        <f t="shared" si="456"/>
        <v>-3.8838967989497474E-4</v>
      </c>
      <c r="EP93" s="373"/>
      <c r="EQ93" s="373"/>
      <c r="ER93" s="373"/>
      <c r="ES93" s="373"/>
      <c r="ET93" s="389">
        <f>SUM(ET89:ET92)</f>
        <v>0</v>
      </c>
      <c r="EU93" s="7">
        <f t="shared" si="269"/>
        <v>0</v>
      </c>
      <c r="EV93" s="389">
        <f>SUM(EV89:EV92)</f>
        <v>-214776.57</v>
      </c>
      <c r="EW93" s="7">
        <f t="shared" si="270"/>
        <v>-3.5241512070230976E-2</v>
      </c>
      <c r="EX93" s="389">
        <f>SUM(EX89:EX92)</f>
        <v>-31963.759999999998</v>
      </c>
      <c r="EY93" s="7">
        <f t="shared" si="271"/>
        <v>-1.4001562520753609E-4</v>
      </c>
      <c r="EZ93" s="389">
        <f>SUM(EZ89:EZ92)</f>
        <v>-246740.33000000002</v>
      </c>
      <c r="FA93" s="7">
        <f t="shared" si="429"/>
        <v>-1.0206111480557689E-3</v>
      </c>
      <c r="FB93" s="389">
        <f>SUM(FB89:FB92)</f>
        <v>-17111.259999999998</v>
      </c>
      <c r="FC93" s="7">
        <f t="shared" si="273"/>
        <v>-1.8882528713882792E-3</v>
      </c>
      <c r="FD93" s="389">
        <f t="shared" ref="FD93" si="618">SUM(FD89:FD92)</f>
        <v>-15211.8</v>
      </c>
      <c r="FE93" s="7">
        <f t="shared" si="612"/>
        <v>-1.4452504652765342E-4</v>
      </c>
      <c r="FF93" s="389">
        <f t="shared" ref="FF93" si="619">SUM(FF89:FF92)</f>
        <v>-27916.12</v>
      </c>
      <c r="FG93" s="7">
        <f t="shared" si="430"/>
        <v>-1.7373539098619899E-4</v>
      </c>
      <c r="FH93" s="389">
        <f>SUM(FH89:FH92)</f>
        <v>-60239.179999999993</v>
      </c>
      <c r="FI93" s="7">
        <f t="shared" si="431"/>
        <v>-2.190535479667816E-4</v>
      </c>
      <c r="FJ93" s="389">
        <f>SUM(FJ89:FJ92)</f>
        <v>-306979.51</v>
      </c>
      <c r="FK93" s="7">
        <f t="shared" si="459"/>
        <v>-5.9405239476542973E-4</v>
      </c>
      <c r="FL93" s="389">
        <f>SUM(FL89:FL92)</f>
        <v>-18497.36</v>
      </c>
      <c r="FM93" s="7">
        <f t="shared" si="276"/>
        <v>-1.6916800337608757E-3</v>
      </c>
      <c r="FN93" s="389">
        <f t="shared" ref="FN93" si="620">SUM(FN89:FN92)</f>
        <v>-27898.25</v>
      </c>
      <c r="FO93" s="7">
        <f t="shared" si="432"/>
        <v>-5.8388664894781133E-3</v>
      </c>
      <c r="FP93" s="389">
        <f t="shared" ref="FP93" si="621">SUM(FP89:FP92)</f>
        <v>0</v>
      </c>
      <c r="FQ93" s="7">
        <f t="shared" si="433"/>
        <v>0</v>
      </c>
      <c r="FR93" s="389">
        <f>SUM(FR89:FR92)</f>
        <v>-46395.61</v>
      </c>
      <c r="FS93" s="7">
        <f t="shared" si="434"/>
        <v>-1.5869619713121554E-4</v>
      </c>
      <c r="FT93" s="389">
        <f>SUM(FT89:FT92)</f>
        <v>-353375.12</v>
      </c>
      <c r="FU93" s="7">
        <f t="shared" si="462"/>
        <v>-4.3674554994317487E-4</v>
      </c>
      <c r="FV93" s="389">
        <f>SUM(FV89:FV92)</f>
        <v>-55524.49</v>
      </c>
      <c r="FW93" s="7">
        <f t="shared" si="279"/>
        <v>-2.0008868523695672E-3</v>
      </c>
      <c r="FX93" s="389">
        <f t="shared" ref="FX93" si="622">SUM(FX89:FX92)</f>
        <v>-21420.46</v>
      </c>
      <c r="FY93" s="7">
        <f t="shared" si="435"/>
        <v>-8.3441196325323788E-4</v>
      </c>
      <c r="FZ93" s="389">
        <f t="shared" ref="FZ93" si="623">SUM(FZ89:FZ92)</f>
        <v>-51991.88</v>
      </c>
      <c r="GA93" s="7">
        <f t="shared" si="436"/>
        <v>-1.7983463542291952E-4</v>
      </c>
      <c r="GB93" s="389">
        <f>SUM(GB89:GB92)</f>
        <v>-128936.82999999999</v>
      </c>
      <c r="GC93" s="7">
        <f t="shared" si="437"/>
        <v>-3.7642421811880371E-4</v>
      </c>
      <c r="GD93" s="389">
        <f>SUM(GD89:GD92)</f>
        <v>-482311.94999999995</v>
      </c>
      <c r="GE93" s="7">
        <f t="shared" si="465"/>
        <v>-4.1880426963533722E-4</v>
      </c>
      <c r="GF93" s="567">
        <f t="shared" ref="GF93:GH93" si="624">SUM(GF89:GF92)</f>
        <v>0</v>
      </c>
      <c r="GG93" s="525">
        <f t="shared" si="438"/>
        <v>0</v>
      </c>
      <c r="GH93" s="530">
        <f t="shared" si="624"/>
        <v>0</v>
      </c>
      <c r="GI93" s="525">
        <f t="shared" si="439"/>
        <v>0</v>
      </c>
      <c r="GJ93" s="530">
        <f t="shared" ref="GJ93" si="625">SUM(GJ89:GJ92)</f>
        <v>0</v>
      </c>
      <c r="GK93" s="525">
        <f t="shared" si="440"/>
        <v>0</v>
      </c>
      <c r="GL93" s="530">
        <f>SUM(GL89:GL92)</f>
        <v>-482311.94999999995</v>
      </c>
      <c r="GM93" s="565">
        <f t="shared" si="468"/>
        <v>-4.1620394939104622E-4</v>
      </c>
      <c r="GO93" s="587">
        <f t="shared" ref="GO93" si="626">SUM(GO89:GO92)</f>
        <v>0</v>
      </c>
      <c r="GP93" s="455"/>
      <c r="GQ93" s="587">
        <f t="shared" ref="GQ93" si="627">SUM(GQ89:GQ92)</f>
        <v>0</v>
      </c>
      <c r="GT93" s="551">
        <f t="shared" si="558"/>
        <v>-19810.265077843065</v>
      </c>
      <c r="GU93" s="551">
        <f t="shared" si="471"/>
        <v>-23210.224922156925</v>
      </c>
      <c r="GV93" s="550">
        <f t="shared" si="441"/>
        <v>-43020.489999999991</v>
      </c>
      <c r="GW93" s="529">
        <f>SUM(GW89:GW92)</f>
        <v>-350000</v>
      </c>
      <c r="GX93" s="525">
        <f t="shared" si="285"/>
        <v>-2.9557939890039012E-4</v>
      </c>
      <c r="GY93" s="530">
        <f>SUM(GY89:GY92)</f>
        <v>-350000</v>
      </c>
      <c r="GZ93" s="525">
        <f t="shared" si="286"/>
        <v>-3.8880242517370391E-4</v>
      </c>
      <c r="HA93" s="530">
        <f>SUM(HA89:HA92)</f>
        <v>-350000</v>
      </c>
      <c r="HB93" s="526">
        <f t="shared" si="287"/>
        <v>-4.8081159288568726E-4</v>
      </c>
      <c r="HD93" s="529">
        <v>-350000</v>
      </c>
      <c r="HE93" s="525">
        <v>-2.9462870177502065E-4</v>
      </c>
      <c r="HF93" s="530">
        <v>-350000</v>
      </c>
      <c r="HG93" s="525">
        <v>-3.8880242517370391E-4</v>
      </c>
      <c r="HH93" s="530">
        <v>-350000</v>
      </c>
      <c r="HI93" s="526">
        <v>-4.8081159288568726E-4</v>
      </c>
    </row>
    <row r="94" spans="1:218" ht="15" customHeight="1" outlineLevel="1">
      <c r="A94" s="386" t="s">
        <v>84</v>
      </c>
      <c r="B94" s="386" t="s">
        <v>17</v>
      </c>
      <c r="C94" s="375">
        <v>-109134.5</v>
      </c>
      <c r="D94" s="4"/>
      <c r="E94" s="375">
        <v>-31545.18</v>
      </c>
      <c r="F94" s="4"/>
      <c r="G94" s="375"/>
      <c r="H94" s="375">
        <v>-5661.53</v>
      </c>
      <c r="I94" s="4"/>
      <c r="J94" s="375"/>
      <c r="K94" s="375">
        <v>-5415</v>
      </c>
      <c r="L94" s="4"/>
      <c r="M94" s="375"/>
      <c r="N94" s="375">
        <v>-16067.86</v>
      </c>
      <c r="O94" s="4"/>
      <c r="P94" s="375">
        <f t="shared" si="421"/>
        <v>0</v>
      </c>
      <c r="Q94" s="375">
        <f t="shared" si="421"/>
        <v>-27144.39</v>
      </c>
      <c r="R94" s="7">
        <f t="shared" si="442"/>
        <v>-7.4637956934598445E-4</v>
      </c>
      <c r="S94" s="375">
        <v>-11609.13</v>
      </c>
      <c r="T94" s="375">
        <v>-11609.13</v>
      </c>
      <c r="U94" s="4"/>
      <c r="V94" s="375">
        <v>-664.62</v>
      </c>
      <c r="W94" s="375">
        <v>-664.62</v>
      </c>
      <c r="X94" s="4"/>
      <c r="Y94" s="375">
        <v>-664.62</v>
      </c>
      <c r="Z94" s="375">
        <v>-664.62</v>
      </c>
      <c r="AA94" s="4"/>
      <c r="AB94" s="375">
        <f t="shared" si="224"/>
        <v>-12938.37</v>
      </c>
      <c r="AC94" s="375">
        <f t="shared" ref="AC94:AC96" si="628">+T94+W94+Z94</f>
        <v>-12938.37</v>
      </c>
      <c r="AD94" s="7">
        <f t="shared" si="443"/>
        <v>-3.4886220661439814E-4</v>
      </c>
      <c r="AE94" s="375">
        <f t="shared" ref="AE94:AE97" si="629">+Q94+AB94</f>
        <v>-40082.76</v>
      </c>
      <c r="AF94" s="375">
        <f t="shared" ref="AF94:AF97" si="630">+AC94+Q94</f>
        <v>-40082.76</v>
      </c>
      <c r="AG94" s="4"/>
      <c r="AH94" s="375">
        <v>-664.62</v>
      </c>
      <c r="AI94" s="375">
        <v>-664.62</v>
      </c>
      <c r="AJ94" s="4"/>
      <c r="AK94" s="375">
        <v>-17688.54</v>
      </c>
      <c r="AL94" s="375">
        <v>-17688.54</v>
      </c>
      <c r="AM94" s="4"/>
      <c r="AN94" s="375">
        <v>-39759.15</v>
      </c>
      <c r="AO94" s="375">
        <v>-39759.15</v>
      </c>
      <c r="AP94" s="4"/>
      <c r="AQ94" s="375">
        <f t="shared" ref="AQ94:AQ97" si="631">AN94+AK94+AH94</f>
        <v>-58112.310000000005</v>
      </c>
      <c r="AR94" s="375">
        <f t="shared" ref="AR94:AR97" si="632">AO94+AL94+AI94</f>
        <v>-58112.310000000005</v>
      </c>
      <c r="AS94" s="7">
        <f t="shared" si="444"/>
        <v>-2.1828152737532625E-3</v>
      </c>
      <c r="AT94" s="375">
        <f t="shared" ref="AT94:AT124" si="633">+AF94+AR94</f>
        <v>-98195.07</v>
      </c>
      <c r="AU94" s="4"/>
      <c r="AV94" s="375"/>
      <c r="AW94" s="375">
        <v>-26844.799999999999</v>
      </c>
      <c r="AX94" s="4"/>
      <c r="AY94" s="375"/>
      <c r="AZ94" s="375">
        <v>-9784.18</v>
      </c>
      <c r="BA94" s="4"/>
      <c r="BB94" s="375"/>
      <c r="BC94" s="375">
        <v>-14059.87</v>
      </c>
      <c r="BD94" s="448"/>
      <c r="BE94" s="375">
        <f t="shared" ref="BE94:BE97" si="634">BB94+AY94+AV94</f>
        <v>0</v>
      </c>
      <c r="BF94" s="375">
        <f t="shared" ref="BF94:BF97" si="635">BC94+AZ94+AW94</f>
        <v>-50688.850000000006</v>
      </c>
      <c r="BG94" s="7">
        <f t="shared" si="445"/>
        <v>-1.6143116827818508E-3</v>
      </c>
      <c r="BH94" s="375">
        <f t="shared" ref="BH94:BH97" si="636">Q94+AB94+AQ94+BE94</f>
        <v>-98195.07</v>
      </c>
      <c r="BI94" s="388">
        <f t="shared" ref="BI94:BI97" si="637">Q94+AC94+AR94+BF94</f>
        <v>-148883.92000000001</v>
      </c>
      <c r="BJ94" s="7">
        <f t="shared" si="446"/>
        <v>-1.1323889406555756E-3</v>
      </c>
      <c r="BK94" s="375"/>
      <c r="BL94" s="282"/>
      <c r="BM94" s="378"/>
      <c r="BN94" s="375">
        <v>0</v>
      </c>
      <c r="BO94" s="4"/>
      <c r="BP94" s="375">
        <v>-4433.34</v>
      </c>
      <c r="BQ94" s="4"/>
      <c r="BR94" s="375">
        <v>-4434</v>
      </c>
      <c r="BS94" s="4"/>
      <c r="BT94" s="375">
        <f t="shared" ref="BT94:BT97" si="638">SUM(BN94:BS94)</f>
        <v>-8867.34</v>
      </c>
      <c r="BU94" s="7">
        <f t="shared" si="447"/>
        <v>-1.6355728078316445E-4</v>
      </c>
      <c r="BV94" s="375">
        <v>-5074.46</v>
      </c>
      <c r="BW94" s="7"/>
      <c r="BX94" s="375">
        <v>-5074.46</v>
      </c>
      <c r="BY94" s="7"/>
      <c r="BZ94" s="375">
        <v>-10395.32</v>
      </c>
      <c r="CA94" s="7"/>
      <c r="CB94" s="375">
        <f>+BV94+BX94+BZ94</f>
        <v>-20544.239999999998</v>
      </c>
      <c r="CC94" s="7">
        <f t="shared" si="534"/>
        <v>-5.9995498270052033E-4</v>
      </c>
      <c r="CD94" s="375">
        <f t="shared" si="238"/>
        <v>-29411.579999999998</v>
      </c>
      <c r="CE94" s="7">
        <f t="shared" si="448"/>
        <v>-3.3249026087899572E-4</v>
      </c>
      <c r="CF94" s="375">
        <v>-5006.8900000000003</v>
      </c>
      <c r="CG94" s="7">
        <f t="shared" si="449"/>
        <v>-9.9128782005990495E-4</v>
      </c>
      <c r="CH94" s="375">
        <v>-22458.959999999999</v>
      </c>
      <c r="CI94" s="7">
        <f t="shared" si="449"/>
        <v>-6.0568589176190186E-4</v>
      </c>
      <c r="CJ94" s="375">
        <v>-23898.65</v>
      </c>
      <c r="CK94" s="7">
        <f t="shared" si="449"/>
        <v>-8.4860473940334582E-4</v>
      </c>
      <c r="CL94" s="375">
        <f>+CF94+CH94+CJ94</f>
        <v>-51364.5</v>
      </c>
      <c r="CM94" s="7">
        <f t="shared" si="449"/>
        <v>-7.3071592240930524E-4</v>
      </c>
      <c r="CN94" s="375">
        <f t="shared" si="288"/>
        <v>-80776.08</v>
      </c>
      <c r="CO94" s="7">
        <f t="shared" ref="CO94:CO157" si="639">+CN94/CN$8</f>
        <v>-5.088197339264915E-4</v>
      </c>
      <c r="CP94" s="472">
        <v>-20159.099999999999</v>
      </c>
      <c r="CQ94" s="7">
        <f t="shared" si="422"/>
        <v>-1.0290455346898743E-3</v>
      </c>
      <c r="CR94" s="375">
        <f t="shared" ref="CR94:CR97" si="640">+CN94+CP94</f>
        <v>-100935.18</v>
      </c>
      <c r="CS94" s="7">
        <f t="shared" ref="CS94:CS157" si="641">+CR94/CR$8</f>
        <v>-5.6596429568671065E-4</v>
      </c>
      <c r="CT94" s="375">
        <v>-19606.29</v>
      </c>
      <c r="CU94" s="7">
        <f t="shared" si="611"/>
        <v>-1.2516295113701918E-3</v>
      </c>
      <c r="CV94" s="375">
        <v>-11481.18</v>
      </c>
      <c r="CW94" s="7">
        <f t="shared" si="452"/>
        <v>-1.8349054240140305E-4</v>
      </c>
      <c r="CX94" s="375">
        <f t="shared" si="605"/>
        <v>-51246.57</v>
      </c>
      <c r="CY94" s="7">
        <f t="shared" si="424"/>
        <v>-5.2385605940405465E-4</v>
      </c>
      <c r="CZ94" s="375">
        <f>+CD94+CL94+CX94</f>
        <v>-132022.65</v>
      </c>
      <c r="DA94" s="7">
        <f t="shared" si="453"/>
        <v>-5.1455265451728416E-4</v>
      </c>
      <c r="DB94" s="375">
        <v>-4388.93</v>
      </c>
      <c r="DC94" s="7">
        <f t="shared" ref="DC94:DG157" si="642">+DB94/DB$8</f>
        <v>-2.2863406299492543E-4</v>
      </c>
      <c r="DD94" s="375">
        <v>-8028.19</v>
      </c>
      <c r="DE94" s="7">
        <f t="shared" si="642"/>
        <v>-3.0916644265049556E-4</v>
      </c>
      <c r="DF94" s="72">
        <v>-7852.02</v>
      </c>
      <c r="DG94" s="7">
        <f t="shared" si="642"/>
        <v>-2.5312604477392003E-4</v>
      </c>
      <c r="DH94" s="375">
        <f>+DB94+DD94+DF94</f>
        <v>-20269.14</v>
      </c>
      <c r="DI94" s="7">
        <f t="shared" si="425"/>
        <v>-2.6605606706909862E-4</v>
      </c>
      <c r="DJ94" s="375">
        <v>-25000</v>
      </c>
      <c r="DK94" s="7">
        <f t="shared" ref="DK94:DK157" si="643">+DJ94/DJ$8</f>
        <v>-4.7533858807475204E-4</v>
      </c>
      <c r="DL94" s="72">
        <v>-11535.95</v>
      </c>
      <c r="DM94" s="7">
        <f t="shared" ref="DM94:DM157" si="644">+DL94/DL$8</f>
        <v>-1.3299484384848724E-3</v>
      </c>
      <c r="DN94" s="72">
        <v>-7769.67</v>
      </c>
      <c r="DO94" s="7">
        <f t="shared" ref="DO94:DO157" si="645">+DN94/DN$8</f>
        <v>-4.5276054918991541E-4</v>
      </c>
      <c r="DP94" s="72">
        <v>-15019.96</v>
      </c>
      <c r="DQ94" s="7">
        <f t="shared" ref="DQ94:DQ157" si="646">+DP94/DP$8</f>
        <v>-1.7901042746657034E-4</v>
      </c>
      <c r="DR94" s="375">
        <f>+DL94+DN94+DP94</f>
        <v>-34325.58</v>
      </c>
      <c r="DS94" s="7">
        <f t="shared" si="426"/>
        <v>-3.1278963175533566E-4</v>
      </c>
      <c r="DT94" s="375">
        <f t="shared" si="259"/>
        <v>-54594.720000000001</v>
      </c>
      <c r="DU94" s="7">
        <f t="shared" si="454"/>
        <v>-2.9364019828408789E-4</v>
      </c>
      <c r="DV94" s="375">
        <v>-16756.27</v>
      </c>
      <c r="DW94" s="7">
        <f t="shared" ref="DW94:DW157" si="647">+DV94/DV$8</f>
        <v>-3.6812967846099092E-4</v>
      </c>
      <c r="DX94" s="375">
        <v>-18934.04</v>
      </c>
      <c r="DY94" s="7">
        <f t="shared" ref="DY94:DY125" si="648">+DX94/DX$8</f>
        <v>-7.3238823572190255E-4</v>
      </c>
      <c r="DZ94" s="375">
        <v>10934.47</v>
      </c>
      <c r="EA94" s="7">
        <f t="shared" ref="EA94:EA157" si="649">+DZ94/DZ$8</f>
        <v>8.9375241672334167E-5</v>
      </c>
      <c r="EB94" s="375">
        <f>+DV94+DX94+DZ94</f>
        <v>-24755.839999999997</v>
      </c>
      <c r="EC94" s="7">
        <f t="shared" si="427"/>
        <v>-1.2779637986492793E-4</v>
      </c>
      <c r="ED94" s="375">
        <f>+EB94+DT94</f>
        <v>-79350.559999999998</v>
      </c>
      <c r="EE94" s="7">
        <f t="shared" si="455"/>
        <v>-2.0901691916082335E-4</v>
      </c>
      <c r="EF94" s="375">
        <v>-19983.07</v>
      </c>
      <c r="EG94" s="7">
        <f t="shared" ref="EG94:EG157" si="650">+EF94/EF$8</f>
        <v>-1.3523379751228233E-3</v>
      </c>
      <c r="EH94" s="375">
        <v>-15153.69</v>
      </c>
      <c r="EI94" s="7">
        <f t="shared" ref="EI94:EI125" si="651">+EH94/EH$8</f>
        <v>-1.1886499094072027E-3</v>
      </c>
      <c r="EJ94" s="375">
        <v>-12219.13</v>
      </c>
      <c r="EK94" s="7">
        <f t="shared" ref="EK94:EK157" si="652">+EJ94/EJ$8</f>
        <v>-7.824598102889055E-5</v>
      </c>
      <c r="EL94" s="375">
        <f>+EF94+EH94+EJ94</f>
        <v>-47355.89</v>
      </c>
      <c r="EM94" s="7">
        <f t="shared" si="428"/>
        <v>-2.5780558785964085E-4</v>
      </c>
      <c r="EN94" s="375">
        <f>+EL94+ED94</f>
        <v>-126706.45</v>
      </c>
      <c r="EO94" s="7">
        <f t="shared" si="456"/>
        <v>-2.2492586173534812E-4</v>
      </c>
      <c r="EP94" s="373"/>
      <c r="EQ94" s="373"/>
      <c r="ER94" s="373"/>
      <c r="ES94" s="373"/>
      <c r="ET94" s="375">
        <v>-10480.74</v>
      </c>
      <c r="EU94" s="7">
        <f t="shared" ref="EU94:EU157" si="653">+ET94/ET$8</f>
        <v>-1.4209401609602474E-3</v>
      </c>
      <c r="EV94" s="375">
        <v>-4577</v>
      </c>
      <c r="EW94" s="7">
        <f t="shared" ref="EW94:EW125" si="654">+EV94/EV$8</f>
        <v>-7.5101488372519951E-4</v>
      </c>
      <c r="EX94" s="375">
        <v>-12548.38</v>
      </c>
      <c r="EY94" s="7">
        <f t="shared" ref="EY94:EY157" si="655">+EX94/EX$8</f>
        <v>-5.4967540459624954E-5</v>
      </c>
      <c r="EZ94" s="375">
        <f>+ET94+EV94+EX94</f>
        <v>-27606.12</v>
      </c>
      <c r="FA94" s="7">
        <f t="shared" si="429"/>
        <v>-1.1418933348498529E-4</v>
      </c>
      <c r="FB94" s="375">
        <v>-7937.13</v>
      </c>
      <c r="FC94" s="7">
        <f t="shared" ref="FC94:FC157" si="656">+FB94/FB$8</f>
        <v>-8.7587404510726006E-4</v>
      </c>
      <c r="FD94" s="375">
        <v>-7985.64</v>
      </c>
      <c r="FE94" s="7">
        <f t="shared" si="612"/>
        <v>-7.587037645466615E-5</v>
      </c>
      <c r="FF94" s="375">
        <v>-15596.7</v>
      </c>
      <c r="FG94" s="7">
        <f t="shared" si="430"/>
        <v>-9.7065737380210785E-5</v>
      </c>
      <c r="FH94" s="375">
        <f>+FB94+FD94+FF94</f>
        <v>-31519.47</v>
      </c>
      <c r="FI94" s="7">
        <f t="shared" si="431"/>
        <v>-1.1461729282391517E-4</v>
      </c>
      <c r="FJ94" s="375">
        <f t="shared" ref="FJ94:FJ97" si="657">EZ94+FH94</f>
        <v>-59125.59</v>
      </c>
      <c r="FK94" s="7">
        <f t="shared" si="459"/>
        <v>-1.1441707732030368E-4</v>
      </c>
      <c r="FL94" s="375">
        <v>-18764.25</v>
      </c>
      <c r="FM94" s="7">
        <f t="shared" ref="FM94:FM157" si="658">+FL94/FL$8</f>
        <v>-1.7160885160637793E-3</v>
      </c>
      <c r="FN94" s="375">
        <v>-18510.849999999999</v>
      </c>
      <c r="FO94" s="7">
        <f t="shared" si="432"/>
        <v>-3.8741634961603662E-3</v>
      </c>
      <c r="FP94" s="375">
        <v>-27422.85</v>
      </c>
      <c r="FQ94" s="7">
        <f t="shared" si="433"/>
        <v>-9.9127373555958832E-5</v>
      </c>
      <c r="FR94" s="375">
        <f>+FL94+FN94+FP94</f>
        <v>-64697.95</v>
      </c>
      <c r="FS94" s="7">
        <f t="shared" si="434"/>
        <v>-2.2129935627930155E-4</v>
      </c>
      <c r="FT94" s="375">
        <f t="shared" ref="FT94:FT97" si="659">FJ94+FR94</f>
        <v>-123823.54</v>
      </c>
      <c r="FU94" s="7">
        <f t="shared" si="462"/>
        <v>-1.5303675050244258E-4</v>
      </c>
      <c r="FV94" s="375">
        <v>-25219.06</v>
      </c>
      <c r="FW94" s="7">
        <f t="shared" ref="FW94:FW157" si="660">+FV94/FV$8</f>
        <v>-9.0879692155874383E-4</v>
      </c>
      <c r="FX94" s="375">
        <v>-23504.69</v>
      </c>
      <c r="FY94" s="7">
        <f t="shared" si="435"/>
        <v>-9.15600996830075E-4</v>
      </c>
      <c r="FZ94" s="375">
        <v>-16403.29</v>
      </c>
      <c r="GA94" s="7">
        <f t="shared" si="436"/>
        <v>-5.6737315074708242E-5</v>
      </c>
      <c r="GB94" s="375">
        <f>+FV94+FX94+FZ94</f>
        <v>-65127.040000000001</v>
      </c>
      <c r="GC94" s="7">
        <f t="shared" si="437"/>
        <v>-1.9013492972017428E-4</v>
      </c>
      <c r="GD94" s="375">
        <f t="shared" ref="GD94:GD97" si="661">FT94+GB94</f>
        <v>-188950.58</v>
      </c>
      <c r="GE94" s="7">
        <f t="shared" si="465"/>
        <v>-1.6407080449504382E-4</v>
      </c>
      <c r="GF94" s="566">
        <f t="shared" si="282"/>
        <v>0</v>
      </c>
      <c r="GG94" s="525">
        <f t="shared" si="438"/>
        <v>0</v>
      </c>
      <c r="GH94" s="528">
        <f t="shared" ref="GH94:GH97" si="662">+GQ94*$GO$2</f>
        <v>0</v>
      </c>
      <c r="GI94" s="525">
        <f t="shared" si="439"/>
        <v>0</v>
      </c>
      <c r="GJ94" s="528"/>
      <c r="GK94" s="525">
        <f t="shared" si="440"/>
        <v>0</v>
      </c>
      <c r="GL94" s="528">
        <f t="shared" ref="GL94:GL97" si="663">+GD94+GF94+GH94-GJ94</f>
        <v>-188950.58</v>
      </c>
      <c r="GM94" s="565">
        <f t="shared" si="468"/>
        <v>-1.6305210276404894E-4</v>
      </c>
      <c r="GO94" s="586"/>
      <c r="GQ94" s="586"/>
      <c r="GT94" s="551">
        <f t="shared" si="558"/>
        <v>-23622.339241117737</v>
      </c>
      <c r="GU94" s="551">
        <f t="shared" si="471"/>
        <v>-27676.550758882266</v>
      </c>
      <c r="GV94" s="550">
        <f t="shared" si="441"/>
        <v>-51298.89</v>
      </c>
      <c r="GW94" s="527">
        <f>+EZ94*4</f>
        <v>-110424.48</v>
      </c>
      <c r="GX94" s="525">
        <f t="shared" ref="GX94:GX157" si="664">+GW94/GW$8</f>
        <v>-9.325486120653756E-5</v>
      </c>
      <c r="GY94" s="528">
        <f>+GW94</f>
        <v>-110424.48</v>
      </c>
      <c r="GZ94" s="525">
        <f t="shared" ref="GZ94:GZ157" si="665">+GY94/GY$8</f>
        <v>-1.2266658749298618E-4</v>
      </c>
      <c r="HA94" s="528">
        <f>+GY94</f>
        <v>-110424.48</v>
      </c>
      <c r="HB94" s="526">
        <f t="shared" ref="HB94:HB157" si="666">+HA94/HA$8</f>
        <v>-1.5169534320678204E-4</v>
      </c>
      <c r="HD94" s="527">
        <v>-110424.48</v>
      </c>
      <c r="HE94" s="525">
        <v>-9.2954917675947809E-5</v>
      </c>
      <c r="HF94" s="528">
        <v>-110424.48</v>
      </c>
      <c r="HG94" s="525">
        <v>-1.2266658749298618E-4</v>
      </c>
      <c r="HH94" s="528">
        <v>-110424.48</v>
      </c>
      <c r="HI94" s="526">
        <v>-1.5169534320678204E-4</v>
      </c>
    </row>
    <row r="95" spans="1:218" ht="15" customHeight="1" outlineLevel="1">
      <c r="A95" s="386" t="s">
        <v>84</v>
      </c>
      <c r="B95" s="386" t="s">
        <v>85</v>
      </c>
      <c r="C95" s="375">
        <v>-20260.95</v>
      </c>
      <c r="D95" s="4"/>
      <c r="E95" s="375">
        <v>-6623.88</v>
      </c>
      <c r="F95" s="4"/>
      <c r="G95" s="375"/>
      <c r="H95" s="375">
        <v>-818.77</v>
      </c>
      <c r="I95" s="4"/>
      <c r="J95" s="375"/>
      <c r="K95" s="375">
        <v>-821</v>
      </c>
      <c r="L95" s="4"/>
      <c r="M95" s="375"/>
      <c r="N95" s="375">
        <v>-532.5</v>
      </c>
      <c r="O95" s="4"/>
      <c r="P95" s="375">
        <f t="shared" si="421"/>
        <v>0</v>
      </c>
      <c r="Q95" s="375">
        <f t="shared" si="421"/>
        <v>-2172.27</v>
      </c>
      <c r="R95" s="7">
        <f t="shared" si="442"/>
        <v>-5.9730130133821449E-5</v>
      </c>
      <c r="S95" s="375">
        <v>-3465.29</v>
      </c>
      <c r="T95" s="375">
        <v>-3465.29</v>
      </c>
      <c r="U95" s="4"/>
      <c r="V95" s="375">
        <v>-855.39</v>
      </c>
      <c r="W95" s="375">
        <v>-855.39</v>
      </c>
      <c r="X95" s="4"/>
      <c r="Y95" s="375">
        <v>-855.39</v>
      </c>
      <c r="Z95" s="375">
        <v>-855.39</v>
      </c>
      <c r="AA95" s="4"/>
      <c r="AB95" s="375">
        <f t="shared" ref="AB95:AB97" si="667">+T95+V95+Y95</f>
        <v>-5176.0700000000006</v>
      </c>
      <c r="AC95" s="375">
        <f t="shared" si="628"/>
        <v>-5176.0700000000006</v>
      </c>
      <c r="AD95" s="7">
        <f t="shared" si="443"/>
        <v>-1.3956435020721992E-4</v>
      </c>
      <c r="AE95" s="375">
        <f t="shared" si="629"/>
        <v>-7348.34</v>
      </c>
      <c r="AF95" s="375">
        <f t="shared" si="630"/>
        <v>-7348.34</v>
      </c>
      <c r="AG95" s="4"/>
      <c r="AH95" s="375">
        <v>-855.39</v>
      </c>
      <c r="AI95" s="375">
        <v>-855.39</v>
      </c>
      <c r="AJ95" s="4"/>
      <c r="AK95" s="375">
        <v>-6206.66</v>
      </c>
      <c r="AL95" s="375">
        <v>-6206.66</v>
      </c>
      <c r="AM95" s="4"/>
      <c r="AN95" s="375">
        <v>-2727.27</v>
      </c>
      <c r="AO95" s="375">
        <v>-2727.27</v>
      </c>
      <c r="AP95" s="4"/>
      <c r="AQ95" s="375">
        <f t="shared" si="631"/>
        <v>-9789.32</v>
      </c>
      <c r="AR95" s="375">
        <f t="shared" si="632"/>
        <v>-9789.32</v>
      </c>
      <c r="AS95" s="7">
        <f t="shared" si="444"/>
        <v>-3.6770655332163334E-4</v>
      </c>
      <c r="AT95" s="375">
        <f t="shared" si="633"/>
        <v>-17137.66</v>
      </c>
      <c r="AU95" s="4"/>
      <c r="AV95" s="375"/>
      <c r="AW95" s="375">
        <v>-507.93</v>
      </c>
      <c r="AX95" s="4"/>
      <c r="AY95" s="375"/>
      <c r="AZ95" s="375">
        <v>-507.93</v>
      </c>
      <c r="BA95" s="4"/>
      <c r="BB95" s="375"/>
      <c r="BC95" s="375">
        <v>-507.93</v>
      </c>
      <c r="BD95" s="448"/>
      <c r="BE95" s="375">
        <f t="shared" si="634"/>
        <v>0</v>
      </c>
      <c r="BF95" s="375">
        <f t="shared" si="635"/>
        <v>-1523.79</v>
      </c>
      <c r="BG95" s="7">
        <f t="shared" si="445"/>
        <v>-4.8528857906741937E-5</v>
      </c>
      <c r="BH95" s="375">
        <f t="shared" si="636"/>
        <v>-17137.66</v>
      </c>
      <c r="BI95" s="388">
        <f t="shared" si="637"/>
        <v>-18661.45</v>
      </c>
      <c r="BJ95" s="7">
        <f t="shared" si="446"/>
        <v>-1.4193621175877819E-4</v>
      </c>
      <c r="BK95" s="375"/>
      <c r="BL95" s="282"/>
      <c r="BM95" s="378"/>
      <c r="BN95" s="375">
        <v>0</v>
      </c>
      <c r="BO95" s="4"/>
      <c r="BP95" s="375">
        <v>-24.22</v>
      </c>
      <c r="BQ95" s="4"/>
      <c r="BR95" s="375">
        <v>-222</v>
      </c>
      <c r="BS95" s="4"/>
      <c r="BT95" s="375">
        <f t="shared" si="638"/>
        <v>-246.22</v>
      </c>
      <c r="BU95" s="7">
        <f t="shared" si="447"/>
        <v>-4.5415055331622281E-6</v>
      </c>
      <c r="BV95" s="375">
        <v>-222.22</v>
      </c>
      <c r="BW95" s="7"/>
      <c r="BX95" s="375">
        <v>-337</v>
      </c>
      <c r="BY95" s="7"/>
      <c r="BZ95" s="375">
        <v>-478.94</v>
      </c>
      <c r="CA95" s="7"/>
      <c r="CB95" s="375">
        <f>+BV95+BX95+BZ95</f>
        <v>-1038.1600000000001</v>
      </c>
      <c r="CC95" s="7">
        <f t="shared" si="534"/>
        <v>-3.0317464400745528E-5</v>
      </c>
      <c r="CD95" s="375">
        <f t="shared" ref="CD95:CD97" si="668">BT95+CB95</f>
        <v>-1284.3800000000001</v>
      </c>
      <c r="CE95" s="7">
        <f t="shared" si="448"/>
        <v>-1.4519581786077611E-5</v>
      </c>
      <c r="CF95" s="375">
        <v>-2241.48</v>
      </c>
      <c r="CG95" s="7">
        <f t="shared" si="449"/>
        <v>-4.437788373437155E-4</v>
      </c>
      <c r="CH95" s="375">
        <v>-970.02</v>
      </c>
      <c r="CI95" s="7">
        <f t="shared" si="449"/>
        <v>-2.6160046089706738E-5</v>
      </c>
      <c r="CJ95" s="375">
        <v>-806.24</v>
      </c>
      <c r="CK95" s="7">
        <f t="shared" si="449"/>
        <v>-2.8628357045128219E-5</v>
      </c>
      <c r="CL95" s="375">
        <f>+CF95+CH95+CJ95</f>
        <v>-4017.74</v>
      </c>
      <c r="CM95" s="7">
        <f t="shared" si="449"/>
        <v>-5.7156724782695482E-5</v>
      </c>
      <c r="CN95" s="375">
        <f t="shared" ref="CN95:CN97" si="669">+CL95+CD95</f>
        <v>-5302.12</v>
      </c>
      <c r="CO95" s="7">
        <f t="shared" si="639"/>
        <v>-3.3398789439229151E-5</v>
      </c>
      <c r="CP95" s="472">
        <v>-175.61</v>
      </c>
      <c r="CQ95" s="7">
        <f t="shared" si="422"/>
        <v>-8.9642239160919323E-6</v>
      </c>
      <c r="CR95" s="375">
        <f t="shared" si="640"/>
        <v>-5477.73</v>
      </c>
      <c r="CS95" s="7">
        <f t="shared" si="641"/>
        <v>-3.0714757742661834E-5</v>
      </c>
      <c r="CT95" s="375">
        <v>-5674.43</v>
      </c>
      <c r="CU95" s="7">
        <f t="shared" si="611"/>
        <v>-3.6224517989912205E-4</v>
      </c>
      <c r="CV95" s="375">
        <v>-415.58</v>
      </c>
      <c r="CW95" s="7">
        <f t="shared" si="452"/>
        <v>-6.6417388814716849E-6</v>
      </c>
      <c r="CX95" s="375">
        <f t="shared" si="605"/>
        <v>-6265.62</v>
      </c>
      <c r="CY95" s="7">
        <f t="shared" si="424"/>
        <v>-6.4048832983812048E-5</v>
      </c>
      <c r="CZ95" s="375">
        <f>+CD95+CL95+CX95</f>
        <v>-11567.74</v>
      </c>
      <c r="DA95" s="7">
        <f t="shared" si="453"/>
        <v>-4.5084773891190406E-5</v>
      </c>
      <c r="DB95" s="375">
        <v>-242.56</v>
      </c>
      <c r="DC95" s="7">
        <f t="shared" si="642"/>
        <v>-1.2635762775904175E-5</v>
      </c>
      <c r="DD95" s="375">
        <v>-741.68</v>
      </c>
      <c r="DE95" s="7">
        <f t="shared" si="642"/>
        <v>-2.8562174934203047E-5</v>
      </c>
      <c r="DF95" s="72">
        <v>-499</v>
      </c>
      <c r="DG95" s="7">
        <f t="shared" si="642"/>
        <v>-1.608629325220594E-5</v>
      </c>
      <c r="DH95" s="375">
        <f>+DB95+DD95+DF95</f>
        <v>-1483.24</v>
      </c>
      <c r="DI95" s="7">
        <f t="shared" si="425"/>
        <v>-1.9469252317541341E-5</v>
      </c>
      <c r="DJ95" s="375">
        <f>+DH95</f>
        <v>-1483.24</v>
      </c>
      <c r="DK95" s="7">
        <f t="shared" si="643"/>
        <v>-2.820164829503981E-5</v>
      </c>
      <c r="DL95" s="72">
        <v>-497.2</v>
      </c>
      <c r="DM95" s="7">
        <f t="shared" si="644"/>
        <v>-5.7320841683145164E-5</v>
      </c>
      <c r="DN95" s="72">
        <v>-772.78</v>
      </c>
      <c r="DO95" s="7">
        <f t="shared" si="645"/>
        <v>-4.503206663899275E-5</v>
      </c>
      <c r="DP95" s="72">
        <v>-3138.8</v>
      </c>
      <c r="DQ95" s="7">
        <f t="shared" si="646"/>
        <v>-3.7408750072042209E-5</v>
      </c>
      <c r="DR95" s="375">
        <f>+DL95+DN95+DP95</f>
        <v>-4408.7800000000007</v>
      </c>
      <c r="DS95" s="7">
        <f t="shared" si="426"/>
        <v>-4.0174723127483605E-5</v>
      </c>
      <c r="DT95" s="375">
        <f t="shared" ref="DT95:DT97" si="670">+DR95+DH95</f>
        <v>-5892.02</v>
      </c>
      <c r="DU95" s="7">
        <f t="shared" si="454"/>
        <v>-3.1690499027997795E-5</v>
      </c>
      <c r="DV95" s="375">
        <v>-1825.56</v>
      </c>
      <c r="DW95" s="7">
        <f t="shared" si="647"/>
        <v>-4.010694598566665E-5</v>
      </c>
      <c r="DX95" s="375">
        <v>-756</v>
      </c>
      <c r="DY95" s="7">
        <f t="shared" si="648"/>
        <v>-2.9242861333648728E-5</v>
      </c>
      <c r="DZ95" s="375">
        <v>276.60000000000002</v>
      </c>
      <c r="EA95" s="7">
        <f t="shared" si="649"/>
        <v>2.2608495744711571E-6</v>
      </c>
      <c r="EB95" s="375">
        <f>+DV95+DX95+DZ95</f>
        <v>-2304.96</v>
      </c>
      <c r="EC95" s="7">
        <f t="shared" si="427"/>
        <v>-1.1898830487410822E-5</v>
      </c>
      <c r="ED95" s="375">
        <f>+EB95+DT95</f>
        <v>-8196.98</v>
      </c>
      <c r="EE95" s="7">
        <f t="shared" si="455"/>
        <v>-2.1591624634065416E-5</v>
      </c>
      <c r="EF95" s="375">
        <v>-830.77</v>
      </c>
      <c r="EG95" s="7">
        <f t="shared" si="650"/>
        <v>-5.6221682633989072E-5</v>
      </c>
      <c r="EH95" s="375">
        <v>-1464.9</v>
      </c>
      <c r="EI95" s="7">
        <f t="shared" si="651"/>
        <v>-1.1490622101221626E-4</v>
      </c>
      <c r="EJ95" s="375">
        <v>-1643.61</v>
      </c>
      <c r="EK95" s="7">
        <f t="shared" si="652"/>
        <v>-1.0524961832707796E-5</v>
      </c>
      <c r="EL95" s="375">
        <f>+EF95+EH95+EJ95</f>
        <v>-3939.2799999999997</v>
      </c>
      <c r="EM95" s="7">
        <f t="shared" si="428"/>
        <v>-2.1445450526718558E-5</v>
      </c>
      <c r="EN95" s="375">
        <f>+EL95+ED95</f>
        <v>-12136.259999999998</v>
      </c>
      <c r="EO95" s="7">
        <f t="shared" si="456"/>
        <v>-2.1543960380424485E-5</v>
      </c>
      <c r="EP95" s="373"/>
      <c r="EQ95" s="373"/>
      <c r="ER95" s="373"/>
      <c r="ES95" s="373"/>
      <c r="ET95" s="375">
        <v>-1257.9000000000001</v>
      </c>
      <c r="EU95" s="7">
        <f t="shared" si="653"/>
        <v>-1.7054145303403151E-4</v>
      </c>
      <c r="EV95" s="375">
        <v>-248</v>
      </c>
      <c r="EW95" s="7">
        <f t="shared" si="654"/>
        <v>-4.0692962893565537E-5</v>
      </c>
      <c r="EX95" s="375">
        <v>-970.86</v>
      </c>
      <c r="EY95" s="7">
        <f t="shared" si="655"/>
        <v>-4.2528028582678786E-6</v>
      </c>
      <c r="EZ95" s="375">
        <f>+ET95+EV95+EX95</f>
        <v>-2476.7600000000002</v>
      </c>
      <c r="FA95" s="7">
        <f t="shared" si="429"/>
        <v>-1.0244814323862687E-5</v>
      </c>
      <c r="FB95" s="375">
        <v>-1039.1500000000001</v>
      </c>
      <c r="FC95" s="7">
        <f t="shared" si="656"/>
        <v>-1.1467174078958129E-4</v>
      </c>
      <c r="FD95" s="375">
        <v>-568.09</v>
      </c>
      <c r="FE95" s="7">
        <f t="shared" si="612"/>
        <v>-5.3973384926106475E-6</v>
      </c>
      <c r="FF95" s="375">
        <v>-1602.61</v>
      </c>
      <c r="FG95" s="7">
        <f t="shared" si="430"/>
        <v>-9.9738099330563248E-6</v>
      </c>
      <c r="FH95" s="375">
        <f>+FB95+FD95+FF95</f>
        <v>-3209.8500000000004</v>
      </c>
      <c r="FI95" s="7">
        <f t="shared" si="431"/>
        <v>-1.1672287553402521E-5</v>
      </c>
      <c r="FJ95" s="375">
        <f t="shared" si="657"/>
        <v>-5686.6100000000006</v>
      </c>
      <c r="FK95" s="7">
        <f t="shared" si="459"/>
        <v>-1.1004461791593322E-5</v>
      </c>
      <c r="FL95" s="375">
        <v>-568.09</v>
      </c>
      <c r="FM95" s="7">
        <f t="shared" si="658"/>
        <v>-5.1954793028800645E-5</v>
      </c>
      <c r="FN95" s="375">
        <v>-1671.71</v>
      </c>
      <c r="FO95" s="7">
        <f t="shared" si="432"/>
        <v>-3.4987468744904996E-4</v>
      </c>
      <c r="FP95" s="375">
        <v>-568.09</v>
      </c>
      <c r="FQ95" s="7">
        <f t="shared" si="433"/>
        <v>-2.0535163064161697E-6</v>
      </c>
      <c r="FR95" s="375">
        <f>+FL95+FN95+FP95</f>
        <v>-2807.8900000000003</v>
      </c>
      <c r="FS95" s="7">
        <f t="shared" si="434"/>
        <v>-9.6043885394063979E-6</v>
      </c>
      <c r="FT95" s="375">
        <f t="shared" si="659"/>
        <v>-8494.5</v>
      </c>
      <c r="FU95" s="7">
        <f t="shared" si="462"/>
        <v>-1.0498574642131849E-5</v>
      </c>
      <c r="FV95" s="375">
        <v>-2464.9499999999998</v>
      </c>
      <c r="FW95" s="7">
        <f t="shared" si="660"/>
        <v>-8.8827219245928495E-5</v>
      </c>
      <c r="FX95" s="375">
        <v>-791.16</v>
      </c>
      <c r="FY95" s="7">
        <f t="shared" si="435"/>
        <v>-3.0818823164742108E-5</v>
      </c>
      <c r="FZ95" s="375">
        <v>-2142.6999999999998</v>
      </c>
      <c r="GA95" s="7">
        <f t="shared" si="436"/>
        <v>-7.4113818027101479E-6</v>
      </c>
      <c r="GB95" s="375">
        <f>+FV95+FX95+FZ95</f>
        <v>-5398.8099999999995</v>
      </c>
      <c r="GC95" s="7">
        <f t="shared" si="437"/>
        <v>-1.5761538677676338E-5</v>
      </c>
      <c r="GD95" s="375">
        <f t="shared" si="661"/>
        <v>-13893.31</v>
      </c>
      <c r="GE95" s="7">
        <f t="shared" si="465"/>
        <v>-1.2063929884729846E-5</v>
      </c>
      <c r="GF95" s="566">
        <f t="shared" ref="GF95:GF97" si="671">+GO95*$GO$1</f>
        <v>0</v>
      </c>
      <c r="GG95" s="525">
        <f t="shared" si="438"/>
        <v>0</v>
      </c>
      <c r="GH95" s="528">
        <f t="shared" si="662"/>
        <v>0</v>
      </c>
      <c r="GI95" s="525">
        <f t="shared" si="439"/>
        <v>0</v>
      </c>
      <c r="GJ95" s="528"/>
      <c r="GK95" s="525">
        <f t="shared" si="440"/>
        <v>0</v>
      </c>
      <c r="GL95" s="528">
        <f t="shared" si="663"/>
        <v>-13893.31</v>
      </c>
      <c r="GM95" s="565">
        <f t="shared" si="468"/>
        <v>-1.1989025965693193E-5</v>
      </c>
      <c r="GO95" s="586"/>
      <c r="GQ95" s="586"/>
      <c r="GT95" s="551">
        <f t="shared" si="558"/>
        <v>-1943.442230492522</v>
      </c>
      <c r="GU95" s="551">
        <f t="shared" si="471"/>
        <v>-2276.9877695074783</v>
      </c>
      <c r="GV95" s="550">
        <f t="shared" si="441"/>
        <v>-4220.43</v>
      </c>
      <c r="GW95" s="527">
        <f>+EZ95*4</f>
        <v>-9907.0400000000009</v>
      </c>
      <c r="GX95" s="525">
        <f t="shared" si="664"/>
        <v>-8.366619794520346E-6</v>
      </c>
      <c r="GY95" s="528">
        <f>+GW95</f>
        <v>-9907.0400000000009</v>
      </c>
      <c r="GZ95" s="525">
        <f t="shared" si="665"/>
        <v>-1.1005374795122549E-5</v>
      </c>
      <c r="HA95" s="528">
        <f>+GY95</f>
        <v>-9907.0400000000009</v>
      </c>
      <c r="HB95" s="526">
        <f t="shared" si="666"/>
        <v>-1.360977052337777E-5</v>
      </c>
      <c r="HD95" s="527">
        <v>-9907.0400000000009</v>
      </c>
      <c r="HE95" s="525">
        <v>-8.339709524666289E-6</v>
      </c>
      <c r="HF95" s="528">
        <v>-9907.0400000000009</v>
      </c>
      <c r="HG95" s="525">
        <v>-1.1005374795122549E-5</v>
      </c>
      <c r="HH95" s="528">
        <v>-9907.0400000000009</v>
      </c>
      <c r="HI95" s="526">
        <v>-1.360977052337777E-5</v>
      </c>
    </row>
    <row r="96" spans="1:218" ht="15" customHeight="1" outlineLevel="1">
      <c r="A96" s="386" t="s">
        <v>84</v>
      </c>
      <c r="B96" s="386" t="s">
        <v>86</v>
      </c>
      <c r="C96" s="375">
        <v>-10863.68</v>
      </c>
      <c r="D96" s="4"/>
      <c r="E96" s="375">
        <v>0</v>
      </c>
      <c r="F96" s="4"/>
      <c r="G96" s="375"/>
      <c r="H96" s="375"/>
      <c r="I96" s="4"/>
      <c r="J96" s="375"/>
      <c r="K96" s="375"/>
      <c r="L96" s="4"/>
      <c r="M96" s="375"/>
      <c r="N96" s="375">
        <v>-264.73</v>
      </c>
      <c r="O96" s="4"/>
      <c r="P96" s="375">
        <f t="shared" si="421"/>
        <v>0</v>
      </c>
      <c r="Q96" s="375">
        <f t="shared" si="421"/>
        <v>-264.73</v>
      </c>
      <c r="R96" s="7">
        <f t="shared" si="442"/>
        <v>-7.2791859899213978E-6</v>
      </c>
      <c r="S96" s="375"/>
      <c r="T96" s="375"/>
      <c r="U96" s="4"/>
      <c r="V96" s="375">
        <v>-1365</v>
      </c>
      <c r="W96" s="375">
        <v>-1365</v>
      </c>
      <c r="X96" s="4"/>
      <c r="Y96" s="375"/>
      <c r="Z96" s="375"/>
      <c r="AA96" s="4"/>
      <c r="AB96" s="375">
        <f t="shared" si="667"/>
        <v>-1365</v>
      </c>
      <c r="AC96" s="375">
        <f t="shared" si="628"/>
        <v>-1365</v>
      </c>
      <c r="AD96" s="7">
        <f t="shared" si="443"/>
        <v>-3.6805015780863701E-5</v>
      </c>
      <c r="AE96" s="375">
        <f t="shared" si="629"/>
        <v>-1629.73</v>
      </c>
      <c r="AF96" s="375">
        <f t="shared" si="630"/>
        <v>-1629.73</v>
      </c>
      <c r="AG96" s="4"/>
      <c r="AH96" s="375"/>
      <c r="AI96" s="375"/>
      <c r="AJ96" s="4"/>
      <c r="AK96" s="375">
        <v>-150</v>
      </c>
      <c r="AL96" s="375">
        <v>-150</v>
      </c>
      <c r="AM96" s="4"/>
      <c r="AN96" s="375"/>
      <c r="AO96" s="375"/>
      <c r="AP96" s="4"/>
      <c r="AQ96" s="375">
        <f t="shared" si="631"/>
        <v>-150</v>
      </c>
      <c r="AR96" s="375">
        <f t="shared" si="632"/>
        <v>-150</v>
      </c>
      <c r="AS96" s="7">
        <f t="shared" si="444"/>
        <v>-5.6343017695044195E-6</v>
      </c>
      <c r="AT96" s="375">
        <f t="shared" si="633"/>
        <v>-1779.73</v>
      </c>
      <c r="AU96" s="4"/>
      <c r="AV96" s="375"/>
      <c r="AW96" s="375"/>
      <c r="AX96" s="4"/>
      <c r="AY96" s="375"/>
      <c r="AZ96" s="375">
        <v>-950</v>
      </c>
      <c r="BA96" s="4"/>
      <c r="BB96" s="375"/>
      <c r="BC96" s="375"/>
      <c r="BD96" s="448"/>
      <c r="BE96" s="375">
        <f t="shared" si="634"/>
        <v>0</v>
      </c>
      <c r="BF96" s="375">
        <f t="shared" si="635"/>
        <v>-950</v>
      </c>
      <c r="BG96" s="7">
        <f t="shared" si="445"/>
        <v>-3.0255097494671079E-5</v>
      </c>
      <c r="BH96" s="375">
        <f t="shared" si="636"/>
        <v>-1779.73</v>
      </c>
      <c r="BI96" s="388">
        <f t="shared" si="637"/>
        <v>-2729.73</v>
      </c>
      <c r="BJ96" s="7">
        <f t="shared" si="446"/>
        <v>-2.0761920178994108E-5</v>
      </c>
      <c r="BK96" s="375"/>
      <c r="BL96" s="282"/>
      <c r="BM96" s="378"/>
      <c r="BN96" s="375">
        <v>0</v>
      </c>
      <c r="BO96" s="4"/>
      <c r="BP96" s="375">
        <v>-20</v>
      </c>
      <c r="BQ96" s="4"/>
      <c r="BR96" s="375">
        <v>-20</v>
      </c>
      <c r="BS96" s="4"/>
      <c r="BT96" s="375">
        <f t="shared" si="638"/>
        <v>-40</v>
      </c>
      <c r="BU96" s="7">
        <f t="shared" si="447"/>
        <v>-7.3779636636540133E-7</v>
      </c>
      <c r="BV96" s="375">
        <v>-20.010000000000002</v>
      </c>
      <c r="BW96" s="7"/>
      <c r="BX96" s="375">
        <v>-20.010000000000002</v>
      </c>
      <c r="BY96" s="7"/>
      <c r="BZ96" s="375">
        <v>-98.33</v>
      </c>
      <c r="CA96" s="7"/>
      <c r="CB96" s="375">
        <f>+BV96+BX96+BZ96</f>
        <v>-138.35</v>
      </c>
      <c r="CC96" s="7">
        <f t="shared" si="534"/>
        <v>-4.0402454340787005E-6</v>
      </c>
      <c r="CD96" s="375">
        <f t="shared" si="668"/>
        <v>-178.35</v>
      </c>
      <c r="CE96" s="7">
        <f t="shared" si="448"/>
        <v>-2.0162003546823694E-6</v>
      </c>
      <c r="CF96" s="375">
        <v>-20.010000000000002</v>
      </c>
      <c r="CG96" s="7">
        <f t="shared" si="449"/>
        <v>-3.961674668186978E-6</v>
      </c>
      <c r="CH96" s="375">
        <v>-20.010000000000002</v>
      </c>
      <c r="CI96" s="7">
        <f t="shared" si="449"/>
        <v>-5.3964095818130742E-7</v>
      </c>
      <c r="CJ96" s="375">
        <v>-200.01</v>
      </c>
      <c r="CK96" s="7">
        <f t="shared" si="449"/>
        <v>-7.1020511170322675E-6</v>
      </c>
      <c r="CL96" s="375">
        <f>+CF96+CH96+CJ96</f>
        <v>-240.03</v>
      </c>
      <c r="CM96" s="7">
        <f t="shared" si="449"/>
        <v>-3.4146880210243562E-6</v>
      </c>
      <c r="CN96" s="375">
        <f t="shared" si="669"/>
        <v>-418.38</v>
      </c>
      <c r="CO96" s="7">
        <f t="shared" si="639"/>
        <v>-2.635433661551359E-6</v>
      </c>
      <c r="CP96" s="472">
        <v>-80.010000000000005</v>
      </c>
      <c r="CQ96" s="7">
        <f t="shared" si="422"/>
        <v>-4.0842067964609963E-6</v>
      </c>
      <c r="CR96" s="375">
        <f t="shared" si="640"/>
        <v>-498.39</v>
      </c>
      <c r="CS96" s="7">
        <f t="shared" si="641"/>
        <v>-2.794575145427984E-6</v>
      </c>
      <c r="CT96" s="375">
        <v>-80.010000000000005</v>
      </c>
      <c r="CU96" s="7">
        <f t="shared" si="611"/>
        <v>-5.1076913176704545E-6</v>
      </c>
      <c r="CV96" s="375">
        <v>-80.010000000000005</v>
      </c>
      <c r="CW96" s="7">
        <f t="shared" si="452"/>
        <v>-1.278708137799099E-6</v>
      </c>
      <c r="CX96" s="375">
        <f t="shared" si="605"/>
        <v>-240.03000000000003</v>
      </c>
      <c r="CY96" s="7">
        <f t="shared" si="424"/>
        <v>-2.4536504577526896E-6</v>
      </c>
      <c r="CZ96" s="375">
        <f>+CD96+CL96+CX96</f>
        <v>-658.41000000000008</v>
      </c>
      <c r="DA96" s="7">
        <f t="shared" si="453"/>
        <v>-2.5661249282659083E-6</v>
      </c>
      <c r="DB96" s="375">
        <v>-140.01</v>
      </c>
      <c r="DC96" s="7">
        <f t="shared" si="642"/>
        <v>-7.2935898180010859E-6</v>
      </c>
      <c r="DD96" s="375">
        <v>0</v>
      </c>
      <c r="DE96" s="7">
        <f t="shared" si="642"/>
        <v>0</v>
      </c>
      <c r="DF96" s="375">
        <f>+DD96</f>
        <v>0</v>
      </c>
      <c r="DG96" s="7">
        <f t="shared" si="642"/>
        <v>0</v>
      </c>
      <c r="DH96" s="375">
        <f>+DB96+DD96+DF96</f>
        <v>-140.01</v>
      </c>
      <c r="DI96" s="7">
        <f t="shared" si="425"/>
        <v>-1.8377942996271425E-6</v>
      </c>
      <c r="DJ96" s="375">
        <f>+DH96</f>
        <v>-140.01</v>
      </c>
      <c r="DK96" s="7">
        <f t="shared" si="643"/>
        <v>-2.6620862286538412E-6</v>
      </c>
      <c r="DL96" s="375">
        <v>-39.159999999999997</v>
      </c>
      <c r="DM96" s="7">
        <f t="shared" si="644"/>
        <v>-4.5146503626547957E-6</v>
      </c>
      <c r="DN96" s="375">
        <v>-80.010000000000005</v>
      </c>
      <c r="DO96" s="7">
        <f t="shared" si="645"/>
        <v>-4.6624079968242065E-6</v>
      </c>
      <c r="DP96" s="375">
        <v>-720.18</v>
      </c>
      <c r="DQ96" s="7">
        <f t="shared" si="646"/>
        <v>-8.5832272291587075E-6</v>
      </c>
      <c r="DR96" s="375">
        <f>+DL96+DN96+DP96</f>
        <v>-839.34999999999991</v>
      </c>
      <c r="DS96" s="7">
        <f t="shared" si="426"/>
        <v>-7.6485226881480502E-6</v>
      </c>
      <c r="DT96" s="375">
        <f t="shared" si="670"/>
        <v>-979.3599999999999</v>
      </c>
      <c r="DU96" s="7">
        <f t="shared" si="454"/>
        <v>-5.2675325487795209E-6</v>
      </c>
      <c r="DV96" s="375">
        <v>-80.010000000000005</v>
      </c>
      <c r="DW96" s="7">
        <f t="shared" si="647"/>
        <v>-1.7577930872242979E-6</v>
      </c>
      <c r="DX96" s="375">
        <v>-80</v>
      </c>
      <c r="DY96" s="7">
        <f t="shared" si="648"/>
        <v>-3.0944826808093891E-6</v>
      </c>
      <c r="DZ96" s="375">
        <v>40.06</v>
      </c>
      <c r="EA96" s="7">
        <f t="shared" si="649"/>
        <v>3.2743902369238811E-7</v>
      </c>
      <c r="EB96" s="375">
        <f>+DV96+DX96+DZ96</f>
        <v>-119.94999999999999</v>
      </c>
      <c r="EC96" s="7">
        <f t="shared" si="427"/>
        <v>-6.1921452735185336E-7</v>
      </c>
      <c r="ED96" s="375">
        <f>+EB96+DT96</f>
        <v>-1099.31</v>
      </c>
      <c r="EE96" s="7">
        <f t="shared" si="455"/>
        <v>-2.8956870550464257E-6</v>
      </c>
      <c r="EF96" s="375">
        <v>-80</v>
      </c>
      <c r="EG96" s="7">
        <f t="shared" si="650"/>
        <v>-5.4139347962963586E-6</v>
      </c>
      <c r="EH96" s="375">
        <v>-80.010000000000005</v>
      </c>
      <c r="EI96" s="7">
        <f t="shared" si="651"/>
        <v>-6.2759551800037017E-6</v>
      </c>
      <c r="EJ96" s="375">
        <f>+EH96</f>
        <v>-80.010000000000005</v>
      </c>
      <c r="EK96" s="7">
        <f t="shared" si="652"/>
        <v>-5.1234915596458456E-7</v>
      </c>
      <c r="EL96" s="375">
        <f>+EF96+EH96+EJ96</f>
        <v>-240.01999999999998</v>
      </c>
      <c r="EM96" s="7">
        <f t="shared" si="428"/>
        <v>-1.3066695018945057E-6</v>
      </c>
      <c r="EN96" s="375">
        <f>+EL96+ED96</f>
        <v>-1339.33</v>
      </c>
      <c r="EO96" s="7">
        <f t="shared" si="456"/>
        <v>-2.3775423776611516E-6</v>
      </c>
      <c r="EP96" s="373"/>
      <c r="EQ96" s="373"/>
      <c r="ER96" s="373"/>
      <c r="ES96" s="373"/>
      <c r="ET96" s="375">
        <v>-80</v>
      </c>
      <c r="EU96" s="7">
        <f t="shared" si="653"/>
        <v>-1.0846105606743396E-5</v>
      </c>
      <c r="EV96" s="375">
        <v>-27</v>
      </c>
      <c r="EW96" s="7">
        <f t="shared" si="654"/>
        <v>-4.430282250509151E-6</v>
      </c>
      <c r="EX96" s="375">
        <v>-172</v>
      </c>
      <c r="EY96" s="7">
        <f t="shared" si="655"/>
        <v>-7.5343725317973255E-7</v>
      </c>
      <c r="EZ96" s="375">
        <f>+ET96+EV96+EX96</f>
        <v>-279</v>
      </c>
      <c r="FA96" s="7">
        <f t="shared" si="429"/>
        <v>-1.1540493210313834E-6</v>
      </c>
      <c r="FB96" s="375">
        <v>-137</v>
      </c>
      <c r="FC96" s="7">
        <f t="shared" si="656"/>
        <v>-1.5118152805824602E-5</v>
      </c>
      <c r="FD96" s="375">
        <v>-142</v>
      </c>
      <c r="FE96" s="7">
        <f t="shared" si="612"/>
        <v>-1.34912085400326E-6</v>
      </c>
      <c r="FF96" s="375">
        <v>-137</v>
      </c>
      <c r="FG96" s="7">
        <f t="shared" si="430"/>
        <v>-8.5261664461641734E-7</v>
      </c>
      <c r="FH96" s="375">
        <f>+FB96+FD96+FF96</f>
        <v>-416</v>
      </c>
      <c r="FI96" s="7">
        <f t="shared" si="431"/>
        <v>-1.5127409761251922E-6</v>
      </c>
      <c r="FJ96" s="375">
        <f t="shared" si="657"/>
        <v>-695</v>
      </c>
      <c r="FK96" s="7">
        <f t="shared" si="459"/>
        <v>-1.3449315049137111E-6</v>
      </c>
      <c r="FL96" s="375">
        <v>-132</v>
      </c>
      <c r="FM96" s="7">
        <f t="shared" si="658"/>
        <v>-1.2072088365930899E-5</v>
      </c>
      <c r="FN96" s="375">
        <v>-47</v>
      </c>
      <c r="FO96" s="7">
        <f t="shared" si="432"/>
        <v>-9.8367003308620198E-6</v>
      </c>
      <c r="FP96" s="375">
        <v>-137</v>
      </c>
      <c r="FQ96" s="7">
        <f t="shared" si="433"/>
        <v>-4.9522387998207186E-7</v>
      </c>
      <c r="FR96" s="375">
        <f>+FL96+FN96+FP96</f>
        <v>-316</v>
      </c>
      <c r="FS96" s="7">
        <f t="shared" si="434"/>
        <v>-1.0808780894025127E-6</v>
      </c>
      <c r="FT96" s="375">
        <f t="shared" si="659"/>
        <v>-1011</v>
      </c>
      <c r="FU96" s="7">
        <f t="shared" si="462"/>
        <v>-1.2495213330031548E-6</v>
      </c>
      <c r="FV96" s="375">
        <v>-132</v>
      </c>
      <c r="FW96" s="7">
        <f t="shared" si="660"/>
        <v>-4.7567670502292389E-6</v>
      </c>
      <c r="FX96" s="375">
        <v>-222</v>
      </c>
      <c r="FY96" s="7">
        <f t="shared" si="435"/>
        <v>-8.6477814128276803E-6</v>
      </c>
      <c r="FZ96" s="375">
        <v>-136</v>
      </c>
      <c r="GA96" s="7">
        <f t="shared" si="436"/>
        <v>-4.7041019515964915E-7</v>
      </c>
      <c r="GB96" s="375">
        <f>+FV96+FX96+FZ96</f>
        <v>-490</v>
      </c>
      <c r="GC96" s="7">
        <f t="shared" si="437"/>
        <v>-1.4305289410187442E-6</v>
      </c>
      <c r="GD96" s="375">
        <f t="shared" si="661"/>
        <v>-1501</v>
      </c>
      <c r="GE96" s="7">
        <f t="shared" si="465"/>
        <v>-1.3033581455376364E-6</v>
      </c>
      <c r="GF96" s="566">
        <f t="shared" si="671"/>
        <v>0</v>
      </c>
      <c r="GG96" s="525">
        <f t="shared" si="438"/>
        <v>0</v>
      </c>
      <c r="GH96" s="528">
        <f t="shared" si="662"/>
        <v>0</v>
      </c>
      <c r="GI96" s="525">
        <f t="shared" si="439"/>
        <v>0</v>
      </c>
      <c r="GJ96" s="528"/>
      <c r="GK96" s="525">
        <f t="shared" si="440"/>
        <v>0</v>
      </c>
      <c r="GL96" s="528">
        <f t="shared" si="663"/>
        <v>-1501</v>
      </c>
      <c r="GM96" s="565">
        <f t="shared" si="468"/>
        <v>-1.2952657051851202E-6</v>
      </c>
      <c r="GO96" s="586"/>
      <c r="GQ96" s="586"/>
      <c r="GT96" s="551">
        <f t="shared" si="558"/>
        <v>-193.86393780665756</v>
      </c>
      <c r="GU96" s="551">
        <f t="shared" si="471"/>
        <v>-227.13606219334247</v>
      </c>
      <c r="GV96" s="550">
        <f t="shared" si="441"/>
        <v>-421</v>
      </c>
      <c r="GW96" s="527">
        <f>+EZ96*4</f>
        <v>-1116</v>
      </c>
      <c r="GX96" s="525">
        <f t="shared" si="664"/>
        <v>-9.42476026208101E-7</v>
      </c>
      <c r="GY96" s="528">
        <f>+GW96</f>
        <v>-1116</v>
      </c>
      <c r="GZ96" s="525">
        <f t="shared" si="665"/>
        <v>-1.2397243042681529E-6</v>
      </c>
      <c r="HA96" s="528">
        <f>+GY96</f>
        <v>-1116</v>
      </c>
      <c r="HB96" s="526">
        <f t="shared" si="666"/>
        <v>-1.5331021076012201E-6</v>
      </c>
      <c r="HD96" s="527">
        <v>-1116</v>
      </c>
      <c r="HE96" s="525">
        <v>-9.39444660516923E-7</v>
      </c>
      <c r="HF96" s="528">
        <v>-1116</v>
      </c>
      <c r="HG96" s="525">
        <v>-1.2397243042681529E-6</v>
      </c>
      <c r="HH96" s="528">
        <v>-1116</v>
      </c>
      <c r="HI96" s="526">
        <v>-1.5331021076012201E-6</v>
      </c>
    </row>
    <row r="97" spans="1:217" ht="15" customHeight="1" outlineLevel="1">
      <c r="A97" s="386" t="s">
        <v>84</v>
      </c>
      <c r="B97" s="386" t="s">
        <v>87</v>
      </c>
      <c r="C97" s="375">
        <v>-72.36</v>
      </c>
      <c r="D97" s="4"/>
      <c r="E97" s="375">
        <v>0</v>
      </c>
      <c r="F97" s="4"/>
      <c r="G97" s="375"/>
      <c r="H97" s="375"/>
      <c r="I97" s="4"/>
      <c r="J97" s="375"/>
      <c r="K97" s="375"/>
      <c r="L97" s="4"/>
      <c r="M97" s="375"/>
      <c r="N97" s="375">
        <v>0</v>
      </c>
      <c r="O97" s="4"/>
      <c r="P97" s="375">
        <f t="shared" si="421"/>
        <v>0</v>
      </c>
      <c r="Q97" s="375">
        <f t="shared" si="421"/>
        <v>0</v>
      </c>
      <c r="R97" s="7">
        <f t="shared" si="442"/>
        <v>0</v>
      </c>
      <c r="S97" s="375"/>
      <c r="T97" s="375"/>
      <c r="U97" s="4"/>
      <c r="V97" s="375"/>
      <c r="W97" s="375"/>
      <c r="X97" s="4"/>
      <c r="Y97" s="375"/>
      <c r="Z97" s="375"/>
      <c r="AA97" s="4"/>
      <c r="AB97" s="375">
        <f t="shared" si="667"/>
        <v>0</v>
      </c>
      <c r="AC97" s="375">
        <f t="shared" si="533"/>
        <v>0</v>
      </c>
      <c r="AD97" s="7">
        <f t="shared" si="443"/>
        <v>0</v>
      </c>
      <c r="AE97" s="375">
        <f t="shared" si="629"/>
        <v>0</v>
      </c>
      <c r="AF97" s="375">
        <f t="shared" si="630"/>
        <v>0</v>
      </c>
      <c r="AG97" s="4"/>
      <c r="AH97" s="375"/>
      <c r="AI97" s="375"/>
      <c r="AJ97" s="4"/>
      <c r="AK97" s="375"/>
      <c r="AL97" s="375"/>
      <c r="AM97" s="4"/>
      <c r="AN97" s="375"/>
      <c r="AO97" s="375"/>
      <c r="AP97" s="4"/>
      <c r="AQ97" s="375">
        <f t="shared" si="631"/>
        <v>0</v>
      </c>
      <c r="AR97" s="375">
        <f t="shared" si="632"/>
        <v>0</v>
      </c>
      <c r="AS97" s="7">
        <f t="shared" si="444"/>
        <v>0</v>
      </c>
      <c r="AT97" s="375">
        <f t="shared" si="633"/>
        <v>0</v>
      </c>
      <c r="AU97" s="4"/>
      <c r="AV97" s="375"/>
      <c r="AW97" s="375"/>
      <c r="AX97" s="4"/>
      <c r="AY97" s="375"/>
      <c r="AZ97" s="375"/>
      <c r="BA97" s="4"/>
      <c r="BB97" s="375"/>
      <c r="BC97" s="375"/>
      <c r="BD97" s="448"/>
      <c r="BE97" s="375">
        <f t="shared" si="634"/>
        <v>0</v>
      </c>
      <c r="BF97" s="375">
        <f t="shared" si="635"/>
        <v>0</v>
      </c>
      <c r="BG97" s="7">
        <f t="shared" si="445"/>
        <v>0</v>
      </c>
      <c r="BH97" s="375">
        <f t="shared" si="636"/>
        <v>0</v>
      </c>
      <c r="BI97" s="388">
        <f t="shared" si="637"/>
        <v>0</v>
      </c>
      <c r="BJ97" s="7">
        <f t="shared" si="446"/>
        <v>0</v>
      </c>
      <c r="BK97" s="375"/>
      <c r="BL97" s="282"/>
      <c r="BM97" s="378"/>
      <c r="BN97" s="375"/>
      <c r="BO97" s="4"/>
      <c r="BP97" s="375"/>
      <c r="BQ97" s="4"/>
      <c r="BR97" s="375"/>
      <c r="BS97" s="4"/>
      <c r="BT97" s="375">
        <f t="shared" si="638"/>
        <v>0</v>
      </c>
      <c r="BU97" s="7">
        <f t="shared" si="447"/>
        <v>0</v>
      </c>
      <c r="BV97" s="375"/>
      <c r="BW97" s="7"/>
      <c r="BX97" s="375"/>
      <c r="BY97" s="7"/>
      <c r="BZ97" s="375">
        <f>+BT97+BV97+BX97</f>
        <v>0</v>
      </c>
      <c r="CA97" s="7"/>
      <c r="CB97" s="375">
        <f>+BV97+BX97+BZ97</f>
        <v>0</v>
      </c>
      <c r="CC97" s="7">
        <f t="shared" si="534"/>
        <v>0</v>
      </c>
      <c r="CD97" s="375">
        <f t="shared" si="668"/>
        <v>0</v>
      </c>
      <c r="CE97" s="7">
        <f t="shared" si="448"/>
        <v>0</v>
      </c>
      <c r="CF97" s="375">
        <f>+BZ97+CB97+CD97</f>
        <v>0</v>
      </c>
      <c r="CG97" s="7">
        <f t="shared" si="449"/>
        <v>0</v>
      </c>
      <c r="CH97" s="375">
        <f>+CB97+CD97+CF97</f>
        <v>0</v>
      </c>
      <c r="CI97" s="7">
        <f t="shared" si="449"/>
        <v>0</v>
      </c>
      <c r="CJ97" s="375">
        <f>+CD97+CF97+CH97</f>
        <v>0</v>
      </c>
      <c r="CK97" s="7">
        <f t="shared" si="449"/>
        <v>0</v>
      </c>
      <c r="CL97" s="375">
        <f>+CF97+CH97+CJ97</f>
        <v>0</v>
      </c>
      <c r="CM97" s="7">
        <f t="shared" si="449"/>
        <v>0</v>
      </c>
      <c r="CN97" s="375">
        <f t="shared" si="669"/>
        <v>0</v>
      </c>
      <c r="CO97" s="7">
        <f t="shared" si="639"/>
        <v>0</v>
      </c>
      <c r="CP97" s="375">
        <v>0</v>
      </c>
      <c r="CQ97" s="7">
        <f t="shared" si="422"/>
        <v>0</v>
      </c>
      <c r="CR97" s="375">
        <f t="shared" si="640"/>
        <v>0</v>
      </c>
      <c r="CS97" s="7">
        <f t="shared" si="641"/>
        <v>0</v>
      </c>
      <c r="CT97" s="375">
        <v>0</v>
      </c>
      <c r="CU97" s="7">
        <f t="shared" si="611"/>
        <v>0</v>
      </c>
      <c r="CV97" s="375">
        <v>0</v>
      </c>
      <c r="CW97" s="7">
        <f t="shared" si="452"/>
        <v>0</v>
      </c>
      <c r="CX97" s="375"/>
      <c r="CY97" s="7">
        <f t="shared" si="424"/>
        <v>0</v>
      </c>
      <c r="CZ97" s="375">
        <f>+CD97+CL97+CX97</f>
        <v>0</v>
      </c>
      <c r="DA97" s="7">
        <f t="shared" si="453"/>
        <v>0</v>
      </c>
      <c r="DB97" s="375">
        <f>+CV97+CX97+CZ97</f>
        <v>0</v>
      </c>
      <c r="DC97" s="7">
        <f t="shared" si="642"/>
        <v>0</v>
      </c>
      <c r="DD97" s="375">
        <v>-58.31</v>
      </c>
      <c r="DE97" s="7">
        <f t="shared" si="642"/>
        <v>-2.2455242428181694E-6</v>
      </c>
      <c r="DF97" s="72">
        <v>-80.010000000000005</v>
      </c>
      <c r="DG97" s="7">
        <f t="shared" si="642"/>
        <v>-2.5792872206593138E-6</v>
      </c>
      <c r="DH97" s="375">
        <f>+DB97+DD97+DF97</f>
        <v>-138.32</v>
      </c>
      <c r="DI97" s="7">
        <f t="shared" si="425"/>
        <v>-1.8156110815257935E-6</v>
      </c>
      <c r="DJ97" s="375"/>
      <c r="DK97" s="7">
        <f t="shared" si="643"/>
        <v>0</v>
      </c>
      <c r="DL97" s="72"/>
      <c r="DM97" s="7">
        <f t="shared" si="644"/>
        <v>0</v>
      </c>
      <c r="DN97" s="72"/>
      <c r="DO97" s="7">
        <f t="shared" si="645"/>
        <v>0</v>
      </c>
      <c r="DP97" s="72"/>
      <c r="DQ97" s="7">
        <f t="shared" si="646"/>
        <v>0</v>
      </c>
      <c r="DR97" s="375">
        <f>+DL97+DN97+DP97</f>
        <v>0</v>
      </c>
      <c r="DS97" s="7">
        <f t="shared" si="426"/>
        <v>0</v>
      </c>
      <c r="DT97" s="375">
        <f t="shared" si="670"/>
        <v>-138.32</v>
      </c>
      <c r="DU97" s="7">
        <f t="shared" si="454"/>
        <v>-7.4396044574740988E-7</v>
      </c>
      <c r="DV97" s="375"/>
      <c r="DW97" s="7">
        <f t="shared" si="647"/>
        <v>0</v>
      </c>
      <c r="DX97" s="375"/>
      <c r="DY97" s="7">
        <f t="shared" si="648"/>
        <v>0</v>
      </c>
      <c r="DZ97" s="375"/>
      <c r="EA97" s="7">
        <f t="shared" si="649"/>
        <v>0</v>
      </c>
      <c r="EB97" s="375">
        <f>+DV97+DX97+DZ97</f>
        <v>0</v>
      </c>
      <c r="EC97" s="7">
        <f t="shared" si="427"/>
        <v>0</v>
      </c>
      <c r="ED97" s="375">
        <f>+EB97+DT97</f>
        <v>-138.32</v>
      </c>
      <c r="EE97" s="7">
        <f t="shared" si="455"/>
        <v>-3.6434803054099539E-7</v>
      </c>
      <c r="EF97" s="375">
        <v>-1200</v>
      </c>
      <c r="EG97" s="7">
        <f t="shared" si="650"/>
        <v>-8.120902194444538E-5</v>
      </c>
      <c r="EH97" s="375"/>
      <c r="EI97" s="7">
        <f t="shared" si="651"/>
        <v>0</v>
      </c>
      <c r="EJ97" s="375"/>
      <c r="EK97" s="7">
        <f t="shared" si="652"/>
        <v>0</v>
      </c>
      <c r="EL97" s="375">
        <f>+EF97+EH97+EJ97</f>
        <v>-1200</v>
      </c>
      <c r="EM97" s="7">
        <f t="shared" si="428"/>
        <v>-6.5328031092134274E-6</v>
      </c>
      <c r="EN97" s="375">
        <f>+EL97+ED97</f>
        <v>-1338.32</v>
      </c>
      <c r="EO97" s="7">
        <f t="shared" si="456"/>
        <v>-2.3757494529887871E-6</v>
      </c>
      <c r="EP97" s="373"/>
      <c r="EQ97" s="373"/>
      <c r="ER97" s="373"/>
      <c r="ES97" s="373"/>
      <c r="ET97" s="375"/>
      <c r="EU97" s="7">
        <f t="shared" si="653"/>
        <v>0</v>
      </c>
      <c r="EV97" s="375"/>
      <c r="EW97" s="7">
        <f t="shared" si="654"/>
        <v>0</v>
      </c>
      <c r="EX97" s="375"/>
      <c r="EY97" s="7">
        <f t="shared" si="655"/>
        <v>0</v>
      </c>
      <c r="EZ97" s="375">
        <f>+ET97+EV97+EX97</f>
        <v>0</v>
      </c>
      <c r="FA97" s="7">
        <f t="shared" si="429"/>
        <v>0</v>
      </c>
      <c r="FB97" s="375"/>
      <c r="FC97" s="7">
        <f t="shared" si="656"/>
        <v>0</v>
      </c>
      <c r="FD97" s="375"/>
      <c r="FE97" s="7">
        <f t="shared" si="612"/>
        <v>0</v>
      </c>
      <c r="FF97" s="375"/>
      <c r="FG97" s="7">
        <f t="shared" si="430"/>
        <v>0</v>
      </c>
      <c r="FH97" s="375">
        <f>+FB97+FD97+FF97</f>
        <v>0</v>
      </c>
      <c r="FI97" s="7">
        <f t="shared" si="431"/>
        <v>0</v>
      </c>
      <c r="FJ97" s="375">
        <f t="shared" si="657"/>
        <v>0</v>
      </c>
      <c r="FK97" s="7">
        <f t="shared" si="459"/>
        <v>0</v>
      </c>
      <c r="FL97" s="375"/>
      <c r="FM97" s="7">
        <f t="shared" si="658"/>
        <v>0</v>
      </c>
      <c r="FN97" s="375"/>
      <c r="FO97" s="7">
        <f t="shared" si="432"/>
        <v>0</v>
      </c>
      <c r="FP97" s="375">
        <v>0</v>
      </c>
      <c r="FQ97" s="7">
        <f t="shared" si="433"/>
        <v>0</v>
      </c>
      <c r="FR97" s="375">
        <f>+FL97+FN97+FP97</f>
        <v>0</v>
      </c>
      <c r="FS97" s="7">
        <f t="shared" si="434"/>
        <v>0</v>
      </c>
      <c r="FT97" s="375">
        <f t="shared" si="659"/>
        <v>0</v>
      </c>
      <c r="FU97" s="7">
        <f t="shared" si="462"/>
        <v>0</v>
      </c>
      <c r="FV97" s="375"/>
      <c r="FW97" s="7">
        <f t="shared" si="660"/>
        <v>0</v>
      </c>
      <c r="FX97" s="375"/>
      <c r="FY97" s="7">
        <f t="shared" si="435"/>
        <v>0</v>
      </c>
      <c r="FZ97" s="375">
        <v>0</v>
      </c>
      <c r="GA97" s="7">
        <f t="shared" si="436"/>
        <v>0</v>
      </c>
      <c r="GB97" s="375">
        <f>+FV97+FX97+FZ97</f>
        <v>0</v>
      </c>
      <c r="GC97" s="7">
        <f t="shared" si="437"/>
        <v>0</v>
      </c>
      <c r="GD97" s="375">
        <f t="shared" si="661"/>
        <v>0</v>
      </c>
      <c r="GE97" s="7">
        <f t="shared" si="465"/>
        <v>0</v>
      </c>
      <c r="GF97" s="566">
        <f t="shared" si="671"/>
        <v>0</v>
      </c>
      <c r="GG97" s="525">
        <f t="shared" si="438"/>
        <v>0</v>
      </c>
      <c r="GH97" s="528">
        <f t="shared" si="662"/>
        <v>0</v>
      </c>
      <c r="GI97" s="525">
        <f t="shared" si="439"/>
        <v>0</v>
      </c>
      <c r="GJ97" s="528"/>
      <c r="GK97" s="525">
        <f t="shared" si="440"/>
        <v>0</v>
      </c>
      <c r="GL97" s="528">
        <f t="shared" si="663"/>
        <v>0</v>
      </c>
      <c r="GM97" s="565">
        <f t="shared" si="468"/>
        <v>0</v>
      </c>
      <c r="GO97" s="586"/>
      <c r="GQ97" s="586"/>
      <c r="GT97" s="551">
        <f t="shared" si="558"/>
        <v>0</v>
      </c>
      <c r="GU97" s="551">
        <f t="shared" si="471"/>
        <v>0</v>
      </c>
      <c r="GV97" s="550">
        <f t="shared" si="441"/>
        <v>0</v>
      </c>
      <c r="GW97" s="527"/>
      <c r="GX97" s="525">
        <f t="shared" si="664"/>
        <v>0</v>
      </c>
      <c r="GY97" s="528"/>
      <c r="GZ97" s="525">
        <f t="shared" si="665"/>
        <v>0</v>
      </c>
      <c r="HA97" s="528"/>
      <c r="HB97" s="526">
        <f t="shared" si="666"/>
        <v>0</v>
      </c>
      <c r="HD97" s="527"/>
      <c r="HE97" s="525">
        <v>0</v>
      </c>
      <c r="HF97" s="528"/>
      <c r="HG97" s="525">
        <v>0</v>
      </c>
      <c r="HH97" s="528"/>
      <c r="HI97" s="526">
        <v>0</v>
      </c>
    </row>
    <row r="98" spans="1:217">
      <c r="A98" s="386" t="s">
        <v>84</v>
      </c>
      <c r="B98" s="386"/>
      <c r="C98" s="389">
        <f>SUM(C94:C97)</f>
        <v>-140331.49</v>
      </c>
      <c r="D98" s="4"/>
      <c r="E98" s="389">
        <f>SUM(E94:E97)</f>
        <v>-38169.06</v>
      </c>
      <c r="F98" s="4"/>
      <c r="G98" s="389">
        <f>SUM(G94:G97)</f>
        <v>0</v>
      </c>
      <c r="H98" s="389">
        <f>SUM(H94:H97)</f>
        <v>-6480.2999999999993</v>
      </c>
      <c r="I98" s="4"/>
      <c r="J98" s="389">
        <f>SUM(J94:J97)</f>
        <v>0</v>
      </c>
      <c r="K98" s="389">
        <f>SUM(K94:K97)</f>
        <v>-6236</v>
      </c>
      <c r="L98" s="4"/>
      <c r="M98" s="389">
        <f>SUM(M94:M97)</f>
        <v>0</v>
      </c>
      <c r="N98" s="389">
        <f>SUM(N94:N97)</f>
        <v>-16865.09</v>
      </c>
      <c r="O98" s="4"/>
      <c r="P98" s="389">
        <f t="shared" si="421"/>
        <v>0</v>
      </c>
      <c r="Q98" s="389">
        <f t="shared" si="421"/>
        <v>-29581.39</v>
      </c>
      <c r="R98" s="7">
        <f t="shared" si="442"/>
        <v>-8.1338888546972734E-4</v>
      </c>
      <c r="S98" s="389">
        <f>SUM(S94:S97)</f>
        <v>-15074.419999999998</v>
      </c>
      <c r="T98" s="389">
        <f>SUM(T94:T97)</f>
        <v>-15074.419999999998</v>
      </c>
      <c r="U98" s="4"/>
      <c r="V98" s="389">
        <f>SUM(V94:V97)</f>
        <v>-2885.01</v>
      </c>
      <c r="W98" s="389">
        <f>SUM(W94:W97)</f>
        <v>-2885.01</v>
      </c>
      <c r="X98" s="4"/>
      <c r="Y98" s="389">
        <f>SUM(Y94:Y97)</f>
        <v>-1520.01</v>
      </c>
      <c r="Z98" s="389">
        <f>SUM(Z94:Z97)</f>
        <v>-1520.01</v>
      </c>
      <c r="AA98" s="4"/>
      <c r="AB98" s="389">
        <f>SUM(AB94:AB97)</f>
        <v>-19479.440000000002</v>
      </c>
      <c r="AC98" s="389">
        <f>SUM(AC94:AC97)</f>
        <v>-19479.440000000002</v>
      </c>
      <c r="AD98" s="7">
        <f t="shared" si="443"/>
        <v>-5.2523157260248184E-4</v>
      </c>
      <c r="AE98" s="389">
        <f>SUM(AE94:AE97)</f>
        <v>-49060.830000000009</v>
      </c>
      <c r="AF98" s="389">
        <f>SUM(AF94:AF97)</f>
        <v>-49060.830000000009</v>
      </c>
      <c r="AG98" s="4"/>
      <c r="AH98" s="389">
        <f>SUM(AH94:AH97)</f>
        <v>-1520.01</v>
      </c>
      <c r="AI98" s="389">
        <f>SUM(AI94:AI97)</f>
        <v>-1520.01</v>
      </c>
      <c r="AJ98" s="4"/>
      <c r="AK98" s="389">
        <f>SUM(AK94:AK97)</f>
        <v>-24045.200000000001</v>
      </c>
      <c r="AL98" s="389">
        <f>SUM(AL94:AL97)</f>
        <v>-24045.200000000001</v>
      </c>
      <c r="AM98" s="4"/>
      <c r="AN98" s="389">
        <f>SUM(AN94:AN97)</f>
        <v>-42486.42</v>
      </c>
      <c r="AO98" s="389">
        <f>SUM(AO94:AO97)</f>
        <v>-42486.42</v>
      </c>
      <c r="AP98" s="4"/>
      <c r="AQ98" s="389">
        <f>SUM(AQ94:AQ97)</f>
        <v>-68051.63</v>
      </c>
      <c r="AR98" s="389">
        <f>SUM(AR94:AR97)</f>
        <v>-68051.63</v>
      </c>
      <c r="AS98" s="7">
        <f t="shared" si="444"/>
        <v>-2.5561561288444004E-3</v>
      </c>
      <c r="AT98" s="389">
        <f>SUM(AT94:AT97)</f>
        <v>-117112.46</v>
      </c>
      <c r="AU98" s="4"/>
      <c r="AV98" s="389">
        <f>SUM(AV94:AV97)</f>
        <v>0</v>
      </c>
      <c r="AW98" s="389">
        <f>SUM(AW94:AW97)</f>
        <v>-27352.73</v>
      </c>
      <c r="AX98" s="4"/>
      <c r="AY98" s="389">
        <f>SUM(AY94:AY97)</f>
        <v>0</v>
      </c>
      <c r="AZ98" s="389">
        <f>SUM(AZ94:AZ97)</f>
        <v>-11242.11</v>
      </c>
      <c r="BA98" s="4"/>
      <c r="BB98" s="389">
        <f>SUM(BB94:BB97)</f>
        <v>0</v>
      </c>
      <c r="BC98" s="389">
        <f>SUM(BC94:BC97)</f>
        <v>-14567.800000000001</v>
      </c>
      <c r="BD98" s="448"/>
      <c r="BE98" s="389">
        <f>SUM(BE94:BE97)</f>
        <v>0</v>
      </c>
      <c r="BF98" s="389">
        <f>SUM(BF94:BF97)</f>
        <v>-53162.640000000007</v>
      </c>
      <c r="BG98" s="7">
        <f t="shared" si="445"/>
        <v>-1.693095638183264E-3</v>
      </c>
      <c r="BH98" s="389">
        <f>SUM(BH94:BH97)</f>
        <v>-117112.46</v>
      </c>
      <c r="BI98" s="389">
        <f>SUM(BI94:BI97)</f>
        <v>-170275.10000000003</v>
      </c>
      <c r="BJ98" s="7">
        <f t="shared" si="446"/>
        <v>-1.2950870725933481E-3</v>
      </c>
      <c r="BK98" s="389">
        <v>-177000</v>
      </c>
      <c r="BL98" s="282"/>
      <c r="BM98" s="378">
        <v>-177000</v>
      </c>
      <c r="BN98" s="389">
        <f>SUM(BN94:BN97)</f>
        <v>0</v>
      </c>
      <c r="BO98" s="4"/>
      <c r="BP98" s="389">
        <f>SUM(BP94:BP97)</f>
        <v>-4477.5600000000004</v>
      </c>
      <c r="BQ98" s="4"/>
      <c r="BR98" s="389">
        <f>SUM(BR94:BR97)</f>
        <v>-4676</v>
      </c>
      <c r="BS98" s="4"/>
      <c r="BT98" s="389">
        <f>SUM(BT94:BT97)</f>
        <v>-9153.56</v>
      </c>
      <c r="BU98" s="7">
        <f t="shared" si="447"/>
        <v>-1.6883658268269206E-4</v>
      </c>
      <c r="BV98" s="389">
        <f>SUM(BV94:BV97)</f>
        <v>-5316.6900000000005</v>
      </c>
      <c r="BW98" s="7"/>
      <c r="BX98" s="389">
        <f>SUM(BX94:BX97)</f>
        <v>-5431.47</v>
      </c>
      <c r="BY98" s="7"/>
      <c r="BZ98" s="389">
        <f>SUM(BZ94:BZ97)</f>
        <v>-10972.59</v>
      </c>
      <c r="CA98" s="7"/>
      <c r="CB98" s="389">
        <f>SUM(CB94:CB97)</f>
        <v>-21720.749999999996</v>
      </c>
      <c r="CC98" s="7">
        <f t="shared" si="534"/>
        <v>-6.3431269253534455E-4</v>
      </c>
      <c r="CD98" s="389">
        <f>SUM(CD94:CD97)</f>
        <v>-30874.309999999998</v>
      </c>
      <c r="CE98" s="7">
        <f t="shared" si="448"/>
        <v>-3.4902604301975567E-4</v>
      </c>
      <c r="CF98" s="389">
        <f>SUM(CF94:CF97)</f>
        <v>-7268.380000000001</v>
      </c>
      <c r="CG98" s="7">
        <f t="shared" si="449"/>
        <v>-1.4390283320718075E-3</v>
      </c>
      <c r="CH98" s="389">
        <f>SUM(CH94:CH97)</f>
        <v>-23448.989999999998</v>
      </c>
      <c r="CI98" s="7">
        <f t="shared" si="449"/>
        <v>-6.3238557880978988E-4</v>
      </c>
      <c r="CJ98" s="389">
        <f>SUM(CJ94:CJ97)</f>
        <v>-24904.9</v>
      </c>
      <c r="CK98" s="7">
        <f t="shared" si="449"/>
        <v>-8.8433514756550635E-4</v>
      </c>
      <c r="CL98" s="389">
        <f>SUM(CL94:CL97)</f>
        <v>-55622.27</v>
      </c>
      <c r="CM98" s="7">
        <f t="shared" si="449"/>
        <v>-7.9128733521302509E-4</v>
      </c>
      <c r="CN98" s="389">
        <f>SUM(CN94:CN97)</f>
        <v>-86496.58</v>
      </c>
      <c r="CO98" s="7">
        <f t="shared" si="639"/>
        <v>-5.4485395702727197E-4</v>
      </c>
      <c r="CP98" s="389">
        <f>SUM(CP94:CP97)</f>
        <v>-20414.719999999998</v>
      </c>
      <c r="CQ98" s="7">
        <f t="shared" si="422"/>
        <v>-1.0420939654024273E-3</v>
      </c>
      <c r="CR98" s="389">
        <f>SUM(CR94:CR97)</f>
        <v>-106911.29999999999</v>
      </c>
      <c r="CS98" s="7">
        <f t="shared" si="641"/>
        <v>-5.994736285748005E-4</v>
      </c>
      <c r="CT98" s="389">
        <f t="shared" ref="CT98" si="672">SUM(CT94:CT97)</f>
        <v>-25360.73</v>
      </c>
      <c r="CU98" s="7">
        <f t="shared" si="611"/>
        <v>-1.6189823825869842E-3</v>
      </c>
      <c r="CV98" s="389">
        <f t="shared" ref="CV98" si="673">SUM(CV94:CV97)</f>
        <v>-11976.77</v>
      </c>
      <c r="CW98" s="7">
        <f t="shared" si="452"/>
        <v>-1.9141098942067385E-4</v>
      </c>
      <c r="CX98" s="389">
        <f>SUM(CX94:CX97)</f>
        <v>-57752.22</v>
      </c>
      <c r="CY98" s="7">
        <f t="shared" si="424"/>
        <v>-5.903585428456194E-4</v>
      </c>
      <c r="CZ98" s="389">
        <f>SUM(CZ94:CZ97)</f>
        <v>-144248.79999999999</v>
      </c>
      <c r="DA98" s="7">
        <f t="shared" si="453"/>
        <v>-5.6220355333674041E-4</v>
      </c>
      <c r="DB98" s="389">
        <f>SUM(DB94:DB97)</f>
        <v>-4771.5000000000009</v>
      </c>
      <c r="DC98" s="7">
        <f t="shared" si="642"/>
        <v>-2.4856341558883069E-4</v>
      </c>
      <c r="DD98" s="389">
        <f>SUM(DD94:DD97)</f>
        <v>-8828.1799999999985</v>
      </c>
      <c r="DE98" s="7">
        <f t="shared" si="642"/>
        <v>-3.3997414182751674E-4</v>
      </c>
      <c r="DF98" s="389">
        <f>SUM(DF94:DF97)</f>
        <v>-8431.0300000000007</v>
      </c>
      <c r="DG98" s="7">
        <f t="shared" si="642"/>
        <v>-2.717916252467853E-4</v>
      </c>
      <c r="DH98" s="389">
        <f>SUM(DH94:DH97)</f>
        <v>-22030.71</v>
      </c>
      <c r="DI98" s="7">
        <f t="shared" si="425"/>
        <v>-2.8917872476779289E-4</v>
      </c>
      <c r="DJ98" s="389">
        <f>SUM(DJ94:DJ97)</f>
        <v>-26623.25</v>
      </c>
      <c r="DK98" s="7">
        <f t="shared" si="643"/>
        <v>-5.0620232259844576E-4</v>
      </c>
      <c r="DL98" s="389">
        <f>SUM(DL94:DL97)</f>
        <v>-12072.310000000001</v>
      </c>
      <c r="DM98" s="7">
        <f t="shared" si="644"/>
        <v>-1.3917839305306724E-3</v>
      </c>
      <c r="DN98" s="389">
        <f>SUM(DN94:DN97)</f>
        <v>-8622.4600000000009</v>
      </c>
      <c r="DO98" s="7">
        <f t="shared" si="645"/>
        <v>-5.0245502382573236E-4</v>
      </c>
      <c r="DP98" s="389">
        <f>SUM(DP94:DP97)</f>
        <v>-18878.939999999999</v>
      </c>
      <c r="DQ98" s="7">
        <f t="shared" si="646"/>
        <v>-2.2500240476777125E-4</v>
      </c>
      <c r="DR98" s="389">
        <f>SUM(DR94:DR97)</f>
        <v>-39573.71</v>
      </c>
      <c r="DS98" s="7">
        <f t="shared" si="426"/>
        <v>-3.6061287757096724E-4</v>
      </c>
      <c r="DT98" s="389">
        <f>SUM(DT94:DT97)</f>
        <v>-61604.420000000006</v>
      </c>
      <c r="DU98" s="7">
        <f t="shared" si="454"/>
        <v>-3.3134219030661263E-4</v>
      </c>
      <c r="DV98" s="389">
        <f>SUM(DV94:DV97)</f>
        <v>-18661.84</v>
      </c>
      <c r="DW98" s="7">
        <f t="shared" si="647"/>
        <v>-4.0999441753388188E-4</v>
      </c>
      <c r="DX98" s="389">
        <f>SUM(DX94:DX97)</f>
        <v>-19770.04</v>
      </c>
      <c r="DY98" s="7">
        <f t="shared" si="648"/>
        <v>-7.6472557973636076E-4</v>
      </c>
      <c r="DZ98" s="389">
        <f>SUM(DZ94:DZ97)</f>
        <v>11251.13</v>
      </c>
      <c r="EA98" s="7">
        <f t="shared" si="649"/>
        <v>9.1963530270497705E-5</v>
      </c>
      <c r="EB98" s="389">
        <f>SUM(EB94:EB97)</f>
        <v>-27180.749999999996</v>
      </c>
      <c r="EC98" s="7">
        <f t="shared" si="427"/>
        <v>-1.4031442487969062E-4</v>
      </c>
      <c r="ED98" s="389">
        <f>SUM(ED94:ED97)</f>
        <v>-88785.17</v>
      </c>
      <c r="EE98" s="7">
        <f t="shared" si="455"/>
        <v>-2.3386857888047619E-4</v>
      </c>
      <c r="EF98" s="389">
        <f>SUM(EF94:EF97)</f>
        <v>-22093.84</v>
      </c>
      <c r="EG98" s="7">
        <f t="shared" si="650"/>
        <v>-1.4951826144975543E-3</v>
      </c>
      <c r="EH98" s="389">
        <f>SUM(EH94:EH97)</f>
        <v>-16698.599999999999</v>
      </c>
      <c r="EI98" s="7">
        <f t="shared" si="651"/>
        <v>-1.3098320855994227E-3</v>
      </c>
      <c r="EJ98" s="389">
        <f>SUM(EJ94:EJ97)</f>
        <v>-13942.75</v>
      </c>
      <c r="EK98" s="7">
        <f t="shared" si="652"/>
        <v>-8.9283292017562941E-5</v>
      </c>
      <c r="EL98" s="389">
        <f>SUM(EL94:EL97)</f>
        <v>-52735.189999999995</v>
      </c>
      <c r="EM98" s="7">
        <f t="shared" si="428"/>
        <v>-2.8709051099746731E-4</v>
      </c>
      <c r="EN98" s="389">
        <f>SUM(EN94:EN97)</f>
        <v>-141520.35999999999</v>
      </c>
      <c r="EO98" s="7">
        <f t="shared" si="456"/>
        <v>-2.5122311394642252E-4</v>
      </c>
      <c r="EP98" s="373"/>
      <c r="EQ98" s="373"/>
      <c r="ER98" s="373"/>
      <c r="ES98" s="373"/>
      <c r="ET98" s="389">
        <f>SUM(ET94:ET97)</f>
        <v>-11818.64</v>
      </c>
      <c r="EU98" s="7">
        <f t="shared" si="653"/>
        <v>-1.6023277196010222E-3</v>
      </c>
      <c r="EV98" s="389">
        <f>SUM(EV94:EV97)</f>
        <v>-4852</v>
      </c>
      <c r="EW98" s="7">
        <f t="shared" si="654"/>
        <v>-7.9613812886927414E-4</v>
      </c>
      <c r="EX98" s="389">
        <f>SUM(EX94:EX97)</f>
        <v>-13691.24</v>
      </c>
      <c r="EY98" s="7">
        <f t="shared" si="655"/>
        <v>-5.9973780571072564E-5</v>
      </c>
      <c r="EZ98" s="389">
        <f>SUM(EZ94:EZ97)</f>
        <v>-30361.879999999997</v>
      </c>
      <c r="FA98" s="7">
        <f t="shared" si="429"/>
        <v>-1.2558819712987933E-4</v>
      </c>
      <c r="FB98" s="389">
        <f>SUM(FB94:FB97)</f>
        <v>-9113.2800000000007</v>
      </c>
      <c r="FC98" s="7">
        <f t="shared" si="656"/>
        <v>-1.0056639387026659E-3</v>
      </c>
      <c r="FD98" s="389">
        <f t="shared" ref="FD98" si="674">SUM(FD94:FD97)</f>
        <v>-8695.73</v>
      </c>
      <c r="FE98" s="7">
        <f t="shared" si="612"/>
        <v>-8.2616835801280043E-5</v>
      </c>
      <c r="FF98" s="389">
        <f t="shared" ref="FF98" si="675">SUM(FF94:FF97)</f>
        <v>-17336.310000000001</v>
      </c>
      <c r="FG98" s="7">
        <f t="shared" si="430"/>
        <v>-1.0789216395788353E-4</v>
      </c>
      <c r="FH98" s="389">
        <f>SUM(FH94:FH97)</f>
        <v>-35145.32</v>
      </c>
      <c r="FI98" s="7">
        <f t="shared" si="431"/>
        <v>-1.2780232135344287E-4</v>
      </c>
      <c r="FJ98" s="389">
        <f>SUM(FJ94:FJ97)</f>
        <v>-65507.199999999997</v>
      </c>
      <c r="FK98" s="7">
        <f t="shared" si="459"/>
        <v>-1.2676647061681071E-4</v>
      </c>
      <c r="FL98" s="389">
        <f>SUM(FL94:FL97)</f>
        <v>-19464.34</v>
      </c>
      <c r="FM98" s="7">
        <f t="shared" si="658"/>
        <v>-1.7801153974585108E-3</v>
      </c>
      <c r="FN98" s="389">
        <f t="shared" ref="FN98" si="676">SUM(FN94:FN97)</f>
        <v>-20229.559999999998</v>
      </c>
      <c r="FO98" s="7">
        <f t="shared" si="432"/>
        <v>-4.2338748839402781E-3</v>
      </c>
      <c r="FP98" s="389">
        <f t="shared" ref="FP98" si="677">SUM(FP94:FP97)</f>
        <v>-28127.94</v>
      </c>
      <c r="FQ98" s="7">
        <f t="shared" si="433"/>
        <v>-1.0167611374235707E-4</v>
      </c>
      <c r="FR98" s="389">
        <f>SUM(FR94:FR97)</f>
        <v>-67821.84</v>
      </c>
      <c r="FS98" s="7">
        <f t="shared" si="434"/>
        <v>-2.3198462290811048E-4</v>
      </c>
      <c r="FT98" s="389">
        <f>SUM(FT94:FT97)</f>
        <v>-133329.03999999998</v>
      </c>
      <c r="FU98" s="7">
        <f t="shared" si="462"/>
        <v>-1.6478484647757758E-4</v>
      </c>
      <c r="FV98" s="389">
        <f>SUM(FV94:FV97)</f>
        <v>-27816.010000000002</v>
      </c>
      <c r="FW98" s="7">
        <f t="shared" si="660"/>
        <v>-1.0023809078549017E-3</v>
      </c>
      <c r="FX98" s="389">
        <f t="shared" ref="FX98" si="678">SUM(FX94:FX97)</f>
        <v>-24517.85</v>
      </c>
      <c r="FY98" s="7">
        <f t="shared" si="435"/>
        <v>-9.550676014076448E-4</v>
      </c>
      <c r="FZ98" s="389">
        <f t="shared" ref="FZ98" si="679">SUM(FZ94:FZ97)</f>
        <v>-18681.990000000002</v>
      </c>
      <c r="GA98" s="7">
        <f t="shared" si="436"/>
        <v>-6.4619107072578044E-5</v>
      </c>
      <c r="GB98" s="389">
        <f>SUM(GB94:GB97)</f>
        <v>-71015.850000000006</v>
      </c>
      <c r="GC98" s="7">
        <f t="shared" si="437"/>
        <v>-2.0732699733886937E-4</v>
      </c>
      <c r="GD98" s="389">
        <f>SUM(GD94:GD97)</f>
        <v>-204344.88999999998</v>
      </c>
      <c r="GE98" s="7">
        <f t="shared" si="465"/>
        <v>-1.7743809252531131E-4</v>
      </c>
      <c r="GF98" s="567">
        <f t="shared" ref="GF98:GH98" si="680">SUM(GF94:GF97)</f>
        <v>0</v>
      </c>
      <c r="GG98" s="525">
        <f t="shared" si="438"/>
        <v>0</v>
      </c>
      <c r="GH98" s="530">
        <f t="shared" si="680"/>
        <v>0</v>
      </c>
      <c r="GI98" s="525">
        <f t="shared" si="439"/>
        <v>0</v>
      </c>
      <c r="GJ98" s="530">
        <f t="shared" ref="GJ98" si="681">SUM(GJ94:GJ97)</f>
        <v>0</v>
      </c>
      <c r="GK98" s="525">
        <f t="shared" si="440"/>
        <v>0</v>
      </c>
      <c r="GL98" s="530">
        <f>SUM(GL94:GL97)</f>
        <v>-204344.88999999998</v>
      </c>
      <c r="GM98" s="565">
        <f t="shared" si="468"/>
        <v>-1.7633639443492727E-4</v>
      </c>
      <c r="GO98" s="587">
        <f t="shared" ref="GO98" si="682">SUM(GO94:GO97)</f>
        <v>0</v>
      </c>
      <c r="GP98" s="455"/>
      <c r="GQ98" s="587">
        <f t="shared" ref="GQ98" si="683">SUM(GQ94:GQ97)</f>
        <v>0</v>
      </c>
      <c r="GT98" s="551">
        <f t="shared" si="558"/>
        <v>-25759.645409416913</v>
      </c>
      <c r="GU98" s="551">
        <f t="shared" si="471"/>
        <v>-30180.674590583083</v>
      </c>
      <c r="GV98" s="550">
        <f t="shared" si="441"/>
        <v>-55940.319999999992</v>
      </c>
      <c r="GW98" s="529">
        <f>SUM(GW94:GW97)</f>
        <v>-121447.51999999999</v>
      </c>
      <c r="GX98" s="525">
        <f t="shared" si="664"/>
        <v>-1.02563957027266E-4</v>
      </c>
      <c r="GY98" s="530">
        <f>SUM(GY94:GY97)</f>
        <v>-121447.51999999999</v>
      </c>
      <c r="GZ98" s="525">
        <f t="shared" si="665"/>
        <v>-1.3491168659237688E-4</v>
      </c>
      <c r="HA98" s="530">
        <f>SUM(HA94:HA97)</f>
        <v>-121447.51999999999</v>
      </c>
      <c r="HB98" s="526">
        <f t="shared" si="666"/>
        <v>-1.6683821583776101E-4</v>
      </c>
      <c r="HD98" s="529">
        <v>-121447.51999999999</v>
      </c>
      <c r="HE98" s="525">
        <v>-1.0223407186113102E-4</v>
      </c>
      <c r="HF98" s="530">
        <v>-121447.51999999999</v>
      </c>
      <c r="HG98" s="525">
        <v>-1.3491168659237688E-4</v>
      </c>
      <c r="HH98" s="530">
        <v>-121447.51999999999</v>
      </c>
      <c r="HI98" s="526">
        <v>-1.6683821583776101E-4</v>
      </c>
    </row>
    <row r="99" spans="1:217" ht="15" customHeight="1" outlineLevel="1">
      <c r="A99" s="386" t="s">
        <v>88</v>
      </c>
      <c r="B99" s="386" t="s">
        <v>89</v>
      </c>
      <c r="C99" s="375">
        <v>0</v>
      </c>
      <c r="D99" s="4"/>
      <c r="E99" s="375">
        <v>0</v>
      </c>
      <c r="F99" s="4"/>
      <c r="G99" s="375"/>
      <c r="H99" s="375"/>
      <c r="I99" s="4"/>
      <c r="J99" s="375"/>
      <c r="K99" s="375"/>
      <c r="L99" s="4"/>
      <c r="M99" s="375"/>
      <c r="N99" s="375">
        <v>0</v>
      </c>
      <c r="O99" s="4"/>
      <c r="P99" s="375">
        <f t="shared" si="421"/>
        <v>0</v>
      </c>
      <c r="Q99" s="375">
        <f t="shared" si="421"/>
        <v>0</v>
      </c>
      <c r="R99" s="7">
        <f t="shared" si="442"/>
        <v>0</v>
      </c>
      <c r="S99" s="375"/>
      <c r="T99" s="375"/>
      <c r="U99" s="4"/>
      <c r="V99" s="375"/>
      <c r="W99" s="375"/>
      <c r="X99" s="4"/>
      <c r="Y99" s="375"/>
      <c r="Z99" s="375"/>
      <c r="AA99" s="4"/>
      <c r="AB99" s="375">
        <f t="shared" ref="AB99:AB137" si="684">+T99+V99+Y99</f>
        <v>0</v>
      </c>
      <c r="AC99" s="375">
        <f t="shared" si="533"/>
        <v>0</v>
      </c>
      <c r="AD99" s="7">
        <f t="shared" si="443"/>
        <v>0</v>
      </c>
      <c r="AE99" s="375">
        <f t="shared" ref="AE99:AE124" si="685">+Q99+AB99</f>
        <v>0</v>
      </c>
      <c r="AF99" s="375">
        <f t="shared" ref="AF99:AF121" si="686">+AC99+Q99</f>
        <v>0</v>
      </c>
      <c r="AG99" s="4"/>
      <c r="AH99" s="375"/>
      <c r="AI99" s="375"/>
      <c r="AJ99" s="4"/>
      <c r="AK99" s="375"/>
      <c r="AL99" s="375"/>
      <c r="AM99" s="4"/>
      <c r="AN99" s="375"/>
      <c r="AO99" s="375"/>
      <c r="AP99" s="4"/>
      <c r="AQ99" s="375">
        <f t="shared" ref="AQ99:AQ106" si="687">AN99+AK99+AH99</f>
        <v>0</v>
      </c>
      <c r="AR99" s="375">
        <f t="shared" ref="AR99:AR106" si="688">AO99+AL99+AI99</f>
        <v>0</v>
      </c>
      <c r="AS99" s="7">
        <f t="shared" si="444"/>
        <v>0</v>
      </c>
      <c r="AT99" s="375">
        <f t="shared" si="633"/>
        <v>0</v>
      </c>
      <c r="AU99" s="4"/>
      <c r="AV99" s="375"/>
      <c r="AW99" s="375"/>
      <c r="AX99" s="4"/>
      <c r="AY99" s="375"/>
      <c r="AZ99" s="375"/>
      <c r="BA99" s="4"/>
      <c r="BB99" s="375"/>
      <c r="BC99" s="375"/>
      <c r="BD99" s="448"/>
      <c r="BE99" s="375">
        <f t="shared" ref="BE99:BE106" si="689">BB99+AY99+AV99</f>
        <v>0</v>
      </c>
      <c r="BF99" s="375">
        <f t="shared" ref="BF99:BF106" si="690">BC99+AZ99+AW99</f>
        <v>0</v>
      </c>
      <c r="BG99" s="7">
        <f t="shared" si="445"/>
        <v>0</v>
      </c>
      <c r="BH99" s="375">
        <f t="shared" ref="BH99:BH124" si="691">Q99+AB99+AQ99+BE99</f>
        <v>0</v>
      </c>
      <c r="BI99" s="388">
        <f t="shared" ref="BI99:BI124" si="692">Q99+AC99+AR99+BF99</f>
        <v>0</v>
      </c>
      <c r="BJ99" s="7">
        <f t="shared" si="446"/>
        <v>0</v>
      </c>
      <c r="BK99" s="375">
        <v>0</v>
      </c>
      <c r="BL99" s="282"/>
      <c r="BM99" s="378"/>
      <c r="BN99" s="375"/>
      <c r="BO99" s="4"/>
      <c r="BP99" s="375"/>
      <c r="BQ99" s="4"/>
      <c r="BR99" s="375"/>
      <c r="BS99" s="4"/>
      <c r="BT99" s="375">
        <f t="shared" ref="BT99:BT106" si="693">SUM(BN99:BS99)</f>
        <v>0</v>
      </c>
      <c r="BU99" s="7">
        <f t="shared" si="447"/>
        <v>0</v>
      </c>
      <c r="BV99" s="375"/>
      <c r="BW99" s="7"/>
      <c r="BX99" s="375"/>
      <c r="BY99" s="7"/>
      <c r="BZ99" s="375">
        <f t="shared" ref="BZ99:BZ106" si="694">+BT99+BV99+BX99</f>
        <v>0</v>
      </c>
      <c r="CA99" s="7"/>
      <c r="CB99" s="375">
        <f t="shared" ref="CB99:CB106" si="695">+BV99+BX99+BZ99</f>
        <v>0</v>
      </c>
      <c r="CC99" s="7">
        <f t="shared" si="534"/>
        <v>0</v>
      </c>
      <c r="CD99" s="375">
        <f t="shared" ref="CD99:CD106" si="696">BT99+CB99</f>
        <v>0</v>
      </c>
      <c r="CE99" s="7">
        <f t="shared" si="448"/>
        <v>0</v>
      </c>
      <c r="CF99" s="375">
        <f t="shared" ref="CF99:CF106" si="697">+BZ99+CB99+CD99</f>
        <v>0</v>
      </c>
      <c r="CG99" s="7">
        <f t="shared" si="449"/>
        <v>0</v>
      </c>
      <c r="CH99" s="375">
        <f t="shared" ref="CH99:CH106" si="698">+CB99+CD99+CF99</f>
        <v>0</v>
      </c>
      <c r="CI99" s="7">
        <f t="shared" si="449"/>
        <v>0</v>
      </c>
      <c r="CJ99" s="375">
        <f t="shared" ref="CJ99:CJ106" si="699">+CD99+CF99+CH99</f>
        <v>0</v>
      </c>
      <c r="CK99" s="7">
        <f t="shared" si="449"/>
        <v>0</v>
      </c>
      <c r="CL99" s="375">
        <f t="shared" ref="CL99:CL124" si="700">+CF99+CH99+CJ99</f>
        <v>0</v>
      </c>
      <c r="CM99" s="7">
        <f t="shared" si="449"/>
        <v>0</v>
      </c>
      <c r="CN99" s="375">
        <f t="shared" ref="CN99:CN124" si="701">+CL99+CD99</f>
        <v>0</v>
      </c>
      <c r="CO99" s="7">
        <f t="shared" si="639"/>
        <v>0</v>
      </c>
      <c r="CP99" s="375">
        <v>0</v>
      </c>
      <c r="CQ99" s="7">
        <f t="shared" si="422"/>
        <v>0</v>
      </c>
      <c r="CR99" s="375">
        <f t="shared" ref="CR99:CR124" si="702">+CN99+CP99</f>
        <v>0</v>
      </c>
      <c r="CS99" s="7">
        <f t="shared" si="641"/>
        <v>0</v>
      </c>
      <c r="CT99" s="375">
        <v>0</v>
      </c>
      <c r="CU99" s="7">
        <f t="shared" si="611"/>
        <v>0</v>
      </c>
      <c r="CV99" s="375">
        <v>0</v>
      </c>
      <c r="CW99" s="7">
        <f t="shared" si="452"/>
        <v>0</v>
      </c>
      <c r="CX99" s="375">
        <f t="shared" ref="CX99:CX124" si="703">+CV99+CT99+CP99</f>
        <v>0</v>
      </c>
      <c r="CY99" s="7">
        <f t="shared" si="424"/>
        <v>0</v>
      </c>
      <c r="CZ99" s="375">
        <f t="shared" ref="CZ99:CZ124" si="704">+CD99+CL99+CX99</f>
        <v>0</v>
      </c>
      <c r="DA99" s="7">
        <f t="shared" si="453"/>
        <v>0</v>
      </c>
      <c r="DB99" s="375">
        <f t="shared" ref="DB99:DB106" si="705">+CV99+CX99+CZ99</f>
        <v>0</v>
      </c>
      <c r="DC99" s="7">
        <f t="shared" si="642"/>
        <v>0</v>
      </c>
      <c r="DD99" s="375">
        <f t="shared" ref="DD99:DD106" si="706">+CX99+CZ99+DB99</f>
        <v>0</v>
      </c>
      <c r="DE99" s="7">
        <f t="shared" si="642"/>
        <v>0</v>
      </c>
      <c r="DF99" s="375">
        <f t="shared" ref="DF99:DF106" si="707">+CZ99+DB99+DD99</f>
        <v>0</v>
      </c>
      <c r="DG99" s="7">
        <f t="shared" si="642"/>
        <v>0</v>
      </c>
      <c r="DH99" s="375">
        <f t="shared" ref="DH99:DH106" si="708">+DB99+DD99+DF99</f>
        <v>0</v>
      </c>
      <c r="DI99" s="7">
        <f t="shared" si="425"/>
        <v>0</v>
      </c>
      <c r="DJ99" s="375"/>
      <c r="DK99" s="7">
        <f t="shared" si="643"/>
        <v>0</v>
      </c>
      <c r="DL99" s="375">
        <f t="shared" ref="DL99:DL106" si="709">+DF99+DH99+DJ99</f>
        <v>0</v>
      </c>
      <c r="DM99" s="7">
        <f t="shared" si="644"/>
        <v>0</v>
      </c>
      <c r="DN99" s="375">
        <f t="shared" ref="DN99:DN106" si="710">+DH99+DJ99+DL99</f>
        <v>0</v>
      </c>
      <c r="DO99" s="7">
        <f t="shared" si="645"/>
        <v>0</v>
      </c>
      <c r="DP99" s="375">
        <f t="shared" ref="DP99:DP106" si="711">+DJ99+DL99+DN99</f>
        <v>0</v>
      </c>
      <c r="DQ99" s="7">
        <f t="shared" si="646"/>
        <v>0</v>
      </c>
      <c r="DR99" s="375">
        <f t="shared" ref="DR99:DR106" si="712">+DL99+DN99+DP99</f>
        <v>0</v>
      </c>
      <c r="DS99" s="7">
        <f t="shared" si="426"/>
        <v>0</v>
      </c>
      <c r="DT99" s="375">
        <f t="shared" ref="DT99:DT124" si="713">+DR99+DH99</f>
        <v>0</v>
      </c>
      <c r="DU99" s="7">
        <f t="shared" si="454"/>
        <v>0</v>
      </c>
      <c r="DV99" s="375"/>
      <c r="DW99" s="7">
        <f t="shared" si="647"/>
        <v>0</v>
      </c>
      <c r="DX99" s="375"/>
      <c r="DY99" s="7">
        <f t="shared" si="648"/>
        <v>0</v>
      </c>
      <c r="DZ99" s="375"/>
      <c r="EA99" s="7">
        <f t="shared" si="649"/>
        <v>0</v>
      </c>
      <c r="EB99" s="375">
        <f t="shared" ref="EB99:EB106" si="714">+DV99+DX99+DZ99</f>
        <v>0</v>
      </c>
      <c r="EC99" s="7">
        <f t="shared" si="427"/>
        <v>0</v>
      </c>
      <c r="ED99" s="375">
        <f t="shared" ref="ED99:ED124" si="715">+EB99+DT99</f>
        <v>0</v>
      </c>
      <c r="EE99" s="7">
        <f t="shared" si="455"/>
        <v>0</v>
      </c>
      <c r="EF99" s="375"/>
      <c r="EG99" s="7">
        <f t="shared" si="650"/>
        <v>0</v>
      </c>
      <c r="EH99" s="375"/>
      <c r="EI99" s="7">
        <f t="shared" si="651"/>
        <v>0</v>
      </c>
      <c r="EJ99" s="375"/>
      <c r="EK99" s="7">
        <f t="shared" si="652"/>
        <v>0</v>
      </c>
      <c r="EL99" s="375">
        <f t="shared" ref="EL99:EL106" si="716">+EF99+EH99+EJ99</f>
        <v>0</v>
      </c>
      <c r="EM99" s="7">
        <f t="shared" si="428"/>
        <v>0</v>
      </c>
      <c r="EN99" s="375">
        <f t="shared" ref="EN99:EN124" si="717">+EL99+ED99</f>
        <v>0</v>
      </c>
      <c r="EO99" s="7">
        <f t="shared" si="456"/>
        <v>0</v>
      </c>
      <c r="EP99" s="373"/>
      <c r="EQ99" s="373"/>
      <c r="ER99" s="373"/>
      <c r="ES99" s="373"/>
      <c r="ET99" s="375"/>
      <c r="EU99" s="7">
        <f t="shared" si="653"/>
        <v>0</v>
      </c>
      <c r="EV99" s="375"/>
      <c r="EW99" s="7">
        <f t="shared" si="654"/>
        <v>0</v>
      </c>
      <c r="EX99" s="375"/>
      <c r="EY99" s="7">
        <f t="shared" si="655"/>
        <v>0</v>
      </c>
      <c r="EZ99" s="375">
        <f t="shared" ref="EZ99:EZ106" si="718">+ET99+EV99+EX99</f>
        <v>0</v>
      </c>
      <c r="FA99" s="7">
        <f t="shared" si="429"/>
        <v>0</v>
      </c>
      <c r="FB99" s="375"/>
      <c r="FC99" s="7">
        <f t="shared" si="656"/>
        <v>0</v>
      </c>
      <c r="FD99" s="375"/>
      <c r="FE99" s="7">
        <f t="shared" si="612"/>
        <v>0</v>
      </c>
      <c r="FF99" s="375"/>
      <c r="FG99" s="7">
        <f t="shared" si="430"/>
        <v>0</v>
      </c>
      <c r="FH99" s="375">
        <f t="shared" ref="FH99:FH106" si="719">+FB99+FD99+FF99</f>
        <v>0</v>
      </c>
      <c r="FI99" s="7">
        <f t="shared" si="431"/>
        <v>0</v>
      </c>
      <c r="FJ99" s="375">
        <f t="shared" ref="FJ99:FJ106" si="720">EZ99+FH99</f>
        <v>0</v>
      </c>
      <c r="FK99" s="7">
        <f t="shared" si="459"/>
        <v>0</v>
      </c>
      <c r="FL99" s="375"/>
      <c r="FM99" s="7">
        <f t="shared" si="658"/>
        <v>0</v>
      </c>
      <c r="FN99" s="375"/>
      <c r="FO99" s="7">
        <f t="shared" si="432"/>
        <v>0</v>
      </c>
      <c r="FP99" s="375"/>
      <c r="FQ99" s="7">
        <f t="shared" si="433"/>
        <v>0</v>
      </c>
      <c r="FR99" s="375">
        <f t="shared" ref="FR99:FR106" si="721">+FL99+FN99+FP99</f>
        <v>0</v>
      </c>
      <c r="FS99" s="7">
        <f t="shared" si="434"/>
        <v>0</v>
      </c>
      <c r="FT99" s="375">
        <f t="shared" ref="FT99:FT106" si="722">FJ99+FR99</f>
        <v>0</v>
      </c>
      <c r="FU99" s="7">
        <f t="shared" si="462"/>
        <v>0</v>
      </c>
      <c r="FV99" s="375"/>
      <c r="FW99" s="7">
        <f t="shared" si="660"/>
        <v>0</v>
      </c>
      <c r="FX99" s="375"/>
      <c r="FY99" s="7">
        <f t="shared" si="435"/>
        <v>0</v>
      </c>
      <c r="FZ99" s="375"/>
      <c r="GA99" s="7">
        <f t="shared" si="436"/>
        <v>0</v>
      </c>
      <c r="GB99" s="375">
        <f t="shared" ref="GB99:GB106" si="723">+FV99+FX99+FZ99</f>
        <v>0</v>
      </c>
      <c r="GC99" s="7">
        <f t="shared" si="437"/>
        <v>0</v>
      </c>
      <c r="GD99" s="375">
        <f t="shared" ref="GD99:GD106" si="724">FT99+GB99</f>
        <v>0</v>
      </c>
      <c r="GE99" s="7">
        <f t="shared" si="465"/>
        <v>0</v>
      </c>
      <c r="GF99" s="566">
        <f t="shared" ref="GF99:GF106" si="725">+GO99*$GO$1</f>
        <v>0</v>
      </c>
      <c r="GG99" s="525">
        <f t="shared" si="438"/>
        <v>0</v>
      </c>
      <c r="GH99" s="528">
        <f t="shared" ref="GH99:GH124" si="726">+GQ99*$GO$2</f>
        <v>0</v>
      </c>
      <c r="GI99" s="525">
        <f t="shared" si="439"/>
        <v>0</v>
      </c>
      <c r="GJ99" s="528"/>
      <c r="GK99" s="525">
        <f t="shared" si="440"/>
        <v>0</v>
      </c>
      <c r="GL99" s="528">
        <f t="shared" ref="GL99:GL124" si="727">+GD99+GF99+GH99-GJ99</f>
        <v>0</v>
      </c>
      <c r="GM99" s="565">
        <f t="shared" si="468"/>
        <v>0</v>
      </c>
      <c r="GO99" s="586"/>
      <c r="GQ99" s="586"/>
      <c r="GT99" s="551">
        <f t="shared" si="558"/>
        <v>0</v>
      </c>
      <c r="GU99" s="551">
        <f t="shared" si="471"/>
        <v>0</v>
      </c>
      <c r="GV99" s="550">
        <f t="shared" si="441"/>
        <v>0</v>
      </c>
      <c r="GW99" s="527"/>
      <c r="GX99" s="525">
        <f t="shared" si="664"/>
        <v>0</v>
      </c>
      <c r="GY99" s="528"/>
      <c r="GZ99" s="525">
        <f t="shared" si="665"/>
        <v>0</v>
      </c>
      <c r="HA99" s="528"/>
      <c r="HB99" s="526">
        <f t="shared" si="666"/>
        <v>0</v>
      </c>
      <c r="HD99" s="527"/>
      <c r="HE99" s="525">
        <v>0</v>
      </c>
      <c r="HF99" s="528"/>
      <c r="HG99" s="525">
        <v>0</v>
      </c>
      <c r="HH99" s="528"/>
      <c r="HI99" s="526">
        <v>0</v>
      </c>
    </row>
    <row r="100" spans="1:217" ht="15" customHeight="1" outlineLevel="1">
      <c r="A100" s="386" t="s">
        <v>88</v>
      </c>
      <c r="B100" s="386" t="s">
        <v>90</v>
      </c>
      <c r="C100" s="375">
        <v>0</v>
      </c>
      <c r="D100" s="4"/>
      <c r="E100" s="375">
        <v>0</v>
      </c>
      <c r="F100" s="4"/>
      <c r="G100" s="375"/>
      <c r="H100" s="375"/>
      <c r="I100" s="4"/>
      <c r="J100" s="375"/>
      <c r="K100" s="375"/>
      <c r="L100" s="4"/>
      <c r="M100" s="375"/>
      <c r="N100" s="375">
        <v>0</v>
      </c>
      <c r="O100" s="4"/>
      <c r="P100" s="375">
        <f t="shared" si="421"/>
        <v>0</v>
      </c>
      <c r="Q100" s="375">
        <f t="shared" si="421"/>
        <v>0</v>
      </c>
      <c r="R100" s="7">
        <f t="shared" si="442"/>
        <v>0</v>
      </c>
      <c r="S100" s="375"/>
      <c r="T100" s="375"/>
      <c r="U100" s="4"/>
      <c r="V100" s="375"/>
      <c r="W100" s="375"/>
      <c r="X100" s="4"/>
      <c r="Y100" s="375"/>
      <c r="Z100" s="375"/>
      <c r="AA100" s="4"/>
      <c r="AB100" s="375">
        <f t="shared" si="684"/>
        <v>0</v>
      </c>
      <c r="AC100" s="375">
        <f t="shared" si="533"/>
        <v>0</v>
      </c>
      <c r="AD100" s="7">
        <f t="shared" si="443"/>
        <v>0</v>
      </c>
      <c r="AE100" s="375">
        <f t="shared" si="685"/>
        <v>0</v>
      </c>
      <c r="AF100" s="375">
        <f t="shared" si="686"/>
        <v>0</v>
      </c>
      <c r="AG100" s="4"/>
      <c r="AH100" s="375"/>
      <c r="AI100" s="375"/>
      <c r="AJ100" s="4"/>
      <c r="AK100" s="375"/>
      <c r="AL100" s="375"/>
      <c r="AM100" s="4"/>
      <c r="AN100" s="375"/>
      <c r="AO100" s="375"/>
      <c r="AP100" s="4"/>
      <c r="AQ100" s="375">
        <f t="shared" si="687"/>
        <v>0</v>
      </c>
      <c r="AR100" s="375">
        <f t="shared" si="688"/>
        <v>0</v>
      </c>
      <c r="AS100" s="7">
        <f t="shared" si="444"/>
        <v>0</v>
      </c>
      <c r="AT100" s="375">
        <f t="shared" si="633"/>
        <v>0</v>
      </c>
      <c r="AU100" s="4"/>
      <c r="AV100" s="375"/>
      <c r="AW100" s="375"/>
      <c r="AX100" s="4"/>
      <c r="AY100" s="375"/>
      <c r="AZ100" s="375"/>
      <c r="BA100" s="4"/>
      <c r="BB100" s="375"/>
      <c r="BC100" s="375"/>
      <c r="BD100" s="448"/>
      <c r="BE100" s="375">
        <f t="shared" si="689"/>
        <v>0</v>
      </c>
      <c r="BF100" s="375">
        <f t="shared" si="690"/>
        <v>0</v>
      </c>
      <c r="BG100" s="7">
        <f t="shared" si="445"/>
        <v>0</v>
      </c>
      <c r="BH100" s="375">
        <f t="shared" si="691"/>
        <v>0</v>
      </c>
      <c r="BI100" s="388">
        <f t="shared" si="692"/>
        <v>0</v>
      </c>
      <c r="BJ100" s="7">
        <f t="shared" si="446"/>
        <v>0</v>
      </c>
      <c r="BK100" s="375">
        <v>0</v>
      </c>
      <c r="BL100" s="282"/>
      <c r="BM100" s="378"/>
      <c r="BN100" s="375"/>
      <c r="BO100" s="4"/>
      <c r="BP100" s="375"/>
      <c r="BQ100" s="4"/>
      <c r="BR100" s="375"/>
      <c r="BS100" s="4"/>
      <c r="BT100" s="375">
        <f t="shared" si="693"/>
        <v>0</v>
      </c>
      <c r="BU100" s="7">
        <f t="shared" si="447"/>
        <v>0</v>
      </c>
      <c r="BV100" s="375"/>
      <c r="BW100" s="7"/>
      <c r="BX100" s="375"/>
      <c r="BY100" s="7"/>
      <c r="BZ100" s="375">
        <f t="shared" si="694"/>
        <v>0</v>
      </c>
      <c r="CA100" s="7"/>
      <c r="CB100" s="375">
        <f t="shared" si="695"/>
        <v>0</v>
      </c>
      <c r="CC100" s="7">
        <f t="shared" si="534"/>
        <v>0</v>
      </c>
      <c r="CD100" s="375">
        <f t="shared" si="696"/>
        <v>0</v>
      </c>
      <c r="CE100" s="7">
        <f t="shared" si="448"/>
        <v>0</v>
      </c>
      <c r="CF100" s="375">
        <f t="shared" si="697"/>
        <v>0</v>
      </c>
      <c r="CG100" s="7">
        <f t="shared" si="449"/>
        <v>0</v>
      </c>
      <c r="CH100" s="375">
        <f t="shared" si="698"/>
        <v>0</v>
      </c>
      <c r="CI100" s="7">
        <f t="shared" si="449"/>
        <v>0</v>
      </c>
      <c r="CJ100" s="375">
        <f t="shared" si="699"/>
        <v>0</v>
      </c>
      <c r="CK100" s="7">
        <f t="shared" si="449"/>
        <v>0</v>
      </c>
      <c r="CL100" s="375">
        <f t="shared" si="700"/>
        <v>0</v>
      </c>
      <c r="CM100" s="7">
        <f t="shared" si="449"/>
        <v>0</v>
      </c>
      <c r="CN100" s="375">
        <f t="shared" si="701"/>
        <v>0</v>
      </c>
      <c r="CO100" s="7">
        <f t="shared" si="639"/>
        <v>0</v>
      </c>
      <c r="CP100" s="375">
        <v>0</v>
      </c>
      <c r="CQ100" s="7">
        <f t="shared" si="422"/>
        <v>0</v>
      </c>
      <c r="CR100" s="375">
        <f t="shared" si="702"/>
        <v>0</v>
      </c>
      <c r="CS100" s="7">
        <f t="shared" si="641"/>
        <v>0</v>
      </c>
      <c r="CT100" s="375">
        <v>0</v>
      </c>
      <c r="CU100" s="7">
        <f t="shared" si="611"/>
        <v>0</v>
      </c>
      <c r="CV100" s="375">
        <v>0</v>
      </c>
      <c r="CW100" s="7">
        <f t="shared" si="452"/>
        <v>0</v>
      </c>
      <c r="CX100" s="375">
        <f t="shared" si="703"/>
        <v>0</v>
      </c>
      <c r="CY100" s="7">
        <f t="shared" si="424"/>
        <v>0</v>
      </c>
      <c r="CZ100" s="375">
        <f t="shared" si="704"/>
        <v>0</v>
      </c>
      <c r="DA100" s="7">
        <f t="shared" si="453"/>
        <v>0</v>
      </c>
      <c r="DB100" s="375">
        <f t="shared" si="705"/>
        <v>0</v>
      </c>
      <c r="DC100" s="7">
        <f t="shared" si="642"/>
        <v>0</v>
      </c>
      <c r="DD100" s="375">
        <f t="shared" si="706"/>
        <v>0</v>
      </c>
      <c r="DE100" s="7">
        <f t="shared" si="642"/>
        <v>0</v>
      </c>
      <c r="DF100" s="375">
        <f t="shared" si="707"/>
        <v>0</v>
      </c>
      <c r="DG100" s="7">
        <f t="shared" si="642"/>
        <v>0</v>
      </c>
      <c r="DH100" s="375">
        <f t="shared" si="708"/>
        <v>0</v>
      </c>
      <c r="DI100" s="7">
        <f t="shared" si="425"/>
        <v>0</v>
      </c>
      <c r="DJ100" s="375"/>
      <c r="DK100" s="7">
        <f t="shared" si="643"/>
        <v>0</v>
      </c>
      <c r="DL100" s="375">
        <f t="shared" si="709"/>
        <v>0</v>
      </c>
      <c r="DM100" s="7">
        <f t="shared" si="644"/>
        <v>0</v>
      </c>
      <c r="DN100" s="375">
        <f t="shared" si="710"/>
        <v>0</v>
      </c>
      <c r="DO100" s="7">
        <f t="shared" si="645"/>
        <v>0</v>
      </c>
      <c r="DP100" s="375">
        <f t="shared" si="711"/>
        <v>0</v>
      </c>
      <c r="DQ100" s="7">
        <f t="shared" si="646"/>
        <v>0</v>
      </c>
      <c r="DR100" s="375">
        <f t="shared" si="712"/>
        <v>0</v>
      </c>
      <c r="DS100" s="7">
        <f t="shared" si="426"/>
        <v>0</v>
      </c>
      <c r="DT100" s="375">
        <f t="shared" si="713"/>
        <v>0</v>
      </c>
      <c r="DU100" s="7">
        <f t="shared" si="454"/>
        <v>0</v>
      </c>
      <c r="DV100" s="375"/>
      <c r="DW100" s="7">
        <f t="shared" si="647"/>
        <v>0</v>
      </c>
      <c r="DX100" s="375"/>
      <c r="DY100" s="7">
        <f t="shared" si="648"/>
        <v>0</v>
      </c>
      <c r="DZ100" s="375"/>
      <c r="EA100" s="7">
        <f t="shared" si="649"/>
        <v>0</v>
      </c>
      <c r="EB100" s="375">
        <f t="shared" si="714"/>
        <v>0</v>
      </c>
      <c r="EC100" s="7">
        <f t="shared" si="427"/>
        <v>0</v>
      </c>
      <c r="ED100" s="375">
        <f t="shared" si="715"/>
        <v>0</v>
      </c>
      <c r="EE100" s="7">
        <f t="shared" si="455"/>
        <v>0</v>
      </c>
      <c r="EF100" s="375"/>
      <c r="EG100" s="7">
        <f t="shared" si="650"/>
        <v>0</v>
      </c>
      <c r="EH100" s="375"/>
      <c r="EI100" s="7">
        <f t="shared" si="651"/>
        <v>0</v>
      </c>
      <c r="EJ100" s="375"/>
      <c r="EK100" s="7">
        <f t="shared" si="652"/>
        <v>0</v>
      </c>
      <c r="EL100" s="375">
        <f t="shared" si="716"/>
        <v>0</v>
      </c>
      <c r="EM100" s="7">
        <f t="shared" si="428"/>
        <v>0</v>
      </c>
      <c r="EN100" s="375">
        <f t="shared" si="717"/>
        <v>0</v>
      </c>
      <c r="EO100" s="7">
        <f t="shared" si="456"/>
        <v>0</v>
      </c>
      <c r="EP100" s="373"/>
      <c r="EQ100" s="373"/>
      <c r="ER100" s="373"/>
      <c r="ES100" s="373"/>
      <c r="ET100" s="375"/>
      <c r="EU100" s="7">
        <f t="shared" si="653"/>
        <v>0</v>
      </c>
      <c r="EV100" s="375"/>
      <c r="EW100" s="7">
        <f t="shared" si="654"/>
        <v>0</v>
      </c>
      <c r="EX100" s="375"/>
      <c r="EY100" s="7">
        <f t="shared" si="655"/>
        <v>0</v>
      </c>
      <c r="EZ100" s="375">
        <f t="shared" si="718"/>
        <v>0</v>
      </c>
      <c r="FA100" s="7">
        <f t="shared" si="429"/>
        <v>0</v>
      </c>
      <c r="FB100" s="375"/>
      <c r="FC100" s="7">
        <f t="shared" si="656"/>
        <v>0</v>
      </c>
      <c r="FD100" s="375"/>
      <c r="FE100" s="7">
        <f t="shared" si="612"/>
        <v>0</v>
      </c>
      <c r="FF100" s="375"/>
      <c r="FG100" s="7">
        <f t="shared" si="430"/>
        <v>0</v>
      </c>
      <c r="FH100" s="375">
        <f t="shared" si="719"/>
        <v>0</v>
      </c>
      <c r="FI100" s="7">
        <f t="shared" si="431"/>
        <v>0</v>
      </c>
      <c r="FJ100" s="375">
        <f t="shared" si="720"/>
        <v>0</v>
      </c>
      <c r="FK100" s="7">
        <f t="shared" si="459"/>
        <v>0</v>
      </c>
      <c r="FL100" s="375"/>
      <c r="FM100" s="7">
        <f t="shared" si="658"/>
        <v>0</v>
      </c>
      <c r="FN100" s="375"/>
      <c r="FO100" s="7">
        <f t="shared" si="432"/>
        <v>0</v>
      </c>
      <c r="FP100" s="375"/>
      <c r="FQ100" s="7">
        <f t="shared" si="433"/>
        <v>0</v>
      </c>
      <c r="FR100" s="375">
        <f t="shared" si="721"/>
        <v>0</v>
      </c>
      <c r="FS100" s="7">
        <f t="shared" si="434"/>
        <v>0</v>
      </c>
      <c r="FT100" s="375">
        <f t="shared" si="722"/>
        <v>0</v>
      </c>
      <c r="FU100" s="7">
        <f t="shared" si="462"/>
        <v>0</v>
      </c>
      <c r="FV100" s="375"/>
      <c r="FW100" s="7">
        <f t="shared" si="660"/>
        <v>0</v>
      </c>
      <c r="FX100" s="375"/>
      <c r="FY100" s="7">
        <f t="shared" si="435"/>
        <v>0</v>
      </c>
      <c r="FZ100" s="375"/>
      <c r="GA100" s="7">
        <f t="shared" si="436"/>
        <v>0</v>
      </c>
      <c r="GB100" s="375">
        <f t="shared" si="723"/>
        <v>0</v>
      </c>
      <c r="GC100" s="7">
        <f t="shared" si="437"/>
        <v>0</v>
      </c>
      <c r="GD100" s="375">
        <f t="shared" si="724"/>
        <v>0</v>
      </c>
      <c r="GE100" s="7">
        <f t="shared" si="465"/>
        <v>0</v>
      </c>
      <c r="GF100" s="566">
        <f t="shared" si="725"/>
        <v>0</v>
      </c>
      <c r="GG100" s="525">
        <f t="shared" si="438"/>
        <v>0</v>
      </c>
      <c r="GH100" s="528">
        <f t="shared" si="726"/>
        <v>0</v>
      </c>
      <c r="GI100" s="525">
        <f t="shared" si="439"/>
        <v>0</v>
      </c>
      <c r="GJ100" s="528"/>
      <c r="GK100" s="525">
        <f t="shared" si="440"/>
        <v>0</v>
      </c>
      <c r="GL100" s="528">
        <f t="shared" si="727"/>
        <v>0</v>
      </c>
      <c r="GM100" s="565">
        <f t="shared" si="468"/>
        <v>0</v>
      </c>
      <c r="GO100" s="586"/>
      <c r="GQ100" s="586"/>
      <c r="GT100" s="551">
        <f t="shared" si="558"/>
        <v>0</v>
      </c>
      <c r="GU100" s="551">
        <f t="shared" si="471"/>
        <v>0</v>
      </c>
      <c r="GV100" s="550">
        <f t="shared" si="441"/>
        <v>0</v>
      </c>
      <c r="GW100" s="527"/>
      <c r="GX100" s="525">
        <f t="shared" si="664"/>
        <v>0</v>
      </c>
      <c r="GY100" s="528"/>
      <c r="GZ100" s="525">
        <f t="shared" si="665"/>
        <v>0</v>
      </c>
      <c r="HA100" s="528"/>
      <c r="HB100" s="526">
        <f t="shared" si="666"/>
        <v>0</v>
      </c>
      <c r="HD100" s="527"/>
      <c r="HE100" s="525">
        <v>0</v>
      </c>
      <c r="HF100" s="528"/>
      <c r="HG100" s="525">
        <v>0</v>
      </c>
      <c r="HH100" s="528"/>
      <c r="HI100" s="526">
        <v>0</v>
      </c>
    </row>
    <row r="101" spans="1:217" ht="15" customHeight="1" outlineLevel="1">
      <c r="A101" s="386" t="s">
        <v>88</v>
      </c>
      <c r="B101" s="386" t="s">
        <v>91</v>
      </c>
      <c r="C101" s="375">
        <v>0</v>
      </c>
      <c r="D101" s="4"/>
      <c r="E101" s="375">
        <v>0</v>
      </c>
      <c r="F101" s="4"/>
      <c r="G101" s="375"/>
      <c r="H101" s="375"/>
      <c r="I101" s="4"/>
      <c r="J101" s="375"/>
      <c r="K101" s="375"/>
      <c r="L101" s="4"/>
      <c r="M101" s="375"/>
      <c r="N101" s="375">
        <v>0</v>
      </c>
      <c r="O101" s="4"/>
      <c r="P101" s="375">
        <f t="shared" si="421"/>
        <v>0</v>
      </c>
      <c r="Q101" s="375">
        <f t="shared" si="421"/>
        <v>0</v>
      </c>
      <c r="R101" s="7">
        <f t="shared" si="442"/>
        <v>0</v>
      </c>
      <c r="S101" s="375"/>
      <c r="T101" s="375"/>
      <c r="U101" s="4"/>
      <c r="V101" s="375"/>
      <c r="W101" s="375"/>
      <c r="X101" s="4"/>
      <c r="Y101" s="375"/>
      <c r="Z101" s="375"/>
      <c r="AA101" s="4"/>
      <c r="AB101" s="375">
        <f t="shared" si="684"/>
        <v>0</v>
      </c>
      <c r="AC101" s="375">
        <f t="shared" si="533"/>
        <v>0</v>
      </c>
      <c r="AD101" s="7">
        <f t="shared" si="443"/>
        <v>0</v>
      </c>
      <c r="AE101" s="375">
        <f t="shared" si="685"/>
        <v>0</v>
      </c>
      <c r="AF101" s="375">
        <f t="shared" si="686"/>
        <v>0</v>
      </c>
      <c r="AG101" s="4"/>
      <c r="AH101" s="375"/>
      <c r="AI101" s="375"/>
      <c r="AJ101" s="4"/>
      <c r="AK101" s="375"/>
      <c r="AL101" s="375"/>
      <c r="AM101" s="4"/>
      <c r="AN101" s="375"/>
      <c r="AO101" s="375"/>
      <c r="AP101" s="4"/>
      <c r="AQ101" s="375">
        <f t="shared" si="687"/>
        <v>0</v>
      </c>
      <c r="AR101" s="375">
        <f t="shared" si="688"/>
        <v>0</v>
      </c>
      <c r="AS101" s="7">
        <f t="shared" si="444"/>
        <v>0</v>
      </c>
      <c r="AT101" s="375">
        <f t="shared" si="633"/>
        <v>0</v>
      </c>
      <c r="AU101" s="4"/>
      <c r="AV101" s="375"/>
      <c r="AW101" s="375"/>
      <c r="AX101" s="4"/>
      <c r="AY101" s="375"/>
      <c r="AZ101" s="375"/>
      <c r="BA101" s="4"/>
      <c r="BB101" s="375"/>
      <c r="BC101" s="375"/>
      <c r="BD101" s="448"/>
      <c r="BE101" s="375">
        <f t="shared" si="689"/>
        <v>0</v>
      </c>
      <c r="BF101" s="375">
        <f t="shared" si="690"/>
        <v>0</v>
      </c>
      <c r="BG101" s="7">
        <f t="shared" si="445"/>
        <v>0</v>
      </c>
      <c r="BH101" s="375">
        <f t="shared" si="691"/>
        <v>0</v>
      </c>
      <c r="BI101" s="388">
        <f t="shared" si="692"/>
        <v>0</v>
      </c>
      <c r="BJ101" s="7">
        <f t="shared" si="446"/>
        <v>0</v>
      </c>
      <c r="BK101" s="375">
        <v>0</v>
      </c>
      <c r="BL101" s="282"/>
      <c r="BM101" s="378"/>
      <c r="BN101" s="375"/>
      <c r="BO101" s="4"/>
      <c r="BP101" s="375"/>
      <c r="BQ101" s="4"/>
      <c r="BR101" s="375"/>
      <c r="BS101" s="4"/>
      <c r="BT101" s="375">
        <f t="shared" si="693"/>
        <v>0</v>
      </c>
      <c r="BU101" s="7">
        <f t="shared" si="447"/>
        <v>0</v>
      </c>
      <c r="BV101" s="375"/>
      <c r="BW101" s="7"/>
      <c r="BX101" s="375"/>
      <c r="BY101" s="7"/>
      <c r="BZ101" s="375">
        <f t="shared" si="694"/>
        <v>0</v>
      </c>
      <c r="CA101" s="7"/>
      <c r="CB101" s="375">
        <f t="shared" si="695"/>
        <v>0</v>
      </c>
      <c r="CC101" s="7">
        <f t="shared" si="534"/>
        <v>0</v>
      </c>
      <c r="CD101" s="375">
        <f t="shared" si="696"/>
        <v>0</v>
      </c>
      <c r="CE101" s="7">
        <f t="shared" si="448"/>
        <v>0</v>
      </c>
      <c r="CF101" s="375">
        <f t="shared" si="697"/>
        <v>0</v>
      </c>
      <c r="CG101" s="7">
        <f t="shared" si="449"/>
        <v>0</v>
      </c>
      <c r="CH101" s="375">
        <f t="shared" si="698"/>
        <v>0</v>
      </c>
      <c r="CI101" s="7">
        <f t="shared" si="449"/>
        <v>0</v>
      </c>
      <c r="CJ101" s="375">
        <f t="shared" si="699"/>
        <v>0</v>
      </c>
      <c r="CK101" s="7">
        <f t="shared" si="449"/>
        <v>0</v>
      </c>
      <c r="CL101" s="375">
        <f t="shared" si="700"/>
        <v>0</v>
      </c>
      <c r="CM101" s="7">
        <f t="shared" si="449"/>
        <v>0</v>
      </c>
      <c r="CN101" s="375">
        <f t="shared" si="701"/>
        <v>0</v>
      </c>
      <c r="CO101" s="7">
        <f t="shared" si="639"/>
        <v>0</v>
      </c>
      <c r="CP101" s="375">
        <v>0</v>
      </c>
      <c r="CQ101" s="7">
        <f t="shared" si="422"/>
        <v>0</v>
      </c>
      <c r="CR101" s="375">
        <f t="shared" si="702"/>
        <v>0</v>
      </c>
      <c r="CS101" s="7">
        <f t="shared" si="641"/>
        <v>0</v>
      </c>
      <c r="CT101" s="375">
        <v>0</v>
      </c>
      <c r="CU101" s="7">
        <f t="shared" si="611"/>
        <v>0</v>
      </c>
      <c r="CV101" s="375">
        <v>0</v>
      </c>
      <c r="CW101" s="7">
        <f t="shared" si="452"/>
        <v>0</v>
      </c>
      <c r="CX101" s="375">
        <f t="shared" si="703"/>
        <v>0</v>
      </c>
      <c r="CY101" s="7">
        <f t="shared" si="424"/>
        <v>0</v>
      </c>
      <c r="CZ101" s="375">
        <f t="shared" si="704"/>
        <v>0</v>
      </c>
      <c r="DA101" s="7">
        <f t="shared" si="453"/>
        <v>0</v>
      </c>
      <c r="DB101" s="375">
        <f t="shared" si="705"/>
        <v>0</v>
      </c>
      <c r="DC101" s="7">
        <f t="shared" si="642"/>
        <v>0</v>
      </c>
      <c r="DD101" s="375">
        <f t="shared" si="706"/>
        <v>0</v>
      </c>
      <c r="DE101" s="7">
        <f t="shared" si="642"/>
        <v>0</v>
      </c>
      <c r="DF101" s="375">
        <f t="shared" si="707"/>
        <v>0</v>
      </c>
      <c r="DG101" s="7">
        <f t="shared" si="642"/>
        <v>0</v>
      </c>
      <c r="DH101" s="375">
        <f t="shared" si="708"/>
        <v>0</v>
      </c>
      <c r="DI101" s="7">
        <f t="shared" si="425"/>
        <v>0</v>
      </c>
      <c r="DJ101" s="375"/>
      <c r="DK101" s="7">
        <f t="shared" si="643"/>
        <v>0</v>
      </c>
      <c r="DL101" s="375">
        <f t="shared" si="709"/>
        <v>0</v>
      </c>
      <c r="DM101" s="7">
        <f t="shared" si="644"/>
        <v>0</v>
      </c>
      <c r="DN101" s="375">
        <f t="shared" si="710"/>
        <v>0</v>
      </c>
      <c r="DO101" s="7">
        <f t="shared" si="645"/>
        <v>0</v>
      </c>
      <c r="DP101" s="375">
        <f t="shared" si="711"/>
        <v>0</v>
      </c>
      <c r="DQ101" s="7">
        <f t="shared" si="646"/>
        <v>0</v>
      </c>
      <c r="DR101" s="375">
        <f t="shared" si="712"/>
        <v>0</v>
      </c>
      <c r="DS101" s="7">
        <f t="shared" si="426"/>
        <v>0</v>
      </c>
      <c r="DT101" s="375">
        <f t="shared" si="713"/>
        <v>0</v>
      </c>
      <c r="DU101" s="7">
        <f t="shared" si="454"/>
        <v>0</v>
      </c>
      <c r="DV101" s="375"/>
      <c r="DW101" s="7">
        <f t="shared" si="647"/>
        <v>0</v>
      </c>
      <c r="DX101" s="375"/>
      <c r="DY101" s="7">
        <f t="shared" si="648"/>
        <v>0</v>
      </c>
      <c r="DZ101" s="375"/>
      <c r="EA101" s="7">
        <f t="shared" si="649"/>
        <v>0</v>
      </c>
      <c r="EB101" s="375">
        <f t="shared" si="714"/>
        <v>0</v>
      </c>
      <c r="EC101" s="7">
        <f t="shared" si="427"/>
        <v>0</v>
      </c>
      <c r="ED101" s="375">
        <f t="shared" si="715"/>
        <v>0</v>
      </c>
      <c r="EE101" s="7">
        <f t="shared" si="455"/>
        <v>0</v>
      </c>
      <c r="EF101" s="375"/>
      <c r="EG101" s="7">
        <f t="shared" si="650"/>
        <v>0</v>
      </c>
      <c r="EH101" s="375"/>
      <c r="EI101" s="7">
        <f t="shared" si="651"/>
        <v>0</v>
      </c>
      <c r="EJ101" s="375"/>
      <c r="EK101" s="7">
        <f t="shared" si="652"/>
        <v>0</v>
      </c>
      <c r="EL101" s="375">
        <f t="shared" si="716"/>
        <v>0</v>
      </c>
      <c r="EM101" s="7">
        <f t="shared" si="428"/>
        <v>0</v>
      </c>
      <c r="EN101" s="375">
        <f t="shared" si="717"/>
        <v>0</v>
      </c>
      <c r="EO101" s="7">
        <f t="shared" si="456"/>
        <v>0</v>
      </c>
      <c r="EP101" s="373"/>
      <c r="EQ101" s="373"/>
      <c r="ER101" s="373"/>
      <c r="ES101" s="373"/>
      <c r="ET101" s="375"/>
      <c r="EU101" s="7">
        <f t="shared" si="653"/>
        <v>0</v>
      </c>
      <c r="EV101" s="375"/>
      <c r="EW101" s="7">
        <f t="shared" si="654"/>
        <v>0</v>
      </c>
      <c r="EX101" s="375"/>
      <c r="EY101" s="7">
        <f t="shared" si="655"/>
        <v>0</v>
      </c>
      <c r="EZ101" s="375">
        <f t="shared" si="718"/>
        <v>0</v>
      </c>
      <c r="FA101" s="7">
        <f t="shared" si="429"/>
        <v>0</v>
      </c>
      <c r="FB101" s="375"/>
      <c r="FC101" s="7">
        <f t="shared" si="656"/>
        <v>0</v>
      </c>
      <c r="FD101" s="375"/>
      <c r="FE101" s="7">
        <f t="shared" si="612"/>
        <v>0</v>
      </c>
      <c r="FF101" s="375"/>
      <c r="FG101" s="7">
        <f t="shared" si="430"/>
        <v>0</v>
      </c>
      <c r="FH101" s="375">
        <f t="shared" si="719"/>
        <v>0</v>
      </c>
      <c r="FI101" s="7">
        <f t="shared" si="431"/>
        <v>0</v>
      </c>
      <c r="FJ101" s="375">
        <f t="shared" si="720"/>
        <v>0</v>
      </c>
      <c r="FK101" s="7">
        <f t="shared" si="459"/>
        <v>0</v>
      </c>
      <c r="FL101" s="375"/>
      <c r="FM101" s="7">
        <f t="shared" si="658"/>
        <v>0</v>
      </c>
      <c r="FN101" s="375"/>
      <c r="FO101" s="7">
        <f t="shared" si="432"/>
        <v>0</v>
      </c>
      <c r="FP101" s="375"/>
      <c r="FQ101" s="7">
        <f t="shared" si="433"/>
        <v>0</v>
      </c>
      <c r="FR101" s="375">
        <f t="shared" si="721"/>
        <v>0</v>
      </c>
      <c r="FS101" s="7">
        <f t="shared" si="434"/>
        <v>0</v>
      </c>
      <c r="FT101" s="375">
        <f t="shared" si="722"/>
        <v>0</v>
      </c>
      <c r="FU101" s="7">
        <f t="shared" si="462"/>
        <v>0</v>
      </c>
      <c r="FV101" s="375"/>
      <c r="FW101" s="7">
        <f t="shared" si="660"/>
        <v>0</v>
      </c>
      <c r="FX101" s="375"/>
      <c r="FY101" s="7">
        <f t="shared" si="435"/>
        <v>0</v>
      </c>
      <c r="FZ101" s="375"/>
      <c r="GA101" s="7">
        <f t="shared" si="436"/>
        <v>0</v>
      </c>
      <c r="GB101" s="375">
        <f t="shared" si="723"/>
        <v>0</v>
      </c>
      <c r="GC101" s="7">
        <f t="shared" si="437"/>
        <v>0</v>
      </c>
      <c r="GD101" s="375">
        <f t="shared" si="724"/>
        <v>0</v>
      </c>
      <c r="GE101" s="7">
        <f t="shared" si="465"/>
        <v>0</v>
      </c>
      <c r="GF101" s="566">
        <f t="shared" si="725"/>
        <v>0</v>
      </c>
      <c r="GG101" s="525">
        <f t="shared" si="438"/>
        <v>0</v>
      </c>
      <c r="GH101" s="528">
        <f t="shared" si="726"/>
        <v>0</v>
      </c>
      <c r="GI101" s="525">
        <f t="shared" si="439"/>
        <v>0</v>
      </c>
      <c r="GJ101" s="528"/>
      <c r="GK101" s="525">
        <f t="shared" si="440"/>
        <v>0</v>
      </c>
      <c r="GL101" s="528">
        <f t="shared" si="727"/>
        <v>0</v>
      </c>
      <c r="GM101" s="565">
        <f t="shared" si="468"/>
        <v>0</v>
      </c>
      <c r="GO101" s="586"/>
      <c r="GQ101" s="586"/>
      <c r="GT101" s="551">
        <f t="shared" si="558"/>
        <v>0</v>
      </c>
      <c r="GU101" s="551">
        <f t="shared" si="471"/>
        <v>0</v>
      </c>
      <c r="GV101" s="550">
        <f t="shared" si="441"/>
        <v>0</v>
      </c>
      <c r="GW101" s="527"/>
      <c r="GX101" s="525">
        <f t="shared" si="664"/>
        <v>0</v>
      </c>
      <c r="GY101" s="528"/>
      <c r="GZ101" s="525">
        <f t="shared" si="665"/>
        <v>0</v>
      </c>
      <c r="HA101" s="528"/>
      <c r="HB101" s="526">
        <f t="shared" si="666"/>
        <v>0</v>
      </c>
      <c r="HD101" s="527"/>
      <c r="HE101" s="525">
        <v>0</v>
      </c>
      <c r="HF101" s="528"/>
      <c r="HG101" s="525">
        <v>0</v>
      </c>
      <c r="HH101" s="528"/>
      <c r="HI101" s="526">
        <v>0</v>
      </c>
    </row>
    <row r="102" spans="1:217" ht="15" customHeight="1" outlineLevel="1">
      <c r="A102" s="386" t="s">
        <v>88</v>
      </c>
      <c r="B102" s="386" t="s">
        <v>92</v>
      </c>
      <c r="C102" s="375">
        <v>0</v>
      </c>
      <c r="D102" s="4"/>
      <c r="E102" s="375">
        <v>0</v>
      </c>
      <c r="F102" s="4"/>
      <c r="G102" s="375"/>
      <c r="H102" s="375"/>
      <c r="I102" s="4"/>
      <c r="J102" s="375"/>
      <c r="K102" s="375"/>
      <c r="L102" s="4"/>
      <c r="M102" s="375"/>
      <c r="N102" s="375">
        <v>0</v>
      </c>
      <c r="O102" s="4"/>
      <c r="P102" s="375">
        <f t="shared" si="421"/>
        <v>0</v>
      </c>
      <c r="Q102" s="375">
        <f t="shared" si="421"/>
        <v>0</v>
      </c>
      <c r="R102" s="7">
        <f t="shared" si="442"/>
        <v>0</v>
      </c>
      <c r="S102" s="375"/>
      <c r="T102" s="375"/>
      <c r="U102" s="4"/>
      <c r="V102" s="375"/>
      <c r="W102" s="375"/>
      <c r="X102" s="4"/>
      <c r="Y102" s="375"/>
      <c r="Z102" s="375"/>
      <c r="AA102" s="4"/>
      <c r="AB102" s="375">
        <f t="shared" si="684"/>
        <v>0</v>
      </c>
      <c r="AC102" s="375">
        <f t="shared" si="533"/>
        <v>0</v>
      </c>
      <c r="AD102" s="7">
        <f t="shared" si="443"/>
        <v>0</v>
      </c>
      <c r="AE102" s="375">
        <f t="shared" si="685"/>
        <v>0</v>
      </c>
      <c r="AF102" s="375">
        <f t="shared" si="686"/>
        <v>0</v>
      </c>
      <c r="AG102" s="4"/>
      <c r="AH102" s="375"/>
      <c r="AI102" s="375"/>
      <c r="AJ102" s="4"/>
      <c r="AK102" s="375"/>
      <c r="AL102" s="375"/>
      <c r="AM102" s="4"/>
      <c r="AN102" s="375"/>
      <c r="AO102" s="375"/>
      <c r="AP102" s="4"/>
      <c r="AQ102" s="375">
        <f t="shared" si="687"/>
        <v>0</v>
      </c>
      <c r="AR102" s="375">
        <f t="shared" si="688"/>
        <v>0</v>
      </c>
      <c r="AS102" s="7">
        <f t="shared" si="444"/>
        <v>0</v>
      </c>
      <c r="AT102" s="375">
        <f t="shared" si="633"/>
        <v>0</v>
      </c>
      <c r="AU102" s="4"/>
      <c r="AV102" s="375"/>
      <c r="AW102" s="375"/>
      <c r="AX102" s="4"/>
      <c r="AY102" s="375"/>
      <c r="AZ102" s="375"/>
      <c r="BA102" s="4"/>
      <c r="BB102" s="375"/>
      <c r="BC102" s="375"/>
      <c r="BD102" s="448"/>
      <c r="BE102" s="375">
        <f t="shared" si="689"/>
        <v>0</v>
      </c>
      <c r="BF102" s="375">
        <f t="shared" si="690"/>
        <v>0</v>
      </c>
      <c r="BG102" s="7">
        <f t="shared" si="445"/>
        <v>0</v>
      </c>
      <c r="BH102" s="375">
        <f t="shared" si="691"/>
        <v>0</v>
      </c>
      <c r="BI102" s="388">
        <f t="shared" si="692"/>
        <v>0</v>
      </c>
      <c r="BJ102" s="7">
        <f t="shared" si="446"/>
        <v>0</v>
      </c>
      <c r="BK102" s="375">
        <v>0</v>
      </c>
      <c r="BL102" s="282"/>
      <c r="BM102" s="378"/>
      <c r="BN102" s="375"/>
      <c r="BO102" s="4"/>
      <c r="BP102" s="375"/>
      <c r="BQ102" s="4"/>
      <c r="BR102" s="375"/>
      <c r="BS102" s="4"/>
      <c r="BT102" s="375">
        <f t="shared" si="693"/>
        <v>0</v>
      </c>
      <c r="BU102" s="7">
        <f t="shared" si="447"/>
        <v>0</v>
      </c>
      <c r="BV102" s="375"/>
      <c r="BW102" s="7"/>
      <c r="BX102" s="375"/>
      <c r="BY102" s="7"/>
      <c r="BZ102" s="375">
        <f t="shared" si="694"/>
        <v>0</v>
      </c>
      <c r="CA102" s="7"/>
      <c r="CB102" s="375">
        <f t="shared" si="695"/>
        <v>0</v>
      </c>
      <c r="CC102" s="7">
        <f t="shared" si="534"/>
        <v>0</v>
      </c>
      <c r="CD102" s="375">
        <f t="shared" si="696"/>
        <v>0</v>
      </c>
      <c r="CE102" s="7">
        <f t="shared" si="448"/>
        <v>0</v>
      </c>
      <c r="CF102" s="375">
        <f t="shared" si="697"/>
        <v>0</v>
      </c>
      <c r="CG102" s="7">
        <f t="shared" si="449"/>
        <v>0</v>
      </c>
      <c r="CH102" s="375">
        <f t="shared" si="698"/>
        <v>0</v>
      </c>
      <c r="CI102" s="7">
        <f t="shared" si="449"/>
        <v>0</v>
      </c>
      <c r="CJ102" s="375">
        <f t="shared" si="699"/>
        <v>0</v>
      </c>
      <c r="CK102" s="7">
        <f t="shared" si="449"/>
        <v>0</v>
      </c>
      <c r="CL102" s="375">
        <f t="shared" si="700"/>
        <v>0</v>
      </c>
      <c r="CM102" s="7">
        <f t="shared" si="449"/>
        <v>0</v>
      </c>
      <c r="CN102" s="375">
        <f t="shared" si="701"/>
        <v>0</v>
      </c>
      <c r="CO102" s="7">
        <f t="shared" si="639"/>
        <v>0</v>
      </c>
      <c r="CP102" s="375">
        <v>0</v>
      </c>
      <c r="CQ102" s="7">
        <f t="shared" si="422"/>
        <v>0</v>
      </c>
      <c r="CR102" s="375">
        <f t="shared" si="702"/>
        <v>0</v>
      </c>
      <c r="CS102" s="7">
        <f t="shared" si="641"/>
        <v>0</v>
      </c>
      <c r="CT102" s="375">
        <v>0</v>
      </c>
      <c r="CU102" s="7">
        <f t="shared" si="611"/>
        <v>0</v>
      </c>
      <c r="CV102" s="375">
        <v>0</v>
      </c>
      <c r="CW102" s="7">
        <f t="shared" si="452"/>
        <v>0</v>
      </c>
      <c r="CX102" s="375">
        <f t="shared" si="703"/>
        <v>0</v>
      </c>
      <c r="CY102" s="7">
        <f t="shared" si="424"/>
        <v>0</v>
      </c>
      <c r="CZ102" s="375">
        <f t="shared" si="704"/>
        <v>0</v>
      </c>
      <c r="DA102" s="7">
        <f t="shared" si="453"/>
        <v>0</v>
      </c>
      <c r="DB102" s="375">
        <f t="shared" si="705"/>
        <v>0</v>
      </c>
      <c r="DC102" s="7">
        <f t="shared" si="642"/>
        <v>0</v>
      </c>
      <c r="DD102" s="375">
        <f t="shared" si="706"/>
        <v>0</v>
      </c>
      <c r="DE102" s="7">
        <f t="shared" si="642"/>
        <v>0</v>
      </c>
      <c r="DF102" s="375">
        <f t="shared" si="707"/>
        <v>0</v>
      </c>
      <c r="DG102" s="7">
        <f t="shared" si="642"/>
        <v>0</v>
      </c>
      <c r="DH102" s="375">
        <f t="shared" si="708"/>
        <v>0</v>
      </c>
      <c r="DI102" s="7">
        <f t="shared" si="425"/>
        <v>0</v>
      </c>
      <c r="DJ102" s="375"/>
      <c r="DK102" s="7">
        <f t="shared" si="643"/>
        <v>0</v>
      </c>
      <c r="DL102" s="375">
        <f t="shared" si="709"/>
        <v>0</v>
      </c>
      <c r="DM102" s="7">
        <f t="shared" si="644"/>
        <v>0</v>
      </c>
      <c r="DN102" s="375">
        <f t="shared" si="710"/>
        <v>0</v>
      </c>
      <c r="DO102" s="7">
        <f t="shared" si="645"/>
        <v>0</v>
      </c>
      <c r="DP102" s="375">
        <f t="shared" si="711"/>
        <v>0</v>
      </c>
      <c r="DQ102" s="7">
        <f t="shared" si="646"/>
        <v>0</v>
      </c>
      <c r="DR102" s="375">
        <f t="shared" si="712"/>
        <v>0</v>
      </c>
      <c r="DS102" s="7">
        <f t="shared" si="426"/>
        <v>0</v>
      </c>
      <c r="DT102" s="375">
        <f t="shared" si="713"/>
        <v>0</v>
      </c>
      <c r="DU102" s="7">
        <f t="shared" si="454"/>
        <v>0</v>
      </c>
      <c r="DV102" s="375"/>
      <c r="DW102" s="7">
        <f t="shared" si="647"/>
        <v>0</v>
      </c>
      <c r="DX102" s="375"/>
      <c r="DY102" s="7">
        <f t="shared" si="648"/>
        <v>0</v>
      </c>
      <c r="DZ102" s="375"/>
      <c r="EA102" s="7">
        <f t="shared" si="649"/>
        <v>0</v>
      </c>
      <c r="EB102" s="375">
        <f t="shared" si="714"/>
        <v>0</v>
      </c>
      <c r="EC102" s="7">
        <f t="shared" si="427"/>
        <v>0</v>
      </c>
      <c r="ED102" s="375">
        <f t="shared" si="715"/>
        <v>0</v>
      </c>
      <c r="EE102" s="7">
        <f t="shared" si="455"/>
        <v>0</v>
      </c>
      <c r="EF102" s="375"/>
      <c r="EG102" s="7">
        <f t="shared" si="650"/>
        <v>0</v>
      </c>
      <c r="EH102" s="375"/>
      <c r="EI102" s="7">
        <f t="shared" si="651"/>
        <v>0</v>
      </c>
      <c r="EJ102" s="375"/>
      <c r="EK102" s="7">
        <f t="shared" si="652"/>
        <v>0</v>
      </c>
      <c r="EL102" s="375">
        <f t="shared" si="716"/>
        <v>0</v>
      </c>
      <c r="EM102" s="7">
        <f t="shared" si="428"/>
        <v>0</v>
      </c>
      <c r="EN102" s="375">
        <f t="shared" si="717"/>
        <v>0</v>
      </c>
      <c r="EO102" s="7">
        <f t="shared" si="456"/>
        <v>0</v>
      </c>
      <c r="EP102" s="373"/>
      <c r="EQ102" s="373"/>
      <c r="ER102" s="373"/>
      <c r="ES102" s="373"/>
      <c r="ET102" s="375"/>
      <c r="EU102" s="7">
        <f t="shared" si="653"/>
        <v>0</v>
      </c>
      <c r="EV102" s="375"/>
      <c r="EW102" s="7">
        <f t="shared" si="654"/>
        <v>0</v>
      </c>
      <c r="EX102" s="375"/>
      <c r="EY102" s="7">
        <f t="shared" si="655"/>
        <v>0</v>
      </c>
      <c r="EZ102" s="375">
        <f t="shared" si="718"/>
        <v>0</v>
      </c>
      <c r="FA102" s="7">
        <f t="shared" si="429"/>
        <v>0</v>
      </c>
      <c r="FB102" s="375"/>
      <c r="FC102" s="7">
        <f t="shared" si="656"/>
        <v>0</v>
      </c>
      <c r="FD102" s="375"/>
      <c r="FE102" s="7">
        <f t="shared" si="612"/>
        <v>0</v>
      </c>
      <c r="FF102" s="375"/>
      <c r="FG102" s="7">
        <f t="shared" si="430"/>
        <v>0</v>
      </c>
      <c r="FH102" s="375">
        <f t="shared" si="719"/>
        <v>0</v>
      </c>
      <c r="FI102" s="7">
        <f t="shared" si="431"/>
        <v>0</v>
      </c>
      <c r="FJ102" s="375">
        <f t="shared" si="720"/>
        <v>0</v>
      </c>
      <c r="FK102" s="7">
        <f t="shared" si="459"/>
        <v>0</v>
      </c>
      <c r="FL102" s="375"/>
      <c r="FM102" s="7">
        <f t="shared" si="658"/>
        <v>0</v>
      </c>
      <c r="FN102" s="375"/>
      <c r="FO102" s="7">
        <f t="shared" si="432"/>
        <v>0</v>
      </c>
      <c r="FP102" s="375"/>
      <c r="FQ102" s="7">
        <f t="shared" si="433"/>
        <v>0</v>
      </c>
      <c r="FR102" s="375">
        <f t="shared" si="721"/>
        <v>0</v>
      </c>
      <c r="FS102" s="7">
        <f t="shared" si="434"/>
        <v>0</v>
      </c>
      <c r="FT102" s="375">
        <f t="shared" si="722"/>
        <v>0</v>
      </c>
      <c r="FU102" s="7">
        <f t="shared" si="462"/>
        <v>0</v>
      </c>
      <c r="FV102" s="375"/>
      <c r="FW102" s="7">
        <f t="shared" si="660"/>
        <v>0</v>
      </c>
      <c r="FX102" s="375"/>
      <c r="FY102" s="7">
        <f t="shared" si="435"/>
        <v>0</v>
      </c>
      <c r="FZ102" s="375"/>
      <c r="GA102" s="7">
        <f t="shared" si="436"/>
        <v>0</v>
      </c>
      <c r="GB102" s="375">
        <f t="shared" si="723"/>
        <v>0</v>
      </c>
      <c r="GC102" s="7">
        <f t="shared" si="437"/>
        <v>0</v>
      </c>
      <c r="GD102" s="375">
        <f t="shared" si="724"/>
        <v>0</v>
      </c>
      <c r="GE102" s="7">
        <f t="shared" si="465"/>
        <v>0</v>
      </c>
      <c r="GF102" s="566">
        <f t="shared" si="725"/>
        <v>0</v>
      </c>
      <c r="GG102" s="525">
        <f t="shared" si="438"/>
        <v>0</v>
      </c>
      <c r="GH102" s="528">
        <f t="shared" si="726"/>
        <v>0</v>
      </c>
      <c r="GI102" s="525">
        <f t="shared" si="439"/>
        <v>0</v>
      </c>
      <c r="GJ102" s="528"/>
      <c r="GK102" s="525">
        <f t="shared" si="440"/>
        <v>0</v>
      </c>
      <c r="GL102" s="528">
        <f t="shared" si="727"/>
        <v>0</v>
      </c>
      <c r="GM102" s="565">
        <f t="shared" si="468"/>
        <v>0</v>
      </c>
      <c r="GO102" s="586"/>
      <c r="GQ102" s="586"/>
      <c r="GT102" s="551">
        <f t="shared" si="558"/>
        <v>0</v>
      </c>
      <c r="GU102" s="551">
        <f t="shared" si="471"/>
        <v>0</v>
      </c>
      <c r="GV102" s="550">
        <f t="shared" si="441"/>
        <v>0</v>
      </c>
      <c r="GW102" s="527"/>
      <c r="GX102" s="525">
        <f t="shared" si="664"/>
        <v>0</v>
      </c>
      <c r="GY102" s="528"/>
      <c r="GZ102" s="525">
        <f t="shared" si="665"/>
        <v>0</v>
      </c>
      <c r="HA102" s="528"/>
      <c r="HB102" s="526">
        <f t="shared" si="666"/>
        <v>0</v>
      </c>
      <c r="HD102" s="527"/>
      <c r="HE102" s="525">
        <v>0</v>
      </c>
      <c r="HF102" s="528"/>
      <c r="HG102" s="525">
        <v>0</v>
      </c>
      <c r="HH102" s="528"/>
      <c r="HI102" s="526">
        <v>0</v>
      </c>
    </row>
    <row r="103" spans="1:217" ht="15" customHeight="1" outlineLevel="1">
      <c r="A103" s="386" t="s">
        <v>88</v>
      </c>
      <c r="B103" s="386" t="s">
        <v>93</v>
      </c>
      <c r="C103" s="375">
        <v>0</v>
      </c>
      <c r="D103" s="4"/>
      <c r="E103" s="375">
        <v>0</v>
      </c>
      <c r="F103" s="4"/>
      <c r="G103" s="375"/>
      <c r="H103" s="375"/>
      <c r="I103" s="4"/>
      <c r="J103" s="375"/>
      <c r="K103" s="375"/>
      <c r="L103" s="4"/>
      <c r="M103" s="375"/>
      <c r="N103" s="375">
        <v>0</v>
      </c>
      <c r="O103" s="4"/>
      <c r="P103" s="375">
        <f t="shared" si="421"/>
        <v>0</v>
      </c>
      <c r="Q103" s="375">
        <f t="shared" si="421"/>
        <v>0</v>
      </c>
      <c r="R103" s="7">
        <f t="shared" si="442"/>
        <v>0</v>
      </c>
      <c r="S103" s="375"/>
      <c r="T103" s="375"/>
      <c r="U103" s="4"/>
      <c r="V103" s="375"/>
      <c r="W103" s="375"/>
      <c r="X103" s="4"/>
      <c r="Y103" s="375"/>
      <c r="Z103" s="375"/>
      <c r="AA103" s="4"/>
      <c r="AB103" s="375">
        <f t="shared" si="684"/>
        <v>0</v>
      </c>
      <c r="AC103" s="375">
        <f t="shared" si="533"/>
        <v>0</v>
      </c>
      <c r="AD103" s="7">
        <f t="shared" si="443"/>
        <v>0</v>
      </c>
      <c r="AE103" s="375">
        <f t="shared" si="685"/>
        <v>0</v>
      </c>
      <c r="AF103" s="375">
        <f t="shared" si="686"/>
        <v>0</v>
      </c>
      <c r="AG103" s="4"/>
      <c r="AH103" s="375"/>
      <c r="AI103" s="375"/>
      <c r="AJ103" s="4"/>
      <c r="AK103" s="375"/>
      <c r="AL103" s="375"/>
      <c r="AM103" s="4"/>
      <c r="AN103" s="375"/>
      <c r="AO103" s="375"/>
      <c r="AP103" s="4"/>
      <c r="AQ103" s="375">
        <f t="shared" si="687"/>
        <v>0</v>
      </c>
      <c r="AR103" s="375">
        <f t="shared" si="688"/>
        <v>0</v>
      </c>
      <c r="AS103" s="7">
        <f t="shared" si="444"/>
        <v>0</v>
      </c>
      <c r="AT103" s="375">
        <f t="shared" si="633"/>
        <v>0</v>
      </c>
      <c r="AU103" s="4"/>
      <c r="AV103" s="375"/>
      <c r="AW103" s="375"/>
      <c r="AX103" s="4"/>
      <c r="AY103" s="375"/>
      <c r="AZ103" s="375"/>
      <c r="BA103" s="4"/>
      <c r="BB103" s="375"/>
      <c r="BC103" s="375"/>
      <c r="BD103" s="448"/>
      <c r="BE103" s="375">
        <f t="shared" si="689"/>
        <v>0</v>
      </c>
      <c r="BF103" s="375">
        <f t="shared" si="690"/>
        <v>0</v>
      </c>
      <c r="BG103" s="7">
        <f t="shared" si="445"/>
        <v>0</v>
      </c>
      <c r="BH103" s="375">
        <f t="shared" si="691"/>
        <v>0</v>
      </c>
      <c r="BI103" s="388">
        <f t="shared" si="692"/>
        <v>0</v>
      </c>
      <c r="BJ103" s="7">
        <f t="shared" si="446"/>
        <v>0</v>
      </c>
      <c r="BK103" s="375">
        <v>0</v>
      </c>
      <c r="BL103" s="282"/>
      <c r="BM103" s="378"/>
      <c r="BN103" s="375"/>
      <c r="BO103" s="4"/>
      <c r="BP103" s="375"/>
      <c r="BQ103" s="4"/>
      <c r="BR103" s="375"/>
      <c r="BS103" s="4"/>
      <c r="BT103" s="375">
        <f t="shared" si="693"/>
        <v>0</v>
      </c>
      <c r="BU103" s="7">
        <f t="shared" si="447"/>
        <v>0</v>
      </c>
      <c r="BV103" s="375"/>
      <c r="BW103" s="7"/>
      <c r="BX103" s="375"/>
      <c r="BY103" s="7"/>
      <c r="BZ103" s="375">
        <f t="shared" si="694"/>
        <v>0</v>
      </c>
      <c r="CA103" s="7"/>
      <c r="CB103" s="375">
        <f t="shared" si="695"/>
        <v>0</v>
      </c>
      <c r="CC103" s="7">
        <f t="shared" si="534"/>
        <v>0</v>
      </c>
      <c r="CD103" s="375">
        <f t="shared" si="696"/>
        <v>0</v>
      </c>
      <c r="CE103" s="7">
        <f t="shared" si="448"/>
        <v>0</v>
      </c>
      <c r="CF103" s="375">
        <f t="shared" si="697"/>
        <v>0</v>
      </c>
      <c r="CG103" s="7">
        <f t="shared" si="449"/>
        <v>0</v>
      </c>
      <c r="CH103" s="375">
        <f t="shared" si="698"/>
        <v>0</v>
      </c>
      <c r="CI103" s="7">
        <f t="shared" si="449"/>
        <v>0</v>
      </c>
      <c r="CJ103" s="375">
        <f t="shared" si="699"/>
        <v>0</v>
      </c>
      <c r="CK103" s="7">
        <f t="shared" si="449"/>
        <v>0</v>
      </c>
      <c r="CL103" s="375">
        <f t="shared" si="700"/>
        <v>0</v>
      </c>
      <c r="CM103" s="7">
        <f t="shared" si="449"/>
        <v>0</v>
      </c>
      <c r="CN103" s="375">
        <f t="shared" si="701"/>
        <v>0</v>
      </c>
      <c r="CO103" s="7">
        <f t="shared" si="639"/>
        <v>0</v>
      </c>
      <c r="CP103" s="375">
        <v>0</v>
      </c>
      <c r="CQ103" s="7">
        <f t="shared" si="422"/>
        <v>0</v>
      </c>
      <c r="CR103" s="375">
        <f t="shared" si="702"/>
        <v>0</v>
      </c>
      <c r="CS103" s="7">
        <f t="shared" si="641"/>
        <v>0</v>
      </c>
      <c r="CT103" s="375">
        <v>0</v>
      </c>
      <c r="CU103" s="7">
        <f t="shared" si="611"/>
        <v>0</v>
      </c>
      <c r="CV103" s="375">
        <v>0</v>
      </c>
      <c r="CW103" s="7">
        <f t="shared" si="452"/>
        <v>0</v>
      </c>
      <c r="CX103" s="375">
        <f t="shared" si="703"/>
        <v>0</v>
      </c>
      <c r="CY103" s="7">
        <f t="shared" si="424"/>
        <v>0</v>
      </c>
      <c r="CZ103" s="375">
        <f t="shared" si="704"/>
        <v>0</v>
      </c>
      <c r="DA103" s="7">
        <f t="shared" si="453"/>
        <v>0</v>
      </c>
      <c r="DB103" s="375">
        <f t="shared" si="705"/>
        <v>0</v>
      </c>
      <c r="DC103" s="7">
        <f t="shared" si="642"/>
        <v>0</v>
      </c>
      <c r="DD103" s="375">
        <f t="shared" si="706"/>
        <v>0</v>
      </c>
      <c r="DE103" s="7">
        <f t="shared" si="642"/>
        <v>0</v>
      </c>
      <c r="DF103" s="375">
        <f t="shared" si="707"/>
        <v>0</v>
      </c>
      <c r="DG103" s="7">
        <f t="shared" si="642"/>
        <v>0</v>
      </c>
      <c r="DH103" s="375">
        <f t="shared" si="708"/>
        <v>0</v>
      </c>
      <c r="DI103" s="7">
        <f t="shared" si="425"/>
        <v>0</v>
      </c>
      <c r="DJ103" s="375"/>
      <c r="DK103" s="7">
        <f t="shared" si="643"/>
        <v>0</v>
      </c>
      <c r="DL103" s="375">
        <f t="shared" si="709"/>
        <v>0</v>
      </c>
      <c r="DM103" s="7">
        <f t="shared" si="644"/>
        <v>0</v>
      </c>
      <c r="DN103" s="375">
        <f t="shared" si="710"/>
        <v>0</v>
      </c>
      <c r="DO103" s="7">
        <f t="shared" si="645"/>
        <v>0</v>
      </c>
      <c r="DP103" s="375">
        <f t="shared" si="711"/>
        <v>0</v>
      </c>
      <c r="DQ103" s="7">
        <f t="shared" si="646"/>
        <v>0</v>
      </c>
      <c r="DR103" s="375">
        <f t="shared" si="712"/>
        <v>0</v>
      </c>
      <c r="DS103" s="7">
        <f t="shared" si="426"/>
        <v>0</v>
      </c>
      <c r="DT103" s="375">
        <f t="shared" si="713"/>
        <v>0</v>
      </c>
      <c r="DU103" s="7">
        <f t="shared" si="454"/>
        <v>0</v>
      </c>
      <c r="DV103" s="375"/>
      <c r="DW103" s="7">
        <f t="shared" si="647"/>
        <v>0</v>
      </c>
      <c r="DX103" s="375"/>
      <c r="DY103" s="7">
        <f t="shared" si="648"/>
        <v>0</v>
      </c>
      <c r="DZ103" s="375"/>
      <c r="EA103" s="7">
        <f t="shared" si="649"/>
        <v>0</v>
      </c>
      <c r="EB103" s="375">
        <f t="shared" si="714"/>
        <v>0</v>
      </c>
      <c r="EC103" s="7">
        <f t="shared" si="427"/>
        <v>0</v>
      </c>
      <c r="ED103" s="375">
        <f t="shared" si="715"/>
        <v>0</v>
      </c>
      <c r="EE103" s="7">
        <f t="shared" si="455"/>
        <v>0</v>
      </c>
      <c r="EF103" s="375"/>
      <c r="EG103" s="7">
        <f t="shared" si="650"/>
        <v>0</v>
      </c>
      <c r="EH103" s="375"/>
      <c r="EI103" s="7">
        <f t="shared" si="651"/>
        <v>0</v>
      </c>
      <c r="EJ103" s="375"/>
      <c r="EK103" s="7">
        <f t="shared" si="652"/>
        <v>0</v>
      </c>
      <c r="EL103" s="375">
        <f t="shared" si="716"/>
        <v>0</v>
      </c>
      <c r="EM103" s="7">
        <f t="shared" si="428"/>
        <v>0</v>
      </c>
      <c r="EN103" s="375">
        <f t="shared" si="717"/>
        <v>0</v>
      </c>
      <c r="EO103" s="7">
        <f t="shared" si="456"/>
        <v>0</v>
      </c>
      <c r="EP103" s="373"/>
      <c r="EQ103" s="373"/>
      <c r="ER103" s="373"/>
      <c r="ES103" s="373"/>
      <c r="ET103" s="375"/>
      <c r="EU103" s="7">
        <f t="shared" si="653"/>
        <v>0</v>
      </c>
      <c r="EV103" s="375"/>
      <c r="EW103" s="7">
        <f t="shared" si="654"/>
        <v>0</v>
      </c>
      <c r="EX103" s="375"/>
      <c r="EY103" s="7">
        <f t="shared" si="655"/>
        <v>0</v>
      </c>
      <c r="EZ103" s="375">
        <f t="shared" si="718"/>
        <v>0</v>
      </c>
      <c r="FA103" s="7">
        <f t="shared" si="429"/>
        <v>0</v>
      </c>
      <c r="FB103" s="375"/>
      <c r="FC103" s="7">
        <f t="shared" si="656"/>
        <v>0</v>
      </c>
      <c r="FD103" s="375"/>
      <c r="FE103" s="7">
        <f t="shared" si="612"/>
        <v>0</v>
      </c>
      <c r="FF103" s="375"/>
      <c r="FG103" s="7">
        <f t="shared" si="430"/>
        <v>0</v>
      </c>
      <c r="FH103" s="375">
        <f t="shared" si="719"/>
        <v>0</v>
      </c>
      <c r="FI103" s="7">
        <f t="shared" si="431"/>
        <v>0</v>
      </c>
      <c r="FJ103" s="375">
        <f t="shared" si="720"/>
        <v>0</v>
      </c>
      <c r="FK103" s="7">
        <f t="shared" si="459"/>
        <v>0</v>
      </c>
      <c r="FL103" s="375"/>
      <c r="FM103" s="7">
        <f t="shared" si="658"/>
        <v>0</v>
      </c>
      <c r="FN103" s="375"/>
      <c r="FO103" s="7">
        <f t="shared" si="432"/>
        <v>0</v>
      </c>
      <c r="FP103" s="375"/>
      <c r="FQ103" s="7">
        <f t="shared" si="433"/>
        <v>0</v>
      </c>
      <c r="FR103" s="375">
        <f t="shared" si="721"/>
        <v>0</v>
      </c>
      <c r="FS103" s="7">
        <f t="shared" si="434"/>
        <v>0</v>
      </c>
      <c r="FT103" s="375">
        <f t="shared" si="722"/>
        <v>0</v>
      </c>
      <c r="FU103" s="7">
        <f t="shared" si="462"/>
        <v>0</v>
      </c>
      <c r="FV103" s="375"/>
      <c r="FW103" s="7">
        <f t="shared" si="660"/>
        <v>0</v>
      </c>
      <c r="FX103" s="375"/>
      <c r="FY103" s="7">
        <f t="shared" si="435"/>
        <v>0</v>
      </c>
      <c r="FZ103" s="375"/>
      <c r="GA103" s="7">
        <f t="shared" si="436"/>
        <v>0</v>
      </c>
      <c r="GB103" s="375">
        <f t="shared" si="723"/>
        <v>0</v>
      </c>
      <c r="GC103" s="7">
        <f t="shared" si="437"/>
        <v>0</v>
      </c>
      <c r="GD103" s="375">
        <f t="shared" si="724"/>
        <v>0</v>
      </c>
      <c r="GE103" s="7">
        <f t="shared" si="465"/>
        <v>0</v>
      </c>
      <c r="GF103" s="566">
        <f t="shared" si="725"/>
        <v>0</v>
      </c>
      <c r="GG103" s="525">
        <f t="shared" si="438"/>
        <v>0</v>
      </c>
      <c r="GH103" s="528">
        <f t="shared" si="726"/>
        <v>0</v>
      </c>
      <c r="GI103" s="525">
        <f t="shared" si="439"/>
        <v>0</v>
      </c>
      <c r="GJ103" s="528"/>
      <c r="GK103" s="525">
        <f t="shared" si="440"/>
        <v>0</v>
      </c>
      <c r="GL103" s="528">
        <f t="shared" si="727"/>
        <v>0</v>
      </c>
      <c r="GM103" s="565">
        <f t="shared" si="468"/>
        <v>0</v>
      </c>
      <c r="GO103" s="586"/>
      <c r="GQ103" s="586"/>
      <c r="GT103" s="551">
        <f t="shared" si="558"/>
        <v>0</v>
      </c>
      <c r="GU103" s="551">
        <f t="shared" si="471"/>
        <v>0</v>
      </c>
      <c r="GV103" s="550">
        <f t="shared" si="441"/>
        <v>0</v>
      </c>
      <c r="GW103" s="527"/>
      <c r="GX103" s="525">
        <f t="shared" si="664"/>
        <v>0</v>
      </c>
      <c r="GY103" s="528"/>
      <c r="GZ103" s="525">
        <f t="shared" si="665"/>
        <v>0</v>
      </c>
      <c r="HA103" s="528"/>
      <c r="HB103" s="526">
        <f t="shared" si="666"/>
        <v>0</v>
      </c>
      <c r="HD103" s="527"/>
      <c r="HE103" s="525">
        <v>0</v>
      </c>
      <c r="HF103" s="528"/>
      <c r="HG103" s="525">
        <v>0</v>
      </c>
      <c r="HH103" s="528"/>
      <c r="HI103" s="526">
        <v>0</v>
      </c>
    </row>
    <row r="104" spans="1:217" ht="15" customHeight="1" outlineLevel="1">
      <c r="A104" s="386" t="s">
        <v>88</v>
      </c>
      <c r="B104" s="386" t="s">
        <v>94</v>
      </c>
      <c r="C104" s="375">
        <v>0</v>
      </c>
      <c r="D104" s="4"/>
      <c r="E104" s="375">
        <v>0</v>
      </c>
      <c r="F104" s="4"/>
      <c r="G104" s="375"/>
      <c r="H104" s="375"/>
      <c r="I104" s="4"/>
      <c r="J104" s="375"/>
      <c r="K104" s="375"/>
      <c r="L104" s="4"/>
      <c r="M104" s="375"/>
      <c r="N104" s="375">
        <v>0</v>
      </c>
      <c r="O104" s="4"/>
      <c r="P104" s="375">
        <f t="shared" si="421"/>
        <v>0</v>
      </c>
      <c r="Q104" s="375">
        <f t="shared" si="421"/>
        <v>0</v>
      </c>
      <c r="R104" s="7">
        <f t="shared" si="442"/>
        <v>0</v>
      </c>
      <c r="S104" s="375"/>
      <c r="T104" s="375"/>
      <c r="U104" s="4"/>
      <c r="V104" s="375"/>
      <c r="W104" s="375"/>
      <c r="X104" s="4"/>
      <c r="Y104" s="375"/>
      <c r="Z104" s="375"/>
      <c r="AA104" s="4"/>
      <c r="AB104" s="375">
        <f t="shared" si="684"/>
        <v>0</v>
      </c>
      <c r="AC104" s="375">
        <f t="shared" si="533"/>
        <v>0</v>
      </c>
      <c r="AD104" s="7">
        <f t="shared" si="443"/>
        <v>0</v>
      </c>
      <c r="AE104" s="375">
        <f t="shared" si="685"/>
        <v>0</v>
      </c>
      <c r="AF104" s="375">
        <f t="shared" si="686"/>
        <v>0</v>
      </c>
      <c r="AG104" s="4"/>
      <c r="AH104" s="375"/>
      <c r="AI104" s="375"/>
      <c r="AJ104" s="4"/>
      <c r="AK104" s="375"/>
      <c r="AL104" s="375"/>
      <c r="AM104" s="4"/>
      <c r="AN104" s="375"/>
      <c r="AO104" s="375"/>
      <c r="AP104" s="4"/>
      <c r="AQ104" s="375">
        <f t="shared" si="687"/>
        <v>0</v>
      </c>
      <c r="AR104" s="375">
        <f t="shared" si="688"/>
        <v>0</v>
      </c>
      <c r="AS104" s="7">
        <f t="shared" si="444"/>
        <v>0</v>
      </c>
      <c r="AT104" s="375">
        <f t="shared" si="633"/>
        <v>0</v>
      </c>
      <c r="AU104" s="4"/>
      <c r="AV104" s="375"/>
      <c r="AW104" s="375"/>
      <c r="AX104" s="4"/>
      <c r="AY104" s="375"/>
      <c r="AZ104" s="375"/>
      <c r="BA104" s="4"/>
      <c r="BB104" s="375"/>
      <c r="BC104" s="375"/>
      <c r="BD104" s="448"/>
      <c r="BE104" s="375">
        <f t="shared" si="689"/>
        <v>0</v>
      </c>
      <c r="BF104" s="375">
        <f t="shared" si="690"/>
        <v>0</v>
      </c>
      <c r="BG104" s="7">
        <f t="shared" si="445"/>
        <v>0</v>
      </c>
      <c r="BH104" s="375">
        <f t="shared" si="691"/>
        <v>0</v>
      </c>
      <c r="BI104" s="388">
        <f t="shared" si="692"/>
        <v>0</v>
      </c>
      <c r="BJ104" s="7">
        <f t="shared" si="446"/>
        <v>0</v>
      </c>
      <c r="BK104" s="375">
        <v>0</v>
      </c>
      <c r="BL104" s="282"/>
      <c r="BM104" s="378"/>
      <c r="BN104" s="375"/>
      <c r="BO104" s="4"/>
      <c r="BP104" s="375"/>
      <c r="BQ104" s="4"/>
      <c r="BR104" s="375"/>
      <c r="BS104" s="4"/>
      <c r="BT104" s="375">
        <f t="shared" si="693"/>
        <v>0</v>
      </c>
      <c r="BU104" s="7">
        <f t="shared" si="447"/>
        <v>0</v>
      </c>
      <c r="BV104" s="375"/>
      <c r="BW104" s="7"/>
      <c r="BX104" s="375"/>
      <c r="BY104" s="7"/>
      <c r="BZ104" s="375">
        <f t="shared" si="694"/>
        <v>0</v>
      </c>
      <c r="CA104" s="7"/>
      <c r="CB104" s="375">
        <f t="shared" si="695"/>
        <v>0</v>
      </c>
      <c r="CC104" s="7">
        <f t="shared" si="534"/>
        <v>0</v>
      </c>
      <c r="CD104" s="375">
        <f t="shared" si="696"/>
        <v>0</v>
      </c>
      <c r="CE104" s="7">
        <f t="shared" si="448"/>
        <v>0</v>
      </c>
      <c r="CF104" s="375">
        <f t="shared" si="697"/>
        <v>0</v>
      </c>
      <c r="CG104" s="7">
        <f t="shared" si="449"/>
        <v>0</v>
      </c>
      <c r="CH104" s="375">
        <f t="shared" si="698"/>
        <v>0</v>
      </c>
      <c r="CI104" s="7">
        <f t="shared" si="449"/>
        <v>0</v>
      </c>
      <c r="CJ104" s="375">
        <f t="shared" si="699"/>
        <v>0</v>
      </c>
      <c r="CK104" s="7">
        <f t="shared" si="449"/>
        <v>0</v>
      </c>
      <c r="CL104" s="375">
        <f t="shared" si="700"/>
        <v>0</v>
      </c>
      <c r="CM104" s="7">
        <f t="shared" si="449"/>
        <v>0</v>
      </c>
      <c r="CN104" s="375">
        <f t="shared" si="701"/>
        <v>0</v>
      </c>
      <c r="CO104" s="7">
        <f t="shared" si="639"/>
        <v>0</v>
      </c>
      <c r="CP104" s="375">
        <v>0</v>
      </c>
      <c r="CQ104" s="7">
        <f t="shared" si="422"/>
        <v>0</v>
      </c>
      <c r="CR104" s="375">
        <f t="shared" si="702"/>
        <v>0</v>
      </c>
      <c r="CS104" s="7">
        <f t="shared" si="641"/>
        <v>0</v>
      </c>
      <c r="CT104" s="375">
        <v>0</v>
      </c>
      <c r="CU104" s="7">
        <f t="shared" si="611"/>
        <v>0</v>
      </c>
      <c r="CV104" s="375">
        <v>0</v>
      </c>
      <c r="CW104" s="7">
        <f t="shared" si="452"/>
        <v>0</v>
      </c>
      <c r="CX104" s="375">
        <f t="shared" si="703"/>
        <v>0</v>
      </c>
      <c r="CY104" s="7">
        <f t="shared" si="424"/>
        <v>0</v>
      </c>
      <c r="CZ104" s="375">
        <f t="shared" si="704"/>
        <v>0</v>
      </c>
      <c r="DA104" s="7">
        <f t="shared" si="453"/>
        <v>0</v>
      </c>
      <c r="DB104" s="375">
        <f t="shared" si="705"/>
        <v>0</v>
      </c>
      <c r="DC104" s="7">
        <f t="shared" si="642"/>
        <v>0</v>
      </c>
      <c r="DD104" s="375">
        <f t="shared" si="706"/>
        <v>0</v>
      </c>
      <c r="DE104" s="7">
        <f t="shared" si="642"/>
        <v>0</v>
      </c>
      <c r="DF104" s="375">
        <f t="shared" si="707"/>
        <v>0</v>
      </c>
      <c r="DG104" s="7">
        <f t="shared" si="642"/>
        <v>0</v>
      </c>
      <c r="DH104" s="375">
        <f t="shared" si="708"/>
        <v>0</v>
      </c>
      <c r="DI104" s="7">
        <f t="shared" si="425"/>
        <v>0</v>
      </c>
      <c r="DJ104" s="375"/>
      <c r="DK104" s="7">
        <f t="shared" si="643"/>
        <v>0</v>
      </c>
      <c r="DL104" s="375">
        <f t="shared" si="709"/>
        <v>0</v>
      </c>
      <c r="DM104" s="7">
        <f t="shared" si="644"/>
        <v>0</v>
      </c>
      <c r="DN104" s="375">
        <f t="shared" si="710"/>
        <v>0</v>
      </c>
      <c r="DO104" s="7">
        <f t="shared" si="645"/>
        <v>0</v>
      </c>
      <c r="DP104" s="375">
        <f t="shared" si="711"/>
        <v>0</v>
      </c>
      <c r="DQ104" s="7">
        <f t="shared" si="646"/>
        <v>0</v>
      </c>
      <c r="DR104" s="375">
        <f t="shared" si="712"/>
        <v>0</v>
      </c>
      <c r="DS104" s="7">
        <f t="shared" si="426"/>
        <v>0</v>
      </c>
      <c r="DT104" s="375">
        <f t="shared" si="713"/>
        <v>0</v>
      </c>
      <c r="DU104" s="7">
        <f t="shared" si="454"/>
        <v>0</v>
      </c>
      <c r="DV104" s="375"/>
      <c r="DW104" s="7">
        <f t="shared" si="647"/>
        <v>0</v>
      </c>
      <c r="DX104" s="375"/>
      <c r="DY104" s="7">
        <f t="shared" si="648"/>
        <v>0</v>
      </c>
      <c r="DZ104" s="375"/>
      <c r="EA104" s="7">
        <f t="shared" si="649"/>
        <v>0</v>
      </c>
      <c r="EB104" s="375">
        <f t="shared" si="714"/>
        <v>0</v>
      </c>
      <c r="EC104" s="7">
        <f t="shared" si="427"/>
        <v>0</v>
      </c>
      <c r="ED104" s="375">
        <f t="shared" si="715"/>
        <v>0</v>
      </c>
      <c r="EE104" s="7">
        <f t="shared" si="455"/>
        <v>0</v>
      </c>
      <c r="EF104" s="375"/>
      <c r="EG104" s="7">
        <f t="shared" si="650"/>
        <v>0</v>
      </c>
      <c r="EH104" s="375"/>
      <c r="EI104" s="7">
        <f t="shared" si="651"/>
        <v>0</v>
      </c>
      <c r="EJ104" s="375"/>
      <c r="EK104" s="7">
        <f t="shared" si="652"/>
        <v>0</v>
      </c>
      <c r="EL104" s="375">
        <f t="shared" si="716"/>
        <v>0</v>
      </c>
      <c r="EM104" s="7">
        <f t="shared" si="428"/>
        <v>0</v>
      </c>
      <c r="EN104" s="375">
        <f t="shared" si="717"/>
        <v>0</v>
      </c>
      <c r="EO104" s="7">
        <f t="shared" si="456"/>
        <v>0</v>
      </c>
      <c r="EP104" s="373"/>
      <c r="EQ104" s="373"/>
      <c r="ER104" s="373"/>
      <c r="ES104" s="373"/>
      <c r="ET104" s="375"/>
      <c r="EU104" s="7">
        <f t="shared" si="653"/>
        <v>0</v>
      </c>
      <c r="EV104" s="375"/>
      <c r="EW104" s="7">
        <f t="shared" si="654"/>
        <v>0</v>
      </c>
      <c r="EX104" s="375"/>
      <c r="EY104" s="7">
        <f t="shared" si="655"/>
        <v>0</v>
      </c>
      <c r="EZ104" s="375">
        <f t="shared" si="718"/>
        <v>0</v>
      </c>
      <c r="FA104" s="7">
        <f t="shared" si="429"/>
        <v>0</v>
      </c>
      <c r="FB104" s="375"/>
      <c r="FC104" s="7">
        <f t="shared" si="656"/>
        <v>0</v>
      </c>
      <c r="FD104" s="375"/>
      <c r="FE104" s="7">
        <f t="shared" si="612"/>
        <v>0</v>
      </c>
      <c r="FF104" s="375"/>
      <c r="FG104" s="7">
        <f t="shared" si="430"/>
        <v>0</v>
      </c>
      <c r="FH104" s="375">
        <f t="shared" si="719"/>
        <v>0</v>
      </c>
      <c r="FI104" s="7">
        <f t="shared" si="431"/>
        <v>0</v>
      </c>
      <c r="FJ104" s="375">
        <f t="shared" si="720"/>
        <v>0</v>
      </c>
      <c r="FK104" s="7">
        <f t="shared" si="459"/>
        <v>0</v>
      </c>
      <c r="FL104" s="375"/>
      <c r="FM104" s="7">
        <f t="shared" si="658"/>
        <v>0</v>
      </c>
      <c r="FN104" s="375"/>
      <c r="FO104" s="7">
        <f t="shared" si="432"/>
        <v>0</v>
      </c>
      <c r="FP104" s="375"/>
      <c r="FQ104" s="7">
        <f t="shared" si="433"/>
        <v>0</v>
      </c>
      <c r="FR104" s="375">
        <f t="shared" si="721"/>
        <v>0</v>
      </c>
      <c r="FS104" s="7">
        <f t="shared" si="434"/>
        <v>0</v>
      </c>
      <c r="FT104" s="375">
        <f t="shared" si="722"/>
        <v>0</v>
      </c>
      <c r="FU104" s="7">
        <f t="shared" si="462"/>
        <v>0</v>
      </c>
      <c r="FV104" s="375"/>
      <c r="FW104" s="7">
        <f t="shared" si="660"/>
        <v>0</v>
      </c>
      <c r="FX104" s="375"/>
      <c r="FY104" s="7">
        <f t="shared" si="435"/>
        <v>0</v>
      </c>
      <c r="FZ104" s="375"/>
      <c r="GA104" s="7">
        <f t="shared" si="436"/>
        <v>0</v>
      </c>
      <c r="GB104" s="375">
        <f t="shared" si="723"/>
        <v>0</v>
      </c>
      <c r="GC104" s="7">
        <f t="shared" si="437"/>
        <v>0</v>
      </c>
      <c r="GD104" s="375">
        <f t="shared" si="724"/>
        <v>0</v>
      </c>
      <c r="GE104" s="7">
        <f t="shared" si="465"/>
        <v>0</v>
      </c>
      <c r="GF104" s="566">
        <f t="shared" si="725"/>
        <v>0</v>
      </c>
      <c r="GG104" s="525">
        <f t="shared" si="438"/>
        <v>0</v>
      </c>
      <c r="GH104" s="528">
        <f t="shared" si="726"/>
        <v>0</v>
      </c>
      <c r="GI104" s="525">
        <f t="shared" si="439"/>
        <v>0</v>
      </c>
      <c r="GJ104" s="528"/>
      <c r="GK104" s="525">
        <f t="shared" si="440"/>
        <v>0</v>
      </c>
      <c r="GL104" s="528">
        <f t="shared" si="727"/>
        <v>0</v>
      </c>
      <c r="GM104" s="565">
        <f t="shared" si="468"/>
        <v>0</v>
      </c>
      <c r="GO104" s="586"/>
      <c r="GQ104" s="586"/>
      <c r="GT104" s="551">
        <f t="shared" si="558"/>
        <v>0</v>
      </c>
      <c r="GU104" s="551">
        <f t="shared" si="471"/>
        <v>0</v>
      </c>
      <c r="GV104" s="550">
        <f t="shared" si="441"/>
        <v>0</v>
      </c>
      <c r="GW104" s="527"/>
      <c r="GX104" s="525">
        <f t="shared" si="664"/>
        <v>0</v>
      </c>
      <c r="GY104" s="528"/>
      <c r="GZ104" s="525">
        <f t="shared" si="665"/>
        <v>0</v>
      </c>
      <c r="HA104" s="528"/>
      <c r="HB104" s="526">
        <f t="shared" si="666"/>
        <v>0</v>
      </c>
      <c r="HD104" s="527"/>
      <c r="HE104" s="525">
        <v>0</v>
      </c>
      <c r="HF104" s="528"/>
      <c r="HG104" s="525">
        <v>0</v>
      </c>
      <c r="HH104" s="528"/>
      <c r="HI104" s="526">
        <v>0</v>
      </c>
    </row>
    <row r="105" spans="1:217" ht="15" customHeight="1" outlineLevel="1">
      <c r="A105" s="386" t="s">
        <v>88</v>
      </c>
      <c r="B105" s="386" t="s">
        <v>95</v>
      </c>
      <c r="C105" s="375">
        <v>0</v>
      </c>
      <c r="D105" s="4"/>
      <c r="E105" s="375">
        <v>0</v>
      </c>
      <c r="F105" s="4"/>
      <c r="G105" s="375"/>
      <c r="H105" s="375"/>
      <c r="I105" s="4"/>
      <c r="J105" s="375"/>
      <c r="K105" s="375"/>
      <c r="L105" s="4"/>
      <c r="M105" s="375"/>
      <c r="N105" s="375">
        <v>0</v>
      </c>
      <c r="O105" s="4"/>
      <c r="P105" s="375">
        <f t="shared" si="421"/>
        <v>0</v>
      </c>
      <c r="Q105" s="375">
        <f t="shared" si="421"/>
        <v>0</v>
      </c>
      <c r="R105" s="7">
        <f t="shared" si="442"/>
        <v>0</v>
      </c>
      <c r="S105" s="375"/>
      <c r="T105" s="375"/>
      <c r="U105" s="4"/>
      <c r="V105" s="375"/>
      <c r="W105" s="375"/>
      <c r="X105" s="4"/>
      <c r="Y105" s="375"/>
      <c r="Z105" s="375"/>
      <c r="AA105" s="4"/>
      <c r="AB105" s="375">
        <f t="shared" si="684"/>
        <v>0</v>
      </c>
      <c r="AC105" s="375">
        <f t="shared" si="533"/>
        <v>0</v>
      </c>
      <c r="AD105" s="7">
        <f t="shared" si="443"/>
        <v>0</v>
      </c>
      <c r="AE105" s="375">
        <f t="shared" si="685"/>
        <v>0</v>
      </c>
      <c r="AF105" s="375">
        <f t="shared" si="686"/>
        <v>0</v>
      </c>
      <c r="AG105" s="4"/>
      <c r="AH105" s="375"/>
      <c r="AI105" s="375"/>
      <c r="AJ105" s="4"/>
      <c r="AK105" s="375"/>
      <c r="AL105" s="375"/>
      <c r="AM105" s="4"/>
      <c r="AN105" s="375"/>
      <c r="AO105" s="375"/>
      <c r="AP105" s="4"/>
      <c r="AQ105" s="375">
        <f t="shared" si="687"/>
        <v>0</v>
      </c>
      <c r="AR105" s="375">
        <f t="shared" si="688"/>
        <v>0</v>
      </c>
      <c r="AS105" s="7">
        <f t="shared" si="444"/>
        <v>0</v>
      </c>
      <c r="AT105" s="375">
        <f t="shared" si="633"/>
        <v>0</v>
      </c>
      <c r="AU105" s="4"/>
      <c r="AV105" s="375"/>
      <c r="AW105" s="375"/>
      <c r="AX105" s="4"/>
      <c r="AY105" s="375"/>
      <c r="AZ105" s="375"/>
      <c r="BA105" s="4"/>
      <c r="BB105" s="375"/>
      <c r="BC105" s="375"/>
      <c r="BD105" s="448"/>
      <c r="BE105" s="375">
        <f t="shared" si="689"/>
        <v>0</v>
      </c>
      <c r="BF105" s="375">
        <f t="shared" si="690"/>
        <v>0</v>
      </c>
      <c r="BG105" s="7">
        <f t="shared" si="445"/>
        <v>0</v>
      </c>
      <c r="BH105" s="375">
        <f t="shared" si="691"/>
        <v>0</v>
      </c>
      <c r="BI105" s="388">
        <f t="shared" si="692"/>
        <v>0</v>
      </c>
      <c r="BJ105" s="7">
        <f t="shared" si="446"/>
        <v>0</v>
      </c>
      <c r="BK105" s="375">
        <v>0</v>
      </c>
      <c r="BL105" s="282"/>
      <c r="BM105" s="378"/>
      <c r="BN105" s="375"/>
      <c r="BO105" s="4"/>
      <c r="BP105" s="375"/>
      <c r="BQ105" s="4"/>
      <c r="BR105" s="375"/>
      <c r="BS105" s="4"/>
      <c r="BT105" s="375">
        <f t="shared" si="693"/>
        <v>0</v>
      </c>
      <c r="BU105" s="7">
        <f t="shared" si="447"/>
        <v>0</v>
      </c>
      <c r="BV105" s="375"/>
      <c r="BW105" s="7"/>
      <c r="BX105" s="375"/>
      <c r="BY105" s="7"/>
      <c r="BZ105" s="375">
        <f t="shared" si="694"/>
        <v>0</v>
      </c>
      <c r="CA105" s="7"/>
      <c r="CB105" s="375">
        <f t="shared" si="695"/>
        <v>0</v>
      </c>
      <c r="CC105" s="7">
        <f t="shared" si="534"/>
        <v>0</v>
      </c>
      <c r="CD105" s="375">
        <f t="shared" si="696"/>
        <v>0</v>
      </c>
      <c r="CE105" s="7">
        <f t="shared" si="448"/>
        <v>0</v>
      </c>
      <c r="CF105" s="375">
        <f t="shared" si="697"/>
        <v>0</v>
      </c>
      <c r="CG105" s="7">
        <f t="shared" si="449"/>
        <v>0</v>
      </c>
      <c r="CH105" s="375">
        <f t="shared" si="698"/>
        <v>0</v>
      </c>
      <c r="CI105" s="7">
        <f t="shared" si="449"/>
        <v>0</v>
      </c>
      <c r="CJ105" s="375">
        <f t="shared" si="699"/>
        <v>0</v>
      </c>
      <c r="CK105" s="7">
        <f t="shared" si="449"/>
        <v>0</v>
      </c>
      <c r="CL105" s="375">
        <f t="shared" si="700"/>
        <v>0</v>
      </c>
      <c r="CM105" s="7">
        <f t="shared" si="449"/>
        <v>0</v>
      </c>
      <c r="CN105" s="375">
        <f t="shared" si="701"/>
        <v>0</v>
      </c>
      <c r="CO105" s="7">
        <f t="shared" si="639"/>
        <v>0</v>
      </c>
      <c r="CP105" s="375">
        <v>0</v>
      </c>
      <c r="CQ105" s="7">
        <f t="shared" ref="CQ105:CQ136" si="728">+CP105/CP$8</f>
        <v>0</v>
      </c>
      <c r="CR105" s="375">
        <f t="shared" si="702"/>
        <v>0</v>
      </c>
      <c r="CS105" s="7">
        <f t="shared" si="641"/>
        <v>0</v>
      </c>
      <c r="CT105" s="375">
        <v>0</v>
      </c>
      <c r="CU105" s="7">
        <f t="shared" si="611"/>
        <v>0</v>
      </c>
      <c r="CV105" s="375">
        <v>0</v>
      </c>
      <c r="CW105" s="7">
        <f t="shared" si="452"/>
        <v>0</v>
      </c>
      <c r="CX105" s="375">
        <f t="shared" si="703"/>
        <v>0</v>
      </c>
      <c r="CY105" s="7">
        <f t="shared" ref="CY105:CY136" si="729">+CX105/CX$8</f>
        <v>0</v>
      </c>
      <c r="CZ105" s="375">
        <f t="shared" si="704"/>
        <v>0</v>
      </c>
      <c r="DA105" s="7">
        <f t="shared" si="453"/>
        <v>0</v>
      </c>
      <c r="DB105" s="375">
        <f t="shared" si="705"/>
        <v>0</v>
      </c>
      <c r="DC105" s="7">
        <f t="shared" si="642"/>
        <v>0</v>
      </c>
      <c r="DD105" s="375">
        <f t="shared" si="706"/>
        <v>0</v>
      </c>
      <c r="DE105" s="7">
        <f t="shared" si="642"/>
        <v>0</v>
      </c>
      <c r="DF105" s="375">
        <f t="shared" si="707"/>
        <v>0</v>
      </c>
      <c r="DG105" s="7">
        <f t="shared" si="642"/>
        <v>0</v>
      </c>
      <c r="DH105" s="375">
        <f t="shared" si="708"/>
        <v>0</v>
      </c>
      <c r="DI105" s="7">
        <f t="shared" ref="DI105:DI136" si="730">+DH105/DH$8</f>
        <v>0</v>
      </c>
      <c r="DJ105" s="375"/>
      <c r="DK105" s="7">
        <f t="shared" si="643"/>
        <v>0</v>
      </c>
      <c r="DL105" s="375">
        <f t="shared" si="709"/>
        <v>0</v>
      </c>
      <c r="DM105" s="7">
        <f t="shared" si="644"/>
        <v>0</v>
      </c>
      <c r="DN105" s="375">
        <f t="shared" si="710"/>
        <v>0</v>
      </c>
      <c r="DO105" s="7">
        <f t="shared" si="645"/>
        <v>0</v>
      </c>
      <c r="DP105" s="375">
        <f t="shared" si="711"/>
        <v>0</v>
      </c>
      <c r="DQ105" s="7">
        <f t="shared" si="646"/>
        <v>0</v>
      </c>
      <c r="DR105" s="375">
        <f t="shared" si="712"/>
        <v>0</v>
      </c>
      <c r="DS105" s="7">
        <f t="shared" ref="DS105:DS136" si="731">+DR105/DR$8</f>
        <v>0</v>
      </c>
      <c r="DT105" s="375">
        <f t="shared" si="713"/>
        <v>0</v>
      </c>
      <c r="DU105" s="7">
        <f t="shared" si="454"/>
        <v>0</v>
      </c>
      <c r="DV105" s="375"/>
      <c r="DW105" s="7">
        <f t="shared" si="647"/>
        <v>0</v>
      </c>
      <c r="DX105" s="375"/>
      <c r="DY105" s="7">
        <f t="shared" si="648"/>
        <v>0</v>
      </c>
      <c r="DZ105" s="375"/>
      <c r="EA105" s="7">
        <f t="shared" si="649"/>
        <v>0</v>
      </c>
      <c r="EB105" s="375">
        <f>+DV105+DX105+DZ105</f>
        <v>0</v>
      </c>
      <c r="EC105" s="7">
        <f t="shared" si="427"/>
        <v>0</v>
      </c>
      <c r="ED105" s="375">
        <f t="shared" si="715"/>
        <v>0</v>
      </c>
      <c r="EE105" s="7">
        <f t="shared" si="455"/>
        <v>0</v>
      </c>
      <c r="EF105" s="375"/>
      <c r="EG105" s="7">
        <f t="shared" si="650"/>
        <v>0</v>
      </c>
      <c r="EH105" s="375"/>
      <c r="EI105" s="7">
        <f t="shared" si="651"/>
        <v>0</v>
      </c>
      <c r="EJ105" s="375"/>
      <c r="EK105" s="7">
        <f t="shared" si="652"/>
        <v>0</v>
      </c>
      <c r="EL105" s="375">
        <f t="shared" si="716"/>
        <v>0</v>
      </c>
      <c r="EM105" s="7">
        <f t="shared" si="428"/>
        <v>0</v>
      </c>
      <c r="EN105" s="375">
        <f t="shared" si="717"/>
        <v>0</v>
      </c>
      <c r="EO105" s="7">
        <f t="shared" si="456"/>
        <v>0</v>
      </c>
      <c r="EP105" s="373"/>
      <c r="EQ105" s="373"/>
      <c r="ER105" s="373"/>
      <c r="ES105" s="373"/>
      <c r="ET105" s="375"/>
      <c r="EU105" s="7">
        <f t="shared" si="653"/>
        <v>0</v>
      </c>
      <c r="EV105" s="375"/>
      <c r="EW105" s="7">
        <f t="shared" si="654"/>
        <v>0</v>
      </c>
      <c r="EX105" s="375"/>
      <c r="EY105" s="7">
        <f t="shared" si="655"/>
        <v>0</v>
      </c>
      <c r="EZ105" s="375">
        <f t="shared" si="718"/>
        <v>0</v>
      </c>
      <c r="FA105" s="7">
        <f t="shared" si="429"/>
        <v>0</v>
      </c>
      <c r="FB105" s="375"/>
      <c r="FC105" s="7">
        <f t="shared" si="656"/>
        <v>0</v>
      </c>
      <c r="FD105" s="375"/>
      <c r="FE105" s="7">
        <f t="shared" si="612"/>
        <v>0</v>
      </c>
      <c r="FF105" s="375"/>
      <c r="FG105" s="7">
        <f t="shared" si="430"/>
        <v>0</v>
      </c>
      <c r="FH105" s="375">
        <f t="shared" si="719"/>
        <v>0</v>
      </c>
      <c r="FI105" s="7">
        <f t="shared" si="431"/>
        <v>0</v>
      </c>
      <c r="FJ105" s="375">
        <f t="shared" si="720"/>
        <v>0</v>
      </c>
      <c r="FK105" s="7">
        <f t="shared" si="459"/>
        <v>0</v>
      </c>
      <c r="FL105" s="375"/>
      <c r="FM105" s="7">
        <f t="shared" si="658"/>
        <v>0</v>
      </c>
      <c r="FN105" s="375"/>
      <c r="FO105" s="7">
        <f t="shared" si="432"/>
        <v>0</v>
      </c>
      <c r="FP105" s="375"/>
      <c r="FQ105" s="7">
        <f t="shared" si="433"/>
        <v>0</v>
      </c>
      <c r="FR105" s="375">
        <f t="shared" si="721"/>
        <v>0</v>
      </c>
      <c r="FS105" s="7">
        <f t="shared" si="434"/>
        <v>0</v>
      </c>
      <c r="FT105" s="375">
        <f t="shared" si="722"/>
        <v>0</v>
      </c>
      <c r="FU105" s="7">
        <f t="shared" si="462"/>
        <v>0</v>
      </c>
      <c r="FV105" s="375"/>
      <c r="FW105" s="7">
        <f t="shared" si="660"/>
        <v>0</v>
      </c>
      <c r="FX105" s="375"/>
      <c r="FY105" s="7">
        <f t="shared" si="435"/>
        <v>0</v>
      </c>
      <c r="FZ105" s="375"/>
      <c r="GA105" s="7">
        <f t="shared" si="436"/>
        <v>0</v>
      </c>
      <c r="GB105" s="375">
        <f t="shared" si="723"/>
        <v>0</v>
      </c>
      <c r="GC105" s="7">
        <f t="shared" si="437"/>
        <v>0</v>
      </c>
      <c r="GD105" s="375">
        <f t="shared" si="724"/>
        <v>0</v>
      </c>
      <c r="GE105" s="7">
        <f t="shared" si="465"/>
        <v>0</v>
      </c>
      <c r="GF105" s="566">
        <f t="shared" si="725"/>
        <v>0</v>
      </c>
      <c r="GG105" s="525">
        <f t="shared" si="438"/>
        <v>0</v>
      </c>
      <c r="GH105" s="528">
        <f t="shared" si="726"/>
        <v>0</v>
      </c>
      <c r="GI105" s="525">
        <f t="shared" si="439"/>
        <v>0</v>
      </c>
      <c r="GJ105" s="528"/>
      <c r="GK105" s="525">
        <f t="shared" si="440"/>
        <v>0</v>
      </c>
      <c r="GL105" s="528">
        <f t="shared" si="727"/>
        <v>0</v>
      </c>
      <c r="GM105" s="565">
        <f t="shared" si="468"/>
        <v>0</v>
      </c>
      <c r="GO105" s="586"/>
      <c r="GQ105" s="586"/>
      <c r="GT105" s="551">
        <f t="shared" si="558"/>
        <v>0</v>
      </c>
      <c r="GU105" s="551">
        <f t="shared" si="471"/>
        <v>0</v>
      </c>
      <c r="GV105" s="550">
        <f t="shared" ref="GV105:GV136" si="732">+GW105-FJ105</f>
        <v>0</v>
      </c>
      <c r="GW105" s="527"/>
      <c r="GX105" s="525">
        <f t="shared" si="664"/>
        <v>0</v>
      </c>
      <c r="GY105" s="528"/>
      <c r="GZ105" s="525">
        <f t="shared" si="665"/>
        <v>0</v>
      </c>
      <c r="HA105" s="528"/>
      <c r="HB105" s="526">
        <f t="shared" si="666"/>
        <v>0</v>
      </c>
      <c r="HD105" s="527"/>
      <c r="HE105" s="525">
        <v>0</v>
      </c>
      <c r="HF105" s="528"/>
      <c r="HG105" s="525">
        <v>0</v>
      </c>
      <c r="HH105" s="528"/>
      <c r="HI105" s="526">
        <v>0</v>
      </c>
    </row>
    <row r="106" spans="1:217" ht="15" customHeight="1" outlineLevel="1">
      <c r="A106" s="386" t="s">
        <v>88</v>
      </c>
      <c r="B106" s="386" t="s">
        <v>96</v>
      </c>
      <c r="C106" s="375">
        <v>0</v>
      </c>
      <c r="D106" s="4"/>
      <c r="E106" s="375">
        <v>0</v>
      </c>
      <c r="F106" s="4"/>
      <c r="G106" s="375"/>
      <c r="H106" s="375"/>
      <c r="I106" s="4"/>
      <c r="J106" s="375"/>
      <c r="K106" s="375"/>
      <c r="L106" s="4"/>
      <c r="M106" s="375"/>
      <c r="N106" s="375">
        <v>0</v>
      </c>
      <c r="O106" s="4"/>
      <c r="P106" s="375">
        <f t="shared" si="421"/>
        <v>0</v>
      </c>
      <c r="Q106" s="375">
        <f t="shared" si="421"/>
        <v>0</v>
      </c>
      <c r="R106" s="7">
        <f t="shared" si="442"/>
        <v>0</v>
      </c>
      <c r="S106" s="375"/>
      <c r="T106" s="375"/>
      <c r="U106" s="4"/>
      <c r="V106" s="375"/>
      <c r="W106" s="375"/>
      <c r="X106" s="4"/>
      <c r="Y106" s="375"/>
      <c r="Z106" s="375"/>
      <c r="AA106" s="4"/>
      <c r="AB106" s="375">
        <f t="shared" si="684"/>
        <v>0</v>
      </c>
      <c r="AC106" s="375">
        <f t="shared" si="533"/>
        <v>0</v>
      </c>
      <c r="AD106" s="7">
        <f t="shared" si="443"/>
        <v>0</v>
      </c>
      <c r="AE106" s="375">
        <f t="shared" si="685"/>
        <v>0</v>
      </c>
      <c r="AF106" s="375">
        <f t="shared" si="686"/>
        <v>0</v>
      </c>
      <c r="AG106" s="4"/>
      <c r="AH106" s="375"/>
      <c r="AI106" s="375"/>
      <c r="AJ106" s="4"/>
      <c r="AK106" s="375"/>
      <c r="AL106" s="375"/>
      <c r="AM106" s="4"/>
      <c r="AN106" s="375"/>
      <c r="AO106" s="375"/>
      <c r="AP106" s="4"/>
      <c r="AQ106" s="375">
        <f t="shared" si="687"/>
        <v>0</v>
      </c>
      <c r="AR106" s="375">
        <f t="shared" si="688"/>
        <v>0</v>
      </c>
      <c r="AS106" s="7">
        <f t="shared" si="444"/>
        <v>0</v>
      </c>
      <c r="AT106" s="375">
        <f t="shared" si="633"/>
        <v>0</v>
      </c>
      <c r="AU106" s="4"/>
      <c r="AV106" s="375"/>
      <c r="AW106" s="375"/>
      <c r="AX106" s="4"/>
      <c r="AY106" s="375"/>
      <c r="AZ106" s="375"/>
      <c r="BA106" s="4"/>
      <c r="BB106" s="375"/>
      <c r="BC106" s="375"/>
      <c r="BD106" s="448"/>
      <c r="BE106" s="375">
        <f t="shared" si="689"/>
        <v>0</v>
      </c>
      <c r="BF106" s="375">
        <f t="shared" si="690"/>
        <v>0</v>
      </c>
      <c r="BG106" s="7">
        <f t="shared" si="445"/>
        <v>0</v>
      </c>
      <c r="BH106" s="375">
        <f t="shared" si="691"/>
        <v>0</v>
      </c>
      <c r="BI106" s="388">
        <f t="shared" si="692"/>
        <v>0</v>
      </c>
      <c r="BJ106" s="7">
        <f t="shared" si="446"/>
        <v>0</v>
      </c>
      <c r="BK106" s="375">
        <v>0</v>
      </c>
      <c r="BL106" s="282"/>
      <c r="BM106" s="378"/>
      <c r="BN106" s="375"/>
      <c r="BO106" s="4"/>
      <c r="BP106" s="375"/>
      <c r="BQ106" s="4"/>
      <c r="BR106" s="375"/>
      <c r="BS106" s="4"/>
      <c r="BT106" s="375">
        <f t="shared" si="693"/>
        <v>0</v>
      </c>
      <c r="BU106" s="7">
        <f t="shared" si="447"/>
        <v>0</v>
      </c>
      <c r="BV106" s="375"/>
      <c r="BW106" s="7"/>
      <c r="BX106" s="375"/>
      <c r="BY106" s="7"/>
      <c r="BZ106" s="375">
        <f t="shared" si="694"/>
        <v>0</v>
      </c>
      <c r="CA106" s="7"/>
      <c r="CB106" s="375">
        <f t="shared" si="695"/>
        <v>0</v>
      </c>
      <c r="CC106" s="7">
        <f t="shared" si="534"/>
        <v>0</v>
      </c>
      <c r="CD106" s="375">
        <f t="shared" si="696"/>
        <v>0</v>
      </c>
      <c r="CE106" s="7">
        <f t="shared" si="448"/>
        <v>0</v>
      </c>
      <c r="CF106" s="375">
        <f t="shared" si="697"/>
        <v>0</v>
      </c>
      <c r="CG106" s="7">
        <f t="shared" si="449"/>
        <v>0</v>
      </c>
      <c r="CH106" s="375">
        <f t="shared" si="698"/>
        <v>0</v>
      </c>
      <c r="CI106" s="7">
        <f t="shared" si="449"/>
        <v>0</v>
      </c>
      <c r="CJ106" s="375">
        <f t="shared" si="699"/>
        <v>0</v>
      </c>
      <c r="CK106" s="7">
        <f t="shared" si="449"/>
        <v>0</v>
      </c>
      <c r="CL106" s="375">
        <f t="shared" si="700"/>
        <v>0</v>
      </c>
      <c r="CM106" s="7">
        <f t="shared" si="449"/>
        <v>0</v>
      </c>
      <c r="CN106" s="375">
        <f t="shared" si="701"/>
        <v>0</v>
      </c>
      <c r="CO106" s="7">
        <f t="shared" si="639"/>
        <v>0</v>
      </c>
      <c r="CP106" s="375">
        <v>0</v>
      </c>
      <c r="CQ106" s="7">
        <f t="shared" si="728"/>
        <v>0</v>
      </c>
      <c r="CR106" s="375">
        <f t="shared" si="702"/>
        <v>0</v>
      </c>
      <c r="CS106" s="7">
        <f t="shared" si="641"/>
        <v>0</v>
      </c>
      <c r="CT106" s="375">
        <v>0</v>
      </c>
      <c r="CU106" s="7">
        <f t="shared" si="611"/>
        <v>0</v>
      </c>
      <c r="CV106" s="375">
        <v>0</v>
      </c>
      <c r="CW106" s="7">
        <f t="shared" si="452"/>
        <v>0</v>
      </c>
      <c r="CX106" s="375">
        <f t="shared" si="703"/>
        <v>0</v>
      </c>
      <c r="CY106" s="7">
        <f t="shared" si="729"/>
        <v>0</v>
      </c>
      <c r="CZ106" s="375">
        <f t="shared" si="704"/>
        <v>0</v>
      </c>
      <c r="DA106" s="7">
        <f t="shared" si="453"/>
        <v>0</v>
      </c>
      <c r="DB106" s="375">
        <f t="shared" si="705"/>
        <v>0</v>
      </c>
      <c r="DC106" s="7">
        <f t="shared" si="642"/>
        <v>0</v>
      </c>
      <c r="DD106" s="375">
        <f t="shared" si="706"/>
        <v>0</v>
      </c>
      <c r="DE106" s="7">
        <f t="shared" si="642"/>
        <v>0</v>
      </c>
      <c r="DF106" s="375">
        <f t="shared" si="707"/>
        <v>0</v>
      </c>
      <c r="DG106" s="7">
        <f t="shared" si="642"/>
        <v>0</v>
      </c>
      <c r="DH106" s="375">
        <f t="shared" si="708"/>
        <v>0</v>
      </c>
      <c r="DI106" s="7">
        <f t="shared" si="730"/>
        <v>0</v>
      </c>
      <c r="DJ106" s="375"/>
      <c r="DK106" s="7">
        <f t="shared" si="643"/>
        <v>0</v>
      </c>
      <c r="DL106" s="375">
        <f t="shared" si="709"/>
        <v>0</v>
      </c>
      <c r="DM106" s="7">
        <f t="shared" si="644"/>
        <v>0</v>
      </c>
      <c r="DN106" s="375">
        <f t="shared" si="710"/>
        <v>0</v>
      </c>
      <c r="DO106" s="7">
        <f t="shared" si="645"/>
        <v>0</v>
      </c>
      <c r="DP106" s="375">
        <f t="shared" si="711"/>
        <v>0</v>
      </c>
      <c r="DQ106" s="7">
        <f t="shared" si="646"/>
        <v>0</v>
      </c>
      <c r="DR106" s="375">
        <f t="shared" si="712"/>
        <v>0</v>
      </c>
      <c r="DS106" s="7">
        <f t="shared" si="731"/>
        <v>0</v>
      </c>
      <c r="DT106" s="375">
        <f t="shared" si="713"/>
        <v>0</v>
      </c>
      <c r="DU106" s="7">
        <f t="shared" si="454"/>
        <v>0</v>
      </c>
      <c r="DV106" s="375"/>
      <c r="DW106" s="7">
        <f t="shared" si="647"/>
        <v>0</v>
      </c>
      <c r="DX106" s="375"/>
      <c r="DY106" s="7">
        <f t="shared" si="648"/>
        <v>0</v>
      </c>
      <c r="DZ106" s="375"/>
      <c r="EA106" s="7">
        <f t="shared" si="649"/>
        <v>0</v>
      </c>
      <c r="EB106" s="375">
        <f t="shared" si="714"/>
        <v>0</v>
      </c>
      <c r="EC106" s="7">
        <f t="shared" si="427"/>
        <v>0</v>
      </c>
      <c r="ED106" s="375">
        <f t="shared" si="715"/>
        <v>0</v>
      </c>
      <c r="EE106" s="7">
        <f t="shared" si="455"/>
        <v>0</v>
      </c>
      <c r="EF106" s="375"/>
      <c r="EG106" s="7">
        <f t="shared" si="650"/>
        <v>0</v>
      </c>
      <c r="EH106" s="375"/>
      <c r="EI106" s="7">
        <f t="shared" si="651"/>
        <v>0</v>
      </c>
      <c r="EJ106" s="375"/>
      <c r="EK106" s="7">
        <f t="shared" si="652"/>
        <v>0</v>
      </c>
      <c r="EL106" s="375">
        <f t="shared" si="716"/>
        <v>0</v>
      </c>
      <c r="EM106" s="7">
        <f t="shared" si="428"/>
        <v>0</v>
      </c>
      <c r="EN106" s="375">
        <f t="shared" si="717"/>
        <v>0</v>
      </c>
      <c r="EO106" s="7">
        <f t="shared" si="456"/>
        <v>0</v>
      </c>
      <c r="EP106" s="373"/>
      <c r="EQ106" s="373"/>
      <c r="ER106" s="373"/>
      <c r="ES106" s="373"/>
      <c r="ET106" s="375"/>
      <c r="EU106" s="7">
        <f t="shared" si="653"/>
        <v>0</v>
      </c>
      <c r="EV106" s="375"/>
      <c r="EW106" s="7">
        <f t="shared" si="654"/>
        <v>0</v>
      </c>
      <c r="EX106" s="375"/>
      <c r="EY106" s="7">
        <f t="shared" si="655"/>
        <v>0</v>
      </c>
      <c r="EZ106" s="375">
        <f t="shared" si="718"/>
        <v>0</v>
      </c>
      <c r="FA106" s="7">
        <f t="shared" si="429"/>
        <v>0</v>
      </c>
      <c r="FB106" s="375"/>
      <c r="FC106" s="7">
        <f t="shared" si="656"/>
        <v>0</v>
      </c>
      <c r="FD106" s="375"/>
      <c r="FE106" s="7">
        <f t="shared" si="612"/>
        <v>0</v>
      </c>
      <c r="FF106" s="375"/>
      <c r="FG106" s="7">
        <f t="shared" si="430"/>
        <v>0</v>
      </c>
      <c r="FH106" s="375">
        <f t="shared" si="719"/>
        <v>0</v>
      </c>
      <c r="FI106" s="7">
        <f t="shared" si="431"/>
        <v>0</v>
      </c>
      <c r="FJ106" s="375">
        <f t="shared" si="720"/>
        <v>0</v>
      </c>
      <c r="FK106" s="7">
        <f t="shared" si="459"/>
        <v>0</v>
      </c>
      <c r="FL106" s="375"/>
      <c r="FM106" s="7">
        <f t="shared" si="658"/>
        <v>0</v>
      </c>
      <c r="FN106" s="375"/>
      <c r="FO106" s="7">
        <f t="shared" si="432"/>
        <v>0</v>
      </c>
      <c r="FP106" s="375"/>
      <c r="FQ106" s="7">
        <f t="shared" si="433"/>
        <v>0</v>
      </c>
      <c r="FR106" s="375">
        <f t="shared" si="721"/>
        <v>0</v>
      </c>
      <c r="FS106" s="7">
        <f t="shared" si="434"/>
        <v>0</v>
      </c>
      <c r="FT106" s="375">
        <f t="shared" si="722"/>
        <v>0</v>
      </c>
      <c r="FU106" s="7">
        <f t="shared" si="462"/>
        <v>0</v>
      </c>
      <c r="FV106" s="375"/>
      <c r="FW106" s="7">
        <f t="shared" si="660"/>
        <v>0</v>
      </c>
      <c r="FX106" s="375"/>
      <c r="FY106" s="7">
        <f t="shared" si="435"/>
        <v>0</v>
      </c>
      <c r="FZ106" s="375"/>
      <c r="GA106" s="7">
        <f t="shared" si="436"/>
        <v>0</v>
      </c>
      <c r="GB106" s="375">
        <f t="shared" si="723"/>
        <v>0</v>
      </c>
      <c r="GC106" s="7">
        <f t="shared" si="437"/>
        <v>0</v>
      </c>
      <c r="GD106" s="375">
        <f t="shared" si="724"/>
        <v>0</v>
      </c>
      <c r="GE106" s="7">
        <f t="shared" si="465"/>
        <v>0</v>
      </c>
      <c r="GF106" s="566">
        <f t="shared" si="725"/>
        <v>0</v>
      </c>
      <c r="GG106" s="525">
        <f t="shared" si="438"/>
        <v>0</v>
      </c>
      <c r="GH106" s="528">
        <f t="shared" si="726"/>
        <v>0</v>
      </c>
      <c r="GI106" s="525">
        <f t="shared" si="439"/>
        <v>0</v>
      </c>
      <c r="GJ106" s="528"/>
      <c r="GK106" s="525">
        <f t="shared" si="440"/>
        <v>0</v>
      </c>
      <c r="GL106" s="528">
        <f t="shared" si="727"/>
        <v>0</v>
      </c>
      <c r="GM106" s="565">
        <f t="shared" si="468"/>
        <v>0</v>
      </c>
      <c r="GO106" s="586"/>
      <c r="GQ106" s="586"/>
      <c r="GT106" s="551">
        <f t="shared" si="558"/>
        <v>0</v>
      </c>
      <c r="GU106" s="551">
        <f t="shared" si="471"/>
        <v>0</v>
      </c>
      <c r="GV106" s="550">
        <f t="shared" si="732"/>
        <v>0</v>
      </c>
      <c r="GW106" s="527"/>
      <c r="GX106" s="525">
        <f t="shared" si="664"/>
        <v>0</v>
      </c>
      <c r="GY106" s="528"/>
      <c r="GZ106" s="525">
        <f t="shared" si="665"/>
        <v>0</v>
      </c>
      <c r="HA106" s="528"/>
      <c r="HB106" s="526">
        <f t="shared" si="666"/>
        <v>0</v>
      </c>
      <c r="HD106" s="527"/>
      <c r="HE106" s="525">
        <v>0</v>
      </c>
      <c r="HF106" s="528"/>
      <c r="HG106" s="525">
        <v>0</v>
      </c>
      <c r="HH106" s="528"/>
      <c r="HI106" s="526">
        <v>0</v>
      </c>
    </row>
    <row r="107" spans="1:217" hidden="1">
      <c r="A107" s="386" t="s">
        <v>88</v>
      </c>
      <c r="B107" s="386"/>
      <c r="C107" s="389">
        <f>SUM(C99:C106)</f>
        <v>0</v>
      </c>
      <c r="D107" s="4"/>
      <c r="E107" s="389">
        <f>SUM(E99:E106)</f>
        <v>0</v>
      </c>
      <c r="F107" s="4"/>
      <c r="G107" s="389">
        <f>SUM(G99:G106)</f>
        <v>0</v>
      </c>
      <c r="H107" s="389"/>
      <c r="I107" s="4"/>
      <c r="J107" s="389">
        <f>SUM(J99:J106)</f>
        <v>0</v>
      </c>
      <c r="K107" s="389"/>
      <c r="L107" s="4"/>
      <c r="M107" s="389">
        <f>SUM(M99:M106)</f>
        <v>0</v>
      </c>
      <c r="N107" s="389">
        <f>SUM(N99:N106)</f>
        <v>0</v>
      </c>
      <c r="O107" s="4"/>
      <c r="P107" s="389">
        <f t="shared" si="421"/>
        <v>0</v>
      </c>
      <c r="Q107" s="389">
        <f t="shared" si="421"/>
        <v>0</v>
      </c>
      <c r="R107" s="7">
        <f t="shared" si="442"/>
        <v>0</v>
      </c>
      <c r="S107" s="389">
        <f>SUM(S99:S106)</f>
        <v>0</v>
      </c>
      <c r="T107" s="389">
        <f>SUM(T99:T106)</f>
        <v>0</v>
      </c>
      <c r="U107" s="4"/>
      <c r="V107" s="389">
        <f>SUM(V99:V106)</f>
        <v>0</v>
      </c>
      <c r="W107" s="389">
        <f>SUM(W99:W106)</f>
        <v>0</v>
      </c>
      <c r="X107" s="4"/>
      <c r="Y107" s="389">
        <f>SUM(Y99:Y106)</f>
        <v>0</v>
      </c>
      <c r="Z107" s="389">
        <f>SUM(Z99:Z106)</f>
        <v>0</v>
      </c>
      <c r="AA107" s="4"/>
      <c r="AB107" s="375">
        <f t="shared" si="684"/>
        <v>0</v>
      </c>
      <c r="AC107" s="375">
        <f t="shared" si="533"/>
        <v>0</v>
      </c>
      <c r="AD107" s="7">
        <f t="shared" si="443"/>
        <v>0</v>
      </c>
      <c r="AE107" s="375">
        <f t="shared" si="685"/>
        <v>0</v>
      </c>
      <c r="AF107" s="375">
        <f t="shared" si="686"/>
        <v>0</v>
      </c>
      <c r="AG107" s="4"/>
      <c r="AH107" s="389">
        <f>SUM(AH99:AH106)</f>
        <v>0</v>
      </c>
      <c r="AI107" s="389">
        <f>SUM(AI99:AI106)</f>
        <v>0</v>
      </c>
      <c r="AJ107" s="4"/>
      <c r="AK107" s="389">
        <f>SUM(AK99:AK106)</f>
        <v>0</v>
      </c>
      <c r="AL107" s="389">
        <f>SUM(AL99:AL106)</f>
        <v>0</v>
      </c>
      <c r="AM107" s="4"/>
      <c r="AN107" s="389">
        <f>SUM(AN99:AN106)</f>
        <v>0</v>
      </c>
      <c r="AO107" s="389">
        <f>SUM(AO99:AO106)</f>
        <v>0</v>
      </c>
      <c r="AP107" s="4"/>
      <c r="AQ107" s="389"/>
      <c r="AR107" s="389"/>
      <c r="AS107" s="7">
        <f t="shared" si="444"/>
        <v>0</v>
      </c>
      <c r="AT107" s="375">
        <f t="shared" si="633"/>
        <v>0</v>
      </c>
      <c r="AU107" s="4"/>
      <c r="AV107" s="389">
        <f>SUM(AV99:AV106)</f>
        <v>0</v>
      </c>
      <c r="AW107" s="389">
        <f>SUM(AW99:AW106)</f>
        <v>0</v>
      </c>
      <c r="AX107" s="4"/>
      <c r="AY107" s="389">
        <f>SUM(AY99:AY106)</f>
        <v>0</v>
      </c>
      <c r="AZ107" s="389">
        <f>SUM(AZ99:AZ106)</f>
        <v>0</v>
      </c>
      <c r="BA107" s="4"/>
      <c r="BB107" s="389">
        <f>SUM(BB99:BB106)</f>
        <v>0</v>
      </c>
      <c r="BC107" s="389">
        <f>SUM(BC99:BC106)</f>
        <v>0</v>
      </c>
      <c r="BD107" s="448"/>
      <c r="BE107" s="389"/>
      <c r="BF107" s="389"/>
      <c r="BG107" s="7">
        <f t="shared" si="445"/>
        <v>0</v>
      </c>
      <c r="BH107" s="375">
        <f t="shared" si="691"/>
        <v>0</v>
      </c>
      <c r="BI107" s="388">
        <f t="shared" si="692"/>
        <v>0</v>
      </c>
      <c r="BJ107" s="7">
        <f t="shared" si="446"/>
        <v>0</v>
      </c>
      <c r="BK107" s="389">
        <v>0</v>
      </c>
      <c r="BL107" s="282"/>
      <c r="BM107" s="378"/>
      <c r="BN107" s="389">
        <f>SUM(BN99:BN106)</f>
        <v>0</v>
      </c>
      <c r="BO107" s="4"/>
      <c r="BP107" s="389">
        <f>SUM(BP99:BP106)</f>
        <v>0</v>
      </c>
      <c r="BQ107" s="4"/>
      <c r="BR107" s="389">
        <f>SUM(BR99:BR106)</f>
        <v>0</v>
      </c>
      <c r="BS107" s="4"/>
      <c r="BT107" s="389">
        <f>SUM(BT99:BT106)</f>
        <v>0</v>
      </c>
      <c r="BU107" s="7">
        <f t="shared" si="447"/>
        <v>0</v>
      </c>
      <c r="BV107" s="389">
        <f>SUM(BV99:BV106)</f>
        <v>0</v>
      </c>
      <c r="BW107" s="7"/>
      <c r="BX107" s="389">
        <f>SUM(BX99:BX106)</f>
        <v>0</v>
      </c>
      <c r="BY107" s="7"/>
      <c r="BZ107" s="389">
        <f>SUM(BZ99:BZ106)</f>
        <v>0</v>
      </c>
      <c r="CA107" s="7"/>
      <c r="CB107" s="389">
        <f>SUM(CB99:CB106)</f>
        <v>0</v>
      </c>
      <c r="CC107" s="7">
        <f t="shared" si="534"/>
        <v>0</v>
      </c>
      <c r="CD107" s="389">
        <f>SUM(CD99:CD106)</f>
        <v>0</v>
      </c>
      <c r="CE107" s="7">
        <f t="shared" si="448"/>
        <v>0</v>
      </c>
      <c r="CF107" s="389">
        <f>SUM(CF99:CF106)</f>
        <v>0</v>
      </c>
      <c r="CG107" s="7">
        <f t="shared" si="449"/>
        <v>0</v>
      </c>
      <c r="CH107" s="389">
        <f>SUM(CH99:CH106)</f>
        <v>0</v>
      </c>
      <c r="CI107" s="7">
        <f t="shared" si="449"/>
        <v>0</v>
      </c>
      <c r="CJ107" s="389">
        <f>SUM(CJ99:CJ106)</f>
        <v>0</v>
      </c>
      <c r="CK107" s="7">
        <f t="shared" si="449"/>
        <v>0</v>
      </c>
      <c r="CL107" s="389">
        <f>SUM(CL99:CL106)</f>
        <v>0</v>
      </c>
      <c r="CM107" s="7">
        <f t="shared" si="449"/>
        <v>0</v>
      </c>
      <c r="CN107" s="375">
        <f t="shared" si="701"/>
        <v>0</v>
      </c>
      <c r="CO107" s="7">
        <f t="shared" si="639"/>
        <v>0</v>
      </c>
      <c r="CP107" s="389">
        <f>SUM(CP99:CP106)</f>
        <v>0</v>
      </c>
      <c r="CQ107" s="7">
        <f t="shared" si="728"/>
        <v>0</v>
      </c>
      <c r="CR107" s="375">
        <f t="shared" si="702"/>
        <v>0</v>
      </c>
      <c r="CS107" s="7">
        <f t="shared" si="641"/>
        <v>0</v>
      </c>
      <c r="CT107" s="389">
        <f t="shared" ref="CT107" si="733">SUM(CT99:CT106)</f>
        <v>0</v>
      </c>
      <c r="CU107" s="7">
        <f t="shared" si="611"/>
        <v>0</v>
      </c>
      <c r="CV107" s="389">
        <f t="shared" ref="CV107" si="734">SUM(CV99:CV106)</f>
        <v>0</v>
      </c>
      <c r="CW107" s="7">
        <f t="shared" si="452"/>
        <v>0</v>
      </c>
      <c r="CX107" s="375">
        <f t="shared" si="703"/>
        <v>0</v>
      </c>
      <c r="CY107" s="7">
        <f t="shared" si="729"/>
        <v>0</v>
      </c>
      <c r="CZ107" s="375">
        <f t="shared" si="704"/>
        <v>0</v>
      </c>
      <c r="DA107" s="7">
        <f t="shared" si="453"/>
        <v>0</v>
      </c>
      <c r="DB107" s="375">
        <f>SUM(DB99:DB106)</f>
        <v>0</v>
      </c>
      <c r="DC107" s="7">
        <f t="shared" si="642"/>
        <v>0</v>
      </c>
      <c r="DD107" s="375">
        <f>SUM(DD99:DD106)</f>
        <v>0</v>
      </c>
      <c r="DE107" s="7">
        <f t="shared" si="642"/>
        <v>0</v>
      </c>
      <c r="DF107" s="375">
        <f>SUM(DF99:DF106)</f>
        <v>0</v>
      </c>
      <c r="DG107" s="7">
        <f t="shared" si="642"/>
        <v>0</v>
      </c>
      <c r="DH107" s="389">
        <f>SUM(DH99:DH106)</f>
        <v>0</v>
      </c>
      <c r="DI107" s="7">
        <f t="shared" si="730"/>
        <v>0</v>
      </c>
      <c r="DJ107" s="375"/>
      <c r="DK107" s="7">
        <f t="shared" si="643"/>
        <v>0</v>
      </c>
      <c r="DL107" s="375">
        <f>SUM(DL99:DL106)</f>
        <v>0</v>
      </c>
      <c r="DM107" s="7">
        <f t="shared" si="644"/>
        <v>0</v>
      </c>
      <c r="DN107" s="375">
        <f>SUM(DN99:DN106)</f>
        <v>0</v>
      </c>
      <c r="DO107" s="7">
        <f t="shared" si="645"/>
        <v>0</v>
      </c>
      <c r="DP107" s="375">
        <f>SUM(DP99:DP106)</f>
        <v>0</v>
      </c>
      <c r="DQ107" s="7">
        <f t="shared" si="646"/>
        <v>0</v>
      </c>
      <c r="DR107" s="389">
        <f>SUM(DR99:DR106)</f>
        <v>0</v>
      </c>
      <c r="DS107" s="7">
        <f t="shared" si="731"/>
        <v>0</v>
      </c>
      <c r="DT107" s="389">
        <f t="shared" si="713"/>
        <v>0</v>
      </c>
      <c r="DU107" s="7">
        <f t="shared" si="454"/>
        <v>0</v>
      </c>
      <c r="DV107" s="375">
        <f>SUM(DV99:DV106)</f>
        <v>0</v>
      </c>
      <c r="DW107" s="7">
        <f t="shared" si="647"/>
        <v>0</v>
      </c>
      <c r="DX107" s="375">
        <f>SUM(DX99:DX106)</f>
        <v>0</v>
      </c>
      <c r="DY107" s="7">
        <f t="shared" si="648"/>
        <v>0</v>
      </c>
      <c r="DZ107" s="375">
        <f>SUM(DZ99:DZ106)</f>
        <v>0</v>
      </c>
      <c r="EA107" s="7">
        <f t="shared" si="649"/>
        <v>0</v>
      </c>
      <c r="EB107" s="389">
        <f>SUM(EB99:EB106)</f>
        <v>0</v>
      </c>
      <c r="EC107" s="7">
        <f t="shared" si="427"/>
        <v>0</v>
      </c>
      <c r="ED107" s="375">
        <f t="shared" si="715"/>
        <v>0</v>
      </c>
      <c r="EE107" s="7">
        <f t="shared" si="455"/>
        <v>0</v>
      </c>
      <c r="EF107" s="375">
        <f>SUM(EF99:EF106)</f>
        <v>0</v>
      </c>
      <c r="EG107" s="7">
        <f t="shared" si="650"/>
        <v>0</v>
      </c>
      <c r="EH107" s="375">
        <f>SUM(EH99:EH106)</f>
        <v>0</v>
      </c>
      <c r="EI107" s="7">
        <f t="shared" si="651"/>
        <v>0</v>
      </c>
      <c r="EJ107" s="375">
        <f>SUM(EJ99:EJ106)</f>
        <v>0</v>
      </c>
      <c r="EK107" s="7">
        <f t="shared" si="652"/>
        <v>0</v>
      </c>
      <c r="EL107" s="389">
        <f>SUM(EL99:EL106)</f>
        <v>0</v>
      </c>
      <c r="EM107" s="7">
        <f t="shared" si="428"/>
        <v>0</v>
      </c>
      <c r="EN107" s="375">
        <f t="shared" si="717"/>
        <v>0</v>
      </c>
      <c r="EO107" s="7">
        <f t="shared" si="456"/>
        <v>0</v>
      </c>
      <c r="EP107" s="373"/>
      <c r="EQ107" s="373"/>
      <c r="ER107" s="373"/>
      <c r="ES107" s="373"/>
      <c r="ET107" s="375">
        <f>SUM(ET99:ET106)</f>
        <v>0</v>
      </c>
      <c r="EU107" s="7">
        <f t="shared" si="653"/>
        <v>0</v>
      </c>
      <c r="EV107" s="375"/>
      <c r="EW107" s="7">
        <f t="shared" si="654"/>
        <v>0</v>
      </c>
      <c r="EX107" s="375"/>
      <c r="EY107" s="7">
        <f t="shared" si="655"/>
        <v>0</v>
      </c>
      <c r="EZ107" s="389">
        <f>SUM(EZ99:EZ106)</f>
        <v>0</v>
      </c>
      <c r="FA107" s="7">
        <f t="shared" si="429"/>
        <v>0</v>
      </c>
      <c r="FB107" s="375"/>
      <c r="FC107" s="7">
        <f t="shared" si="656"/>
        <v>0</v>
      </c>
      <c r="FD107" s="375"/>
      <c r="FE107" s="7">
        <f t="shared" si="612"/>
        <v>0</v>
      </c>
      <c r="FF107" s="375"/>
      <c r="FG107" s="7">
        <f t="shared" si="430"/>
        <v>0</v>
      </c>
      <c r="FH107" s="389">
        <f>SUM(FH99:FH106)</f>
        <v>0</v>
      </c>
      <c r="FI107" s="7">
        <f t="shared" si="431"/>
        <v>0</v>
      </c>
      <c r="FJ107" s="389">
        <f>SUM(FJ99:FJ106)</f>
        <v>0</v>
      </c>
      <c r="FK107" s="7">
        <f t="shared" si="459"/>
        <v>0</v>
      </c>
      <c r="FL107" s="375"/>
      <c r="FM107" s="7">
        <f t="shared" si="658"/>
        <v>0</v>
      </c>
      <c r="FN107" s="375"/>
      <c r="FO107" s="7">
        <f t="shared" si="432"/>
        <v>0</v>
      </c>
      <c r="FP107" s="375"/>
      <c r="FQ107" s="7">
        <f t="shared" si="433"/>
        <v>0</v>
      </c>
      <c r="FR107" s="389">
        <f>SUM(FR99:FR106)</f>
        <v>0</v>
      </c>
      <c r="FS107" s="7">
        <f t="shared" si="434"/>
        <v>0</v>
      </c>
      <c r="FT107" s="389">
        <f>SUM(FT99:FT106)</f>
        <v>0</v>
      </c>
      <c r="FU107" s="7">
        <f t="shared" si="462"/>
        <v>0</v>
      </c>
      <c r="FV107" s="375"/>
      <c r="FW107" s="7">
        <f t="shared" si="660"/>
        <v>0</v>
      </c>
      <c r="FX107" s="375"/>
      <c r="FY107" s="7">
        <f t="shared" si="435"/>
        <v>0</v>
      </c>
      <c r="FZ107" s="375"/>
      <c r="GA107" s="7">
        <f t="shared" si="436"/>
        <v>0</v>
      </c>
      <c r="GB107" s="389">
        <f>SUM(GB99:GB106)</f>
        <v>0</v>
      </c>
      <c r="GC107" s="7">
        <f t="shared" si="437"/>
        <v>0</v>
      </c>
      <c r="GD107" s="389">
        <f>SUM(GD99:GD106)</f>
        <v>0</v>
      </c>
      <c r="GE107" s="7">
        <f t="shared" si="465"/>
        <v>0</v>
      </c>
      <c r="GF107" s="567">
        <f>SUM(GF99:GF106)</f>
        <v>0</v>
      </c>
      <c r="GG107" s="525">
        <f t="shared" si="438"/>
        <v>0</v>
      </c>
      <c r="GH107" s="528">
        <f t="shared" si="726"/>
        <v>0</v>
      </c>
      <c r="GI107" s="525">
        <f t="shared" si="439"/>
        <v>0</v>
      </c>
      <c r="GJ107" s="528"/>
      <c r="GK107" s="525">
        <f t="shared" si="440"/>
        <v>0</v>
      </c>
      <c r="GL107" s="528">
        <f t="shared" si="727"/>
        <v>0</v>
      </c>
      <c r="GM107" s="565">
        <f t="shared" si="468"/>
        <v>0</v>
      </c>
      <c r="GO107" s="587">
        <f>SUM(GO99:GO106)</f>
        <v>0</v>
      </c>
      <c r="GQ107" s="587">
        <f>SUM(GQ99:GQ106)</f>
        <v>0</v>
      </c>
      <c r="GT107" s="551">
        <f t="shared" si="558"/>
        <v>0</v>
      </c>
      <c r="GU107" s="551">
        <f t="shared" si="471"/>
        <v>0</v>
      </c>
      <c r="GV107" s="550">
        <f t="shared" si="732"/>
        <v>0</v>
      </c>
      <c r="GW107" s="529">
        <f>SUM(GW99:GW106)</f>
        <v>0</v>
      </c>
      <c r="GX107" s="525">
        <f t="shared" si="664"/>
        <v>0</v>
      </c>
      <c r="GY107" s="530">
        <f>SUM(GY99:GY106)</f>
        <v>0</v>
      </c>
      <c r="GZ107" s="525">
        <f t="shared" si="665"/>
        <v>0</v>
      </c>
      <c r="HA107" s="530">
        <f>SUM(HA99:HA106)</f>
        <v>0</v>
      </c>
      <c r="HB107" s="526">
        <f t="shared" si="666"/>
        <v>0</v>
      </c>
      <c r="HD107" s="529">
        <v>0</v>
      </c>
      <c r="HE107" s="525">
        <v>0</v>
      </c>
      <c r="HF107" s="530">
        <v>0</v>
      </c>
      <c r="HG107" s="525">
        <v>0</v>
      </c>
      <c r="HH107" s="530">
        <v>0</v>
      </c>
      <c r="HI107" s="526">
        <v>0</v>
      </c>
    </row>
    <row r="108" spans="1:217" ht="15" customHeight="1" outlineLevel="1">
      <c r="A108" s="386" t="s">
        <v>97</v>
      </c>
      <c r="B108" s="386" t="s">
        <v>98</v>
      </c>
      <c r="C108" s="389">
        <v>0</v>
      </c>
      <c r="D108" s="4"/>
      <c r="E108" s="389">
        <v>0</v>
      </c>
      <c r="F108" s="4"/>
      <c r="G108" s="389"/>
      <c r="H108" s="389"/>
      <c r="I108" s="4"/>
      <c r="J108" s="389"/>
      <c r="K108" s="389"/>
      <c r="L108" s="4"/>
      <c r="M108" s="389"/>
      <c r="N108" s="389">
        <v>0</v>
      </c>
      <c r="O108" s="4"/>
      <c r="P108" s="389">
        <f t="shared" si="421"/>
        <v>0</v>
      </c>
      <c r="Q108" s="389">
        <f t="shared" si="421"/>
        <v>0</v>
      </c>
      <c r="R108" s="7">
        <f t="shared" si="442"/>
        <v>0</v>
      </c>
      <c r="S108" s="389"/>
      <c r="T108" s="389"/>
      <c r="U108" s="4"/>
      <c r="V108" s="389"/>
      <c r="W108" s="389"/>
      <c r="X108" s="4"/>
      <c r="Y108" s="389"/>
      <c r="Z108" s="389"/>
      <c r="AA108" s="4"/>
      <c r="AB108" s="375">
        <f t="shared" si="684"/>
        <v>0</v>
      </c>
      <c r="AC108" s="375">
        <f t="shared" si="533"/>
        <v>0</v>
      </c>
      <c r="AD108" s="7">
        <f t="shared" si="443"/>
        <v>0</v>
      </c>
      <c r="AE108" s="375">
        <f t="shared" si="685"/>
        <v>0</v>
      </c>
      <c r="AF108" s="375">
        <f t="shared" si="686"/>
        <v>0</v>
      </c>
      <c r="AG108" s="4"/>
      <c r="AH108" s="389"/>
      <c r="AI108" s="389"/>
      <c r="AJ108" s="4"/>
      <c r="AK108" s="389"/>
      <c r="AL108" s="389"/>
      <c r="AM108" s="4"/>
      <c r="AN108" s="389"/>
      <c r="AO108" s="389"/>
      <c r="AP108" s="4"/>
      <c r="AQ108" s="375">
        <f t="shared" ref="AQ108:AQ110" si="735">AN108+AK108+AH108</f>
        <v>0</v>
      </c>
      <c r="AR108" s="375">
        <f t="shared" ref="AR108:AR110" si="736">AO108+AL108+AI108</f>
        <v>0</v>
      </c>
      <c r="AS108" s="7">
        <f t="shared" si="444"/>
        <v>0</v>
      </c>
      <c r="AT108" s="375">
        <f t="shared" si="633"/>
        <v>0</v>
      </c>
      <c r="AU108" s="4"/>
      <c r="AV108" s="389"/>
      <c r="AW108" s="389"/>
      <c r="AX108" s="4"/>
      <c r="AY108" s="389"/>
      <c r="AZ108" s="389"/>
      <c r="BA108" s="4"/>
      <c r="BB108" s="389"/>
      <c r="BC108" s="389"/>
      <c r="BD108" s="448"/>
      <c r="BE108" s="375">
        <f t="shared" ref="BE108:BE110" si="737">BB108+AY108+AV108</f>
        <v>0</v>
      </c>
      <c r="BF108" s="375">
        <f t="shared" ref="BF108:BF110" si="738">BC108+AZ108+AW108</f>
        <v>0</v>
      </c>
      <c r="BG108" s="7">
        <f t="shared" si="445"/>
        <v>0</v>
      </c>
      <c r="BH108" s="375">
        <f t="shared" si="691"/>
        <v>0</v>
      </c>
      <c r="BI108" s="388">
        <f t="shared" si="692"/>
        <v>0</v>
      </c>
      <c r="BJ108" s="7">
        <f t="shared" si="446"/>
        <v>0</v>
      </c>
      <c r="BK108" s="375">
        <v>0</v>
      </c>
      <c r="BL108" s="282"/>
      <c r="BM108" s="378"/>
      <c r="BN108" s="375"/>
      <c r="BO108" s="4"/>
      <c r="BP108" s="375"/>
      <c r="BQ108" s="4"/>
      <c r="BR108" s="375"/>
      <c r="BS108" s="4"/>
      <c r="BT108" s="375">
        <f t="shared" ref="BT108:BT110" si="739">SUM(BN108:BS108)</f>
        <v>0</v>
      </c>
      <c r="BU108" s="7">
        <f t="shared" si="447"/>
        <v>0</v>
      </c>
      <c r="BV108" s="375"/>
      <c r="BW108" s="7"/>
      <c r="BX108" s="375"/>
      <c r="BY108" s="7"/>
      <c r="BZ108" s="375">
        <f t="shared" ref="BZ108:BZ124" si="740">+BT108+BV108+BX108</f>
        <v>0</v>
      </c>
      <c r="CA108" s="7"/>
      <c r="CB108" s="375">
        <f t="shared" ref="CB108:CB110" si="741">+BV108+BX108+BZ108</f>
        <v>0</v>
      </c>
      <c r="CC108" s="7">
        <f t="shared" si="534"/>
        <v>0</v>
      </c>
      <c r="CD108" s="375">
        <f t="shared" ref="CD108:CD110" si="742">BT108+CB108</f>
        <v>0</v>
      </c>
      <c r="CE108" s="7">
        <f t="shared" si="448"/>
        <v>0</v>
      </c>
      <c r="CF108" s="375">
        <f t="shared" ref="CF108:CF110" si="743">+BZ108+CB108+CD108</f>
        <v>0</v>
      </c>
      <c r="CG108" s="7">
        <f t="shared" si="449"/>
        <v>0</v>
      </c>
      <c r="CH108" s="375">
        <f t="shared" ref="CH108:CH110" si="744">+CB108+CD108+CF108</f>
        <v>0</v>
      </c>
      <c r="CI108" s="7">
        <f t="shared" si="449"/>
        <v>0</v>
      </c>
      <c r="CJ108" s="375">
        <f t="shared" ref="CJ108:CJ110" si="745">+CD108+CF108+CH108</f>
        <v>0</v>
      </c>
      <c r="CK108" s="7">
        <f t="shared" si="449"/>
        <v>0</v>
      </c>
      <c r="CL108" s="375">
        <f t="shared" si="700"/>
        <v>0</v>
      </c>
      <c r="CM108" s="7">
        <f t="shared" si="449"/>
        <v>0</v>
      </c>
      <c r="CN108" s="375">
        <f t="shared" si="701"/>
        <v>0</v>
      </c>
      <c r="CO108" s="7">
        <f t="shared" si="639"/>
        <v>0</v>
      </c>
      <c r="CP108" s="375">
        <v>0</v>
      </c>
      <c r="CQ108" s="7">
        <f t="shared" si="728"/>
        <v>0</v>
      </c>
      <c r="CR108" s="375">
        <f t="shared" si="702"/>
        <v>0</v>
      </c>
      <c r="CS108" s="7">
        <f t="shared" si="641"/>
        <v>0</v>
      </c>
      <c r="CT108" s="375">
        <v>0</v>
      </c>
      <c r="CU108" s="7">
        <f t="shared" si="611"/>
        <v>0</v>
      </c>
      <c r="CV108" s="375">
        <v>0</v>
      </c>
      <c r="CW108" s="7">
        <f t="shared" si="452"/>
        <v>0</v>
      </c>
      <c r="CX108" s="375">
        <f t="shared" si="703"/>
        <v>0</v>
      </c>
      <c r="CY108" s="7">
        <f t="shared" si="729"/>
        <v>0</v>
      </c>
      <c r="CZ108" s="375">
        <f t="shared" si="704"/>
        <v>0</v>
      </c>
      <c r="DA108" s="7">
        <f t="shared" si="453"/>
        <v>0</v>
      </c>
      <c r="DB108" s="375">
        <f t="shared" ref="DB108:DB110" si="746">+CV108+CX108+CZ108</f>
        <v>0</v>
      </c>
      <c r="DC108" s="7">
        <f t="shared" si="642"/>
        <v>0</v>
      </c>
      <c r="DD108" s="375">
        <f t="shared" ref="DD108:DD110" si="747">+CX108+CZ108+DB108</f>
        <v>0</v>
      </c>
      <c r="DE108" s="7">
        <f t="shared" si="642"/>
        <v>0</v>
      </c>
      <c r="DF108" s="375">
        <f t="shared" ref="DF108:DF110" si="748">+CZ108+DB108+DD108</f>
        <v>0</v>
      </c>
      <c r="DG108" s="7">
        <f t="shared" si="642"/>
        <v>0</v>
      </c>
      <c r="DH108" s="375">
        <f t="shared" ref="DH108:DH110" si="749">+DB108+DD108+DF108</f>
        <v>0</v>
      </c>
      <c r="DI108" s="7">
        <f t="shared" si="730"/>
        <v>0</v>
      </c>
      <c r="DJ108" s="375"/>
      <c r="DK108" s="7">
        <f t="shared" si="643"/>
        <v>0</v>
      </c>
      <c r="DL108" s="375">
        <f t="shared" ref="DL108:DL110" si="750">+DF108+DH108+DJ108</f>
        <v>0</v>
      </c>
      <c r="DM108" s="7">
        <f t="shared" si="644"/>
        <v>0</v>
      </c>
      <c r="DN108" s="375">
        <f t="shared" ref="DN108:DN110" si="751">+DH108+DJ108+DL108</f>
        <v>0</v>
      </c>
      <c r="DO108" s="7">
        <f t="shared" si="645"/>
        <v>0</v>
      </c>
      <c r="DP108" s="375">
        <f t="shared" ref="DP108:DP110" si="752">+DJ108+DL108+DN108</f>
        <v>0</v>
      </c>
      <c r="DQ108" s="7">
        <f t="shared" si="646"/>
        <v>0</v>
      </c>
      <c r="DR108" s="375">
        <f t="shared" ref="DR108:DR110" si="753">+DL108+DN108+DP108</f>
        <v>0</v>
      </c>
      <c r="DS108" s="7">
        <f t="shared" si="731"/>
        <v>0</v>
      </c>
      <c r="DT108" s="375">
        <f t="shared" si="713"/>
        <v>0</v>
      </c>
      <c r="DU108" s="7">
        <f t="shared" si="454"/>
        <v>0</v>
      </c>
      <c r="DV108" s="375"/>
      <c r="DW108" s="7">
        <f t="shared" si="647"/>
        <v>0</v>
      </c>
      <c r="DX108" s="375"/>
      <c r="DY108" s="7">
        <f t="shared" si="648"/>
        <v>0</v>
      </c>
      <c r="DZ108" s="375"/>
      <c r="EA108" s="7">
        <f t="shared" si="649"/>
        <v>0</v>
      </c>
      <c r="EB108" s="375">
        <f t="shared" ref="EB108:EB110" si="754">+DV108+DX108+DZ108</f>
        <v>0</v>
      </c>
      <c r="EC108" s="7">
        <f t="shared" si="427"/>
        <v>0</v>
      </c>
      <c r="ED108" s="375">
        <f t="shared" si="715"/>
        <v>0</v>
      </c>
      <c r="EE108" s="7">
        <f t="shared" si="455"/>
        <v>0</v>
      </c>
      <c r="EF108" s="375"/>
      <c r="EG108" s="7">
        <f t="shared" si="650"/>
        <v>0</v>
      </c>
      <c r="EH108" s="375"/>
      <c r="EI108" s="7">
        <f t="shared" si="651"/>
        <v>0</v>
      </c>
      <c r="EJ108" s="375"/>
      <c r="EK108" s="7">
        <f t="shared" si="652"/>
        <v>0</v>
      </c>
      <c r="EL108" s="375">
        <f t="shared" ref="EL108:EL110" si="755">+EF108+EH108+EJ108</f>
        <v>0</v>
      </c>
      <c r="EM108" s="7">
        <f t="shared" si="428"/>
        <v>0</v>
      </c>
      <c r="EN108" s="375">
        <f t="shared" si="717"/>
        <v>0</v>
      </c>
      <c r="EO108" s="7">
        <f t="shared" si="456"/>
        <v>0</v>
      </c>
      <c r="EP108" s="373"/>
      <c r="EQ108" s="373"/>
      <c r="ER108" s="373"/>
      <c r="ES108" s="373"/>
      <c r="ET108" s="375"/>
      <c r="EU108" s="7">
        <f t="shared" si="653"/>
        <v>0</v>
      </c>
      <c r="EV108" s="375"/>
      <c r="EW108" s="7">
        <f t="shared" si="654"/>
        <v>0</v>
      </c>
      <c r="EX108" s="375"/>
      <c r="EY108" s="7">
        <f t="shared" si="655"/>
        <v>0</v>
      </c>
      <c r="EZ108" s="375">
        <f t="shared" ref="EZ108:EZ110" si="756">+ET108+EV108+EX108</f>
        <v>0</v>
      </c>
      <c r="FA108" s="7">
        <f t="shared" si="429"/>
        <v>0</v>
      </c>
      <c r="FB108" s="375"/>
      <c r="FC108" s="7">
        <f t="shared" si="656"/>
        <v>0</v>
      </c>
      <c r="FD108" s="375"/>
      <c r="FE108" s="7">
        <f t="shared" si="612"/>
        <v>0</v>
      </c>
      <c r="FF108" s="375"/>
      <c r="FG108" s="7">
        <f t="shared" si="430"/>
        <v>0</v>
      </c>
      <c r="FH108" s="375">
        <f t="shared" ref="FH108:FH110" si="757">+FB108+FD108+FF108</f>
        <v>0</v>
      </c>
      <c r="FI108" s="7">
        <f t="shared" si="431"/>
        <v>0</v>
      </c>
      <c r="FJ108" s="375">
        <f t="shared" ref="FJ108:FJ110" si="758">EZ108+FH108</f>
        <v>0</v>
      </c>
      <c r="FK108" s="7">
        <f t="shared" si="459"/>
        <v>0</v>
      </c>
      <c r="FL108" s="375"/>
      <c r="FM108" s="7">
        <f t="shared" si="658"/>
        <v>0</v>
      </c>
      <c r="FN108" s="375"/>
      <c r="FO108" s="7">
        <f t="shared" si="432"/>
        <v>0</v>
      </c>
      <c r="FP108" s="375"/>
      <c r="FQ108" s="7">
        <f t="shared" si="433"/>
        <v>0</v>
      </c>
      <c r="FR108" s="375">
        <f t="shared" ref="FR108:FR110" si="759">+FL108+FN108+FP108</f>
        <v>0</v>
      </c>
      <c r="FS108" s="7">
        <f t="shared" si="434"/>
        <v>0</v>
      </c>
      <c r="FT108" s="375">
        <f t="shared" ref="FT108:FT110" si="760">FJ108+FR108</f>
        <v>0</v>
      </c>
      <c r="FU108" s="7">
        <f t="shared" si="462"/>
        <v>0</v>
      </c>
      <c r="FV108" s="375"/>
      <c r="FW108" s="7">
        <f t="shared" si="660"/>
        <v>0</v>
      </c>
      <c r="FX108" s="375"/>
      <c r="FY108" s="7">
        <f t="shared" si="435"/>
        <v>0</v>
      </c>
      <c r="FZ108" s="375"/>
      <c r="GA108" s="7">
        <f t="shared" si="436"/>
        <v>0</v>
      </c>
      <c r="GB108" s="375">
        <f t="shared" ref="GB108:GB110" si="761">+FV108+FX108+FZ108</f>
        <v>0</v>
      </c>
      <c r="GC108" s="7">
        <f t="shared" si="437"/>
        <v>0</v>
      </c>
      <c r="GD108" s="375">
        <f t="shared" ref="GD108:GD110" si="762">FT108+GB108</f>
        <v>0</v>
      </c>
      <c r="GE108" s="7">
        <f t="shared" si="465"/>
        <v>0</v>
      </c>
      <c r="GF108" s="566">
        <f t="shared" ref="GF108:GF110" si="763">+GO108*$GO$1</f>
        <v>0</v>
      </c>
      <c r="GG108" s="525">
        <f t="shared" si="438"/>
        <v>0</v>
      </c>
      <c r="GH108" s="528">
        <f t="shared" si="726"/>
        <v>0</v>
      </c>
      <c r="GI108" s="525">
        <f t="shared" si="439"/>
        <v>0</v>
      </c>
      <c r="GJ108" s="528"/>
      <c r="GK108" s="525">
        <f t="shared" si="440"/>
        <v>0</v>
      </c>
      <c r="GL108" s="528">
        <f t="shared" si="727"/>
        <v>0</v>
      </c>
      <c r="GM108" s="565">
        <f t="shared" si="468"/>
        <v>0</v>
      </c>
      <c r="GO108" s="586"/>
      <c r="GQ108" s="586"/>
      <c r="GT108" s="551">
        <f t="shared" si="558"/>
        <v>0</v>
      </c>
      <c r="GU108" s="551">
        <f t="shared" si="471"/>
        <v>0</v>
      </c>
      <c r="GV108" s="550">
        <f t="shared" si="732"/>
        <v>0</v>
      </c>
      <c r="GW108" s="527"/>
      <c r="GX108" s="525">
        <f t="shared" si="664"/>
        <v>0</v>
      </c>
      <c r="GY108" s="528"/>
      <c r="GZ108" s="525">
        <f t="shared" si="665"/>
        <v>0</v>
      </c>
      <c r="HA108" s="528"/>
      <c r="HB108" s="526">
        <f t="shared" si="666"/>
        <v>0</v>
      </c>
      <c r="HD108" s="527"/>
      <c r="HE108" s="525">
        <v>0</v>
      </c>
      <c r="HF108" s="528"/>
      <c r="HG108" s="525">
        <v>0</v>
      </c>
      <c r="HH108" s="528"/>
      <c r="HI108" s="526">
        <v>0</v>
      </c>
    </row>
    <row r="109" spans="1:217" ht="15" customHeight="1" outlineLevel="1">
      <c r="A109" s="386" t="s">
        <v>97</v>
      </c>
      <c r="B109" s="386" t="s">
        <v>99</v>
      </c>
      <c r="C109" s="389">
        <v>0</v>
      </c>
      <c r="D109" s="4"/>
      <c r="E109" s="389">
        <v>0</v>
      </c>
      <c r="F109" s="4"/>
      <c r="G109" s="389"/>
      <c r="H109" s="389"/>
      <c r="I109" s="4"/>
      <c r="J109" s="389"/>
      <c r="K109" s="389"/>
      <c r="L109" s="4"/>
      <c r="M109" s="389"/>
      <c r="N109" s="389">
        <v>0</v>
      </c>
      <c r="O109" s="4"/>
      <c r="P109" s="389">
        <f t="shared" si="421"/>
        <v>0</v>
      </c>
      <c r="Q109" s="389">
        <f t="shared" si="421"/>
        <v>0</v>
      </c>
      <c r="R109" s="7">
        <f t="shared" si="442"/>
        <v>0</v>
      </c>
      <c r="S109" s="389"/>
      <c r="T109" s="389"/>
      <c r="U109" s="4"/>
      <c r="V109" s="389"/>
      <c r="W109" s="389"/>
      <c r="X109" s="4"/>
      <c r="Y109" s="389"/>
      <c r="Z109" s="389"/>
      <c r="AA109" s="4"/>
      <c r="AB109" s="375">
        <f t="shared" si="684"/>
        <v>0</v>
      </c>
      <c r="AC109" s="375">
        <f t="shared" si="533"/>
        <v>0</v>
      </c>
      <c r="AD109" s="7">
        <f t="shared" si="443"/>
        <v>0</v>
      </c>
      <c r="AE109" s="375">
        <f t="shared" si="685"/>
        <v>0</v>
      </c>
      <c r="AF109" s="375">
        <f t="shared" si="686"/>
        <v>0</v>
      </c>
      <c r="AG109" s="4"/>
      <c r="AH109" s="389"/>
      <c r="AI109" s="389"/>
      <c r="AJ109" s="4"/>
      <c r="AK109" s="389"/>
      <c r="AL109" s="389"/>
      <c r="AM109" s="4"/>
      <c r="AN109" s="389"/>
      <c r="AO109" s="389"/>
      <c r="AP109" s="4"/>
      <c r="AQ109" s="375">
        <f t="shared" si="735"/>
        <v>0</v>
      </c>
      <c r="AR109" s="375">
        <f t="shared" si="736"/>
        <v>0</v>
      </c>
      <c r="AS109" s="7">
        <f t="shared" si="444"/>
        <v>0</v>
      </c>
      <c r="AT109" s="375">
        <f t="shared" si="633"/>
        <v>0</v>
      </c>
      <c r="AU109" s="4"/>
      <c r="AV109" s="389"/>
      <c r="AW109" s="389"/>
      <c r="AX109" s="4"/>
      <c r="AY109" s="389"/>
      <c r="AZ109" s="389"/>
      <c r="BA109" s="4"/>
      <c r="BB109" s="389"/>
      <c r="BC109" s="389"/>
      <c r="BD109" s="448"/>
      <c r="BE109" s="375">
        <f t="shared" si="737"/>
        <v>0</v>
      </c>
      <c r="BF109" s="375">
        <f t="shared" si="738"/>
        <v>0</v>
      </c>
      <c r="BG109" s="7">
        <f t="shared" si="445"/>
        <v>0</v>
      </c>
      <c r="BH109" s="375">
        <f t="shared" si="691"/>
        <v>0</v>
      </c>
      <c r="BI109" s="388">
        <f t="shared" si="692"/>
        <v>0</v>
      </c>
      <c r="BJ109" s="7">
        <f t="shared" si="446"/>
        <v>0</v>
      </c>
      <c r="BK109" s="375">
        <v>0</v>
      </c>
      <c r="BL109" s="282"/>
      <c r="BM109" s="378"/>
      <c r="BN109" s="375"/>
      <c r="BO109" s="4"/>
      <c r="BP109" s="375"/>
      <c r="BQ109" s="4"/>
      <c r="BR109" s="375"/>
      <c r="BS109" s="4"/>
      <c r="BT109" s="375">
        <f t="shared" si="739"/>
        <v>0</v>
      </c>
      <c r="BU109" s="7">
        <f t="shared" si="447"/>
        <v>0</v>
      </c>
      <c r="BV109" s="375"/>
      <c r="BW109" s="7"/>
      <c r="BX109" s="375"/>
      <c r="BY109" s="7"/>
      <c r="BZ109" s="375">
        <f t="shared" si="740"/>
        <v>0</v>
      </c>
      <c r="CA109" s="7"/>
      <c r="CB109" s="375">
        <f t="shared" si="741"/>
        <v>0</v>
      </c>
      <c r="CC109" s="7">
        <f t="shared" si="534"/>
        <v>0</v>
      </c>
      <c r="CD109" s="375">
        <f t="shared" si="742"/>
        <v>0</v>
      </c>
      <c r="CE109" s="7">
        <f t="shared" si="448"/>
        <v>0</v>
      </c>
      <c r="CF109" s="375">
        <f t="shared" si="743"/>
        <v>0</v>
      </c>
      <c r="CG109" s="7">
        <f t="shared" si="449"/>
        <v>0</v>
      </c>
      <c r="CH109" s="375">
        <f t="shared" si="744"/>
        <v>0</v>
      </c>
      <c r="CI109" s="7">
        <f t="shared" si="449"/>
        <v>0</v>
      </c>
      <c r="CJ109" s="375">
        <f t="shared" si="745"/>
        <v>0</v>
      </c>
      <c r="CK109" s="7">
        <f t="shared" si="449"/>
        <v>0</v>
      </c>
      <c r="CL109" s="375">
        <f t="shared" si="700"/>
        <v>0</v>
      </c>
      <c r="CM109" s="7">
        <f t="shared" si="449"/>
        <v>0</v>
      </c>
      <c r="CN109" s="375">
        <f t="shared" si="701"/>
        <v>0</v>
      </c>
      <c r="CO109" s="7">
        <f t="shared" si="639"/>
        <v>0</v>
      </c>
      <c r="CP109" s="375">
        <v>0</v>
      </c>
      <c r="CQ109" s="7">
        <f t="shared" si="728"/>
        <v>0</v>
      </c>
      <c r="CR109" s="375">
        <f t="shared" si="702"/>
        <v>0</v>
      </c>
      <c r="CS109" s="7">
        <f t="shared" si="641"/>
        <v>0</v>
      </c>
      <c r="CT109" s="375">
        <v>0</v>
      </c>
      <c r="CU109" s="7">
        <f t="shared" si="611"/>
        <v>0</v>
      </c>
      <c r="CV109" s="375">
        <v>0</v>
      </c>
      <c r="CW109" s="7">
        <f t="shared" si="452"/>
        <v>0</v>
      </c>
      <c r="CX109" s="375">
        <f t="shared" si="703"/>
        <v>0</v>
      </c>
      <c r="CY109" s="7">
        <f t="shared" si="729"/>
        <v>0</v>
      </c>
      <c r="CZ109" s="375">
        <f t="shared" si="704"/>
        <v>0</v>
      </c>
      <c r="DA109" s="7">
        <f t="shared" si="453"/>
        <v>0</v>
      </c>
      <c r="DB109" s="375">
        <f t="shared" si="746"/>
        <v>0</v>
      </c>
      <c r="DC109" s="7">
        <f t="shared" si="642"/>
        <v>0</v>
      </c>
      <c r="DD109" s="375">
        <f t="shared" si="747"/>
        <v>0</v>
      </c>
      <c r="DE109" s="7">
        <f t="shared" si="642"/>
        <v>0</v>
      </c>
      <c r="DF109" s="375">
        <f t="shared" si="748"/>
        <v>0</v>
      </c>
      <c r="DG109" s="7">
        <f t="shared" si="642"/>
        <v>0</v>
      </c>
      <c r="DH109" s="375">
        <f t="shared" si="749"/>
        <v>0</v>
      </c>
      <c r="DI109" s="7">
        <f t="shared" si="730"/>
        <v>0</v>
      </c>
      <c r="DJ109" s="375"/>
      <c r="DK109" s="7">
        <f t="shared" si="643"/>
        <v>0</v>
      </c>
      <c r="DL109" s="375">
        <f t="shared" si="750"/>
        <v>0</v>
      </c>
      <c r="DM109" s="7">
        <f t="shared" si="644"/>
        <v>0</v>
      </c>
      <c r="DN109" s="375">
        <f t="shared" si="751"/>
        <v>0</v>
      </c>
      <c r="DO109" s="7">
        <f t="shared" si="645"/>
        <v>0</v>
      </c>
      <c r="DP109" s="375">
        <f t="shared" si="752"/>
        <v>0</v>
      </c>
      <c r="DQ109" s="7">
        <f t="shared" si="646"/>
        <v>0</v>
      </c>
      <c r="DR109" s="375">
        <f t="shared" si="753"/>
        <v>0</v>
      </c>
      <c r="DS109" s="7">
        <f t="shared" si="731"/>
        <v>0</v>
      </c>
      <c r="DT109" s="375">
        <f t="shared" si="713"/>
        <v>0</v>
      </c>
      <c r="DU109" s="7">
        <f t="shared" si="454"/>
        <v>0</v>
      </c>
      <c r="DV109" s="375"/>
      <c r="DW109" s="7">
        <f t="shared" si="647"/>
        <v>0</v>
      </c>
      <c r="DX109" s="375"/>
      <c r="DY109" s="7">
        <f t="shared" si="648"/>
        <v>0</v>
      </c>
      <c r="DZ109" s="375"/>
      <c r="EA109" s="7">
        <f t="shared" si="649"/>
        <v>0</v>
      </c>
      <c r="EB109" s="375">
        <f t="shared" si="754"/>
        <v>0</v>
      </c>
      <c r="EC109" s="7">
        <f t="shared" si="427"/>
        <v>0</v>
      </c>
      <c r="ED109" s="375">
        <f t="shared" si="715"/>
        <v>0</v>
      </c>
      <c r="EE109" s="7">
        <f t="shared" si="455"/>
        <v>0</v>
      </c>
      <c r="EF109" s="375"/>
      <c r="EG109" s="7">
        <f t="shared" si="650"/>
        <v>0</v>
      </c>
      <c r="EH109" s="375"/>
      <c r="EI109" s="7">
        <f t="shared" si="651"/>
        <v>0</v>
      </c>
      <c r="EJ109" s="375"/>
      <c r="EK109" s="7">
        <f t="shared" si="652"/>
        <v>0</v>
      </c>
      <c r="EL109" s="375">
        <f t="shared" si="755"/>
        <v>0</v>
      </c>
      <c r="EM109" s="7">
        <f t="shared" si="428"/>
        <v>0</v>
      </c>
      <c r="EN109" s="375">
        <f t="shared" si="717"/>
        <v>0</v>
      </c>
      <c r="EO109" s="7">
        <f t="shared" si="456"/>
        <v>0</v>
      </c>
      <c r="EP109" s="373"/>
      <c r="EQ109" s="373"/>
      <c r="ER109" s="373"/>
      <c r="ES109" s="373"/>
      <c r="ET109" s="375"/>
      <c r="EU109" s="7">
        <f t="shared" si="653"/>
        <v>0</v>
      </c>
      <c r="EV109" s="375"/>
      <c r="EW109" s="7">
        <f t="shared" si="654"/>
        <v>0</v>
      </c>
      <c r="EX109" s="375"/>
      <c r="EY109" s="7">
        <f t="shared" si="655"/>
        <v>0</v>
      </c>
      <c r="EZ109" s="375">
        <f t="shared" si="756"/>
        <v>0</v>
      </c>
      <c r="FA109" s="7">
        <f t="shared" si="429"/>
        <v>0</v>
      </c>
      <c r="FB109" s="375"/>
      <c r="FC109" s="7">
        <f t="shared" si="656"/>
        <v>0</v>
      </c>
      <c r="FD109" s="375"/>
      <c r="FE109" s="7">
        <f t="shared" si="612"/>
        <v>0</v>
      </c>
      <c r="FF109" s="375"/>
      <c r="FG109" s="7">
        <f t="shared" si="430"/>
        <v>0</v>
      </c>
      <c r="FH109" s="375">
        <f t="shared" si="757"/>
        <v>0</v>
      </c>
      <c r="FI109" s="7">
        <f t="shared" si="431"/>
        <v>0</v>
      </c>
      <c r="FJ109" s="375">
        <f t="shared" si="758"/>
        <v>0</v>
      </c>
      <c r="FK109" s="7">
        <f t="shared" si="459"/>
        <v>0</v>
      </c>
      <c r="FL109" s="375"/>
      <c r="FM109" s="7">
        <f t="shared" si="658"/>
        <v>0</v>
      </c>
      <c r="FN109" s="375"/>
      <c r="FO109" s="7">
        <f t="shared" si="432"/>
        <v>0</v>
      </c>
      <c r="FP109" s="375"/>
      <c r="FQ109" s="7">
        <f t="shared" si="433"/>
        <v>0</v>
      </c>
      <c r="FR109" s="375">
        <f t="shared" si="759"/>
        <v>0</v>
      </c>
      <c r="FS109" s="7">
        <f t="shared" si="434"/>
        <v>0</v>
      </c>
      <c r="FT109" s="375">
        <f t="shared" si="760"/>
        <v>0</v>
      </c>
      <c r="FU109" s="7">
        <f t="shared" si="462"/>
        <v>0</v>
      </c>
      <c r="FV109" s="375"/>
      <c r="FW109" s="7">
        <f t="shared" si="660"/>
        <v>0</v>
      </c>
      <c r="FX109" s="375"/>
      <c r="FY109" s="7">
        <f t="shared" si="435"/>
        <v>0</v>
      </c>
      <c r="FZ109" s="375"/>
      <c r="GA109" s="7">
        <f t="shared" si="436"/>
        <v>0</v>
      </c>
      <c r="GB109" s="375">
        <f t="shared" si="761"/>
        <v>0</v>
      </c>
      <c r="GC109" s="7">
        <f t="shared" si="437"/>
        <v>0</v>
      </c>
      <c r="GD109" s="375">
        <f t="shared" si="762"/>
        <v>0</v>
      </c>
      <c r="GE109" s="7">
        <f t="shared" si="465"/>
        <v>0</v>
      </c>
      <c r="GF109" s="566">
        <f t="shared" si="763"/>
        <v>0</v>
      </c>
      <c r="GG109" s="525">
        <f t="shared" si="438"/>
        <v>0</v>
      </c>
      <c r="GH109" s="528">
        <f t="shared" si="726"/>
        <v>0</v>
      </c>
      <c r="GI109" s="525">
        <f t="shared" si="439"/>
        <v>0</v>
      </c>
      <c r="GJ109" s="528"/>
      <c r="GK109" s="525">
        <f t="shared" si="440"/>
        <v>0</v>
      </c>
      <c r="GL109" s="528">
        <f t="shared" si="727"/>
        <v>0</v>
      </c>
      <c r="GM109" s="565">
        <f t="shared" si="468"/>
        <v>0</v>
      </c>
      <c r="GO109" s="586"/>
      <c r="GQ109" s="586"/>
      <c r="GT109" s="551">
        <f t="shared" si="558"/>
        <v>0</v>
      </c>
      <c r="GU109" s="551">
        <f t="shared" si="471"/>
        <v>0</v>
      </c>
      <c r="GV109" s="550">
        <f t="shared" si="732"/>
        <v>0</v>
      </c>
      <c r="GW109" s="527"/>
      <c r="GX109" s="525">
        <f t="shared" si="664"/>
        <v>0</v>
      </c>
      <c r="GY109" s="528"/>
      <c r="GZ109" s="525">
        <f t="shared" si="665"/>
        <v>0</v>
      </c>
      <c r="HA109" s="528"/>
      <c r="HB109" s="526">
        <f t="shared" si="666"/>
        <v>0</v>
      </c>
      <c r="HD109" s="527"/>
      <c r="HE109" s="525">
        <v>0</v>
      </c>
      <c r="HF109" s="528"/>
      <c r="HG109" s="525">
        <v>0</v>
      </c>
      <c r="HH109" s="528"/>
      <c r="HI109" s="526">
        <v>0</v>
      </c>
    </row>
    <row r="110" spans="1:217" ht="15" customHeight="1" outlineLevel="1">
      <c r="A110" s="386" t="s">
        <v>97</v>
      </c>
      <c r="B110" s="386" t="s">
        <v>100</v>
      </c>
      <c r="C110" s="375">
        <v>-957321</v>
      </c>
      <c r="D110" s="4"/>
      <c r="E110" s="375">
        <v>-957321</v>
      </c>
      <c r="F110" s="4"/>
      <c r="G110" s="375"/>
      <c r="H110" s="375"/>
      <c r="I110" s="4"/>
      <c r="J110" s="375"/>
      <c r="K110" s="375"/>
      <c r="L110" s="4"/>
      <c r="M110" s="388"/>
      <c r="N110" s="388">
        <v>0</v>
      </c>
      <c r="O110" s="4"/>
      <c r="P110" s="388">
        <f t="shared" si="421"/>
        <v>0</v>
      </c>
      <c r="Q110" s="388">
        <f t="shared" si="421"/>
        <v>0</v>
      </c>
      <c r="R110" s="7">
        <f t="shared" si="442"/>
        <v>0</v>
      </c>
      <c r="S110" s="375"/>
      <c r="T110" s="375"/>
      <c r="U110" s="4"/>
      <c r="V110" s="375"/>
      <c r="W110" s="375"/>
      <c r="X110" s="4"/>
      <c r="Y110" s="375"/>
      <c r="Z110" s="375"/>
      <c r="AA110" s="4"/>
      <c r="AB110" s="375">
        <f t="shared" si="684"/>
        <v>0</v>
      </c>
      <c r="AC110" s="375">
        <f t="shared" si="533"/>
        <v>0</v>
      </c>
      <c r="AD110" s="7">
        <f t="shared" si="443"/>
        <v>0</v>
      </c>
      <c r="AE110" s="375">
        <f t="shared" si="685"/>
        <v>0</v>
      </c>
      <c r="AF110" s="375">
        <f t="shared" si="686"/>
        <v>0</v>
      </c>
      <c r="AG110" s="4"/>
      <c r="AH110" s="375"/>
      <c r="AI110" s="375"/>
      <c r="AJ110" s="4"/>
      <c r="AK110" s="375"/>
      <c r="AL110" s="375"/>
      <c r="AM110" s="4"/>
      <c r="AN110" s="375"/>
      <c r="AO110" s="375"/>
      <c r="AP110" s="4"/>
      <c r="AQ110" s="375">
        <f t="shared" si="735"/>
        <v>0</v>
      </c>
      <c r="AR110" s="375">
        <f t="shared" si="736"/>
        <v>0</v>
      </c>
      <c r="AS110" s="7">
        <f t="shared" si="444"/>
        <v>0</v>
      </c>
      <c r="AT110" s="375">
        <f t="shared" si="633"/>
        <v>0</v>
      </c>
      <c r="AU110" s="4"/>
      <c r="AV110" s="375"/>
      <c r="AW110" s="375"/>
      <c r="AX110" s="4"/>
      <c r="AY110" s="375"/>
      <c r="AZ110" s="375"/>
      <c r="BA110" s="4"/>
      <c r="BB110" s="375"/>
      <c r="BC110" s="375">
        <v>957321</v>
      </c>
      <c r="BD110" s="448"/>
      <c r="BE110" s="375">
        <f t="shared" si="737"/>
        <v>0</v>
      </c>
      <c r="BF110" s="375">
        <f t="shared" si="738"/>
        <v>957321</v>
      </c>
      <c r="BG110" s="7">
        <f t="shared" si="445"/>
        <v>3.0488252830206328E-2</v>
      </c>
      <c r="BH110" s="375">
        <f t="shared" si="691"/>
        <v>0</v>
      </c>
      <c r="BI110" s="388">
        <f>Q110+AC110+AR110+BF110</f>
        <v>957321</v>
      </c>
      <c r="BJ110" s="7">
        <f t="shared" si="446"/>
        <v>7.28124107060948E-3</v>
      </c>
      <c r="BK110" s="375">
        <v>0</v>
      </c>
      <c r="BL110" s="282"/>
      <c r="BM110" s="378"/>
      <c r="BN110" s="375"/>
      <c r="BO110" s="4"/>
      <c r="BP110" s="375"/>
      <c r="BQ110" s="4"/>
      <c r="BR110" s="375"/>
      <c r="BS110" s="4"/>
      <c r="BT110" s="375">
        <f t="shared" si="739"/>
        <v>0</v>
      </c>
      <c r="BU110" s="7">
        <f t="shared" si="447"/>
        <v>0</v>
      </c>
      <c r="BV110" s="375"/>
      <c r="BW110" s="7"/>
      <c r="BX110" s="375"/>
      <c r="BY110" s="7"/>
      <c r="BZ110" s="375">
        <f t="shared" si="740"/>
        <v>0</v>
      </c>
      <c r="CA110" s="7"/>
      <c r="CB110" s="375">
        <f t="shared" si="741"/>
        <v>0</v>
      </c>
      <c r="CC110" s="7">
        <f t="shared" si="534"/>
        <v>0</v>
      </c>
      <c r="CD110" s="375">
        <f t="shared" si="742"/>
        <v>0</v>
      </c>
      <c r="CE110" s="7">
        <f t="shared" si="448"/>
        <v>0</v>
      </c>
      <c r="CF110" s="375">
        <f t="shared" si="743"/>
        <v>0</v>
      </c>
      <c r="CG110" s="7">
        <f t="shared" si="449"/>
        <v>0</v>
      </c>
      <c r="CH110" s="375">
        <f t="shared" si="744"/>
        <v>0</v>
      </c>
      <c r="CI110" s="7">
        <f t="shared" si="449"/>
        <v>0</v>
      </c>
      <c r="CJ110" s="375">
        <f t="shared" si="745"/>
        <v>0</v>
      </c>
      <c r="CK110" s="7">
        <f t="shared" si="449"/>
        <v>0</v>
      </c>
      <c r="CL110" s="375">
        <f t="shared" si="700"/>
        <v>0</v>
      </c>
      <c r="CM110" s="7">
        <f t="shared" si="449"/>
        <v>0</v>
      </c>
      <c r="CN110" s="375">
        <f t="shared" si="701"/>
        <v>0</v>
      </c>
      <c r="CO110" s="7">
        <f t="shared" si="639"/>
        <v>0</v>
      </c>
      <c r="CP110" s="375">
        <v>0</v>
      </c>
      <c r="CQ110" s="7">
        <f t="shared" si="728"/>
        <v>0</v>
      </c>
      <c r="CR110" s="375">
        <f t="shared" si="702"/>
        <v>0</v>
      </c>
      <c r="CS110" s="7">
        <f t="shared" si="641"/>
        <v>0</v>
      </c>
      <c r="CT110" s="375">
        <v>0</v>
      </c>
      <c r="CU110" s="7">
        <f t="shared" si="611"/>
        <v>0</v>
      </c>
      <c r="CV110" s="375">
        <v>0</v>
      </c>
      <c r="CW110" s="7">
        <f t="shared" si="452"/>
        <v>0</v>
      </c>
      <c r="CX110" s="375">
        <f t="shared" si="703"/>
        <v>0</v>
      </c>
      <c r="CY110" s="7">
        <f t="shared" si="729"/>
        <v>0</v>
      </c>
      <c r="CZ110" s="375">
        <f t="shared" si="704"/>
        <v>0</v>
      </c>
      <c r="DA110" s="7">
        <f t="shared" si="453"/>
        <v>0</v>
      </c>
      <c r="DB110" s="375">
        <f t="shared" si="746"/>
        <v>0</v>
      </c>
      <c r="DC110" s="7">
        <f t="shared" si="642"/>
        <v>0</v>
      </c>
      <c r="DD110" s="375">
        <f t="shared" si="747"/>
        <v>0</v>
      </c>
      <c r="DE110" s="7">
        <f t="shared" si="642"/>
        <v>0</v>
      </c>
      <c r="DF110" s="375">
        <f t="shared" si="748"/>
        <v>0</v>
      </c>
      <c r="DG110" s="7">
        <f t="shared" si="642"/>
        <v>0</v>
      </c>
      <c r="DH110" s="375">
        <f t="shared" si="749"/>
        <v>0</v>
      </c>
      <c r="DI110" s="7">
        <f t="shared" si="730"/>
        <v>0</v>
      </c>
      <c r="DJ110" s="375"/>
      <c r="DK110" s="7">
        <f t="shared" si="643"/>
        <v>0</v>
      </c>
      <c r="DL110" s="375">
        <f t="shared" si="750"/>
        <v>0</v>
      </c>
      <c r="DM110" s="7">
        <f t="shared" si="644"/>
        <v>0</v>
      </c>
      <c r="DN110" s="375">
        <f t="shared" si="751"/>
        <v>0</v>
      </c>
      <c r="DO110" s="7">
        <f t="shared" si="645"/>
        <v>0</v>
      </c>
      <c r="DP110" s="375">
        <f t="shared" si="752"/>
        <v>0</v>
      </c>
      <c r="DQ110" s="7">
        <f t="shared" si="646"/>
        <v>0</v>
      </c>
      <c r="DR110" s="375">
        <f t="shared" si="753"/>
        <v>0</v>
      </c>
      <c r="DS110" s="7">
        <f t="shared" si="731"/>
        <v>0</v>
      </c>
      <c r="DT110" s="375">
        <f t="shared" si="713"/>
        <v>0</v>
      </c>
      <c r="DU110" s="7">
        <f t="shared" si="454"/>
        <v>0</v>
      </c>
      <c r="DV110" s="375"/>
      <c r="DW110" s="7">
        <f t="shared" si="647"/>
        <v>0</v>
      </c>
      <c r="DX110" s="375"/>
      <c r="DY110" s="7">
        <f t="shared" si="648"/>
        <v>0</v>
      </c>
      <c r="DZ110" s="375"/>
      <c r="EA110" s="7">
        <f t="shared" si="649"/>
        <v>0</v>
      </c>
      <c r="EB110" s="375">
        <f t="shared" si="754"/>
        <v>0</v>
      </c>
      <c r="EC110" s="7">
        <f t="shared" si="427"/>
        <v>0</v>
      </c>
      <c r="ED110" s="375">
        <f t="shared" si="715"/>
        <v>0</v>
      </c>
      <c r="EE110" s="7">
        <f t="shared" si="455"/>
        <v>0</v>
      </c>
      <c r="EF110" s="375"/>
      <c r="EG110" s="7">
        <f t="shared" si="650"/>
        <v>0</v>
      </c>
      <c r="EH110" s="375"/>
      <c r="EI110" s="7">
        <f t="shared" si="651"/>
        <v>0</v>
      </c>
      <c r="EJ110" s="375"/>
      <c r="EK110" s="7">
        <f t="shared" si="652"/>
        <v>0</v>
      </c>
      <c r="EL110" s="375">
        <f t="shared" si="755"/>
        <v>0</v>
      </c>
      <c r="EM110" s="7">
        <f t="shared" si="428"/>
        <v>0</v>
      </c>
      <c r="EN110" s="375">
        <f t="shared" si="717"/>
        <v>0</v>
      </c>
      <c r="EO110" s="7">
        <f t="shared" si="456"/>
        <v>0</v>
      </c>
      <c r="EP110" s="373"/>
      <c r="EQ110" s="373"/>
      <c r="ER110" s="373"/>
      <c r="ES110" s="373"/>
      <c r="ET110" s="375">
        <f>SUM(ET108:ET109)</f>
        <v>0</v>
      </c>
      <c r="EU110" s="7">
        <f t="shared" si="653"/>
        <v>0</v>
      </c>
      <c r="EV110" s="375">
        <f>SUM(EV108:EV109)</f>
        <v>0</v>
      </c>
      <c r="EW110" s="7">
        <f t="shared" si="654"/>
        <v>0</v>
      </c>
      <c r="EX110" s="375">
        <f>SUM(EX108:EX109)</f>
        <v>0</v>
      </c>
      <c r="EY110" s="7">
        <f t="shared" si="655"/>
        <v>0</v>
      </c>
      <c r="EZ110" s="375">
        <f t="shared" si="756"/>
        <v>0</v>
      </c>
      <c r="FA110" s="7">
        <f t="shared" si="429"/>
        <v>0</v>
      </c>
      <c r="FB110" s="375">
        <f>SUM(FB108:FB109)</f>
        <v>0</v>
      </c>
      <c r="FC110" s="7">
        <f t="shared" si="656"/>
        <v>0</v>
      </c>
      <c r="FD110" s="375">
        <f t="shared" ref="FD110" si="764">SUM(FD108:FD109)</f>
        <v>0</v>
      </c>
      <c r="FE110" s="7">
        <f t="shared" si="612"/>
        <v>0</v>
      </c>
      <c r="FF110" s="375">
        <f t="shared" ref="FF110" si="765">SUM(FF108:FF109)</f>
        <v>0</v>
      </c>
      <c r="FG110" s="7">
        <f t="shared" si="430"/>
        <v>0</v>
      </c>
      <c r="FH110" s="375">
        <f t="shared" si="757"/>
        <v>0</v>
      </c>
      <c r="FI110" s="7">
        <f t="shared" si="431"/>
        <v>0</v>
      </c>
      <c r="FJ110" s="375">
        <f t="shared" si="758"/>
        <v>0</v>
      </c>
      <c r="FK110" s="7">
        <f t="shared" si="459"/>
        <v>0</v>
      </c>
      <c r="FL110" s="375">
        <f>SUM(FL108:FL109)</f>
        <v>0</v>
      </c>
      <c r="FM110" s="7">
        <f t="shared" si="658"/>
        <v>0</v>
      </c>
      <c r="FN110" s="375">
        <f t="shared" ref="FN110" si="766">SUM(FN108:FN109)</f>
        <v>0</v>
      </c>
      <c r="FO110" s="7">
        <f t="shared" si="432"/>
        <v>0</v>
      </c>
      <c r="FP110" s="375">
        <f t="shared" ref="FP110" si="767">SUM(FP108:FP109)</f>
        <v>0</v>
      </c>
      <c r="FQ110" s="7">
        <f t="shared" si="433"/>
        <v>0</v>
      </c>
      <c r="FR110" s="375">
        <f t="shared" si="759"/>
        <v>0</v>
      </c>
      <c r="FS110" s="7">
        <f t="shared" si="434"/>
        <v>0</v>
      </c>
      <c r="FT110" s="375">
        <f t="shared" si="760"/>
        <v>0</v>
      </c>
      <c r="FU110" s="7">
        <f t="shared" si="462"/>
        <v>0</v>
      </c>
      <c r="FV110" s="375">
        <f>SUM(FV108:FV109)</f>
        <v>0</v>
      </c>
      <c r="FW110" s="7">
        <f t="shared" si="660"/>
        <v>0</v>
      </c>
      <c r="FX110" s="375">
        <f t="shared" ref="FX110" si="768">SUM(FX108:FX109)</f>
        <v>0</v>
      </c>
      <c r="FY110" s="7">
        <f t="shared" si="435"/>
        <v>0</v>
      </c>
      <c r="FZ110" s="375">
        <f t="shared" ref="FZ110" si="769">SUM(FZ108:FZ109)</f>
        <v>0</v>
      </c>
      <c r="GA110" s="7">
        <f t="shared" si="436"/>
        <v>0</v>
      </c>
      <c r="GB110" s="375">
        <f t="shared" si="761"/>
        <v>0</v>
      </c>
      <c r="GC110" s="7">
        <f t="shared" si="437"/>
        <v>0</v>
      </c>
      <c r="GD110" s="375">
        <f t="shared" si="762"/>
        <v>0</v>
      </c>
      <c r="GE110" s="7">
        <f t="shared" si="465"/>
        <v>0</v>
      </c>
      <c r="GF110" s="566">
        <f t="shared" si="763"/>
        <v>0</v>
      </c>
      <c r="GG110" s="525">
        <f t="shared" si="438"/>
        <v>0</v>
      </c>
      <c r="GH110" s="528">
        <f t="shared" si="726"/>
        <v>0</v>
      </c>
      <c r="GI110" s="525">
        <f t="shared" si="439"/>
        <v>0</v>
      </c>
      <c r="GJ110" s="528"/>
      <c r="GK110" s="525">
        <f t="shared" si="440"/>
        <v>0</v>
      </c>
      <c r="GL110" s="528">
        <f t="shared" si="727"/>
        <v>0</v>
      </c>
      <c r="GM110" s="565">
        <f t="shared" si="468"/>
        <v>0</v>
      </c>
      <c r="GO110" s="586"/>
      <c r="GQ110" s="586"/>
      <c r="GT110" s="551">
        <f t="shared" si="558"/>
        <v>0</v>
      </c>
      <c r="GU110" s="551">
        <f t="shared" si="471"/>
        <v>0</v>
      </c>
      <c r="GV110" s="550">
        <f t="shared" si="732"/>
        <v>0</v>
      </c>
      <c r="GW110" s="527"/>
      <c r="GX110" s="525">
        <f t="shared" si="664"/>
        <v>0</v>
      </c>
      <c r="GY110" s="528"/>
      <c r="GZ110" s="525">
        <f t="shared" si="665"/>
        <v>0</v>
      </c>
      <c r="HA110" s="528"/>
      <c r="HB110" s="526">
        <f t="shared" si="666"/>
        <v>0</v>
      </c>
      <c r="HD110" s="527"/>
      <c r="HE110" s="525">
        <v>0</v>
      </c>
      <c r="HF110" s="528"/>
      <c r="HG110" s="525">
        <v>0</v>
      </c>
      <c r="HH110" s="528"/>
      <c r="HI110" s="526">
        <v>0</v>
      </c>
    </row>
    <row r="111" spans="1:217" hidden="1">
      <c r="A111" s="386" t="s">
        <v>97</v>
      </c>
      <c r="B111" s="386"/>
      <c r="C111" s="389">
        <f>SUM(C108:C110)</f>
        <v>-957321</v>
      </c>
      <c r="D111" s="4"/>
      <c r="E111" s="389">
        <f>SUM(E108:E110)</f>
        <v>-957321</v>
      </c>
      <c r="F111" s="4"/>
      <c r="G111" s="389">
        <f>SUM(G108:G110)</f>
        <v>0</v>
      </c>
      <c r="H111" s="389"/>
      <c r="I111" s="4"/>
      <c r="J111" s="389">
        <f>SUM(J108:J110)</f>
        <v>0</v>
      </c>
      <c r="K111" s="389"/>
      <c r="L111" s="4"/>
      <c r="M111" s="389">
        <f>SUM(M108:M110)</f>
        <v>0</v>
      </c>
      <c r="N111" s="389">
        <f>SUM(N108:N110)</f>
        <v>0</v>
      </c>
      <c r="O111" s="4"/>
      <c r="P111" s="389">
        <f t="shared" si="421"/>
        <v>0</v>
      </c>
      <c r="Q111" s="389">
        <f>+H111+K111+N111</f>
        <v>0</v>
      </c>
      <c r="R111" s="7">
        <f t="shared" si="442"/>
        <v>0</v>
      </c>
      <c r="S111" s="389">
        <f>SUM(S108:S110)</f>
        <v>0</v>
      </c>
      <c r="T111" s="389">
        <f>SUM(T108:T110)</f>
        <v>0</v>
      </c>
      <c r="U111" s="4"/>
      <c r="V111" s="389">
        <f>SUM(V108:V110)</f>
        <v>0</v>
      </c>
      <c r="W111" s="389">
        <f>SUM(W108:W110)</f>
        <v>0</v>
      </c>
      <c r="X111" s="4"/>
      <c r="Y111" s="389">
        <f>SUM(Y108:Y110)</f>
        <v>0</v>
      </c>
      <c r="Z111" s="389">
        <f>SUM(Z108:Z110)</f>
        <v>0</v>
      </c>
      <c r="AA111" s="4"/>
      <c r="AB111" s="375">
        <f t="shared" si="684"/>
        <v>0</v>
      </c>
      <c r="AC111" s="375">
        <f t="shared" si="533"/>
        <v>0</v>
      </c>
      <c r="AD111" s="7">
        <f t="shared" si="443"/>
        <v>0</v>
      </c>
      <c r="AE111" s="375">
        <f t="shared" si="685"/>
        <v>0</v>
      </c>
      <c r="AF111" s="375">
        <f t="shared" si="686"/>
        <v>0</v>
      </c>
      <c r="AG111" s="4"/>
      <c r="AH111" s="389">
        <f>SUM(AH108:AH110)</f>
        <v>0</v>
      </c>
      <c r="AI111" s="389">
        <f>SUM(AI108:AI110)</f>
        <v>0</v>
      </c>
      <c r="AJ111" s="4"/>
      <c r="AK111" s="389">
        <f>SUM(AK108:AK110)</f>
        <v>0</v>
      </c>
      <c r="AL111" s="389">
        <f>SUM(AL108:AL110)</f>
        <v>0</v>
      </c>
      <c r="AM111" s="4"/>
      <c r="AN111" s="389">
        <f>SUM(AN108:AN110)</f>
        <v>0</v>
      </c>
      <c r="AO111" s="389">
        <f>SUM(AO108:AO110)</f>
        <v>0</v>
      </c>
      <c r="AP111" s="4"/>
      <c r="AQ111" s="389">
        <f>SUM(AQ108:AQ110)</f>
        <v>0</v>
      </c>
      <c r="AR111" s="388">
        <f>N111+Z111+AF111</f>
        <v>0</v>
      </c>
      <c r="AS111" s="7">
        <f t="shared" si="444"/>
        <v>0</v>
      </c>
      <c r="AT111" s="375">
        <f t="shared" si="633"/>
        <v>0</v>
      </c>
      <c r="AU111" s="4"/>
      <c r="AV111" s="389">
        <f>SUM(AV108:AV110)</f>
        <v>0</v>
      </c>
      <c r="AW111" s="389">
        <f>SUM(AW108:AW110)</f>
        <v>0</v>
      </c>
      <c r="AX111" s="4"/>
      <c r="AY111" s="389">
        <f>SUM(AY108:AY110)</f>
        <v>0</v>
      </c>
      <c r="AZ111" s="389">
        <f>SUM(AZ108:AZ110)</f>
        <v>0</v>
      </c>
      <c r="BA111" s="4"/>
      <c r="BB111" s="389">
        <f>SUM(BB108:BB110)</f>
        <v>0</v>
      </c>
      <c r="BC111" s="389">
        <f>SUM(BC108:BC110)</f>
        <v>957321</v>
      </c>
      <c r="BD111" s="448"/>
      <c r="BE111" s="389">
        <f>SUM(BE108:BE110)</f>
        <v>0</v>
      </c>
      <c r="BF111" s="389">
        <f>SUM(BF108:BF110)</f>
        <v>957321</v>
      </c>
      <c r="BG111" s="7">
        <f t="shared" si="445"/>
        <v>3.0488252830206328E-2</v>
      </c>
      <c r="BH111" s="375">
        <f t="shared" si="691"/>
        <v>0</v>
      </c>
      <c r="BI111" s="389">
        <f t="shared" si="692"/>
        <v>957321</v>
      </c>
      <c r="BJ111" s="7">
        <f t="shared" si="446"/>
        <v>7.28124107060948E-3</v>
      </c>
      <c r="BK111" s="375">
        <v>0</v>
      </c>
      <c r="BL111" s="282"/>
      <c r="BM111" s="378"/>
      <c r="BN111" s="389">
        <f>SUM(BN108:BN110)</f>
        <v>0</v>
      </c>
      <c r="BO111" s="4"/>
      <c r="BP111" s="389">
        <f>SUM(BP108:BP110)</f>
        <v>0</v>
      </c>
      <c r="BQ111" s="4"/>
      <c r="BR111" s="389">
        <f>SUM(BR108:BR110)</f>
        <v>0</v>
      </c>
      <c r="BS111" s="4"/>
      <c r="BT111" s="389">
        <f>SUM(BT108:BT110)</f>
        <v>0</v>
      </c>
      <c r="BU111" s="7">
        <f t="shared" si="447"/>
        <v>0</v>
      </c>
      <c r="BV111" s="389">
        <f>SUM(BV108:BV110)</f>
        <v>0</v>
      </c>
      <c r="BW111" s="7"/>
      <c r="BX111" s="389">
        <f>SUM(BX108:BX110)</f>
        <v>0</v>
      </c>
      <c r="BY111" s="7"/>
      <c r="BZ111" s="389">
        <f>SUM(BZ108:BZ110)</f>
        <v>0</v>
      </c>
      <c r="CA111" s="7"/>
      <c r="CB111" s="389">
        <f>SUM(CB108:CB110)</f>
        <v>0</v>
      </c>
      <c r="CC111" s="7">
        <f t="shared" si="534"/>
        <v>0</v>
      </c>
      <c r="CD111" s="389">
        <f>SUM(CD108:CD110)</f>
        <v>0</v>
      </c>
      <c r="CE111" s="7">
        <f t="shared" si="448"/>
        <v>0</v>
      </c>
      <c r="CF111" s="389">
        <f>SUM(CF108:CF110)</f>
        <v>0</v>
      </c>
      <c r="CG111" s="7">
        <f t="shared" si="449"/>
        <v>0</v>
      </c>
      <c r="CH111" s="389">
        <f>SUM(CH108:CH110)</f>
        <v>0</v>
      </c>
      <c r="CI111" s="7">
        <f t="shared" si="449"/>
        <v>0</v>
      </c>
      <c r="CJ111" s="389">
        <f>SUM(CJ108:CJ110)</f>
        <v>0</v>
      </c>
      <c r="CK111" s="7">
        <f t="shared" si="449"/>
        <v>0</v>
      </c>
      <c r="CL111" s="389">
        <f>SUM(CL108:CL110)</f>
        <v>0</v>
      </c>
      <c r="CM111" s="7">
        <f t="shared" si="449"/>
        <v>0</v>
      </c>
      <c r="CN111" s="375">
        <f t="shared" si="701"/>
        <v>0</v>
      </c>
      <c r="CO111" s="7">
        <f t="shared" si="639"/>
        <v>0</v>
      </c>
      <c r="CP111" s="389">
        <f>SUM(CP108:CP110)</f>
        <v>0</v>
      </c>
      <c r="CQ111" s="7">
        <f t="shared" si="728"/>
        <v>0</v>
      </c>
      <c r="CR111" s="375">
        <f t="shared" si="702"/>
        <v>0</v>
      </c>
      <c r="CS111" s="7">
        <f t="shared" si="641"/>
        <v>0</v>
      </c>
      <c r="CT111" s="389">
        <f t="shared" ref="CT111" si="770">SUM(CT108:CT110)</f>
        <v>0</v>
      </c>
      <c r="CU111" s="7">
        <f t="shared" si="611"/>
        <v>0</v>
      </c>
      <c r="CV111" s="389">
        <f t="shared" ref="CV111" si="771">SUM(CV108:CV110)</f>
        <v>0</v>
      </c>
      <c r="CW111" s="7">
        <f t="shared" si="452"/>
        <v>0</v>
      </c>
      <c r="CX111" s="375">
        <f t="shared" si="703"/>
        <v>0</v>
      </c>
      <c r="CY111" s="7">
        <f t="shared" si="729"/>
        <v>0</v>
      </c>
      <c r="CZ111" s="375">
        <f t="shared" si="704"/>
        <v>0</v>
      </c>
      <c r="DA111" s="7">
        <f t="shared" si="453"/>
        <v>0</v>
      </c>
      <c r="DB111" s="375">
        <f>SUM(DB108:DB110)</f>
        <v>0</v>
      </c>
      <c r="DC111" s="7">
        <f t="shared" si="642"/>
        <v>0</v>
      </c>
      <c r="DD111" s="375">
        <f>SUM(DD108:DD110)</f>
        <v>0</v>
      </c>
      <c r="DE111" s="7">
        <f t="shared" si="642"/>
        <v>0</v>
      </c>
      <c r="DF111" s="375">
        <f>SUM(DF108:DF110)</f>
        <v>0</v>
      </c>
      <c r="DG111" s="7">
        <f t="shared" si="642"/>
        <v>0</v>
      </c>
      <c r="DH111" s="389">
        <f>SUM(DH108:DH110)</f>
        <v>0</v>
      </c>
      <c r="DI111" s="7">
        <f t="shared" si="730"/>
        <v>0</v>
      </c>
      <c r="DJ111" s="375"/>
      <c r="DK111" s="7">
        <f t="shared" si="643"/>
        <v>0</v>
      </c>
      <c r="DL111" s="375">
        <f>SUM(DL108:DL110)</f>
        <v>0</v>
      </c>
      <c r="DM111" s="7">
        <f t="shared" si="644"/>
        <v>0</v>
      </c>
      <c r="DN111" s="375">
        <f>SUM(DN108:DN110)</f>
        <v>0</v>
      </c>
      <c r="DO111" s="7">
        <f t="shared" si="645"/>
        <v>0</v>
      </c>
      <c r="DP111" s="375">
        <f>SUM(DP108:DP110)</f>
        <v>0</v>
      </c>
      <c r="DQ111" s="7">
        <f t="shared" si="646"/>
        <v>0</v>
      </c>
      <c r="DR111" s="389">
        <f>SUM(DR108:DR110)</f>
        <v>0</v>
      </c>
      <c r="DS111" s="7">
        <f t="shared" si="731"/>
        <v>0</v>
      </c>
      <c r="DT111" s="389">
        <f t="shared" si="713"/>
        <v>0</v>
      </c>
      <c r="DU111" s="7">
        <f t="shared" si="454"/>
        <v>0</v>
      </c>
      <c r="DV111" s="375">
        <f>SUM(DV108:DV110)</f>
        <v>0</v>
      </c>
      <c r="DW111" s="7">
        <f t="shared" si="647"/>
        <v>0</v>
      </c>
      <c r="DX111" s="375">
        <f>SUM(DX108:DX110)</f>
        <v>0</v>
      </c>
      <c r="DY111" s="7">
        <f t="shared" si="648"/>
        <v>0</v>
      </c>
      <c r="DZ111" s="375">
        <f>SUM(DZ108:DZ110)</f>
        <v>0</v>
      </c>
      <c r="EA111" s="7">
        <f t="shared" si="649"/>
        <v>0</v>
      </c>
      <c r="EB111" s="389">
        <f>SUM(EB108:EB110)</f>
        <v>0</v>
      </c>
      <c r="EC111" s="7">
        <f t="shared" si="427"/>
        <v>0</v>
      </c>
      <c r="ED111" s="375">
        <f t="shared" si="715"/>
        <v>0</v>
      </c>
      <c r="EE111" s="7">
        <f t="shared" si="455"/>
        <v>0</v>
      </c>
      <c r="EF111" s="375">
        <f>SUM(EF108:EF110)</f>
        <v>0</v>
      </c>
      <c r="EG111" s="7">
        <f t="shared" si="650"/>
        <v>0</v>
      </c>
      <c r="EH111" s="375">
        <f>SUM(EH108:EH110)</f>
        <v>0</v>
      </c>
      <c r="EI111" s="7">
        <f t="shared" si="651"/>
        <v>0</v>
      </c>
      <c r="EJ111" s="375">
        <f>SUM(EJ108:EJ110)</f>
        <v>0</v>
      </c>
      <c r="EK111" s="7">
        <f t="shared" si="652"/>
        <v>0</v>
      </c>
      <c r="EL111" s="389">
        <f>SUM(EL108:EL110)</f>
        <v>0</v>
      </c>
      <c r="EM111" s="7">
        <f t="shared" si="428"/>
        <v>0</v>
      </c>
      <c r="EN111" s="375">
        <f t="shared" si="717"/>
        <v>0</v>
      </c>
      <c r="EO111" s="7">
        <f t="shared" si="456"/>
        <v>0</v>
      </c>
      <c r="EP111" s="373"/>
      <c r="EQ111" s="373"/>
      <c r="ER111" s="373"/>
      <c r="ES111" s="373"/>
      <c r="ET111" s="375">
        <f>SUM(ET108:ET110)</f>
        <v>0</v>
      </c>
      <c r="EU111" s="7">
        <f t="shared" si="653"/>
        <v>0</v>
      </c>
      <c r="EV111" s="375">
        <f>SUM(EV108:EV110)</f>
        <v>0</v>
      </c>
      <c r="EW111" s="7">
        <f t="shared" si="654"/>
        <v>0</v>
      </c>
      <c r="EX111" s="375">
        <f>SUM(EX108:EX110)</f>
        <v>0</v>
      </c>
      <c r="EY111" s="7">
        <f t="shared" si="655"/>
        <v>0</v>
      </c>
      <c r="EZ111" s="389">
        <f>SUM(EZ108:EZ110)</f>
        <v>0</v>
      </c>
      <c r="FA111" s="7">
        <f t="shared" si="429"/>
        <v>0</v>
      </c>
      <c r="FB111" s="375">
        <f>SUM(FB108:FB110)</f>
        <v>0</v>
      </c>
      <c r="FC111" s="7">
        <f t="shared" si="656"/>
        <v>0</v>
      </c>
      <c r="FD111" s="375">
        <f t="shared" ref="FD111" si="772">SUM(FD108:FD110)</f>
        <v>0</v>
      </c>
      <c r="FE111" s="7">
        <f t="shared" si="612"/>
        <v>0</v>
      </c>
      <c r="FF111" s="375">
        <f t="shared" ref="FF111" si="773">SUM(FF108:FF110)</f>
        <v>0</v>
      </c>
      <c r="FG111" s="7">
        <f t="shared" si="430"/>
        <v>0</v>
      </c>
      <c r="FH111" s="389">
        <f>SUM(FH108:FH110)</f>
        <v>0</v>
      </c>
      <c r="FI111" s="7">
        <f t="shared" si="431"/>
        <v>0</v>
      </c>
      <c r="FJ111" s="389">
        <f>SUM(FJ108:FJ110)</f>
        <v>0</v>
      </c>
      <c r="FK111" s="7">
        <f t="shared" si="459"/>
        <v>0</v>
      </c>
      <c r="FL111" s="375">
        <f>SUM(FL108:FL110)</f>
        <v>0</v>
      </c>
      <c r="FM111" s="7">
        <f t="shared" si="658"/>
        <v>0</v>
      </c>
      <c r="FN111" s="375">
        <f t="shared" ref="FN111" si="774">SUM(FN108:FN110)</f>
        <v>0</v>
      </c>
      <c r="FO111" s="7">
        <f t="shared" si="432"/>
        <v>0</v>
      </c>
      <c r="FP111" s="375">
        <f t="shared" ref="FP111" si="775">SUM(FP108:FP110)</f>
        <v>0</v>
      </c>
      <c r="FQ111" s="7">
        <f t="shared" si="433"/>
        <v>0</v>
      </c>
      <c r="FR111" s="389">
        <f>SUM(FR108:FR110)</f>
        <v>0</v>
      </c>
      <c r="FS111" s="7">
        <f t="shared" si="434"/>
        <v>0</v>
      </c>
      <c r="FT111" s="389">
        <f>SUM(FT108:FT110)</f>
        <v>0</v>
      </c>
      <c r="FU111" s="7">
        <f t="shared" si="462"/>
        <v>0</v>
      </c>
      <c r="FV111" s="375">
        <f>SUM(FV108:FV110)</f>
        <v>0</v>
      </c>
      <c r="FW111" s="7">
        <f t="shared" si="660"/>
        <v>0</v>
      </c>
      <c r="FX111" s="375">
        <f t="shared" ref="FX111" si="776">SUM(FX108:FX110)</f>
        <v>0</v>
      </c>
      <c r="FY111" s="7">
        <f t="shared" si="435"/>
        <v>0</v>
      </c>
      <c r="FZ111" s="375">
        <f t="shared" ref="FZ111" si="777">SUM(FZ108:FZ110)</f>
        <v>0</v>
      </c>
      <c r="GA111" s="7">
        <f t="shared" si="436"/>
        <v>0</v>
      </c>
      <c r="GB111" s="389">
        <f>SUM(GB108:GB110)</f>
        <v>0</v>
      </c>
      <c r="GC111" s="7">
        <f t="shared" si="437"/>
        <v>0</v>
      </c>
      <c r="GD111" s="389">
        <f>SUM(GD108:GD110)</f>
        <v>0</v>
      </c>
      <c r="GE111" s="7">
        <f t="shared" si="465"/>
        <v>0</v>
      </c>
      <c r="GF111" s="566">
        <f t="shared" ref="GF111" si="778">SUM(GF108:GF110)</f>
        <v>0</v>
      </c>
      <c r="GG111" s="525">
        <f t="shared" si="438"/>
        <v>0</v>
      </c>
      <c r="GH111" s="528">
        <f t="shared" si="726"/>
        <v>0</v>
      </c>
      <c r="GI111" s="525">
        <f t="shared" si="439"/>
        <v>0</v>
      </c>
      <c r="GJ111" s="528"/>
      <c r="GK111" s="525">
        <f t="shared" si="440"/>
        <v>0</v>
      </c>
      <c r="GL111" s="528">
        <f t="shared" si="727"/>
        <v>0</v>
      </c>
      <c r="GM111" s="565">
        <f t="shared" si="468"/>
        <v>0</v>
      </c>
      <c r="GO111" s="586">
        <f t="shared" ref="GO111" si="779">SUM(GO108:GO110)</f>
        <v>0</v>
      </c>
      <c r="GQ111" s="586">
        <f t="shared" ref="GQ111" si="780">SUM(GQ108:GQ110)</f>
        <v>0</v>
      </c>
      <c r="GT111" s="551">
        <f t="shared" si="558"/>
        <v>0</v>
      </c>
      <c r="GU111" s="551">
        <f t="shared" si="471"/>
        <v>0</v>
      </c>
      <c r="GV111" s="550">
        <f t="shared" si="732"/>
        <v>0</v>
      </c>
      <c r="GW111" s="529">
        <f>SUM(GW108:GW110)</f>
        <v>0</v>
      </c>
      <c r="GX111" s="525">
        <f t="shared" si="664"/>
        <v>0</v>
      </c>
      <c r="GY111" s="530">
        <f>SUM(GY108:GY110)</f>
        <v>0</v>
      </c>
      <c r="GZ111" s="525">
        <f t="shared" si="665"/>
        <v>0</v>
      </c>
      <c r="HA111" s="530">
        <f>SUM(HA108:HA110)</f>
        <v>0</v>
      </c>
      <c r="HB111" s="526">
        <f t="shared" si="666"/>
        <v>0</v>
      </c>
      <c r="HD111" s="529">
        <v>0</v>
      </c>
      <c r="HE111" s="525">
        <v>0</v>
      </c>
      <c r="HF111" s="530">
        <v>0</v>
      </c>
      <c r="HG111" s="525">
        <v>0</v>
      </c>
      <c r="HH111" s="530">
        <v>0</v>
      </c>
      <c r="HI111" s="526">
        <v>0</v>
      </c>
    </row>
    <row r="112" spans="1:217" ht="15" customHeight="1" outlineLevel="1">
      <c r="A112" s="386" t="s">
        <v>101</v>
      </c>
      <c r="B112" s="386" t="s">
        <v>102</v>
      </c>
      <c r="C112" s="375">
        <v>0</v>
      </c>
      <c r="D112" s="4"/>
      <c r="E112" s="375">
        <v>0</v>
      </c>
      <c r="F112" s="4"/>
      <c r="G112" s="375"/>
      <c r="H112" s="375"/>
      <c r="I112" s="4"/>
      <c r="J112" s="375"/>
      <c r="K112" s="375"/>
      <c r="L112" s="4"/>
      <c r="M112" s="375"/>
      <c r="N112" s="375">
        <v>0</v>
      </c>
      <c r="O112" s="4"/>
      <c r="P112" s="375">
        <f t="shared" si="421"/>
        <v>0</v>
      </c>
      <c r="Q112" s="375">
        <f t="shared" si="421"/>
        <v>0</v>
      </c>
      <c r="R112" s="7">
        <f t="shared" si="442"/>
        <v>0</v>
      </c>
      <c r="S112" s="375"/>
      <c r="T112" s="375"/>
      <c r="U112" s="4"/>
      <c r="V112" s="375"/>
      <c r="W112" s="375"/>
      <c r="X112" s="4"/>
      <c r="Y112" s="375"/>
      <c r="Z112" s="375"/>
      <c r="AA112" s="4"/>
      <c r="AB112" s="375">
        <f t="shared" si="684"/>
        <v>0</v>
      </c>
      <c r="AC112" s="375">
        <f t="shared" si="533"/>
        <v>0</v>
      </c>
      <c r="AD112" s="7">
        <f t="shared" si="443"/>
        <v>0</v>
      </c>
      <c r="AE112" s="375">
        <f t="shared" si="685"/>
        <v>0</v>
      </c>
      <c r="AF112" s="375">
        <f t="shared" si="686"/>
        <v>0</v>
      </c>
      <c r="AG112" s="4"/>
      <c r="AH112" s="375"/>
      <c r="AI112" s="375"/>
      <c r="AJ112" s="4"/>
      <c r="AK112" s="375"/>
      <c r="AL112" s="375"/>
      <c r="AM112" s="4"/>
      <c r="AN112" s="375"/>
      <c r="AO112" s="375"/>
      <c r="AP112" s="4"/>
      <c r="AQ112" s="375">
        <f t="shared" ref="AQ112:AQ124" si="781">AN112+AK112+AH112</f>
        <v>0</v>
      </c>
      <c r="AR112" s="375">
        <f t="shared" ref="AR112:AR124" si="782">AO112+AL112+AI112</f>
        <v>0</v>
      </c>
      <c r="AS112" s="7">
        <f t="shared" si="444"/>
        <v>0</v>
      </c>
      <c r="AT112" s="375">
        <f t="shared" si="633"/>
        <v>0</v>
      </c>
      <c r="AU112" s="4"/>
      <c r="AV112" s="375"/>
      <c r="AW112" s="375"/>
      <c r="AX112" s="4"/>
      <c r="AY112" s="375"/>
      <c r="AZ112" s="375"/>
      <c r="BA112" s="4"/>
      <c r="BB112" s="375"/>
      <c r="BC112" s="375"/>
      <c r="BD112" s="448"/>
      <c r="BE112" s="375">
        <f t="shared" ref="BE112:BE124" si="783">BB112+AY112+AV112</f>
        <v>0</v>
      </c>
      <c r="BF112" s="375">
        <f t="shared" ref="BF112:BF124" si="784">BC112+AZ112+AW112</f>
        <v>0</v>
      </c>
      <c r="BG112" s="7">
        <f t="shared" si="445"/>
        <v>0</v>
      </c>
      <c r="BH112" s="375">
        <f t="shared" si="691"/>
        <v>0</v>
      </c>
      <c r="BI112" s="388">
        <f t="shared" si="692"/>
        <v>0</v>
      </c>
      <c r="BJ112" s="7">
        <f t="shared" si="446"/>
        <v>0</v>
      </c>
      <c r="BK112" s="375">
        <v>0</v>
      </c>
      <c r="BL112" s="282"/>
      <c r="BM112" s="378"/>
      <c r="BN112" s="375"/>
      <c r="BO112" s="4"/>
      <c r="BP112" s="375"/>
      <c r="BQ112" s="4"/>
      <c r="BR112" s="375"/>
      <c r="BS112" s="4"/>
      <c r="BT112" s="375">
        <f t="shared" ref="BT112:BT124" si="785">SUM(BN112:BS112)</f>
        <v>0</v>
      </c>
      <c r="BU112" s="7">
        <f t="shared" si="447"/>
        <v>0</v>
      </c>
      <c r="BV112" s="375"/>
      <c r="BW112" s="7"/>
      <c r="BX112" s="375"/>
      <c r="BY112" s="7"/>
      <c r="BZ112" s="375">
        <f t="shared" si="740"/>
        <v>0</v>
      </c>
      <c r="CA112" s="7"/>
      <c r="CB112" s="375">
        <f t="shared" ref="CB112:CB124" si="786">+BV112+BX112+BZ112</f>
        <v>0</v>
      </c>
      <c r="CC112" s="7">
        <f t="shared" si="534"/>
        <v>0</v>
      </c>
      <c r="CD112" s="375">
        <f t="shared" ref="CD112:CD124" si="787">BT112+CB112</f>
        <v>0</v>
      </c>
      <c r="CE112" s="7">
        <f t="shared" si="448"/>
        <v>0</v>
      </c>
      <c r="CF112" s="375">
        <f t="shared" ref="CF112:CF120" si="788">+BZ112+CB112+CD112</f>
        <v>0</v>
      </c>
      <c r="CG112" s="7">
        <f t="shared" si="449"/>
        <v>0</v>
      </c>
      <c r="CH112" s="375">
        <f t="shared" ref="CH112:CH119" si="789">+CB112+CD112+CF112</f>
        <v>0</v>
      </c>
      <c r="CI112" s="7">
        <f t="shared" si="449"/>
        <v>0</v>
      </c>
      <c r="CJ112" s="375">
        <f t="shared" ref="CJ112:CJ119" si="790">+CD112+CF112+CH112</f>
        <v>0</v>
      </c>
      <c r="CK112" s="7">
        <f t="shared" si="449"/>
        <v>0</v>
      </c>
      <c r="CL112" s="375">
        <f t="shared" si="700"/>
        <v>0</v>
      </c>
      <c r="CM112" s="7">
        <f t="shared" si="449"/>
        <v>0</v>
      </c>
      <c r="CN112" s="375">
        <f t="shared" si="701"/>
        <v>0</v>
      </c>
      <c r="CO112" s="7">
        <f t="shared" si="639"/>
        <v>0</v>
      </c>
      <c r="CP112" s="375">
        <v>0</v>
      </c>
      <c r="CQ112" s="7">
        <f t="shared" si="728"/>
        <v>0</v>
      </c>
      <c r="CR112" s="375">
        <f t="shared" si="702"/>
        <v>0</v>
      </c>
      <c r="CS112" s="7">
        <f t="shared" si="641"/>
        <v>0</v>
      </c>
      <c r="CT112" s="375">
        <v>0</v>
      </c>
      <c r="CU112" s="7">
        <f t="shared" si="611"/>
        <v>0</v>
      </c>
      <c r="CV112" s="375">
        <v>0</v>
      </c>
      <c r="CW112" s="7">
        <f t="shared" si="452"/>
        <v>0</v>
      </c>
      <c r="CX112" s="375">
        <f t="shared" si="703"/>
        <v>0</v>
      </c>
      <c r="CY112" s="7">
        <f t="shared" si="729"/>
        <v>0</v>
      </c>
      <c r="CZ112" s="375">
        <f t="shared" si="704"/>
        <v>0</v>
      </c>
      <c r="DA112" s="7">
        <f t="shared" si="453"/>
        <v>0</v>
      </c>
      <c r="DB112" s="375">
        <f t="shared" ref="DB112:DB120" si="791">+CV112+CX112+CZ112</f>
        <v>0</v>
      </c>
      <c r="DC112" s="7">
        <f t="shared" si="642"/>
        <v>0</v>
      </c>
      <c r="DD112" s="375">
        <f t="shared" ref="DD112:DD119" si="792">+CX112+CZ112+DB112</f>
        <v>0</v>
      </c>
      <c r="DE112" s="7">
        <f t="shared" si="642"/>
        <v>0</v>
      </c>
      <c r="DF112" s="375">
        <f t="shared" ref="DF112:DF119" si="793">+CZ112+DB112+DD112</f>
        <v>0</v>
      </c>
      <c r="DG112" s="7">
        <f t="shared" si="642"/>
        <v>0</v>
      </c>
      <c r="DH112" s="375">
        <f t="shared" ref="DH112:DH124" si="794">+DB112+DD112+DF112</f>
        <v>0</v>
      </c>
      <c r="DI112" s="7">
        <f t="shared" si="730"/>
        <v>0</v>
      </c>
      <c r="DJ112" s="375"/>
      <c r="DK112" s="7">
        <f t="shared" si="643"/>
        <v>0</v>
      </c>
      <c r="DL112" s="375">
        <f t="shared" ref="DL112:DL119" si="795">+DF112+DH112+DJ112</f>
        <v>0</v>
      </c>
      <c r="DM112" s="7">
        <f t="shared" si="644"/>
        <v>0</v>
      </c>
      <c r="DN112" s="375">
        <f t="shared" ref="DN112:DN119" si="796">+DH112+DJ112+DL112</f>
        <v>0</v>
      </c>
      <c r="DO112" s="7">
        <f t="shared" si="645"/>
        <v>0</v>
      </c>
      <c r="DP112" s="375">
        <f t="shared" ref="DP112:DP119" si="797">+DJ112+DL112+DN112</f>
        <v>0</v>
      </c>
      <c r="DQ112" s="7">
        <f t="shared" si="646"/>
        <v>0</v>
      </c>
      <c r="DR112" s="375">
        <f t="shared" ref="DR112:DR124" si="798">+DL112+DN112+DP112</f>
        <v>0</v>
      </c>
      <c r="DS112" s="7">
        <f t="shared" si="731"/>
        <v>0</v>
      </c>
      <c r="DT112" s="375">
        <f t="shared" si="713"/>
        <v>0</v>
      </c>
      <c r="DU112" s="7">
        <f t="shared" si="454"/>
        <v>0</v>
      </c>
      <c r="DV112" s="375"/>
      <c r="DW112" s="7">
        <f t="shared" si="647"/>
        <v>0</v>
      </c>
      <c r="DX112" s="375"/>
      <c r="DY112" s="7">
        <f t="shared" si="648"/>
        <v>0</v>
      </c>
      <c r="DZ112" s="375"/>
      <c r="EA112" s="7">
        <f t="shared" si="649"/>
        <v>0</v>
      </c>
      <c r="EB112" s="375">
        <f t="shared" ref="EB112:EB124" si="799">+DV112+DX112+DZ112</f>
        <v>0</v>
      </c>
      <c r="EC112" s="7">
        <f t="shared" si="427"/>
        <v>0</v>
      </c>
      <c r="ED112" s="375">
        <f t="shared" si="715"/>
        <v>0</v>
      </c>
      <c r="EE112" s="7">
        <f t="shared" si="455"/>
        <v>0</v>
      </c>
      <c r="EF112" s="375"/>
      <c r="EG112" s="7">
        <f t="shared" si="650"/>
        <v>0</v>
      </c>
      <c r="EH112" s="375"/>
      <c r="EI112" s="7">
        <f t="shared" si="651"/>
        <v>0</v>
      </c>
      <c r="EJ112" s="375"/>
      <c r="EK112" s="7">
        <f t="shared" si="652"/>
        <v>0</v>
      </c>
      <c r="EL112" s="375">
        <f t="shared" ref="EL112:EL124" si="800">+EF112+EH112+EJ112</f>
        <v>0</v>
      </c>
      <c r="EM112" s="7">
        <f t="shared" si="428"/>
        <v>0</v>
      </c>
      <c r="EN112" s="375">
        <f t="shared" si="717"/>
        <v>0</v>
      </c>
      <c r="EO112" s="7">
        <f t="shared" si="456"/>
        <v>0</v>
      </c>
      <c r="EP112" s="392"/>
      <c r="EQ112" s="373"/>
      <c r="ER112" s="373"/>
      <c r="ES112" s="373"/>
      <c r="ET112" s="375"/>
      <c r="EU112" s="7">
        <f t="shared" si="653"/>
        <v>0</v>
      </c>
      <c r="EV112" s="375"/>
      <c r="EW112" s="7">
        <f t="shared" si="654"/>
        <v>0</v>
      </c>
      <c r="EX112" s="375"/>
      <c r="EY112" s="7">
        <f t="shared" si="655"/>
        <v>0</v>
      </c>
      <c r="EZ112" s="375">
        <f t="shared" ref="EZ112:EZ124" si="801">+ET112+EV112+EX112</f>
        <v>0</v>
      </c>
      <c r="FA112" s="7">
        <f t="shared" si="429"/>
        <v>0</v>
      </c>
      <c r="FB112" s="375"/>
      <c r="FC112" s="7">
        <f t="shared" si="656"/>
        <v>0</v>
      </c>
      <c r="FD112" s="375"/>
      <c r="FE112" s="7">
        <f t="shared" si="612"/>
        <v>0</v>
      </c>
      <c r="FF112" s="375"/>
      <c r="FG112" s="7">
        <f t="shared" si="430"/>
        <v>0</v>
      </c>
      <c r="FH112" s="375">
        <f t="shared" ref="FH112:FH124" si="802">+FB112+FD112+FF112</f>
        <v>0</v>
      </c>
      <c r="FI112" s="7">
        <f t="shared" si="431"/>
        <v>0</v>
      </c>
      <c r="FJ112" s="375">
        <f t="shared" ref="FJ112:FJ124" si="803">EZ112+FH112</f>
        <v>0</v>
      </c>
      <c r="FK112" s="7">
        <f t="shared" si="459"/>
        <v>0</v>
      </c>
      <c r="FL112" s="375"/>
      <c r="FM112" s="7">
        <f t="shared" si="658"/>
        <v>0</v>
      </c>
      <c r="FN112" s="375"/>
      <c r="FO112" s="7">
        <f t="shared" si="432"/>
        <v>0</v>
      </c>
      <c r="FP112" s="375"/>
      <c r="FQ112" s="7">
        <f t="shared" si="433"/>
        <v>0</v>
      </c>
      <c r="FR112" s="375">
        <f t="shared" ref="FR112:FR124" si="804">+FL112+FN112+FP112</f>
        <v>0</v>
      </c>
      <c r="FS112" s="7">
        <f t="shared" si="434"/>
        <v>0</v>
      </c>
      <c r="FT112" s="375">
        <f t="shared" ref="FT112:FT124" si="805">FJ112+FR112</f>
        <v>0</v>
      </c>
      <c r="FU112" s="7">
        <f t="shared" si="462"/>
        <v>0</v>
      </c>
      <c r="FV112" s="375"/>
      <c r="FW112" s="7">
        <f t="shared" si="660"/>
        <v>0</v>
      </c>
      <c r="FX112" s="375"/>
      <c r="FY112" s="7">
        <f t="shared" si="435"/>
        <v>0</v>
      </c>
      <c r="FZ112" s="375"/>
      <c r="GA112" s="7">
        <f t="shared" si="436"/>
        <v>0</v>
      </c>
      <c r="GB112" s="375">
        <f t="shared" ref="GB112:GB124" si="806">+FV112+FX112+FZ112</f>
        <v>0</v>
      </c>
      <c r="GC112" s="7">
        <f t="shared" si="437"/>
        <v>0</v>
      </c>
      <c r="GD112" s="375">
        <f t="shared" ref="GD112:GD123" si="807">FT112+GB112</f>
        <v>0</v>
      </c>
      <c r="GE112" s="7">
        <f t="shared" si="465"/>
        <v>0</v>
      </c>
      <c r="GF112" s="566">
        <f t="shared" ref="GF112:GF124" si="808">+GO112*$GO$1</f>
        <v>0</v>
      </c>
      <c r="GG112" s="525">
        <f t="shared" si="438"/>
        <v>0</v>
      </c>
      <c r="GH112" s="528">
        <f t="shared" si="726"/>
        <v>0</v>
      </c>
      <c r="GI112" s="525">
        <f t="shared" si="439"/>
        <v>0</v>
      </c>
      <c r="GJ112" s="528"/>
      <c r="GK112" s="525">
        <f t="shared" si="440"/>
        <v>0</v>
      </c>
      <c r="GL112" s="528">
        <f t="shared" si="727"/>
        <v>0</v>
      </c>
      <c r="GM112" s="565">
        <f t="shared" si="468"/>
        <v>0</v>
      </c>
      <c r="GO112" s="586"/>
      <c r="GQ112" s="586"/>
      <c r="GT112" s="551">
        <f t="shared" si="558"/>
        <v>0</v>
      </c>
      <c r="GU112" s="551">
        <f t="shared" si="471"/>
        <v>0</v>
      </c>
      <c r="GV112" s="550">
        <f t="shared" si="732"/>
        <v>0</v>
      </c>
      <c r="GW112" s="527"/>
      <c r="GX112" s="525">
        <f t="shared" si="664"/>
        <v>0</v>
      </c>
      <c r="GY112" s="528"/>
      <c r="GZ112" s="525">
        <f t="shared" si="665"/>
        <v>0</v>
      </c>
      <c r="HA112" s="528"/>
      <c r="HB112" s="526">
        <f t="shared" si="666"/>
        <v>0</v>
      </c>
      <c r="HD112" s="527"/>
      <c r="HE112" s="525">
        <v>0</v>
      </c>
      <c r="HF112" s="528"/>
      <c r="HG112" s="525">
        <v>0</v>
      </c>
      <c r="HH112" s="528"/>
      <c r="HI112" s="526">
        <v>0</v>
      </c>
    </row>
    <row r="113" spans="1:217" ht="15" customHeight="1" outlineLevel="1">
      <c r="A113" s="386" t="s">
        <v>101</v>
      </c>
      <c r="B113" s="386" t="s">
        <v>103</v>
      </c>
      <c r="C113" s="375">
        <v>0</v>
      </c>
      <c r="D113" s="4"/>
      <c r="E113" s="375">
        <v>0</v>
      </c>
      <c r="F113" s="4"/>
      <c r="G113" s="375"/>
      <c r="H113" s="375"/>
      <c r="I113" s="4"/>
      <c r="J113" s="375"/>
      <c r="K113" s="375"/>
      <c r="L113" s="4"/>
      <c r="M113" s="375"/>
      <c r="N113" s="375">
        <v>0</v>
      </c>
      <c r="O113" s="4"/>
      <c r="P113" s="375">
        <f t="shared" si="421"/>
        <v>0</v>
      </c>
      <c r="Q113" s="375">
        <f t="shared" si="421"/>
        <v>0</v>
      </c>
      <c r="R113" s="7">
        <f t="shared" si="442"/>
        <v>0</v>
      </c>
      <c r="S113" s="375"/>
      <c r="T113" s="375"/>
      <c r="U113" s="4"/>
      <c r="V113" s="375"/>
      <c r="W113" s="375"/>
      <c r="X113" s="4"/>
      <c r="Y113" s="375"/>
      <c r="Z113" s="375"/>
      <c r="AA113" s="4"/>
      <c r="AB113" s="375">
        <f t="shared" si="684"/>
        <v>0</v>
      </c>
      <c r="AC113" s="375">
        <f t="shared" si="533"/>
        <v>0</v>
      </c>
      <c r="AD113" s="7">
        <f t="shared" si="443"/>
        <v>0</v>
      </c>
      <c r="AE113" s="375">
        <f t="shared" si="685"/>
        <v>0</v>
      </c>
      <c r="AF113" s="375">
        <f t="shared" si="686"/>
        <v>0</v>
      </c>
      <c r="AG113" s="4"/>
      <c r="AH113" s="375"/>
      <c r="AI113" s="375"/>
      <c r="AJ113" s="4"/>
      <c r="AK113" s="375"/>
      <c r="AL113" s="375"/>
      <c r="AM113" s="4"/>
      <c r="AN113" s="375"/>
      <c r="AO113" s="375"/>
      <c r="AP113" s="4"/>
      <c r="AQ113" s="375">
        <f t="shared" si="781"/>
        <v>0</v>
      </c>
      <c r="AR113" s="375">
        <f t="shared" si="782"/>
        <v>0</v>
      </c>
      <c r="AS113" s="7">
        <f t="shared" si="444"/>
        <v>0</v>
      </c>
      <c r="AT113" s="375">
        <f t="shared" si="633"/>
        <v>0</v>
      </c>
      <c r="AU113" s="4"/>
      <c r="AV113" s="375"/>
      <c r="AW113" s="375"/>
      <c r="AX113" s="4"/>
      <c r="AY113" s="375"/>
      <c r="AZ113" s="375"/>
      <c r="BA113" s="4"/>
      <c r="BB113" s="375"/>
      <c r="BC113" s="375"/>
      <c r="BD113" s="448"/>
      <c r="BE113" s="375">
        <f t="shared" si="783"/>
        <v>0</v>
      </c>
      <c r="BF113" s="375">
        <f t="shared" si="784"/>
        <v>0</v>
      </c>
      <c r="BG113" s="7">
        <f t="shared" si="445"/>
        <v>0</v>
      </c>
      <c r="BH113" s="375">
        <f t="shared" si="691"/>
        <v>0</v>
      </c>
      <c r="BI113" s="388">
        <f t="shared" si="692"/>
        <v>0</v>
      </c>
      <c r="BJ113" s="7">
        <f t="shared" si="446"/>
        <v>0</v>
      </c>
      <c r="BK113" s="375">
        <v>0</v>
      </c>
      <c r="BL113" s="282"/>
      <c r="BM113" s="378"/>
      <c r="BN113" s="375"/>
      <c r="BO113" s="4"/>
      <c r="BP113" s="375"/>
      <c r="BQ113" s="4"/>
      <c r="BR113" s="375"/>
      <c r="BS113" s="4"/>
      <c r="BT113" s="375">
        <f t="shared" si="785"/>
        <v>0</v>
      </c>
      <c r="BU113" s="7">
        <f t="shared" si="447"/>
        <v>0</v>
      </c>
      <c r="BV113" s="375"/>
      <c r="BW113" s="7"/>
      <c r="BX113" s="375"/>
      <c r="BY113" s="7"/>
      <c r="BZ113" s="375">
        <f t="shared" si="740"/>
        <v>0</v>
      </c>
      <c r="CA113" s="7"/>
      <c r="CB113" s="375">
        <f t="shared" si="786"/>
        <v>0</v>
      </c>
      <c r="CC113" s="7">
        <f t="shared" si="534"/>
        <v>0</v>
      </c>
      <c r="CD113" s="375">
        <f t="shared" si="787"/>
        <v>0</v>
      </c>
      <c r="CE113" s="7">
        <f t="shared" si="448"/>
        <v>0</v>
      </c>
      <c r="CF113" s="375">
        <f t="shared" si="788"/>
        <v>0</v>
      </c>
      <c r="CG113" s="7">
        <f t="shared" si="449"/>
        <v>0</v>
      </c>
      <c r="CH113" s="375">
        <f t="shared" si="789"/>
        <v>0</v>
      </c>
      <c r="CI113" s="7">
        <f t="shared" si="449"/>
        <v>0</v>
      </c>
      <c r="CJ113" s="375">
        <f t="shared" si="790"/>
        <v>0</v>
      </c>
      <c r="CK113" s="7">
        <f t="shared" si="449"/>
        <v>0</v>
      </c>
      <c r="CL113" s="375">
        <f t="shared" si="700"/>
        <v>0</v>
      </c>
      <c r="CM113" s="7">
        <f t="shared" si="449"/>
        <v>0</v>
      </c>
      <c r="CN113" s="375">
        <f t="shared" si="701"/>
        <v>0</v>
      </c>
      <c r="CO113" s="7">
        <f t="shared" si="639"/>
        <v>0</v>
      </c>
      <c r="CP113" s="375">
        <v>0</v>
      </c>
      <c r="CQ113" s="7">
        <f t="shared" si="728"/>
        <v>0</v>
      </c>
      <c r="CR113" s="375">
        <f t="shared" si="702"/>
        <v>0</v>
      </c>
      <c r="CS113" s="7">
        <f t="shared" si="641"/>
        <v>0</v>
      </c>
      <c r="CT113" s="375">
        <v>0</v>
      </c>
      <c r="CU113" s="7">
        <f t="shared" si="611"/>
        <v>0</v>
      </c>
      <c r="CV113" s="375">
        <v>0</v>
      </c>
      <c r="CW113" s="7">
        <f t="shared" si="452"/>
        <v>0</v>
      </c>
      <c r="CX113" s="375">
        <f t="shared" si="703"/>
        <v>0</v>
      </c>
      <c r="CY113" s="7">
        <f t="shared" si="729"/>
        <v>0</v>
      </c>
      <c r="CZ113" s="375">
        <f t="shared" si="704"/>
        <v>0</v>
      </c>
      <c r="DA113" s="7">
        <f t="shared" si="453"/>
        <v>0</v>
      </c>
      <c r="DB113" s="375">
        <f t="shared" si="791"/>
        <v>0</v>
      </c>
      <c r="DC113" s="7">
        <f t="shared" si="642"/>
        <v>0</v>
      </c>
      <c r="DD113" s="375">
        <f t="shared" si="792"/>
        <v>0</v>
      </c>
      <c r="DE113" s="7">
        <f t="shared" si="642"/>
        <v>0</v>
      </c>
      <c r="DF113" s="375">
        <f t="shared" si="793"/>
        <v>0</v>
      </c>
      <c r="DG113" s="7">
        <f t="shared" si="642"/>
        <v>0</v>
      </c>
      <c r="DH113" s="375">
        <f t="shared" si="794"/>
        <v>0</v>
      </c>
      <c r="DI113" s="7">
        <f t="shared" si="730"/>
        <v>0</v>
      </c>
      <c r="DJ113" s="375"/>
      <c r="DK113" s="7">
        <f t="shared" si="643"/>
        <v>0</v>
      </c>
      <c r="DL113" s="375">
        <f t="shared" si="795"/>
        <v>0</v>
      </c>
      <c r="DM113" s="7">
        <f t="shared" si="644"/>
        <v>0</v>
      </c>
      <c r="DN113" s="375">
        <f t="shared" si="796"/>
        <v>0</v>
      </c>
      <c r="DO113" s="7">
        <f t="shared" si="645"/>
        <v>0</v>
      </c>
      <c r="DP113" s="375">
        <f t="shared" si="797"/>
        <v>0</v>
      </c>
      <c r="DQ113" s="7">
        <f t="shared" si="646"/>
        <v>0</v>
      </c>
      <c r="DR113" s="375">
        <f t="shared" si="798"/>
        <v>0</v>
      </c>
      <c r="DS113" s="7">
        <f t="shared" si="731"/>
        <v>0</v>
      </c>
      <c r="DT113" s="375">
        <f t="shared" si="713"/>
        <v>0</v>
      </c>
      <c r="DU113" s="7">
        <f t="shared" si="454"/>
        <v>0</v>
      </c>
      <c r="DV113" s="375"/>
      <c r="DW113" s="7">
        <f t="shared" si="647"/>
        <v>0</v>
      </c>
      <c r="DX113" s="375"/>
      <c r="DY113" s="7">
        <f t="shared" si="648"/>
        <v>0</v>
      </c>
      <c r="DZ113" s="375"/>
      <c r="EA113" s="7">
        <f t="shared" si="649"/>
        <v>0</v>
      </c>
      <c r="EB113" s="375">
        <f t="shared" si="799"/>
        <v>0</v>
      </c>
      <c r="EC113" s="7">
        <f t="shared" si="427"/>
        <v>0</v>
      </c>
      <c r="ED113" s="375">
        <f t="shared" si="715"/>
        <v>0</v>
      </c>
      <c r="EE113" s="7">
        <f t="shared" si="455"/>
        <v>0</v>
      </c>
      <c r="EF113" s="375"/>
      <c r="EG113" s="7">
        <f t="shared" si="650"/>
        <v>0</v>
      </c>
      <c r="EH113" s="375"/>
      <c r="EI113" s="7">
        <f t="shared" si="651"/>
        <v>0</v>
      </c>
      <c r="EJ113" s="375"/>
      <c r="EK113" s="7">
        <f t="shared" si="652"/>
        <v>0</v>
      </c>
      <c r="EL113" s="375">
        <f t="shared" si="800"/>
        <v>0</v>
      </c>
      <c r="EM113" s="7">
        <f t="shared" si="428"/>
        <v>0</v>
      </c>
      <c r="EN113" s="375">
        <f t="shared" si="717"/>
        <v>0</v>
      </c>
      <c r="EO113" s="7">
        <f t="shared" si="456"/>
        <v>0</v>
      </c>
      <c r="EP113" s="373"/>
      <c r="EQ113" s="373"/>
      <c r="ER113" s="373"/>
      <c r="ES113" s="373"/>
      <c r="ET113" s="375"/>
      <c r="EU113" s="7">
        <f t="shared" si="653"/>
        <v>0</v>
      </c>
      <c r="EV113" s="375"/>
      <c r="EW113" s="7">
        <f t="shared" si="654"/>
        <v>0</v>
      </c>
      <c r="EX113" s="375"/>
      <c r="EY113" s="7">
        <f t="shared" si="655"/>
        <v>0</v>
      </c>
      <c r="EZ113" s="375">
        <f t="shared" si="801"/>
        <v>0</v>
      </c>
      <c r="FA113" s="7">
        <f t="shared" si="429"/>
        <v>0</v>
      </c>
      <c r="FB113" s="375"/>
      <c r="FC113" s="7">
        <f t="shared" si="656"/>
        <v>0</v>
      </c>
      <c r="FD113" s="375"/>
      <c r="FE113" s="7">
        <f t="shared" si="612"/>
        <v>0</v>
      </c>
      <c r="FF113" s="375"/>
      <c r="FG113" s="7">
        <f t="shared" si="430"/>
        <v>0</v>
      </c>
      <c r="FH113" s="375">
        <f t="shared" si="802"/>
        <v>0</v>
      </c>
      <c r="FI113" s="7">
        <f t="shared" si="431"/>
        <v>0</v>
      </c>
      <c r="FJ113" s="375">
        <f t="shared" si="803"/>
        <v>0</v>
      </c>
      <c r="FK113" s="7">
        <f t="shared" si="459"/>
        <v>0</v>
      </c>
      <c r="FL113" s="375"/>
      <c r="FM113" s="7">
        <f t="shared" si="658"/>
        <v>0</v>
      </c>
      <c r="FN113" s="375"/>
      <c r="FO113" s="7">
        <f t="shared" si="432"/>
        <v>0</v>
      </c>
      <c r="FP113" s="375"/>
      <c r="FQ113" s="7">
        <f t="shared" si="433"/>
        <v>0</v>
      </c>
      <c r="FR113" s="375">
        <f t="shared" si="804"/>
        <v>0</v>
      </c>
      <c r="FS113" s="7">
        <f t="shared" si="434"/>
        <v>0</v>
      </c>
      <c r="FT113" s="375">
        <f t="shared" si="805"/>
        <v>0</v>
      </c>
      <c r="FU113" s="7">
        <f t="shared" si="462"/>
        <v>0</v>
      </c>
      <c r="FV113" s="375"/>
      <c r="FW113" s="7">
        <f t="shared" si="660"/>
        <v>0</v>
      </c>
      <c r="FX113" s="375"/>
      <c r="FY113" s="7">
        <f t="shared" si="435"/>
        <v>0</v>
      </c>
      <c r="FZ113" s="375"/>
      <c r="GA113" s="7">
        <f t="shared" si="436"/>
        <v>0</v>
      </c>
      <c r="GB113" s="375">
        <f t="shared" si="806"/>
        <v>0</v>
      </c>
      <c r="GC113" s="7">
        <f t="shared" si="437"/>
        <v>0</v>
      </c>
      <c r="GD113" s="375">
        <f t="shared" si="807"/>
        <v>0</v>
      </c>
      <c r="GE113" s="7">
        <f t="shared" si="465"/>
        <v>0</v>
      </c>
      <c r="GF113" s="566">
        <f t="shared" si="808"/>
        <v>0</v>
      </c>
      <c r="GG113" s="525">
        <f t="shared" si="438"/>
        <v>0</v>
      </c>
      <c r="GH113" s="528">
        <f t="shared" si="726"/>
        <v>0</v>
      </c>
      <c r="GI113" s="525">
        <f t="shared" si="439"/>
        <v>0</v>
      </c>
      <c r="GJ113" s="528"/>
      <c r="GK113" s="525">
        <f t="shared" si="440"/>
        <v>0</v>
      </c>
      <c r="GL113" s="528">
        <f t="shared" si="727"/>
        <v>0</v>
      </c>
      <c r="GM113" s="565">
        <f t="shared" si="468"/>
        <v>0</v>
      </c>
      <c r="GO113" s="586"/>
      <c r="GQ113" s="586"/>
      <c r="GT113" s="551">
        <f t="shared" si="558"/>
        <v>0</v>
      </c>
      <c r="GU113" s="551">
        <f t="shared" si="471"/>
        <v>0</v>
      </c>
      <c r="GV113" s="550">
        <f t="shared" si="732"/>
        <v>0</v>
      </c>
      <c r="GW113" s="527"/>
      <c r="GX113" s="525">
        <f t="shared" si="664"/>
        <v>0</v>
      </c>
      <c r="GY113" s="528"/>
      <c r="GZ113" s="525">
        <f t="shared" si="665"/>
        <v>0</v>
      </c>
      <c r="HA113" s="528"/>
      <c r="HB113" s="526">
        <f t="shared" si="666"/>
        <v>0</v>
      </c>
      <c r="HD113" s="527"/>
      <c r="HE113" s="525">
        <v>0</v>
      </c>
      <c r="HF113" s="528"/>
      <c r="HG113" s="525">
        <v>0</v>
      </c>
      <c r="HH113" s="528"/>
      <c r="HI113" s="526">
        <v>0</v>
      </c>
    </row>
    <row r="114" spans="1:217" ht="15" customHeight="1" outlineLevel="1">
      <c r="A114" s="386" t="s">
        <v>101</v>
      </c>
      <c r="B114" s="386" t="s">
        <v>104</v>
      </c>
      <c r="C114" s="375">
        <v>0</v>
      </c>
      <c r="D114" s="4"/>
      <c r="E114" s="375">
        <v>0</v>
      </c>
      <c r="F114" s="4"/>
      <c r="G114" s="375"/>
      <c r="H114" s="375"/>
      <c r="I114" s="4"/>
      <c r="J114" s="375"/>
      <c r="K114" s="375"/>
      <c r="L114" s="4"/>
      <c r="M114" s="375"/>
      <c r="N114" s="375">
        <v>0</v>
      </c>
      <c r="O114" s="4"/>
      <c r="P114" s="375">
        <f t="shared" si="421"/>
        <v>0</v>
      </c>
      <c r="Q114" s="375">
        <f t="shared" si="421"/>
        <v>0</v>
      </c>
      <c r="R114" s="7">
        <f t="shared" si="442"/>
        <v>0</v>
      </c>
      <c r="S114" s="375"/>
      <c r="T114" s="375"/>
      <c r="U114" s="4"/>
      <c r="V114" s="375"/>
      <c r="W114" s="375"/>
      <c r="X114" s="4"/>
      <c r="Y114" s="375"/>
      <c r="Z114" s="375"/>
      <c r="AA114" s="4"/>
      <c r="AB114" s="375">
        <f t="shared" si="684"/>
        <v>0</v>
      </c>
      <c r="AC114" s="375">
        <f t="shared" si="533"/>
        <v>0</v>
      </c>
      <c r="AD114" s="7">
        <f t="shared" si="443"/>
        <v>0</v>
      </c>
      <c r="AE114" s="375">
        <f t="shared" si="685"/>
        <v>0</v>
      </c>
      <c r="AF114" s="375">
        <f t="shared" si="686"/>
        <v>0</v>
      </c>
      <c r="AG114" s="4"/>
      <c r="AH114" s="375"/>
      <c r="AI114" s="375"/>
      <c r="AJ114" s="4"/>
      <c r="AK114" s="375"/>
      <c r="AL114" s="375"/>
      <c r="AM114" s="4"/>
      <c r="AN114" s="375"/>
      <c r="AO114" s="375"/>
      <c r="AP114" s="4"/>
      <c r="AQ114" s="375">
        <f t="shared" si="781"/>
        <v>0</v>
      </c>
      <c r="AR114" s="375">
        <f t="shared" si="782"/>
        <v>0</v>
      </c>
      <c r="AS114" s="7">
        <f t="shared" si="444"/>
        <v>0</v>
      </c>
      <c r="AT114" s="375">
        <f t="shared" si="633"/>
        <v>0</v>
      </c>
      <c r="AU114" s="4"/>
      <c r="AV114" s="375"/>
      <c r="AW114" s="375"/>
      <c r="AX114" s="4"/>
      <c r="AY114" s="375"/>
      <c r="AZ114" s="375"/>
      <c r="BA114" s="4"/>
      <c r="BB114" s="375"/>
      <c r="BC114" s="375"/>
      <c r="BD114" s="448"/>
      <c r="BE114" s="375">
        <f t="shared" si="783"/>
        <v>0</v>
      </c>
      <c r="BF114" s="375">
        <f t="shared" si="784"/>
        <v>0</v>
      </c>
      <c r="BG114" s="7">
        <f t="shared" si="445"/>
        <v>0</v>
      </c>
      <c r="BH114" s="375">
        <f t="shared" si="691"/>
        <v>0</v>
      </c>
      <c r="BI114" s="388">
        <f t="shared" si="692"/>
        <v>0</v>
      </c>
      <c r="BJ114" s="7">
        <f t="shared" si="446"/>
        <v>0</v>
      </c>
      <c r="BK114" s="375">
        <v>0</v>
      </c>
      <c r="BL114" s="282"/>
      <c r="BM114" s="378"/>
      <c r="BN114" s="375"/>
      <c r="BO114" s="4"/>
      <c r="BP114" s="375"/>
      <c r="BQ114" s="4"/>
      <c r="BR114" s="375"/>
      <c r="BS114" s="4"/>
      <c r="BT114" s="375">
        <f t="shared" si="785"/>
        <v>0</v>
      </c>
      <c r="BU114" s="7">
        <f t="shared" si="447"/>
        <v>0</v>
      </c>
      <c r="BV114" s="375"/>
      <c r="BW114" s="7"/>
      <c r="BX114" s="375"/>
      <c r="BY114" s="7"/>
      <c r="BZ114" s="375">
        <f t="shared" si="740"/>
        <v>0</v>
      </c>
      <c r="CA114" s="7"/>
      <c r="CB114" s="375">
        <f t="shared" si="786"/>
        <v>0</v>
      </c>
      <c r="CC114" s="7">
        <f t="shared" si="534"/>
        <v>0</v>
      </c>
      <c r="CD114" s="375">
        <f t="shared" si="787"/>
        <v>0</v>
      </c>
      <c r="CE114" s="7">
        <f t="shared" si="448"/>
        <v>0</v>
      </c>
      <c r="CF114" s="375">
        <f t="shared" si="788"/>
        <v>0</v>
      </c>
      <c r="CG114" s="7">
        <f t="shared" si="449"/>
        <v>0</v>
      </c>
      <c r="CH114" s="375">
        <f t="shared" si="789"/>
        <v>0</v>
      </c>
      <c r="CI114" s="7">
        <f t="shared" si="449"/>
        <v>0</v>
      </c>
      <c r="CJ114" s="375">
        <f t="shared" si="790"/>
        <v>0</v>
      </c>
      <c r="CK114" s="7">
        <f t="shared" si="449"/>
        <v>0</v>
      </c>
      <c r="CL114" s="375">
        <f t="shared" si="700"/>
        <v>0</v>
      </c>
      <c r="CM114" s="7">
        <f t="shared" si="449"/>
        <v>0</v>
      </c>
      <c r="CN114" s="375">
        <f t="shared" si="701"/>
        <v>0</v>
      </c>
      <c r="CO114" s="7">
        <f t="shared" si="639"/>
        <v>0</v>
      </c>
      <c r="CP114" s="375">
        <v>0</v>
      </c>
      <c r="CQ114" s="7">
        <f t="shared" si="728"/>
        <v>0</v>
      </c>
      <c r="CR114" s="375">
        <f t="shared" si="702"/>
        <v>0</v>
      </c>
      <c r="CS114" s="7">
        <f t="shared" si="641"/>
        <v>0</v>
      </c>
      <c r="CT114" s="375">
        <v>0</v>
      </c>
      <c r="CU114" s="7">
        <f t="shared" si="611"/>
        <v>0</v>
      </c>
      <c r="CV114" s="375">
        <v>0</v>
      </c>
      <c r="CW114" s="7">
        <f t="shared" si="452"/>
        <v>0</v>
      </c>
      <c r="CX114" s="375">
        <f t="shared" si="703"/>
        <v>0</v>
      </c>
      <c r="CY114" s="7">
        <f t="shared" si="729"/>
        <v>0</v>
      </c>
      <c r="CZ114" s="375">
        <f t="shared" si="704"/>
        <v>0</v>
      </c>
      <c r="DA114" s="7">
        <f t="shared" si="453"/>
        <v>0</v>
      </c>
      <c r="DB114" s="375">
        <f t="shared" si="791"/>
        <v>0</v>
      </c>
      <c r="DC114" s="7">
        <f t="shared" si="642"/>
        <v>0</v>
      </c>
      <c r="DD114" s="375">
        <f t="shared" si="792"/>
        <v>0</v>
      </c>
      <c r="DE114" s="7">
        <f t="shared" si="642"/>
        <v>0</v>
      </c>
      <c r="DF114" s="375">
        <f t="shared" si="793"/>
        <v>0</v>
      </c>
      <c r="DG114" s="7">
        <f t="shared" si="642"/>
        <v>0</v>
      </c>
      <c r="DH114" s="375">
        <f t="shared" si="794"/>
        <v>0</v>
      </c>
      <c r="DI114" s="7">
        <f t="shared" si="730"/>
        <v>0</v>
      </c>
      <c r="DJ114" s="375"/>
      <c r="DK114" s="7">
        <f t="shared" si="643"/>
        <v>0</v>
      </c>
      <c r="DL114" s="375">
        <f t="shared" si="795"/>
        <v>0</v>
      </c>
      <c r="DM114" s="7">
        <f t="shared" si="644"/>
        <v>0</v>
      </c>
      <c r="DN114" s="375">
        <f t="shared" si="796"/>
        <v>0</v>
      </c>
      <c r="DO114" s="7">
        <f t="shared" si="645"/>
        <v>0</v>
      </c>
      <c r="DP114" s="375">
        <f t="shared" si="797"/>
        <v>0</v>
      </c>
      <c r="DQ114" s="7">
        <f t="shared" si="646"/>
        <v>0</v>
      </c>
      <c r="DR114" s="375">
        <f t="shared" si="798"/>
        <v>0</v>
      </c>
      <c r="DS114" s="7">
        <f t="shared" si="731"/>
        <v>0</v>
      </c>
      <c r="DT114" s="375">
        <f t="shared" si="713"/>
        <v>0</v>
      </c>
      <c r="DU114" s="7">
        <f t="shared" si="454"/>
        <v>0</v>
      </c>
      <c r="DV114" s="375"/>
      <c r="DW114" s="7">
        <f t="shared" si="647"/>
        <v>0</v>
      </c>
      <c r="DX114" s="375"/>
      <c r="DY114" s="7">
        <f t="shared" si="648"/>
        <v>0</v>
      </c>
      <c r="DZ114" s="375"/>
      <c r="EA114" s="7">
        <f t="shared" si="649"/>
        <v>0</v>
      </c>
      <c r="EB114" s="375">
        <f t="shared" si="799"/>
        <v>0</v>
      </c>
      <c r="EC114" s="7">
        <f t="shared" si="427"/>
        <v>0</v>
      </c>
      <c r="ED114" s="375">
        <f t="shared" si="715"/>
        <v>0</v>
      </c>
      <c r="EE114" s="7">
        <f t="shared" si="455"/>
        <v>0</v>
      </c>
      <c r="EF114" s="375"/>
      <c r="EG114" s="7">
        <f t="shared" si="650"/>
        <v>0</v>
      </c>
      <c r="EH114" s="375"/>
      <c r="EI114" s="7">
        <f t="shared" si="651"/>
        <v>0</v>
      </c>
      <c r="EJ114" s="375"/>
      <c r="EK114" s="7">
        <f t="shared" si="652"/>
        <v>0</v>
      </c>
      <c r="EL114" s="375">
        <f t="shared" si="800"/>
        <v>0</v>
      </c>
      <c r="EM114" s="7">
        <f t="shared" si="428"/>
        <v>0</v>
      </c>
      <c r="EN114" s="375">
        <f t="shared" si="717"/>
        <v>0</v>
      </c>
      <c r="EO114" s="7">
        <f t="shared" si="456"/>
        <v>0</v>
      </c>
      <c r="EP114" s="373"/>
      <c r="EQ114" s="373"/>
      <c r="ER114" s="373"/>
      <c r="ES114" s="373"/>
      <c r="ET114" s="375"/>
      <c r="EU114" s="7">
        <f t="shared" si="653"/>
        <v>0</v>
      </c>
      <c r="EV114" s="375"/>
      <c r="EW114" s="7">
        <f t="shared" si="654"/>
        <v>0</v>
      </c>
      <c r="EX114" s="375"/>
      <c r="EY114" s="7">
        <f t="shared" si="655"/>
        <v>0</v>
      </c>
      <c r="EZ114" s="375">
        <f t="shared" si="801"/>
        <v>0</v>
      </c>
      <c r="FA114" s="7">
        <f t="shared" si="429"/>
        <v>0</v>
      </c>
      <c r="FB114" s="375"/>
      <c r="FC114" s="7">
        <f t="shared" si="656"/>
        <v>0</v>
      </c>
      <c r="FD114" s="375"/>
      <c r="FE114" s="7">
        <f t="shared" si="612"/>
        <v>0</v>
      </c>
      <c r="FF114" s="375"/>
      <c r="FG114" s="7">
        <f t="shared" si="430"/>
        <v>0</v>
      </c>
      <c r="FH114" s="375">
        <f t="shared" si="802"/>
        <v>0</v>
      </c>
      <c r="FI114" s="7">
        <f t="shared" si="431"/>
        <v>0</v>
      </c>
      <c r="FJ114" s="375">
        <f t="shared" si="803"/>
        <v>0</v>
      </c>
      <c r="FK114" s="7">
        <f t="shared" si="459"/>
        <v>0</v>
      </c>
      <c r="FL114" s="375"/>
      <c r="FM114" s="7">
        <f t="shared" si="658"/>
        <v>0</v>
      </c>
      <c r="FN114" s="375"/>
      <c r="FO114" s="7">
        <f t="shared" si="432"/>
        <v>0</v>
      </c>
      <c r="FP114" s="375"/>
      <c r="FQ114" s="7">
        <f t="shared" si="433"/>
        <v>0</v>
      </c>
      <c r="FR114" s="375">
        <f t="shared" si="804"/>
        <v>0</v>
      </c>
      <c r="FS114" s="7">
        <f t="shared" si="434"/>
        <v>0</v>
      </c>
      <c r="FT114" s="375">
        <f t="shared" si="805"/>
        <v>0</v>
      </c>
      <c r="FU114" s="7">
        <f t="shared" si="462"/>
        <v>0</v>
      </c>
      <c r="FV114" s="375"/>
      <c r="FW114" s="7">
        <f t="shared" si="660"/>
        <v>0</v>
      </c>
      <c r="FX114" s="375"/>
      <c r="FY114" s="7">
        <f t="shared" si="435"/>
        <v>0</v>
      </c>
      <c r="FZ114" s="375"/>
      <c r="GA114" s="7">
        <f t="shared" si="436"/>
        <v>0</v>
      </c>
      <c r="GB114" s="375">
        <f t="shared" si="806"/>
        <v>0</v>
      </c>
      <c r="GC114" s="7">
        <f t="shared" si="437"/>
        <v>0</v>
      </c>
      <c r="GD114" s="375">
        <f t="shared" si="807"/>
        <v>0</v>
      </c>
      <c r="GE114" s="7">
        <f t="shared" si="465"/>
        <v>0</v>
      </c>
      <c r="GF114" s="566">
        <f t="shared" si="808"/>
        <v>0</v>
      </c>
      <c r="GG114" s="525">
        <f t="shared" si="438"/>
        <v>0</v>
      </c>
      <c r="GH114" s="528">
        <f t="shared" si="726"/>
        <v>0</v>
      </c>
      <c r="GI114" s="525">
        <f t="shared" si="439"/>
        <v>0</v>
      </c>
      <c r="GJ114" s="528"/>
      <c r="GK114" s="525">
        <f t="shared" si="440"/>
        <v>0</v>
      </c>
      <c r="GL114" s="528">
        <f t="shared" si="727"/>
        <v>0</v>
      </c>
      <c r="GM114" s="565">
        <f t="shared" si="468"/>
        <v>0</v>
      </c>
      <c r="GO114" s="586"/>
      <c r="GQ114" s="586"/>
      <c r="GT114" s="551">
        <f t="shared" si="558"/>
        <v>0</v>
      </c>
      <c r="GU114" s="551">
        <f t="shared" si="471"/>
        <v>0</v>
      </c>
      <c r="GV114" s="550">
        <f t="shared" si="732"/>
        <v>0</v>
      </c>
      <c r="GW114" s="527"/>
      <c r="GX114" s="525">
        <f t="shared" si="664"/>
        <v>0</v>
      </c>
      <c r="GY114" s="528"/>
      <c r="GZ114" s="525">
        <f t="shared" si="665"/>
        <v>0</v>
      </c>
      <c r="HA114" s="528"/>
      <c r="HB114" s="526">
        <f t="shared" si="666"/>
        <v>0</v>
      </c>
      <c r="HD114" s="527"/>
      <c r="HE114" s="525">
        <v>0</v>
      </c>
      <c r="HF114" s="528"/>
      <c r="HG114" s="525">
        <v>0</v>
      </c>
      <c r="HH114" s="528"/>
      <c r="HI114" s="526">
        <v>0</v>
      </c>
    </row>
    <row r="115" spans="1:217" ht="15" customHeight="1" outlineLevel="1">
      <c r="A115" s="386" t="s">
        <v>101</v>
      </c>
      <c r="B115" s="386" t="s">
        <v>105</v>
      </c>
      <c r="C115" s="375">
        <v>0</v>
      </c>
      <c r="D115" s="4"/>
      <c r="E115" s="375">
        <v>0</v>
      </c>
      <c r="F115" s="4"/>
      <c r="G115" s="375"/>
      <c r="H115" s="375"/>
      <c r="I115" s="4"/>
      <c r="J115" s="375"/>
      <c r="K115" s="375"/>
      <c r="L115" s="4"/>
      <c r="M115" s="375"/>
      <c r="N115" s="375">
        <v>0</v>
      </c>
      <c r="O115" s="4"/>
      <c r="P115" s="375">
        <f t="shared" si="421"/>
        <v>0</v>
      </c>
      <c r="Q115" s="375">
        <f t="shared" si="421"/>
        <v>0</v>
      </c>
      <c r="R115" s="7">
        <f t="shared" si="442"/>
        <v>0</v>
      </c>
      <c r="S115" s="375"/>
      <c r="T115" s="375"/>
      <c r="U115" s="4"/>
      <c r="V115" s="375"/>
      <c r="W115" s="375"/>
      <c r="X115" s="4"/>
      <c r="Y115" s="375"/>
      <c r="Z115" s="375"/>
      <c r="AA115" s="4"/>
      <c r="AB115" s="375">
        <f t="shared" si="684"/>
        <v>0</v>
      </c>
      <c r="AC115" s="375">
        <f t="shared" si="533"/>
        <v>0</v>
      </c>
      <c r="AD115" s="7">
        <f t="shared" si="443"/>
        <v>0</v>
      </c>
      <c r="AE115" s="375">
        <f t="shared" si="685"/>
        <v>0</v>
      </c>
      <c r="AF115" s="375">
        <f t="shared" si="686"/>
        <v>0</v>
      </c>
      <c r="AG115" s="4"/>
      <c r="AH115" s="375"/>
      <c r="AI115" s="375"/>
      <c r="AJ115" s="4"/>
      <c r="AK115" s="375"/>
      <c r="AL115" s="375"/>
      <c r="AM115" s="4"/>
      <c r="AN115" s="375"/>
      <c r="AO115" s="375"/>
      <c r="AP115" s="4"/>
      <c r="AQ115" s="375">
        <f t="shared" si="781"/>
        <v>0</v>
      </c>
      <c r="AR115" s="375">
        <f t="shared" si="782"/>
        <v>0</v>
      </c>
      <c r="AS115" s="7">
        <f t="shared" si="444"/>
        <v>0</v>
      </c>
      <c r="AT115" s="375">
        <f t="shared" si="633"/>
        <v>0</v>
      </c>
      <c r="AU115" s="4"/>
      <c r="AV115" s="375"/>
      <c r="AW115" s="375"/>
      <c r="AX115" s="4"/>
      <c r="AY115" s="375"/>
      <c r="AZ115" s="375"/>
      <c r="BA115" s="4"/>
      <c r="BB115" s="375"/>
      <c r="BC115" s="375"/>
      <c r="BD115" s="448"/>
      <c r="BE115" s="375">
        <f t="shared" si="783"/>
        <v>0</v>
      </c>
      <c r="BF115" s="375">
        <f t="shared" si="784"/>
        <v>0</v>
      </c>
      <c r="BG115" s="7">
        <f t="shared" si="445"/>
        <v>0</v>
      </c>
      <c r="BH115" s="375">
        <f t="shared" si="691"/>
        <v>0</v>
      </c>
      <c r="BI115" s="388">
        <f t="shared" si="692"/>
        <v>0</v>
      </c>
      <c r="BJ115" s="7">
        <f t="shared" si="446"/>
        <v>0</v>
      </c>
      <c r="BK115" s="375">
        <v>0</v>
      </c>
      <c r="BL115" s="282"/>
      <c r="BM115" s="378"/>
      <c r="BN115" s="375"/>
      <c r="BO115" s="4"/>
      <c r="BP115" s="375"/>
      <c r="BQ115" s="4"/>
      <c r="BR115" s="375"/>
      <c r="BS115" s="4"/>
      <c r="BT115" s="375">
        <f t="shared" si="785"/>
        <v>0</v>
      </c>
      <c r="BU115" s="7">
        <f t="shared" si="447"/>
        <v>0</v>
      </c>
      <c r="BV115" s="375"/>
      <c r="BW115" s="7"/>
      <c r="BX115" s="375"/>
      <c r="BY115" s="7"/>
      <c r="BZ115" s="375">
        <f t="shared" si="740"/>
        <v>0</v>
      </c>
      <c r="CA115" s="7"/>
      <c r="CB115" s="375">
        <f t="shared" si="786"/>
        <v>0</v>
      </c>
      <c r="CC115" s="7">
        <f t="shared" si="534"/>
        <v>0</v>
      </c>
      <c r="CD115" s="375">
        <f t="shared" si="787"/>
        <v>0</v>
      </c>
      <c r="CE115" s="7">
        <f t="shared" si="448"/>
        <v>0</v>
      </c>
      <c r="CF115" s="375">
        <f t="shared" si="788"/>
        <v>0</v>
      </c>
      <c r="CG115" s="7">
        <f t="shared" si="449"/>
        <v>0</v>
      </c>
      <c r="CH115" s="375">
        <f t="shared" si="789"/>
        <v>0</v>
      </c>
      <c r="CI115" s="7">
        <f t="shared" si="449"/>
        <v>0</v>
      </c>
      <c r="CJ115" s="375">
        <f t="shared" si="790"/>
        <v>0</v>
      </c>
      <c r="CK115" s="7">
        <f t="shared" si="449"/>
        <v>0</v>
      </c>
      <c r="CL115" s="375">
        <f t="shared" si="700"/>
        <v>0</v>
      </c>
      <c r="CM115" s="7">
        <f t="shared" si="449"/>
        <v>0</v>
      </c>
      <c r="CN115" s="375">
        <f t="shared" si="701"/>
        <v>0</v>
      </c>
      <c r="CO115" s="7">
        <f t="shared" si="639"/>
        <v>0</v>
      </c>
      <c r="CP115" s="375">
        <v>0</v>
      </c>
      <c r="CQ115" s="7">
        <f t="shared" si="728"/>
        <v>0</v>
      </c>
      <c r="CR115" s="375">
        <f t="shared" si="702"/>
        <v>0</v>
      </c>
      <c r="CS115" s="7">
        <f t="shared" si="641"/>
        <v>0</v>
      </c>
      <c r="CT115" s="375">
        <v>0</v>
      </c>
      <c r="CU115" s="7">
        <f t="shared" si="611"/>
        <v>0</v>
      </c>
      <c r="CV115" s="375">
        <v>0</v>
      </c>
      <c r="CW115" s="7">
        <f t="shared" si="452"/>
        <v>0</v>
      </c>
      <c r="CX115" s="375">
        <f t="shared" si="703"/>
        <v>0</v>
      </c>
      <c r="CY115" s="7">
        <f t="shared" si="729"/>
        <v>0</v>
      </c>
      <c r="CZ115" s="375">
        <f t="shared" si="704"/>
        <v>0</v>
      </c>
      <c r="DA115" s="7">
        <f t="shared" si="453"/>
        <v>0</v>
      </c>
      <c r="DB115" s="375">
        <f t="shared" si="791"/>
        <v>0</v>
      </c>
      <c r="DC115" s="7">
        <f t="shared" si="642"/>
        <v>0</v>
      </c>
      <c r="DD115" s="375">
        <f t="shared" si="792"/>
        <v>0</v>
      </c>
      <c r="DE115" s="7">
        <f t="shared" si="642"/>
        <v>0</v>
      </c>
      <c r="DF115" s="375">
        <f t="shared" si="793"/>
        <v>0</v>
      </c>
      <c r="DG115" s="7">
        <f t="shared" si="642"/>
        <v>0</v>
      </c>
      <c r="DH115" s="375">
        <f t="shared" si="794"/>
        <v>0</v>
      </c>
      <c r="DI115" s="7">
        <f t="shared" si="730"/>
        <v>0</v>
      </c>
      <c r="DJ115" s="375"/>
      <c r="DK115" s="7">
        <f t="shared" si="643"/>
        <v>0</v>
      </c>
      <c r="DL115" s="375">
        <f t="shared" si="795"/>
        <v>0</v>
      </c>
      <c r="DM115" s="7">
        <f t="shared" si="644"/>
        <v>0</v>
      </c>
      <c r="DN115" s="375">
        <f t="shared" si="796"/>
        <v>0</v>
      </c>
      <c r="DO115" s="7">
        <f t="shared" si="645"/>
        <v>0</v>
      </c>
      <c r="DP115" s="375">
        <f t="shared" si="797"/>
        <v>0</v>
      </c>
      <c r="DQ115" s="7">
        <f t="shared" si="646"/>
        <v>0</v>
      </c>
      <c r="DR115" s="375">
        <f t="shared" si="798"/>
        <v>0</v>
      </c>
      <c r="DS115" s="7">
        <f t="shared" si="731"/>
        <v>0</v>
      </c>
      <c r="DT115" s="375">
        <f t="shared" si="713"/>
        <v>0</v>
      </c>
      <c r="DU115" s="7">
        <f t="shared" si="454"/>
        <v>0</v>
      </c>
      <c r="DV115" s="375"/>
      <c r="DW115" s="7">
        <f t="shared" si="647"/>
        <v>0</v>
      </c>
      <c r="DX115" s="375"/>
      <c r="DY115" s="7">
        <f t="shared" si="648"/>
        <v>0</v>
      </c>
      <c r="DZ115" s="375"/>
      <c r="EA115" s="7">
        <f t="shared" si="649"/>
        <v>0</v>
      </c>
      <c r="EB115" s="375">
        <f t="shared" si="799"/>
        <v>0</v>
      </c>
      <c r="EC115" s="7">
        <f t="shared" si="427"/>
        <v>0</v>
      </c>
      <c r="ED115" s="375">
        <f t="shared" si="715"/>
        <v>0</v>
      </c>
      <c r="EE115" s="7">
        <f t="shared" si="455"/>
        <v>0</v>
      </c>
      <c r="EF115" s="375"/>
      <c r="EG115" s="7">
        <f t="shared" si="650"/>
        <v>0</v>
      </c>
      <c r="EH115" s="375"/>
      <c r="EI115" s="7">
        <f t="shared" si="651"/>
        <v>0</v>
      </c>
      <c r="EJ115" s="375"/>
      <c r="EK115" s="7">
        <f t="shared" si="652"/>
        <v>0</v>
      </c>
      <c r="EL115" s="375">
        <f t="shared" si="800"/>
        <v>0</v>
      </c>
      <c r="EM115" s="7">
        <f t="shared" si="428"/>
        <v>0</v>
      </c>
      <c r="EN115" s="375">
        <f t="shared" si="717"/>
        <v>0</v>
      </c>
      <c r="EO115" s="7">
        <f t="shared" si="456"/>
        <v>0</v>
      </c>
      <c r="EP115" s="373"/>
      <c r="EQ115" s="373"/>
      <c r="ER115" s="373"/>
      <c r="ES115" s="373"/>
      <c r="ET115" s="375"/>
      <c r="EU115" s="7">
        <f t="shared" si="653"/>
        <v>0</v>
      </c>
      <c r="EV115" s="375"/>
      <c r="EW115" s="7">
        <f t="shared" si="654"/>
        <v>0</v>
      </c>
      <c r="EX115" s="375"/>
      <c r="EY115" s="7">
        <f t="shared" si="655"/>
        <v>0</v>
      </c>
      <c r="EZ115" s="375">
        <f t="shared" si="801"/>
        <v>0</v>
      </c>
      <c r="FA115" s="7">
        <f t="shared" si="429"/>
        <v>0</v>
      </c>
      <c r="FB115" s="375"/>
      <c r="FC115" s="7">
        <f t="shared" si="656"/>
        <v>0</v>
      </c>
      <c r="FD115" s="375"/>
      <c r="FE115" s="7">
        <f t="shared" si="612"/>
        <v>0</v>
      </c>
      <c r="FF115" s="375"/>
      <c r="FG115" s="7">
        <f t="shared" si="430"/>
        <v>0</v>
      </c>
      <c r="FH115" s="375">
        <f t="shared" si="802"/>
        <v>0</v>
      </c>
      <c r="FI115" s="7">
        <f t="shared" si="431"/>
        <v>0</v>
      </c>
      <c r="FJ115" s="375">
        <f t="shared" si="803"/>
        <v>0</v>
      </c>
      <c r="FK115" s="7">
        <f t="shared" si="459"/>
        <v>0</v>
      </c>
      <c r="FL115" s="375"/>
      <c r="FM115" s="7">
        <f t="shared" si="658"/>
        <v>0</v>
      </c>
      <c r="FN115" s="375"/>
      <c r="FO115" s="7">
        <f t="shared" si="432"/>
        <v>0</v>
      </c>
      <c r="FP115" s="375"/>
      <c r="FQ115" s="7">
        <f t="shared" si="433"/>
        <v>0</v>
      </c>
      <c r="FR115" s="375">
        <f t="shared" si="804"/>
        <v>0</v>
      </c>
      <c r="FS115" s="7">
        <f t="shared" si="434"/>
        <v>0</v>
      </c>
      <c r="FT115" s="375">
        <f t="shared" si="805"/>
        <v>0</v>
      </c>
      <c r="FU115" s="7">
        <f t="shared" si="462"/>
        <v>0</v>
      </c>
      <c r="FV115" s="375"/>
      <c r="FW115" s="7">
        <f t="shared" si="660"/>
        <v>0</v>
      </c>
      <c r="FX115" s="375"/>
      <c r="FY115" s="7">
        <f t="shared" si="435"/>
        <v>0</v>
      </c>
      <c r="FZ115" s="375"/>
      <c r="GA115" s="7">
        <f t="shared" si="436"/>
        <v>0</v>
      </c>
      <c r="GB115" s="375">
        <f t="shared" si="806"/>
        <v>0</v>
      </c>
      <c r="GC115" s="7">
        <f t="shared" si="437"/>
        <v>0</v>
      </c>
      <c r="GD115" s="375">
        <f t="shared" si="807"/>
        <v>0</v>
      </c>
      <c r="GE115" s="7">
        <f t="shared" si="465"/>
        <v>0</v>
      </c>
      <c r="GF115" s="566">
        <f t="shared" si="808"/>
        <v>0</v>
      </c>
      <c r="GG115" s="525">
        <f t="shared" si="438"/>
        <v>0</v>
      </c>
      <c r="GH115" s="528">
        <f t="shared" si="726"/>
        <v>0</v>
      </c>
      <c r="GI115" s="525">
        <f t="shared" si="439"/>
        <v>0</v>
      </c>
      <c r="GJ115" s="528"/>
      <c r="GK115" s="525">
        <f t="shared" si="440"/>
        <v>0</v>
      </c>
      <c r="GL115" s="528">
        <f t="shared" si="727"/>
        <v>0</v>
      </c>
      <c r="GM115" s="565">
        <f t="shared" si="468"/>
        <v>0</v>
      </c>
      <c r="GO115" s="586"/>
      <c r="GQ115" s="586"/>
      <c r="GT115" s="551">
        <f t="shared" si="558"/>
        <v>0</v>
      </c>
      <c r="GU115" s="551">
        <f t="shared" si="471"/>
        <v>0</v>
      </c>
      <c r="GV115" s="550">
        <f t="shared" si="732"/>
        <v>0</v>
      </c>
      <c r="GW115" s="527"/>
      <c r="GX115" s="525">
        <f t="shared" si="664"/>
        <v>0</v>
      </c>
      <c r="GY115" s="528"/>
      <c r="GZ115" s="525">
        <f t="shared" si="665"/>
        <v>0</v>
      </c>
      <c r="HA115" s="528"/>
      <c r="HB115" s="526">
        <f t="shared" si="666"/>
        <v>0</v>
      </c>
      <c r="HD115" s="527"/>
      <c r="HE115" s="525">
        <v>0</v>
      </c>
      <c r="HF115" s="528"/>
      <c r="HG115" s="525">
        <v>0</v>
      </c>
      <c r="HH115" s="528"/>
      <c r="HI115" s="526">
        <v>0</v>
      </c>
    </row>
    <row r="116" spans="1:217" ht="15" customHeight="1" outlineLevel="1">
      <c r="A116" s="386" t="s">
        <v>101</v>
      </c>
      <c r="B116" s="386" t="s">
        <v>106</v>
      </c>
      <c r="C116" s="375">
        <v>0</v>
      </c>
      <c r="D116" s="4"/>
      <c r="E116" s="375">
        <v>0</v>
      </c>
      <c r="F116" s="4"/>
      <c r="G116" s="375"/>
      <c r="H116" s="375"/>
      <c r="I116" s="4"/>
      <c r="J116" s="375"/>
      <c r="K116" s="375"/>
      <c r="L116" s="4"/>
      <c r="M116" s="375"/>
      <c r="N116" s="375">
        <v>0</v>
      </c>
      <c r="O116" s="4"/>
      <c r="P116" s="375">
        <f t="shared" si="421"/>
        <v>0</v>
      </c>
      <c r="Q116" s="375">
        <f t="shared" si="421"/>
        <v>0</v>
      </c>
      <c r="R116" s="7">
        <f t="shared" si="442"/>
        <v>0</v>
      </c>
      <c r="S116" s="375"/>
      <c r="T116" s="375"/>
      <c r="U116" s="4"/>
      <c r="V116" s="375"/>
      <c r="W116" s="375"/>
      <c r="X116" s="4"/>
      <c r="Y116" s="375"/>
      <c r="Z116" s="375"/>
      <c r="AA116" s="4"/>
      <c r="AB116" s="375">
        <f t="shared" si="684"/>
        <v>0</v>
      </c>
      <c r="AC116" s="375">
        <f t="shared" si="533"/>
        <v>0</v>
      </c>
      <c r="AD116" s="7">
        <f t="shared" si="443"/>
        <v>0</v>
      </c>
      <c r="AE116" s="375">
        <f t="shared" si="685"/>
        <v>0</v>
      </c>
      <c r="AF116" s="375">
        <f t="shared" si="686"/>
        <v>0</v>
      </c>
      <c r="AG116" s="4"/>
      <c r="AH116" s="375"/>
      <c r="AI116" s="375"/>
      <c r="AJ116" s="4"/>
      <c r="AK116" s="375"/>
      <c r="AL116" s="375"/>
      <c r="AM116" s="4"/>
      <c r="AN116" s="375"/>
      <c r="AO116" s="375"/>
      <c r="AP116" s="4"/>
      <c r="AQ116" s="375">
        <f t="shared" si="781"/>
        <v>0</v>
      </c>
      <c r="AR116" s="375">
        <f t="shared" si="782"/>
        <v>0</v>
      </c>
      <c r="AS116" s="7">
        <f t="shared" si="444"/>
        <v>0</v>
      </c>
      <c r="AT116" s="375">
        <f t="shared" si="633"/>
        <v>0</v>
      </c>
      <c r="AU116" s="4"/>
      <c r="AV116" s="375"/>
      <c r="AW116" s="375"/>
      <c r="AX116" s="4"/>
      <c r="AY116" s="375"/>
      <c r="AZ116" s="375"/>
      <c r="BA116" s="4"/>
      <c r="BB116" s="375"/>
      <c r="BC116" s="375"/>
      <c r="BD116" s="448"/>
      <c r="BE116" s="375">
        <f t="shared" si="783"/>
        <v>0</v>
      </c>
      <c r="BF116" s="375">
        <f t="shared" si="784"/>
        <v>0</v>
      </c>
      <c r="BG116" s="7">
        <f t="shared" si="445"/>
        <v>0</v>
      </c>
      <c r="BH116" s="375">
        <f t="shared" si="691"/>
        <v>0</v>
      </c>
      <c r="BI116" s="388">
        <f t="shared" si="692"/>
        <v>0</v>
      </c>
      <c r="BJ116" s="7">
        <f t="shared" si="446"/>
        <v>0</v>
      </c>
      <c r="BK116" s="375">
        <v>0</v>
      </c>
      <c r="BL116" s="282"/>
      <c r="BM116" s="378"/>
      <c r="BN116" s="375"/>
      <c r="BO116" s="4"/>
      <c r="BP116" s="375"/>
      <c r="BQ116" s="4"/>
      <c r="BR116" s="375"/>
      <c r="BS116" s="4"/>
      <c r="BT116" s="375">
        <f t="shared" si="785"/>
        <v>0</v>
      </c>
      <c r="BU116" s="7">
        <f t="shared" si="447"/>
        <v>0</v>
      </c>
      <c r="BV116" s="375"/>
      <c r="BW116" s="7"/>
      <c r="BX116" s="375"/>
      <c r="BY116" s="7"/>
      <c r="BZ116" s="375">
        <f t="shared" si="740"/>
        <v>0</v>
      </c>
      <c r="CA116" s="7"/>
      <c r="CB116" s="375">
        <f t="shared" si="786"/>
        <v>0</v>
      </c>
      <c r="CC116" s="7">
        <f t="shared" si="534"/>
        <v>0</v>
      </c>
      <c r="CD116" s="375">
        <f t="shared" si="787"/>
        <v>0</v>
      </c>
      <c r="CE116" s="7">
        <f t="shared" si="448"/>
        <v>0</v>
      </c>
      <c r="CF116" s="375">
        <f t="shared" si="788"/>
        <v>0</v>
      </c>
      <c r="CG116" s="7">
        <f t="shared" si="449"/>
        <v>0</v>
      </c>
      <c r="CH116" s="375">
        <f t="shared" si="789"/>
        <v>0</v>
      </c>
      <c r="CI116" s="7">
        <f t="shared" si="449"/>
        <v>0</v>
      </c>
      <c r="CJ116" s="375">
        <f t="shared" si="790"/>
        <v>0</v>
      </c>
      <c r="CK116" s="7">
        <f t="shared" si="449"/>
        <v>0</v>
      </c>
      <c r="CL116" s="375">
        <f t="shared" si="700"/>
        <v>0</v>
      </c>
      <c r="CM116" s="7">
        <f t="shared" si="449"/>
        <v>0</v>
      </c>
      <c r="CN116" s="375">
        <f t="shared" si="701"/>
        <v>0</v>
      </c>
      <c r="CO116" s="7">
        <f t="shared" si="639"/>
        <v>0</v>
      </c>
      <c r="CP116" s="375">
        <v>0</v>
      </c>
      <c r="CQ116" s="7">
        <f t="shared" si="728"/>
        <v>0</v>
      </c>
      <c r="CR116" s="375">
        <f t="shared" si="702"/>
        <v>0</v>
      </c>
      <c r="CS116" s="7">
        <f t="shared" si="641"/>
        <v>0</v>
      </c>
      <c r="CT116" s="375">
        <v>0</v>
      </c>
      <c r="CU116" s="7">
        <f t="shared" si="611"/>
        <v>0</v>
      </c>
      <c r="CV116" s="375">
        <v>0</v>
      </c>
      <c r="CW116" s="7">
        <f t="shared" si="452"/>
        <v>0</v>
      </c>
      <c r="CX116" s="375">
        <f t="shared" si="703"/>
        <v>0</v>
      </c>
      <c r="CY116" s="7">
        <f t="shared" si="729"/>
        <v>0</v>
      </c>
      <c r="CZ116" s="375">
        <f t="shared" si="704"/>
        <v>0</v>
      </c>
      <c r="DA116" s="7">
        <f t="shared" si="453"/>
        <v>0</v>
      </c>
      <c r="DB116" s="375">
        <f t="shared" si="791"/>
        <v>0</v>
      </c>
      <c r="DC116" s="7">
        <f t="shared" si="642"/>
        <v>0</v>
      </c>
      <c r="DD116" s="375">
        <f t="shared" si="792"/>
        <v>0</v>
      </c>
      <c r="DE116" s="7">
        <f t="shared" si="642"/>
        <v>0</v>
      </c>
      <c r="DF116" s="375">
        <f t="shared" si="793"/>
        <v>0</v>
      </c>
      <c r="DG116" s="7">
        <f t="shared" si="642"/>
        <v>0</v>
      </c>
      <c r="DH116" s="375">
        <f t="shared" si="794"/>
        <v>0</v>
      </c>
      <c r="DI116" s="7">
        <f t="shared" si="730"/>
        <v>0</v>
      </c>
      <c r="DJ116" s="375"/>
      <c r="DK116" s="7">
        <f t="shared" si="643"/>
        <v>0</v>
      </c>
      <c r="DL116" s="375">
        <f t="shared" si="795"/>
        <v>0</v>
      </c>
      <c r="DM116" s="7">
        <f t="shared" si="644"/>
        <v>0</v>
      </c>
      <c r="DN116" s="375">
        <f t="shared" si="796"/>
        <v>0</v>
      </c>
      <c r="DO116" s="7">
        <f t="shared" si="645"/>
        <v>0</v>
      </c>
      <c r="DP116" s="375">
        <f t="shared" si="797"/>
        <v>0</v>
      </c>
      <c r="DQ116" s="7">
        <f t="shared" si="646"/>
        <v>0</v>
      </c>
      <c r="DR116" s="375">
        <f t="shared" si="798"/>
        <v>0</v>
      </c>
      <c r="DS116" s="7">
        <f t="shared" si="731"/>
        <v>0</v>
      </c>
      <c r="DT116" s="375">
        <f t="shared" si="713"/>
        <v>0</v>
      </c>
      <c r="DU116" s="7">
        <f t="shared" si="454"/>
        <v>0</v>
      </c>
      <c r="DV116" s="375"/>
      <c r="DW116" s="7">
        <f t="shared" si="647"/>
        <v>0</v>
      </c>
      <c r="DX116" s="375"/>
      <c r="DY116" s="7">
        <f t="shared" si="648"/>
        <v>0</v>
      </c>
      <c r="DZ116" s="375"/>
      <c r="EA116" s="7">
        <f t="shared" si="649"/>
        <v>0</v>
      </c>
      <c r="EB116" s="375">
        <f t="shared" si="799"/>
        <v>0</v>
      </c>
      <c r="EC116" s="7">
        <f t="shared" si="427"/>
        <v>0</v>
      </c>
      <c r="ED116" s="375">
        <f t="shared" si="715"/>
        <v>0</v>
      </c>
      <c r="EE116" s="7">
        <f t="shared" si="455"/>
        <v>0</v>
      </c>
      <c r="EF116" s="375"/>
      <c r="EG116" s="7">
        <f t="shared" si="650"/>
        <v>0</v>
      </c>
      <c r="EH116" s="375"/>
      <c r="EI116" s="7">
        <f t="shared" si="651"/>
        <v>0</v>
      </c>
      <c r="EJ116" s="375"/>
      <c r="EK116" s="7">
        <f t="shared" si="652"/>
        <v>0</v>
      </c>
      <c r="EL116" s="375">
        <f t="shared" si="800"/>
        <v>0</v>
      </c>
      <c r="EM116" s="7">
        <f t="shared" si="428"/>
        <v>0</v>
      </c>
      <c r="EN116" s="375">
        <f t="shared" si="717"/>
        <v>0</v>
      </c>
      <c r="EO116" s="7">
        <f t="shared" si="456"/>
        <v>0</v>
      </c>
      <c r="EP116" s="373"/>
      <c r="EQ116" s="373"/>
      <c r="ER116" s="373"/>
      <c r="ES116" s="373"/>
      <c r="ET116" s="375"/>
      <c r="EU116" s="7">
        <f t="shared" si="653"/>
        <v>0</v>
      </c>
      <c r="EV116" s="375"/>
      <c r="EW116" s="7">
        <f t="shared" si="654"/>
        <v>0</v>
      </c>
      <c r="EX116" s="375"/>
      <c r="EY116" s="7">
        <f t="shared" si="655"/>
        <v>0</v>
      </c>
      <c r="EZ116" s="375">
        <f t="shared" si="801"/>
        <v>0</v>
      </c>
      <c r="FA116" s="7">
        <f t="shared" si="429"/>
        <v>0</v>
      </c>
      <c r="FB116" s="375"/>
      <c r="FC116" s="7">
        <f t="shared" si="656"/>
        <v>0</v>
      </c>
      <c r="FD116" s="375"/>
      <c r="FE116" s="7">
        <f t="shared" si="612"/>
        <v>0</v>
      </c>
      <c r="FF116" s="375"/>
      <c r="FG116" s="7">
        <f t="shared" si="430"/>
        <v>0</v>
      </c>
      <c r="FH116" s="375">
        <f t="shared" si="802"/>
        <v>0</v>
      </c>
      <c r="FI116" s="7">
        <f t="shared" si="431"/>
        <v>0</v>
      </c>
      <c r="FJ116" s="375">
        <f t="shared" si="803"/>
        <v>0</v>
      </c>
      <c r="FK116" s="7">
        <f t="shared" si="459"/>
        <v>0</v>
      </c>
      <c r="FL116" s="375"/>
      <c r="FM116" s="7">
        <f t="shared" si="658"/>
        <v>0</v>
      </c>
      <c r="FN116" s="375"/>
      <c r="FO116" s="7">
        <f t="shared" si="432"/>
        <v>0</v>
      </c>
      <c r="FP116" s="375"/>
      <c r="FQ116" s="7">
        <f t="shared" si="433"/>
        <v>0</v>
      </c>
      <c r="FR116" s="375">
        <f t="shared" si="804"/>
        <v>0</v>
      </c>
      <c r="FS116" s="7">
        <f t="shared" si="434"/>
        <v>0</v>
      </c>
      <c r="FT116" s="375">
        <f t="shared" si="805"/>
        <v>0</v>
      </c>
      <c r="FU116" s="7">
        <f t="shared" si="462"/>
        <v>0</v>
      </c>
      <c r="FV116" s="375"/>
      <c r="FW116" s="7">
        <f t="shared" si="660"/>
        <v>0</v>
      </c>
      <c r="FX116" s="375"/>
      <c r="FY116" s="7">
        <f t="shared" si="435"/>
        <v>0</v>
      </c>
      <c r="FZ116" s="375"/>
      <c r="GA116" s="7">
        <f t="shared" si="436"/>
        <v>0</v>
      </c>
      <c r="GB116" s="375">
        <f t="shared" si="806"/>
        <v>0</v>
      </c>
      <c r="GC116" s="7">
        <f t="shared" si="437"/>
        <v>0</v>
      </c>
      <c r="GD116" s="375">
        <f t="shared" si="807"/>
        <v>0</v>
      </c>
      <c r="GE116" s="7">
        <f t="shared" si="465"/>
        <v>0</v>
      </c>
      <c r="GF116" s="566">
        <f t="shared" si="808"/>
        <v>0</v>
      </c>
      <c r="GG116" s="525">
        <f t="shared" si="438"/>
        <v>0</v>
      </c>
      <c r="GH116" s="528">
        <f t="shared" si="726"/>
        <v>0</v>
      </c>
      <c r="GI116" s="525">
        <f t="shared" si="439"/>
        <v>0</v>
      </c>
      <c r="GJ116" s="528"/>
      <c r="GK116" s="525">
        <f t="shared" si="440"/>
        <v>0</v>
      </c>
      <c r="GL116" s="528">
        <f t="shared" si="727"/>
        <v>0</v>
      </c>
      <c r="GM116" s="565">
        <f t="shared" si="468"/>
        <v>0</v>
      </c>
      <c r="GO116" s="586"/>
      <c r="GQ116" s="586"/>
      <c r="GT116" s="551">
        <f t="shared" si="558"/>
        <v>0</v>
      </c>
      <c r="GU116" s="551">
        <f t="shared" si="471"/>
        <v>0</v>
      </c>
      <c r="GV116" s="550">
        <f t="shared" si="732"/>
        <v>0</v>
      </c>
      <c r="GW116" s="527"/>
      <c r="GX116" s="525">
        <f t="shared" si="664"/>
        <v>0</v>
      </c>
      <c r="GY116" s="528"/>
      <c r="GZ116" s="525">
        <f t="shared" si="665"/>
        <v>0</v>
      </c>
      <c r="HA116" s="528"/>
      <c r="HB116" s="526">
        <f t="shared" si="666"/>
        <v>0</v>
      </c>
      <c r="HD116" s="527"/>
      <c r="HE116" s="525">
        <v>0</v>
      </c>
      <c r="HF116" s="528"/>
      <c r="HG116" s="525">
        <v>0</v>
      </c>
      <c r="HH116" s="528"/>
      <c r="HI116" s="526">
        <v>0</v>
      </c>
    </row>
    <row r="117" spans="1:217" ht="15" customHeight="1" outlineLevel="1">
      <c r="A117" s="386" t="s">
        <v>101</v>
      </c>
      <c r="B117" s="386" t="s">
        <v>107</v>
      </c>
      <c r="C117" s="375">
        <v>0</v>
      </c>
      <c r="D117" s="4"/>
      <c r="E117" s="375">
        <v>0</v>
      </c>
      <c r="F117" s="4"/>
      <c r="G117" s="375"/>
      <c r="H117" s="375"/>
      <c r="I117" s="4"/>
      <c r="J117" s="375"/>
      <c r="K117" s="375"/>
      <c r="L117" s="4"/>
      <c r="M117" s="375"/>
      <c r="N117" s="375">
        <v>0</v>
      </c>
      <c r="O117" s="4"/>
      <c r="P117" s="375">
        <f t="shared" si="421"/>
        <v>0</v>
      </c>
      <c r="Q117" s="375">
        <f t="shared" si="421"/>
        <v>0</v>
      </c>
      <c r="R117" s="7">
        <f t="shared" si="442"/>
        <v>0</v>
      </c>
      <c r="S117" s="375"/>
      <c r="T117" s="375"/>
      <c r="U117" s="4"/>
      <c r="V117" s="375"/>
      <c r="W117" s="375"/>
      <c r="X117" s="4"/>
      <c r="Y117" s="375"/>
      <c r="Z117" s="375"/>
      <c r="AA117" s="4"/>
      <c r="AB117" s="375">
        <f t="shared" si="684"/>
        <v>0</v>
      </c>
      <c r="AC117" s="375">
        <f t="shared" si="533"/>
        <v>0</v>
      </c>
      <c r="AD117" s="7">
        <f t="shared" si="443"/>
        <v>0</v>
      </c>
      <c r="AE117" s="375">
        <f t="shared" si="685"/>
        <v>0</v>
      </c>
      <c r="AF117" s="375">
        <f t="shared" si="686"/>
        <v>0</v>
      </c>
      <c r="AG117" s="4"/>
      <c r="AH117" s="375"/>
      <c r="AI117" s="375"/>
      <c r="AJ117" s="4"/>
      <c r="AK117" s="375"/>
      <c r="AL117" s="375"/>
      <c r="AM117" s="4"/>
      <c r="AN117" s="375"/>
      <c r="AO117" s="375"/>
      <c r="AP117" s="4"/>
      <c r="AQ117" s="375">
        <f t="shared" si="781"/>
        <v>0</v>
      </c>
      <c r="AR117" s="375">
        <f t="shared" si="782"/>
        <v>0</v>
      </c>
      <c r="AS117" s="7">
        <f t="shared" si="444"/>
        <v>0</v>
      </c>
      <c r="AT117" s="375">
        <f t="shared" si="633"/>
        <v>0</v>
      </c>
      <c r="AU117" s="4"/>
      <c r="AV117" s="375"/>
      <c r="AW117" s="375"/>
      <c r="AX117" s="4"/>
      <c r="AY117" s="375"/>
      <c r="AZ117" s="375"/>
      <c r="BA117" s="4"/>
      <c r="BB117" s="375"/>
      <c r="BC117" s="375"/>
      <c r="BD117" s="448"/>
      <c r="BE117" s="375">
        <f t="shared" si="783"/>
        <v>0</v>
      </c>
      <c r="BF117" s="375">
        <f t="shared" si="784"/>
        <v>0</v>
      </c>
      <c r="BG117" s="7">
        <f t="shared" si="445"/>
        <v>0</v>
      </c>
      <c r="BH117" s="375">
        <f t="shared" si="691"/>
        <v>0</v>
      </c>
      <c r="BI117" s="388">
        <f t="shared" si="692"/>
        <v>0</v>
      </c>
      <c r="BJ117" s="7">
        <f t="shared" si="446"/>
        <v>0</v>
      </c>
      <c r="BK117" s="375">
        <v>0</v>
      </c>
      <c r="BL117" s="282"/>
      <c r="BM117" s="378"/>
      <c r="BN117" s="375"/>
      <c r="BO117" s="4"/>
      <c r="BP117" s="375"/>
      <c r="BQ117" s="4"/>
      <c r="BR117" s="375"/>
      <c r="BS117" s="4"/>
      <c r="BT117" s="375">
        <f t="shared" si="785"/>
        <v>0</v>
      </c>
      <c r="BU117" s="7">
        <f t="shared" si="447"/>
        <v>0</v>
      </c>
      <c r="BV117" s="375"/>
      <c r="BW117" s="7"/>
      <c r="BX117" s="375"/>
      <c r="BY117" s="7"/>
      <c r="BZ117" s="375">
        <f t="shared" si="740"/>
        <v>0</v>
      </c>
      <c r="CA117" s="7"/>
      <c r="CB117" s="375">
        <f t="shared" si="786"/>
        <v>0</v>
      </c>
      <c r="CC117" s="7">
        <f t="shared" si="534"/>
        <v>0</v>
      </c>
      <c r="CD117" s="375">
        <f t="shared" si="787"/>
        <v>0</v>
      </c>
      <c r="CE117" s="7">
        <f t="shared" si="448"/>
        <v>0</v>
      </c>
      <c r="CF117" s="375">
        <f t="shared" si="788"/>
        <v>0</v>
      </c>
      <c r="CG117" s="7">
        <f t="shared" si="449"/>
        <v>0</v>
      </c>
      <c r="CH117" s="375">
        <f t="shared" si="789"/>
        <v>0</v>
      </c>
      <c r="CI117" s="7">
        <f t="shared" si="449"/>
        <v>0</v>
      </c>
      <c r="CJ117" s="375">
        <f t="shared" si="790"/>
        <v>0</v>
      </c>
      <c r="CK117" s="7">
        <f t="shared" si="449"/>
        <v>0</v>
      </c>
      <c r="CL117" s="375">
        <f t="shared" si="700"/>
        <v>0</v>
      </c>
      <c r="CM117" s="7">
        <f t="shared" si="449"/>
        <v>0</v>
      </c>
      <c r="CN117" s="375">
        <f t="shared" si="701"/>
        <v>0</v>
      </c>
      <c r="CO117" s="7">
        <f t="shared" si="639"/>
        <v>0</v>
      </c>
      <c r="CP117" s="375">
        <v>0</v>
      </c>
      <c r="CQ117" s="7">
        <f t="shared" si="728"/>
        <v>0</v>
      </c>
      <c r="CR117" s="375">
        <f t="shared" si="702"/>
        <v>0</v>
      </c>
      <c r="CS117" s="7">
        <f t="shared" si="641"/>
        <v>0</v>
      </c>
      <c r="CT117" s="375">
        <v>0</v>
      </c>
      <c r="CU117" s="7">
        <f t="shared" si="611"/>
        <v>0</v>
      </c>
      <c r="CV117" s="375">
        <v>0</v>
      </c>
      <c r="CW117" s="7">
        <f t="shared" si="452"/>
        <v>0</v>
      </c>
      <c r="CX117" s="375">
        <f t="shared" si="703"/>
        <v>0</v>
      </c>
      <c r="CY117" s="7">
        <f t="shared" si="729"/>
        <v>0</v>
      </c>
      <c r="CZ117" s="375">
        <f t="shared" si="704"/>
        <v>0</v>
      </c>
      <c r="DA117" s="7">
        <f t="shared" si="453"/>
        <v>0</v>
      </c>
      <c r="DB117" s="375">
        <f t="shared" si="791"/>
        <v>0</v>
      </c>
      <c r="DC117" s="7">
        <f t="shared" si="642"/>
        <v>0</v>
      </c>
      <c r="DD117" s="375">
        <f t="shared" si="792"/>
        <v>0</v>
      </c>
      <c r="DE117" s="7">
        <f t="shared" si="642"/>
        <v>0</v>
      </c>
      <c r="DF117" s="375">
        <f t="shared" si="793"/>
        <v>0</v>
      </c>
      <c r="DG117" s="7">
        <f t="shared" si="642"/>
        <v>0</v>
      </c>
      <c r="DH117" s="375">
        <f t="shared" si="794"/>
        <v>0</v>
      </c>
      <c r="DI117" s="7">
        <f t="shared" si="730"/>
        <v>0</v>
      </c>
      <c r="DJ117" s="375"/>
      <c r="DK117" s="7">
        <f t="shared" si="643"/>
        <v>0</v>
      </c>
      <c r="DL117" s="375">
        <f t="shared" si="795"/>
        <v>0</v>
      </c>
      <c r="DM117" s="7">
        <f t="shared" si="644"/>
        <v>0</v>
      </c>
      <c r="DN117" s="375">
        <f t="shared" si="796"/>
        <v>0</v>
      </c>
      <c r="DO117" s="7">
        <f t="shared" si="645"/>
        <v>0</v>
      </c>
      <c r="DP117" s="375">
        <f t="shared" si="797"/>
        <v>0</v>
      </c>
      <c r="DQ117" s="7">
        <f t="shared" si="646"/>
        <v>0</v>
      </c>
      <c r="DR117" s="375">
        <f t="shared" si="798"/>
        <v>0</v>
      </c>
      <c r="DS117" s="7">
        <f t="shared" si="731"/>
        <v>0</v>
      </c>
      <c r="DT117" s="375">
        <f t="shared" si="713"/>
        <v>0</v>
      </c>
      <c r="DU117" s="7">
        <f t="shared" si="454"/>
        <v>0</v>
      </c>
      <c r="DV117" s="375"/>
      <c r="DW117" s="7">
        <f t="shared" si="647"/>
        <v>0</v>
      </c>
      <c r="DX117" s="375"/>
      <c r="DY117" s="7">
        <f t="shared" si="648"/>
        <v>0</v>
      </c>
      <c r="DZ117" s="375"/>
      <c r="EA117" s="7">
        <f t="shared" si="649"/>
        <v>0</v>
      </c>
      <c r="EB117" s="375">
        <f t="shared" si="799"/>
        <v>0</v>
      </c>
      <c r="EC117" s="7">
        <f t="shared" si="427"/>
        <v>0</v>
      </c>
      <c r="ED117" s="375">
        <f t="shared" si="715"/>
        <v>0</v>
      </c>
      <c r="EE117" s="7">
        <f t="shared" si="455"/>
        <v>0</v>
      </c>
      <c r="EF117" s="375"/>
      <c r="EG117" s="7">
        <f t="shared" si="650"/>
        <v>0</v>
      </c>
      <c r="EH117" s="375"/>
      <c r="EI117" s="7">
        <f t="shared" si="651"/>
        <v>0</v>
      </c>
      <c r="EJ117" s="375"/>
      <c r="EK117" s="7">
        <f t="shared" si="652"/>
        <v>0</v>
      </c>
      <c r="EL117" s="375">
        <f t="shared" si="800"/>
        <v>0</v>
      </c>
      <c r="EM117" s="7">
        <f t="shared" si="428"/>
        <v>0</v>
      </c>
      <c r="EN117" s="375">
        <f t="shared" si="717"/>
        <v>0</v>
      </c>
      <c r="EO117" s="7">
        <f t="shared" si="456"/>
        <v>0</v>
      </c>
      <c r="EP117" s="373"/>
      <c r="EQ117" s="373"/>
      <c r="ER117" s="373"/>
      <c r="ES117" s="373"/>
      <c r="ET117" s="375"/>
      <c r="EU117" s="7">
        <f t="shared" si="653"/>
        <v>0</v>
      </c>
      <c r="EV117" s="375"/>
      <c r="EW117" s="7">
        <f t="shared" si="654"/>
        <v>0</v>
      </c>
      <c r="EX117" s="375"/>
      <c r="EY117" s="7">
        <f t="shared" si="655"/>
        <v>0</v>
      </c>
      <c r="EZ117" s="375">
        <f t="shared" si="801"/>
        <v>0</v>
      </c>
      <c r="FA117" s="7">
        <f t="shared" si="429"/>
        <v>0</v>
      </c>
      <c r="FB117" s="375"/>
      <c r="FC117" s="7">
        <f t="shared" si="656"/>
        <v>0</v>
      </c>
      <c r="FD117" s="375"/>
      <c r="FE117" s="7">
        <f t="shared" si="612"/>
        <v>0</v>
      </c>
      <c r="FF117" s="375"/>
      <c r="FG117" s="7">
        <f t="shared" si="430"/>
        <v>0</v>
      </c>
      <c r="FH117" s="375">
        <f t="shared" si="802"/>
        <v>0</v>
      </c>
      <c r="FI117" s="7">
        <f t="shared" si="431"/>
        <v>0</v>
      </c>
      <c r="FJ117" s="375">
        <f t="shared" si="803"/>
        <v>0</v>
      </c>
      <c r="FK117" s="7">
        <f t="shared" si="459"/>
        <v>0</v>
      </c>
      <c r="FL117" s="375"/>
      <c r="FM117" s="7">
        <f t="shared" si="658"/>
        <v>0</v>
      </c>
      <c r="FN117" s="375"/>
      <c r="FO117" s="7">
        <f t="shared" si="432"/>
        <v>0</v>
      </c>
      <c r="FP117" s="375"/>
      <c r="FQ117" s="7">
        <f t="shared" si="433"/>
        <v>0</v>
      </c>
      <c r="FR117" s="375">
        <f t="shared" si="804"/>
        <v>0</v>
      </c>
      <c r="FS117" s="7">
        <f t="shared" si="434"/>
        <v>0</v>
      </c>
      <c r="FT117" s="375">
        <f t="shared" si="805"/>
        <v>0</v>
      </c>
      <c r="FU117" s="7">
        <f t="shared" si="462"/>
        <v>0</v>
      </c>
      <c r="FV117" s="375"/>
      <c r="FW117" s="7">
        <f t="shared" si="660"/>
        <v>0</v>
      </c>
      <c r="FX117" s="375"/>
      <c r="FY117" s="7">
        <f t="shared" si="435"/>
        <v>0</v>
      </c>
      <c r="FZ117" s="375"/>
      <c r="GA117" s="7">
        <f t="shared" si="436"/>
        <v>0</v>
      </c>
      <c r="GB117" s="375">
        <f t="shared" si="806"/>
        <v>0</v>
      </c>
      <c r="GC117" s="7">
        <f t="shared" si="437"/>
        <v>0</v>
      </c>
      <c r="GD117" s="375">
        <f t="shared" si="807"/>
        <v>0</v>
      </c>
      <c r="GE117" s="7">
        <f t="shared" si="465"/>
        <v>0</v>
      </c>
      <c r="GF117" s="566">
        <f t="shared" si="808"/>
        <v>0</v>
      </c>
      <c r="GG117" s="525">
        <f t="shared" si="438"/>
        <v>0</v>
      </c>
      <c r="GH117" s="528">
        <f t="shared" si="726"/>
        <v>0</v>
      </c>
      <c r="GI117" s="525">
        <f t="shared" si="439"/>
        <v>0</v>
      </c>
      <c r="GJ117" s="528"/>
      <c r="GK117" s="525">
        <f t="shared" si="440"/>
        <v>0</v>
      </c>
      <c r="GL117" s="528">
        <f t="shared" si="727"/>
        <v>0</v>
      </c>
      <c r="GM117" s="565">
        <f t="shared" si="468"/>
        <v>0</v>
      </c>
      <c r="GO117" s="586"/>
      <c r="GQ117" s="586"/>
      <c r="GT117" s="551">
        <f t="shared" si="558"/>
        <v>0</v>
      </c>
      <c r="GU117" s="551">
        <f t="shared" si="471"/>
        <v>0</v>
      </c>
      <c r="GV117" s="550">
        <f t="shared" si="732"/>
        <v>0</v>
      </c>
      <c r="GW117" s="527"/>
      <c r="GX117" s="525">
        <f t="shared" si="664"/>
        <v>0</v>
      </c>
      <c r="GY117" s="528"/>
      <c r="GZ117" s="525">
        <f t="shared" si="665"/>
        <v>0</v>
      </c>
      <c r="HA117" s="528"/>
      <c r="HB117" s="526">
        <f t="shared" si="666"/>
        <v>0</v>
      </c>
      <c r="HD117" s="527"/>
      <c r="HE117" s="525">
        <v>0</v>
      </c>
      <c r="HF117" s="528"/>
      <c r="HG117" s="525">
        <v>0</v>
      </c>
      <c r="HH117" s="528"/>
      <c r="HI117" s="526">
        <v>0</v>
      </c>
    </row>
    <row r="118" spans="1:217" ht="15" customHeight="1" outlineLevel="1">
      <c r="A118" s="386" t="s">
        <v>101</v>
      </c>
      <c r="B118" s="386" t="s">
        <v>108</v>
      </c>
      <c r="C118" s="375">
        <v>0</v>
      </c>
      <c r="D118" s="4"/>
      <c r="E118" s="375">
        <v>0</v>
      </c>
      <c r="F118" s="4"/>
      <c r="G118" s="375"/>
      <c r="H118" s="375"/>
      <c r="I118" s="4"/>
      <c r="J118" s="375"/>
      <c r="K118" s="375"/>
      <c r="L118" s="4"/>
      <c r="M118" s="375"/>
      <c r="N118" s="375">
        <v>0</v>
      </c>
      <c r="O118" s="4"/>
      <c r="P118" s="375">
        <f t="shared" si="421"/>
        <v>0</v>
      </c>
      <c r="Q118" s="375">
        <f t="shared" si="421"/>
        <v>0</v>
      </c>
      <c r="R118" s="7">
        <f t="shared" si="442"/>
        <v>0</v>
      </c>
      <c r="S118" s="375"/>
      <c r="T118" s="375"/>
      <c r="U118" s="4"/>
      <c r="V118" s="375"/>
      <c r="W118" s="375"/>
      <c r="X118" s="4"/>
      <c r="Y118" s="375"/>
      <c r="Z118" s="375"/>
      <c r="AA118" s="4"/>
      <c r="AB118" s="375">
        <f t="shared" si="684"/>
        <v>0</v>
      </c>
      <c r="AC118" s="375">
        <f t="shared" si="533"/>
        <v>0</v>
      </c>
      <c r="AD118" s="7">
        <f t="shared" si="443"/>
        <v>0</v>
      </c>
      <c r="AE118" s="375">
        <f t="shared" si="685"/>
        <v>0</v>
      </c>
      <c r="AF118" s="375">
        <f t="shared" si="686"/>
        <v>0</v>
      </c>
      <c r="AG118" s="4"/>
      <c r="AH118" s="375"/>
      <c r="AI118" s="375"/>
      <c r="AJ118" s="4"/>
      <c r="AK118" s="375"/>
      <c r="AL118" s="375"/>
      <c r="AM118" s="4"/>
      <c r="AN118" s="375"/>
      <c r="AO118" s="375"/>
      <c r="AP118" s="4"/>
      <c r="AQ118" s="375">
        <f t="shared" si="781"/>
        <v>0</v>
      </c>
      <c r="AR118" s="375">
        <f t="shared" si="782"/>
        <v>0</v>
      </c>
      <c r="AS118" s="7">
        <f t="shared" si="444"/>
        <v>0</v>
      </c>
      <c r="AT118" s="375">
        <f t="shared" si="633"/>
        <v>0</v>
      </c>
      <c r="AU118" s="4"/>
      <c r="AV118" s="375"/>
      <c r="AW118" s="375"/>
      <c r="AX118" s="4"/>
      <c r="AY118" s="375"/>
      <c r="AZ118" s="375"/>
      <c r="BA118" s="4"/>
      <c r="BB118" s="375"/>
      <c r="BC118" s="375"/>
      <c r="BD118" s="448"/>
      <c r="BE118" s="375">
        <f t="shared" si="783"/>
        <v>0</v>
      </c>
      <c r="BF118" s="375">
        <f t="shared" si="784"/>
        <v>0</v>
      </c>
      <c r="BG118" s="7">
        <f t="shared" si="445"/>
        <v>0</v>
      </c>
      <c r="BH118" s="375">
        <f t="shared" si="691"/>
        <v>0</v>
      </c>
      <c r="BI118" s="388">
        <f t="shared" si="692"/>
        <v>0</v>
      </c>
      <c r="BJ118" s="7">
        <f t="shared" si="446"/>
        <v>0</v>
      </c>
      <c r="BK118" s="375">
        <v>0</v>
      </c>
      <c r="BL118" s="282"/>
      <c r="BM118" s="378"/>
      <c r="BN118" s="375"/>
      <c r="BO118" s="4"/>
      <c r="BP118" s="375"/>
      <c r="BQ118" s="4"/>
      <c r="BR118" s="375"/>
      <c r="BS118" s="4"/>
      <c r="BT118" s="375">
        <f t="shared" si="785"/>
        <v>0</v>
      </c>
      <c r="BU118" s="7">
        <f t="shared" si="447"/>
        <v>0</v>
      </c>
      <c r="BV118" s="375"/>
      <c r="BW118" s="7"/>
      <c r="BX118" s="375"/>
      <c r="BY118" s="7"/>
      <c r="BZ118" s="375">
        <f t="shared" si="740"/>
        <v>0</v>
      </c>
      <c r="CA118" s="7"/>
      <c r="CB118" s="375">
        <f t="shared" si="786"/>
        <v>0</v>
      </c>
      <c r="CC118" s="7">
        <f t="shared" si="534"/>
        <v>0</v>
      </c>
      <c r="CD118" s="375">
        <f t="shared" si="787"/>
        <v>0</v>
      </c>
      <c r="CE118" s="7">
        <f t="shared" si="448"/>
        <v>0</v>
      </c>
      <c r="CF118" s="375">
        <f t="shared" si="788"/>
        <v>0</v>
      </c>
      <c r="CG118" s="7">
        <f t="shared" si="449"/>
        <v>0</v>
      </c>
      <c r="CH118" s="375">
        <f t="shared" si="789"/>
        <v>0</v>
      </c>
      <c r="CI118" s="7">
        <f t="shared" si="449"/>
        <v>0</v>
      </c>
      <c r="CJ118" s="375">
        <f t="shared" si="790"/>
        <v>0</v>
      </c>
      <c r="CK118" s="7">
        <f t="shared" si="449"/>
        <v>0</v>
      </c>
      <c r="CL118" s="375">
        <f t="shared" si="700"/>
        <v>0</v>
      </c>
      <c r="CM118" s="7">
        <f t="shared" si="449"/>
        <v>0</v>
      </c>
      <c r="CN118" s="375">
        <f t="shared" si="701"/>
        <v>0</v>
      </c>
      <c r="CO118" s="7">
        <f t="shared" si="639"/>
        <v>0</v>
      </c>
      <c r="CP118" s="375">
        <v>0</v>
      </c>
      <c r="CQ118" s="7">
        <f t="shared" si="728"/>
        <v>0</v>
      </c>
      <c r="CR118" s="375">
        <f t="shared" si="702"/>
        <v>0</v>
      </c>
      <c r="CS118" s="7">
        <f t="shared" si="641"/>
        <v>0</v>
      </c>
      <c r="CT118" s="375">
        <v>0</v>
      </c>
      <c r="CU118" s="7">
        <f t="shared" si="611"/>
        <v>0</v>
      </c>
      <c r="CV118" s="375">
        <v>0</v>
      </c>
      <c r="CW118" s="7">
        <f t="shared" si="452"/>
        <v>0</v>
      </c>
      <c r="CX118" s="375">
        <f t="shared" si="703"/>
        <v>0</v>
      </c>
      <c r="CY118" s="7">
        <f t="shared" si="729"/>
        <v>0</v>
      </c>
      <c r="CZ118" s="375">
        <f t="shared" si="704"/>
        <v>0</v>
      </c>
      <c r="DA118" s="7">
        <f t="shared" si="453"/>
        <v>0</v>
      </c>
      <c r="DB118" s="375">
        <f t="shared" si="791"/>
        <v>0</v>
      </c>
      <c r="DC118" s="7">
        <f t="shared" si="642"/>
        <v>0</v>
      </c>
      <c r="DD118" s="375">
        <f t="shared" si="792"/>
        <v>0</v>
      </c>
      <c r="DE118" s="7">
        <f t="shared" si="642"/>
        <v>0</v>
      </c>
      <c r="DF118" s="375">
        <f t="shared" si="793"/>
        <v>0</v>
      </c>
      <c r="DG118" s="7">
        <f t="shared" si="642"/>
        <v>0</v>
      </c>
      <c r="DH118" s="375">
        <f t="shared" si="794"/>
        <v>0</v>
      </c>
      <c r="DI118" s="7">
        <f t="shared" si="730"/>
        <v>0</v>
      </c>
      <c r="DJ118" s="375"/>
      <c r="DK118" s="7">
        <f t="shared" si="643"/>
        <v>0</v>
      </c>
      <c r="DL118" s="375">
        <f t="shared" si="795"/>
        <v>0</v>
      </c>
      <c r="DM118" s="7">
        <f t="shared" si="644"/>
        <v>0</v>
      </c>
      <c r="DN118" s="375">
        <f t="shared" si="796"/>
        <v>0</v>
      </c>
      <c r="DO118" s="7">
        <f t="shared" si="645"/>
        <v>0</v>
      </c>
      <c r="DP118" s="375">
        <f t="shared" si="797"/>
        <v>0</v>
      </c>
      <c r="DQ118" s="7">
        <f t="shared" si="646"/>
        <v>0</v>
      </c>
      <c r="DR118" s="375">
        <f t="shared" si="798"/>
        <v>0</v>
      </c>
      <c r="DS118" s="7">
        <f t="shared" si="731"/>
        <v>0</v>
      </c>
      <c r="DT118" s="375">
        <f t="shared" si="713"/>
        <v>0</v>
      </c>
      <c r="DU118" s="7">
        <f t="shared" si="454"/>
        <v>0</v>
      </c>
      <c r="DV118" s="375"/>
      <c r="DW118" s="7">
        <f t="shared" si="647"/>
        <v>0</v>
      </c>
      <c r="DX118" s="375"/>
      <c r="DY118" s="7">
        <f t="shared" si="648"/>
        <v>0</v>
      </c>
      <c r="DZ118" s="375"/>
      <c r="EA118" s="7">
        <f t="shared" si="649"/>
        <v>0</v>
      </c>
      <c r="EB118" s="375">
        <f t="shared" si="799"/>
        <v>0</v>
      </c>
      <c r="EC118" s="7">
        <f t="shared" si="427"/>
        <v>0</v>
      </c>
      <c r="ED118" s="375">
        <f t="shared" si="715"/>
        <v>0</v>
      </c>
      <c r="EE118" s="7">
        <f t="shared" si="455"/>
        <v>0</v>
      </c>
      <c r="EF118" s="375"/>
      <c r="EG118" s="7">
        <f t="shared" si="650"/>
        <v>0</v>
      </c>
      <c r="EH118" s="375"/>
      <c r="EI118" s="7">
        <f t="shared" si="651"/>
        <v>0</v>
      </c>
      <c r="EJ118" s="375"/>
      <c r="EK118" s="7">
        <f t="shared" si="652"/>
        <v>0</v>
      </c>
      <c r="EL118" s="375">
        <f t="shared" si="800"/>
        <v>0</v>
      </c>
      <c r="EM118" s="7">
        <f t="shared" si="428"/>
        <v>0</v>
      </c>
      <c r="EN118" s="375">
        <f t="shared" si="717"/>
        <v>0</v>
      </c>
      <c r="EO118" s="7">
        <f t="shared" si="456"/>
        <v>0</v>
      </c>
      <c r="EP118" s="373"/>
      <c r="EQ118" s="373"/>
      <c r="ER118" s="373"/>
      <c r="ES118" s="373"/>
      <c r="ET118" s="375"/>
      <c r="EU118" s="7">
        <f t="shared" si="653"/>
        <v>0</v>
      </c>
      <c r="EV118" s="375"/>
      <c r="EW118" s="7">
        <f t="shared" si="654"/>
        <v>0</v>
      </c>
      <c r="EX118" s="375"/>
      <c r="EY118" s="7">
        <f t="shared" si="655"/>
        <v>0</v>
      </c>
      <c r="EZ118" s="375">
        <f t="shared" si="801"/>
        <v>0</v>
      </c>
      <c r="FA118" s="7">
        <f t="shared" si="429"/>
        <v>0</v>
      </c>
      <c r="FB118" s="375"/>
      <c r="FC118" s="7">
        <f t="shared" si="656"/>
        <v>0</v>
      </c>
      <c r="FD118" s="375"/>
      <c r="FE118" s="7">
        <f t="shared" si="612"/>
        <v>0</v>
      </c>
      <c r="FF118" s="375"/>
      <c r="FG118" s="7">
        <f t="shared" si="430"/>
        <v>0</v>
      </c>
      <c r="FH118" s="375">
        <f t="shared" si="802"/>
        <v>0</v>
      </c>
      <c r="FI118" s="7">
        <f t="shared" si="431"/>
        <v>0</v>
      </c>
      <c r="FJ118" s="375">
        <f t="shared" si="803"/>
        <v>0</v>
      </c>
      <c r="FK118" s="7">
        <f t="shared" si="459"/>
        <v>0</v>
      </c>
      <c r="FL118" s="375"/>
      <c r="FM118" s="7">
        <f t="shared" si="658"/>
        <v>0</v>
      </c>
      <c r="FN118" s="375"/>
      <c r="FO118" s="7">
        <f t="shared" si="432"/>
        <v>0</v>
      </c>
      <c r="FP118" s="375"/>
      <c r="FQ118" s="7">
        <f t="shared" si="433"/>
        <v>0</v>
      </c>
      <c r="FR118" s="375">
        <f t="shared" si="804"/>
        <v>0</v>
      </c>
      <c r="FS118" s="7">
        <f t="shared" si="434"/>
        <v>0</v>
      </c>
      <c r="FT118" s="375">
        <f t="shared" si="805"/>
        <v>0</v>
      </c>
      <c r="FU118" s="7">
        <f t="shared" si="462"/>
        <v>0</v>
      </c>
      <c r="FV118" s="375"/>
      <c r="FW118" s="7">
        <f t="shared" si="660"/>
        <v>0</v>
      </c>
      <c r="FX118" s="375"/>
      <c r="FY118" s="7">
        <f t="shared" si="435"/>
        <v>0</v>
      </c>
      <c r="FZ118" s="375"/>
      <c r="GA118" s="7">
        <f t="shared" si="436"/>
        <v>0</v>
      </c>
      <c r="GB118" s="375">
        <f t="shared" si="806"/>
        <v>0</v>
      </c>
      <c r="GC118" s="7">
        <f t="shared" si="437"/>
        <v>0</v>
      </c>
      <c r="GD118" s="375">
        <f t="shared" si="807"/>
        <v>0</v>
      </c>
      <c r="GE118" s="7">
        <f t="shared" si="465"/>
        <v>0</v>
      </c>
      <c r="GF118" s="566">
        <f t="shared" si="808"/>
        <v>0</v>
      </c>
      <c r="GG118" s="525">
        <f t="shared" si="438"/>
        <v>0</v>
      </c>
      <c r="GH118" s="528">
        <f t="shared" si="726"/>
        <v>0</v>
      </c>
      <c r="GI118" s="525">
        <f t="shared" si="439"/>
        <v>0</v>
      </c>
      <c r="GJ118" s="528"/>
      <c r="GK118" s="525">
        <f t="shared" si="440"/>
        <v>0</v>
      </c>
      <c r="GL118" s="528">
        <f t="shared" si="727"/>
        <v>0</v>
      </c>
      <c r="GM118" s="565">
        <f t="shared" si="468"/>
        <v>0</v>
      </c>
      <c r="GO118" s="586"/>
      <c r="GQ118" s="586"/>
      <c r="GT118" s="551">
        <f t="shared" si="558"/>
        <v>0</v>
      </c>
      <c r="GU118" s="551">
        <f t="shared" si="471"/>
        <v>0</v>
      </c>
      <c r="GV118" s="550">
        <f t="shared" si="732"/>
        <v>0</v>
      </c>
      <c r="GW118" s="527"/>
      <c r="GX118" s="525">
        <f t="shared" si="664"/>
        <v>0</v>
      </c>
      <c r="GY118" s="528"/>
      <c r="GZ118" s="525">
        <f t="shared" si="665"/>
        <v>0</v>
      </c>
      <c r="HA118" s="528"/>
      <c r="HB118" s="526">
        <f t="shared" si="666"/>
        <v>0</v>
      </c>
      <c r="HD118" s="527"/>
      <c r="HE118" s="525">
        <v>0</v>
      </c>
      <c r="HF118" s="528"/>
      <c r="HG118" s="525">
        <v>0</v>
      </c>
      <c r="HH118" s="528"/>
      <c r="HI118" s="526">
        <v>0</v>
      </c>
    </row>
    <row r="119" spans="1:217" ht="15" customHeight="1" outlineLevel="1">
      <c r="A119" s="386" t="s">
        <v>101</v>
      </c>
      <c r="B119" s="386" t="s">
        <v>109</v>
      </c>
      <c r="C119" s="375">
        <v>0</v>
      </c>
      <c r="D119" s="4"/>
      <c r="E119" s="375">
        <v>0</v>
      </c>
      <c r="F119" s="4"/>
      <c r="G119" s="375"/>
      <c r="H119" s="375"/>
      <c r="I119" s="4"/>
      <c r="J119" s="375"/>
      <c r="K119" s="375"/>
      <c r="L119" s="4"/>
      <c r="M119" s="375"/>
      <c r="N119" s="375">
        <v>0</v>
      </c>
      <c r="O119" s="4"/>
      <c r="P119" s="375">
        <f t="shared" si="421"/>
        <v>0</v>
      </c>
      <c r="Q119" s="375">
        <f t="shared" si="421"/>
        <v>0</v>
      </c>
      <c r="R119" s="7">
        <f t="shared" si="442"/>
        <v>0</v>
      </c>
      <c r="S119" s="375"/>
      <c r="T119" s="375"/>
      <c r="U119" s="4"/>
      <c r="V119" s="375"/>
      <c r="W119" s="375"/>
      <c r="X119" s="4"/>
      <c r="Y119" s="375"/>
      <c r="Z119" s="375"/>
      <c r="AA119" s="4"/>
      <c r="AB119" s="375">
        <f t="shared" si="684"/>
        <v>0</v>
      </c>
      <c r="AC119" s="375">
        <f t="shared" si="533"/>
        <v>0</v>
      </c>
      <c r="AD119" s="7">
        <f t="shared" si="443"/>
        <v>0</v>
      </c>
      <c r="AE119" s="375">
        <f t="shared" si="685"/>
        <v>0</v>
      </c>
      <c r="AF119" s="375">
        <f t="shared" si="686"/>
        <v>0</v>
      </c>
      <c r="AG119" s="4"/>
      <c r="AH119" s="375"/>
      <c r="AI119" s="375"/>
      <c r="AJ119" s="4"/>
      <c r="AK119" s="375"/>
      <c r="AL119" s="375"/>
      <c r="AM119" s="4"/>
      <c r="AN119" s="375"/>
      <c r="AO119" s="375"/>
      <c r="AP119" s="4"/>
      <c r="AQ119" s="375">
        <f t="shared" si="781"/>
        <v>0</v>
      </c>
      <c r="AR119" s="375">
        <f t="shared" si="782"/>
        <v>0</v>
      </c>
      <c r="AS119" s="7">
        <f t="shared" si="444"/>
        <v>0</v>
      </c>
      <c r="AT119" s="375">
        <f t="shared" si="633"/>
        <v>0</v>
      </c>
      <c r="AU119" s="4"/>
      <c r="AV119" s="375"/>
      <c r="AW119" s="375"/>
      <c r="AX119" s="4"/>
      <c r="AY119" s="375"/>
      <c r="AZ119" s="375"/>
      <c r="BA119" s="4"/>
      <c r="BB119" s="375"/>
      <c r="BC119" s="375"/>
      <c r="BD119" s="448"/>
      <c r="BE119" s="375">
        <f t="shared" si="783"/>
        <v>0</v>
      </c>
      <c r="BF119" s="375">
        <f t="shared" si="784"/>
        <v>0</v>
      </c>
      <c r="BG119" s="7">
        <f t="shared" si="445"/>
        <v>0</v>
      </c>
      <c r="BH119" s="375">
        <f t="shared" si="691"/>
        <v>0</v>
      </c>
      <c r="BI119" s="388">
        <f t="shared" si="692"/>
        <v>0</v>
      </c>
      <c r="BJ119" s="7">
        <f t="shared" si="446"/>
        <v>0</v>
      </c>
      <c r="BK119" s="375">
        <v>0</v>
      </c>
      <c r="BL119" s="282"/>
      <c r="BM119" s="378"/>
      <c r="BN119" s="375"/>
      <c r="BO119" s="4"/>
      <c r="BP119" s="375"/>
      <c r="BQ119" s="4"/>
      <c r="BR119" s="375"/>
      <c r="BS119" s="4"/>
      <c r="BT119" s="375">
        <f t="shared" si="785"/>
        <v>0</v>
      </c>
      <c r="BU119" s="7">
        <f t="shared" si="447"/>
        <v>0</v>
      </c>
      <c r="BV119" s="375"/>
      <c r="BW119" s="7"/>
      <c r="BX119" s="375"/>
      <c r="BY119" s="7"/>
      <c r="BZ119" s="375">
        <f t="shared" si="740"/>
        <v>0</v>
      </c>
      <c r="CA119" s="7"/>
      <c r="CB119" s="375">
        <f t="shared" si="786"/>
        <v>0</v>
      </c>
      <c r="CC119" s="7">
        <f t="shared" si="534"/>
        <v>0</v>
      </c>
      <c r="CD119" s="375">
        <f t="shared" si="787"/>
        <v>0</v>
      </c>
      <c r="CE119" s="7">
        <f t="shared" si="448"/>
        <v>0</v>
      </c>
      <c r="CF119" s="375">
        <f t="shared" si="788"/>
        <v>0</v>
      </c>
      <c r="CG119" s="7">
        <f t="shared" si="449"/>
        <v>0</v>
      </c>
      <c r="CH119" s="375">
        <f t="shared" si="789"/>
        <v>0</v>
      </c>
      <c r="CI119" s="7">
        <f t="shared" si="449"/>
        <v>0</v>
      </c>
      <c r="CJ119" s="375">
        <f t="shared" si="790"/>
        <v>0</v>
      </c>
      <c r="CK119" s="7">
        <f t="shared" si="449"/>
        <v>0</v>
      </c>
      <c r="CL119" s="375">
        <f t="shared" si="700"/>
        <v>0</v>
      </c>
      <c r="CM119" s="7">
        <f t="shared" si="449"/>
        <v>0</v>
      </c>
      <c r="CN119" s="375">
        <f t="shared" si="701"/>
        <v>0</v>
      </c>
      <c r="CO119" s="7">
        <f t="shared" si="639"/>
        <v>0</v>
      </c>
      <c r="CP119" s="375">
        <v>0</v>
      </c>
      <c r="CQ119" s="7">
        <f t="shared" si="728"/>
        <v>0</v>
      </c>
      <c r="CR119" s="375">
        <f t="shared" si="702"/>
        <v>0</v>
      </c>
      <c r="CS119" s="7">
        <f t="shared" si="641"/>
        <v>0</v>
      </c>
      <c r="CT119" s="375">
        <v>0</v>
      </c>
      <c r="CU119" s="7">
        <f t="shared" si="611"/>
        <v>0</v>
      </c>
      <c r="CV119" s="375">
        <v>0</v>
      </c>
      <c r="CW119" s="7">
        <f t="shared" si="452"/>
        <v>0</v>
      </c>
      <c r="CX119" s="375">
        <f t="shared" si="703"/>
        <v>0</v>
      </c>
      <c r="CY119" s="7">
        <f t="shared" si="729"/>
        <v>0</v>
      </c>
      <c r="CZ119" s="375">
        <f t="shared" si="704"/>
        <v>0</v>
      </c>
      <c r="DA119" s="7">
        <f t="shared" si="453"/>
        <v>0</v>
      </c>
      <c r="DB119" s="375">
        <f t="shared" si="791"/>
        <v>0</v>
      </c>
      <c r="DC119" s="7">
        <f t="shared" si="642"/>
        <v>0</v>
      </c>
      <c r="DD119" s="375">
        <f t="shared" si="792"/>
        <v>0</v>
      </c>
      <c r="DE119" s="7">
        <f t="shared" si="642"/>
        <v>0</v>
      </c>
      <c r="DF119" s="375">
        <f t="shared" si="793"/>
        <v>0</v>
      </c>
      <c r="DG119" s="7">
        <f t="shared" si="642"/>
        <v>0</v>
      </c>
      <c r="DH119" s="375">
        <f t="shared" si="794"/>
        <v>0</v>
      </c>
      <c r="DI119" s="7">
        <f t="shared" si="730"/>
        <v>0</v>
      </c>
      <c r="DJ119" s="375"/>
      <c r="DK119" s="7">
        <f t="shared" si="643"/>
        <v>0</v>
      </c>
      <c r="DL119" s="375">
        <f t="shared" si="795"/>
        <v>0</v>
      </c>
      <c r="DM119" s="7">
        <f t="shared" si="644"/>
        <v>0</v>
      </c>
      <c r="DN119" s="375">
        <f t="shared" si="796"/>
        <v>0</v>
      </c>
      <c r="DO119" s="7">
        <f t="shared" si="645"/>
        <v>0</v>
      </c>
      <c r="DP119" s="375">
        <f t="shared" si="797"/>
        <v>0</v>
      </c>
      <c r="DQ119" s="7">
        <f t="shared" si="646"/>
        <v>0</v>
      </c>
      <c r="DR119" s="375">
        <f t="shared" si="798"/>
        <v>0</v>
      </c>
      <c r="DS119" s="7">
        <f t="shared" si="731"/>
        <v>0</v>
      </c>
      <c r="DT119" s="375">
        <f t="shared" si="713"/>
        <v>0</v>
      </c>
      <c r="DU119" s="7">
        <f t="shared" si="454"/>
        <v>0</v>
      </c>
      <c r="DV119" s="375"/>
      <c r="DW119" s="7">
        <f t="shared" si="647"/>
        <v>0</v>
      </c>
      <c r="DX119" s="375"/>
      <c r="DY119" s="7">
        <f t="shared" si="648"/>
        <v>0</v>
      </c>
      <c r="DZ119" s="375"/>
      <c r="EA119" s="7">
        <f t="shared" si="649"/>
        <v>0</v>
      </c>
      <c r="EB119" s="375">
        <f t="shared" si="799"/>
        <v>0</v>
      </c>
      <c r="EC119" s="7">
        <f t="shared" si="427"/>
        <v>0</v>
      </c>
      <c r="ED119" s="375">
        <f t="shared" si="715"/>
        <v>0</v>
      </c>
      <c r="EE119" s="7">
        <f t="shared" si="455"/>
        <v>0</v>
      </c>
      <c r="EF119" s="375"/>
      <c r="EG119" s="7">
        <f t="shared" si="650"/>
        <v>0</v>
      </c>
      <c r="EH119" s="375"/>
      <c r="EI119" s="7">
        <f t="shared" si="651"/>
        <v>0</v>
      </c>
      <c r="EJ119" s="375"/>
      <c r="EK119" s="7">
        <f t="shared" si="652"/>
        <v>0</v>
      </c>
      <c r="EL119" s="375">
        <f t="shared" si="800"/>
        <v>0</v>
      </c>
      <c r="EM119" s="7">
        <f t="shared" si="428"/>
        <v>0</v>
      </c>
      <c r="EN119" s="375">
        <f t="shared" si="717"/>
        <v>0</v>
      </c>
      <c r="EO119" s="7">
        <f t="shared" si="456"/>
        <v>0</v>
      </c>
      <c r="EP119" s="373"/>
      <c r="EQ119" s="373"/>
      <c r="ER119" s="373"/>
      <c r="ES119" s="373"/>
      <c r="ET119" s="375"/>
      <c r="EU119" s="7">
        <f t="shared" si="653"/>
        <v>0</v>
      </c>
      <c r="EV119" s="375"/>
      <c r="EW119" s="7">
        <f t="shared" si="654"/>
        <v>0</v>
      </c>
      <c r="EX119" s="375"/>
      <c r="EY119" s="7">
        <f t="shared" si="655"/>
        <v>0</v>
      </c>
      <c r="EZ119" s="375">
        <f t="shared" si="801"/>
        <v>0</v>
      </c>
      <c r="FA119" s="7">
        <f t="shared" si="429"/>
        <v>0</v>
      </c>
      <c r="FB119" s="375"/>
      <c r="FC119" s="7">
        <f t="shared" si="656"/>
        <v>0</v>
      </c>
      <c r="FD119" s="375"/>
      <c r="FE119" s="7">
        <f t="shared" si="612"/>
        <v>0</v>
      </c>
      <c r="FF119" s="375"/>
      <c r="FG119" s="7">
        <f t="shared" si="430"/>
        <v>0</v>
      </c>
      <c r="FH119" s="375">
        <f t="shared" si="802"/>
        <v>0</v>
      </c>
      <c r="FI119" s="7">
        <f t="shared" si="431"/>
        <v>0</v>
      </c>
      <c r="FJ119" s="375">
        <f t="shared" si="803"/>
        <v>0</v>
      </c>
      <c r="FK119" s="7">
        <f t="shared" si="459"/>
        <v>0</v>
      </c>
      <c r="FL119" s="375"/>
      <c r="FM119" s="7">
        <f t="shared" si="658"/>
        <v>0</v>
      </c>
      <c r="FN119" s="375"/>
      <c r="FO119" s="7">
        <f t="shared" si="432"/>
        <v>0</v>
      </c>
      <c r="FP119" s="375"/>
      <c r="FQ119" s="7">
        <f t="shared" si="433"/>
        <v>0</v>
      </c>
      <c r="FR119" s="375">
        <f t="shared" si="804"/>
        <v>0</v>
      </c>
      <c r="FS119" s="7">
        <f t="shared" si="434"/>
        <v>0</v>
      </c>
      <c r="FT119" s="375">
        <f t="shared" si="805"/>
        <v>0</v>
      </c>
      <c r="FU119" s="7">
        <f t="shared" si="462"/>
        <v>0</v>
      </c>
      <c r="FV119" s="375"/>
      <c r="FW119" s="7">
        <f t="shared" si="660"/>
        <v>0</v>
      </c>
      <c r="FX119" s="375"/>
      <c r="FY119" s="7">
        <f t="shared" si="435"/>
        <v>0</v>
      </c>
      <c r="FZ119" s="375"/>
      <c r="GA119" s="7">
        <f t="shared" si="436"/>
        <v>0</v>
      </c>
      <c r="GB119" s="375">
        <f t="shared" si="806"/>
        <v>0</v>
      </c>
      <c r="GC119" s="7">
        <f t="shared" si="437"/>
        <v>0</v>
      </c>
      <c r="GD119" s="375">
        <f t="shared" si="807"/>
        <v>0</v>
      </c>
      <c r="GE119" s="7">
        <f t="shared" si="465"/>
        <v>0</v>
      </c>
      <c r="GF119" s="566">
        <f t="shared" si="808"/>
        <v>0</v>
      </c>
      <c r="GG119" s="525">
        <f t="shared" si="438"/>
        <v>0</v>
      </c>
      <c r="GH119" s="528">
        <f t="shared" si="726"/>
        <v>0</v>
      </c>
      <c r="GI119" s="525">
        <f t="shared" si="439"/>
        <v>0</v>
      </c>
      <c r="GJ119" s="528"/>
      <c r="GK119" s="525">
        <f t="shared" si="440"/>
        <v>0</v>
      </c>
      <c r="GL119" s="528">
        <f t="shared" si="727"/>
        <v>0</v>
      </c>
      <c r="GM119" s="565">
        <f t="shared" si="468"/>
        <v>0</v>
      </c>
      <c r="GO119" s="586"/>
      <c r="GQ119" s="586"/>
      <c r="GT119" s="551">
        <f t="shared" si="558"/>
        <v>0</v>
      </c>
      <c r="GU119" s="551">
        <f t="shared" si="471"/>
        <v>0</v>
      </c>
      <c r="GV119" s="550">
        <f t="shared" si="732"/>
        <v>0</v>
      </c>
      <c r="GW119" s="527"/>
      <c r="GX119" s="525">
        <f t="shared" si="664"/>
        <v>0</v>
      </c>
      <c r="GY119" s="528"/>
      <c r="GZ119" s="525">
        <f t="shared" si="665"/>
        <v>0</v>
      </c>
      <c r="HA119" s="528"/>
      <c r="HB119" s="526">
        <f t="shared" si="666"/>
        <v>0</v>
      </c>
      <c r="HD119" s="527"/>
      <c r="HE119" s="525">
        <v>0</v>
      </c>
      <c r="HF119" s="528"/>
      <c r="HG119" s="525">
        <v>0</v>
      </c>
      <c r="HH119" s="528"/>
      <c r="HI119" s="526">
        <v>0</v>
      </c>
    </row>
    <row r="120" spans="1:217" ht="15" customHeight="1" outlineLevel="1">
      <c r="A120" s="386" t="s">
        <v>101</v>
      </c>
      <c r="B120" s="386" t="s">
        <v>110</v>
      </c>
      <c r="C120" s="375">
        <v>0</v>
      </c>
      <c r="D120" s="4"/>
      <c r="E120" s="375">
        <v>0</v>
      </c>
      <c r="F120" s="4"/>
      <c r="G120" s="375"/>
      <c r="H120" s="375"/>
      <c r="I120" s="4"/>
      <c r="J120" s="375"/>
      <c r="K120" s="375"/>
      <c r="L120" s="4"/>
      <c r="M120" s="375"/>
      <c r="N120" s="375">
        <v>0</v>
      </c>
      <c r="O120" s="4"/>
      <c r="P120" s="375">
        <f t="shared" si="421"/>
        <v>0</v>
      </c>
      <c r="Q120" s="375">
        <f t="shared" si="421"/>
        <v>0</v>
      </c>
      <c r="R120" s="7">
        <f t="shared" si="442"/>
        <v>0</v>
      </c>
      <c r="S120" s="375"/>
      <c r="T120" s="375"/>
      <c r="U120" s="4"/>
      <c r="V120" s="375"/>
      <c r="W120" s="375"/>
      <c r="X120" s="4"/>
      <c r="Y120" s="375"/>
      <c r="Z120" s="375"/>
      <c r="AA120" s="4"/>
      <c r="AB120" s="375">
        <f t="shared" si="684"/>
        <v>0</v>
      </c>
      <c r="AC120" s="375">
        <f t="shared" si="533"/>
        <v>0</v>
      </c>
      <c r="AD120" s="7">
        <f t="shared" si="443"/>
        <v>0</v>
      </c>
      <c r="AE120" s="375">
        <f t="shared" si="685"/>
        <v>0</v>
      </c>
      <c r="AF120" s="375">
        <f t="shared" si="686"/>
        <v>0</v>
      </c>
      <c r="AG120" s="4"/>
      <c r="AH120" s="375"/>
      <c r="AI120" s="375"/>
      <c r="AJ120" s="4"/>
      <c r="AK120" s="375"/>
      <c r="AL120" s="375"/>
      <c r="AM120" s="4"/>
      <c r="AN120" s="375"/>
      <c r="AO120" s="375"/>
      <c r="AP120" s="4"/>
      <c r="AQ120" s="375">
        <f t="shared" si="781"/>
        <v>0</v>
      </c>
      <c r="AR120" s="375">
        <f t="shared" si="782"/>
        <v>0</v>
      </c>
      <c r="AS120" s="7">
        <f t="shared" si="444"/>
        <v>0</v>
      </c>
      <c r="AT120" s="375">
        <f t="shared" si="633"/>
        <v>0</v>
      </c>
      <c r="AU120" s="4"/>
      <c r="AV120" s="375"/>
      <c r="AW120" s="375"/>
      <c r="AX120" s="4"/>
      <c r="AY120" s="375"/>
      <c r="AZ120" s="375"/>
      <c r="BA120" s="4"/>
      <c r="BB120" s="375"/>
      <c r="BC120" s="375"/>
      <c r="BD120" s="448"/>
      <c r="BE120" s="375">
        <f t="shared" si="783"/>
        <v>0</v>
      </c>
      <c r="BF120" s="375">
        <f t="shared" si="784"/>
        <v>0</v>
      </c>
      <c r="BG120" s="7">
        <f t="shared" si="445"/>
        <v>0</v>
      </c>
      <c r="BH120" s="375">
        <f t="shared" si="691"/>
        <v>0</v>
      </c>
      <c r="BI120" s="388">
        <f t="shared" si="692"/>
        <v>0</v>
      </c>
      <c r="BJ120" s="7">
        <f t="shared" si="446"/>
        <v>0</v>
      </c>
      <c r="BK120" s="375">
        <v>0</v>
      </c>
      <c r="BL120" s="282"/>
      <c r="BM120" s="378"/>
      <c r="BN120" s="375"/>
      <c r="BO120" s="4"/>
      <c r="BP120" s="375"/>
      <c r="BQ120" s="4"/>
      <c r="BR120" s="375"/>
      <c r="BS120" s="4"/>
      <c r="BT120" s="375">
        <f t="shared" si="785"/>
        <v>0</v>
      </c>
      <c r="BU120" s="7">
        <f t="shared" si="447"/>
        <v>0</v>
      </c>
      <c r="BV120" s="375"/>
      <c r="BW120" s="7"/>
      <c r="BX120" s="375"/>
      <c r="BY120" s="7"/>
      <c r="BZ120" s="375">
        <f t="shared" si="740"/>
        <v>0</v>
      </c>
      <c r="CA120" s="7"/>
      <c r="CB120" s="375">
        <f t="shared" si="786"/>
        <v>0</v>
      </c>
      <c r="CC120" s="7">
        <f t="shared" si="534"/>
        <v>0</v>
      </c>
      <c r="CD120" s="375">
        <f t="shared" si="787"/>
        <v>0</v>
      </c>
      <c r="CE120" s="7">
        <f t="shared" si="448"/>
        <v>0</v>
      </c>
      <c r="CF120" s="375">
        <f t="shared" si="788"/>
        <v>0</v>
      </c>
      <c r="CG120" s="7">
        <f t="shared" si="449"/>
        <v>0</v>
      </c>
      <c r="CH120" s="375">
        <f>+CB120+CD120+CF120</f>
        <v>0</v>
      </c>
      <c r="CI120" s="7">
        <f t="shared" si="449"/>
        <v>0</v>
      </c>
      <c r="CJ120" s="375">
        <f>+CD120+CF120+CH120</f>
        <v>0</v>
      </c>
      <c r="CK120" s="7">
        <f t="shared" si="449"/>
        <v>0</v>
      </c>
      <c r="CL120" s="375">
        <f t="shared" si="700"/>
        <v>0</v>
      </c>
      <c r="CM120" s="7">
        <f t="shared" si="449"/>
        <v>0</v>
      </c>
      <c r="CN120" s="375">
        <f t="shared" si="701"/>
        <v>0</v>
      </c>
      <c r="CO120" s="7">
        <f t="shared" si="639"/>
        <v>0</v>
      </c>
      <c r="CP120" s="375">
        <v>0</v>
      </c>
      <c r="CQ120" s="7">
        <f t="shared" si="728"/>
        <v>0</v>
      </c>
      <c r="CR120" s="375">
        <f t="shared" si="702"/>
        <v>0</v>
      </c>
      <c r="CS120" s="7">
        <f t="shared" si="641"/>
        <v>0</v>
      </c>
      <c r="CT120" s="375">
        <v>0</v>
      </c>
      <c r="CU120" s="7">
        <f t="shared" si="611"/>
        <v>0</v>
      </c>
      <c r="CV120" s="375">
        <v>0</v>
      </c>
      <c r="CW120" s="7">
        <f t="shared" si="452"/>
        <v>0</v>
      </c>
      <c r="CX120" s="375">
        <f t="shared" si="703"/>
        <v>0</v>
      </c>
      <c r="CY120" s="7">
        <f t="shared" si="729"/>
        <v>0</v>
      </c>
      <c r="CZ120" s="375">
        <f t="shared" si="704"/>
        <v>0</v>
      </c>
      <c r="DA120" s="7">
        <f t="shared" si="453"/>
        <v>0</v>
      </c>
      <c r="DB120" s="375">
        <f t="shared" si="791"/>
        <v>0</v>
      </c>
      <c r="DC120" s="7">
        <f t="shared" si="642"/>
        <v>0</v>
      </c>
      <c r="DD120" s="375">
        <f>+CX120+CZ120+DB120</f>
        <v>0</v>
      </c>
      <c r="DE120" s="7">
        <f t="shared" si="642"/>
        <v>0</v>
      </c>
      <c r="DF120" s="375">
        <f>+CZ120+DB120+DD120</f>
        <v>0</v>
      </c>
      <c r="DG120" s="7">
        <f t="shared" si="642"/>
        <v>0</v>
      </c>
      <c r="DH120" s="375">
        <f t="shared" si="794"/>
        <v>0</v>
      </c>
      <c r="DI120" s="7">
        <f t="shared" si="730"/>
        <v>0</v>
      </c>
      <c r="DJ120" s="375"/>
      <c r="DK120" s="7">
        <f t="shared" si="643"/>
        <v>0</v>
      </c>
      <c r="DL120" s="375">
        <f>+DF120+DH120+DJ120</f>
        <v>0</v>
      </c>
      <c r="DM120" s="7">
        <f t="shared" si="644"/>
        <v>0</v>
      </c>
      <c r="DN120" s="375">
        <f>+DH120+DJ120+DL120</f>
        <v>0</v>
      </c>
      <c r="DO120" s="7">
        <f t="shared" si="645"/>
        <v>0</v>
      </c>
      <c r="DP120" s="375">
        <f>+DJ120+DL120+DN120</f>
        <v>0</v>
      </c>
      <c r="DQ120" s="7">
        <f t="shared" si="646"/>
        <v>0</v>
      </c>
      <c r="DR120" s="375">
        <f t="shared" si="798"/>
        <v>0</v>
      </c>
      <c r="DS120" s="7">
        <f t="shared" si="731"/>
        <v>0</v>
      </c>
      <c r="DT120" s="375">
        <f t="shared" si="713"/>
        <v>0</v>
      </c>
      <c r="DU120" s="7">
        <f t="shared" si="454"/>
        <v>0</v>
      </c>
      <c r="DV120" s="375"/>
      <c r="DW120" s="7">
        <f t="shared" si="647"/>
        <v>0</v>
      </c>
      <c r="DX120" s="375"/>
      <c r="DY120" s="7">
        <f t="shared" si="648"/>
        <v>0</v>
      </c>
      <c r="DZ120" s="375"/>
      <c r="EA120" s="7">
        <f t="shared" si="649"/>
        <v>0</v>
      </c>
      <c r="EB120" s="375">
        <f t="shared" si="799"/>
        <v>0</v>
      </c>
      <c r="EC120" s="7">
        <f t="shared" si="427"/>
        <v>0</v>
      </c>
      <c r="ED120" s="375">
        <f t="shared" si="715"/>
        <v>0</v>
      </c>
      <c r="EE120" s="7">
        <f t="shared" si="455"/>
        <v>0</v>
      </c>
      <c r="EF120" s="375"/>
      <c r="EG120" s="7">
        <f t="shared" si="650"/>
        <v>0</v>
      </c>
      <c r="EH120" s="375"/>
      <c r="EI120" s="7">
        <f t="shared" si="651"/>
        <v>0</v>
      </c>
      <c r="EJ120" s="375"/>
      <c r="EK120" s="7">
        <f t="shared" si="652"/>
        <v>0</v>
      </c>
      <c r="EL120" s="375">
        <f t="shared" si="800"/>
        <v>0</v>
      </c>
      <c r="EM120" s="7">
        <f t="shared" si="428"/>
        <v>0</v>
      </c>
      <c r="EN120" s="375">
        <f t="shared" si="717"/>
        <v>0</v>
      </c>
      <c r="EO120" s="7">
        <f t="shared" si="456"/>
        <v>0</v>
      </c>
      <c r="EP120" s="373"/>
      <c r="EQ120" s="373"/>
      <c r="ER120" s="373"/>
      <c r="ES120" s="373"/>
      <c r="ET120" s="375"/>
      <c r="EU120" s="7">
        <f t="shared" si="653"/>
        <v>0</v>
      </c>
      <c r="EV120" s="375"/>
      <c r="EW120" s="7">
        <f t="shared" si="654"/>
        <v>0</v>
      </c>
      <c r="EX120" s="375"/>
      <c r="EY120" s="7">
        <f t="shared" si="655"/>
        <v>0</v>
      </c>
      <c r="EZ120" s="375">
        <f t="shared" si="801"/>
        <v>0</v>
      </c>
      <c r="FA120" s="7">
        <f t="shared" si="429"/>
        <v>0</v>
      </c>
      <c r="FB120" s="375"/>
      <c r="FC120" s="7">
        <f t="shared" si="656"/>
        <v>0</v>
      </c>
      <c r="FD120" s="375"/>
      <c r="FE120" s="7">
        <f t="shared" si="612"/>
        <v>0</v>
      </c>
      <c r="FF120" s="375"/>
      <c r="FG120" s="7">
        <f t="shared" si="430"/>
        <v>0</v>
      </c>
      <c r="FH120" s="375">
        <f t="shared" si="802"/>
        <v>0</v>
      </c>
      <c r="FI120" s="7">
        <f t="shared" si="431"/>
        <v>0</v>
      </c>
      <c r="FJ120" s="375">
        <f t="shared" si="803"/>
        <v>0</v>
      </c>
      <c r="FK120" s="7">
        <f t="shared" si="459"/>
        <v>0</v>
      </c>
      <c r="FL120" s="375"/>
      <c r="FM120" s="7">
        <f t="shared" si="658"/>
        <v>0</v>
      </c>
      <c r="FN120" s="375"/>
      <c r="FO120" s="7">
        <f t="shared" si="432"/>
        <v>0</v>
      </c>
      <c r="FP120" s="375"/>
      <c r="FQ120" s="7">
        <f t="shared" si="433"/>
        <v>0</v>
      </c>
      <c r="FR120" s="375">
        <f t="shared" si="804"/>
        <v>0</v>
      </c>
      <c r="FS120" s="7">
        <f t="shared" si="434"/>
        <v>0</v>
      </c>
      <c r="FT120" s="375">
        <f t="shared" si="805"/>
        <v>0</v>
      </c>
      <c r="FU120" s="7">
        <f t="shared" si="462"/>
        <v>0</v>
      </c>
      <c r="FV120" s="375"/>
      <c r="FW120" s="7">
        <f t="shared" si="660"/>
        <v>0</v>
      </c>
      <c r="FX120" s="375"/>
      <c r="FY120" s="7">
        <f t="shared" si="435"/>
        <v>0</v>
      </c>
      <c r="FZ120" s="375"/>
      <c r="GA120" s="7">
        <f t="shared" si="436"/>
        <v>0</v>
      </c>
      <c r="GB120" s="375">
        <f t="shared" si="806"/>
        <v>0</v>
      </c>
      <c r="GC120" s="7">
        <f t="shared" si="437"/>
        <v>0</v>
      </c>
      <c r="GD120" s="375">
        <f t="shared" si="807"/>
        <v>0</v>
      </c>
      <c r="GE120" s="7">
        <f t="shared" si="465"/>
        <v>0</v>
      </c>
      <c r="GF120" s="566">
        <f t="shared" si="808"/>
        <v>0</v>
      </c>
      <c r="GG120" s="525">
        <f t="shared" si="438"/>
        <v>0</v>
      </c>
      <c r="GH120" s="528">
        <f t="shared" si="726"/>
        <v>0</v>
      </c>
      <c r="GI120" s="525">
        <f t="shared" si="439"/>
        <v>0</v>
      </c>
      <c r="GJ120" s="528"/>
      <c r="GK120" s="525">
        <f t="shared" si="440"/>
        <v>0</v>
      </c>
      <c r="GL120" s="528">
        <f t="shared" si="727"/>
        <v>0</v>
      </c>
      <c r="GM120" s="565">
        <f t="shared" si="468"/>
        <v>0</v>
      </c>
      <c r="GO120" s="586"/>
      <c r="GQ120" s="586"/>
      <c r="GT120" s="551">
        <f t="shared" si="558"/>
        <v>0</v>
      </c>
      <c r="GU120" s="551">
        <f t="shared" si="471"/>
        <v>0</v>
      </c>
      <c r="GV120" s="550">
        <f t="shared" si="732"/>
        <v>0</v>
      </c>
      <c r="GW120" s="527"/>
      <c r="GX120" s="525">
        <f t="shared" si="664"/>
        <v>0</v>
      </c>
      <c r="GY120" s="528"/>
      <c r="GZ120" s="525">
        <f t="shared" si="665"/>
        <v>0</v>
      </c>
      <c r="HA120" s="528"/>
      <c r="HB120" s="526">
        <f t="shared" si="666"/>
        <v>0</v>
      </c>
      <c r="HD120" s="527"/>
      <c r="HE120" s="525">
        <v>0</v>
      </c>
      <c r="HF120" s="528"/>
      <c r="HG120" s="525">
        <v>0</v>
      </c>
      <c r="HH120" s="528"/>
      <c r="HI120" s="526">
        <v>0</v>
      </c>
    </row>
    <row r="121" spans="1:217" ht="15" customHeight="1" outlineLevel="1">
      <c r="A121" s="386" t="s">
        <v>101</v>
      </c>
      <c r="B121" s="386" t="s">
        <v>111</v>
      </c>
      <c r="C121" s="375">
        <v>0</v>
      </c>
      <c r="D121" s="4"/>
      <c r="E121" s="375">
        <v>0</v>
      </c>
      <c r="F121" s="4"/>
      <c r="G121" s="375"/>
      <c r="H121" s="375"/>
      <c r="I121" s="4"/>
      <c r="J121" s="375"/>
      <c r="K121" s="375"/>
      <c r="L121" s="4"/>
      <c r="M121" s="375"/>
      <c r="N121" s="375">
        <v>0</v>
      </c>
      <c r="O121" s="4"/>
      <c r="P121" s="375">
        <f t="shared" si="421"/>
        <v>0</v>
      </c>
      <c r="Q121" s="375">
        <f t="shared" si="421"/>
        <v>0</v>
      </c>
      <c r="R121" s="7">
        <f t="shared" si="442"/>
        <v>0</v>
      </c>
      <c r="S121" s="375"/>
      <c r="T121" s="375"/>
      <c r="U121" s="4"/>
      <c r="V121" s="375"/>
      <c r="W121" s="375"/>
      <c r="X121" s="4"/>
      <c r="Y121" s="375"/>
      <c r="Z121" s="375"/>
      <c r="AA121" s="4"/>
      <c r="AB121" s="375">
        <f t="shared" si="684"/>
        <v>0</v>
      </c>
      <c r="AC121" s="375">
        <f t="shared" si="533"/>
        <v>0</v>
      </c>
      <c r="AD121" s="7">
        <f t="shared" si="443"/>
        <v>0</v>
      </c>
      <c r="AE121" s="375">
        <f t="shared" si="685"/>
        <v>0</v>
      </c>
      <c r="AF121" s="375">
        <f t="shared" si="686"/>
        <v>0</v>
      </c>
      <c r="AG121" s="4"/>
      <c r="AH121" s="375"/>
      <c r="AI121" s="375"/>
      <c r="AJ121" s="4"/>
      <c r="AK121" s="375"/>
      <c r="AL121" s="375"/>
      <c r="AM121" s="4"/>
      <c r="AN121" s="375"/>
      <c r="AO121" s="375"/>
      <c r="AP121" s="4"/>
      <c r="AQ121" s="375">
        <f t="shared" si="781"/>
        <v>0</v>
      </c>
      <c r="AR121" s="375">
        <f t="shared" si="782"/>
        <v>0</v>
      </c>
      <c r="AS121" s="7">
        <f t="shared" si="444"/>
        <v>0</v>
      </c>
      <c r="AT121" s="375">
        <f t="shared" si="633"/>
        <v>0</v>
      </c>
      <c r="AU121" s="4"/>
      <c r="AV121" s="375"/>
      <c r="AW121" s="375"/>
      <c r="AX121" s="4"/>
      <c r="AY121" s="375"/>
      <c r="AZ121" s="375"/>
      <c r="BA121" s="4"/>
      <c r="BB121" s="375"/>
      <c r="BC121" s="375"/>
      <c r="BD121" s="448"/>
      <c r="BE121" s="375">
        <f t="shared" si="783"/>
        <v>0</v>
      </c>
      <c r="BF121" s="375">
        <f t="shared" si="784"/>
        <v>0</v>
      </c>
      <c r="BG121" s="7">
        <f t="shared" si="445"/>
        <v>0</v>
      </c>
      <c r="BH121" s="375">
        <f t="shared" si="691"/>
        <v>0</v>
      </c>
      <c r="BI121" s="388">
        <f t="shared" si="692"/>
        <v>0</v>
      </c>
      <c r="BJ121" s="7">
        <f t="shared" si="446"/>
        <v>0</v>
      </c>
      <c r="BK121" s="375">
        <v>0</v>
      </c>
      <c r="BL121" s="282"/>
      <c r="BM121" s="378"/>
      <c r="BN121" s="375"/>
      <c r="BO121" s="4"/>
      <c r="BP121" s="375"/>
      <c r="BQ121" s="4"/>
      <c r="BR121" s="375"/>
      <c r="BS121" s="4"/>
      <c r="BT121" s="375">
        <f t="shared" si="785"/>
        <v>0</v>
      </c>
      <c r="BU121" s="7">
        <f t="shared" si="447"/>
        <v>0</v>
      </c>
      <c r="BV121" s="375"/>
      <c r="BW121" s="7"/>
      <c r="BX121" s="375"/>
      <c r="BY121" s="7"/>
      <c r="BZ121" s="375">
        <f>+BT121+BV121+BX121</f>
        <v>0</v>
      </c>
      <c r="CA121" s="7"/>
      <c r="CB121" s="375">
        <f t="shared" si="786"/>
        <v>0</v>
      </c>
      <c r="CC121" s="7">
        <f t="shared" si="534"/>
        <v>0</v>
      </c>
      <c r="CD121" s="375">
        <f t="shared" si="787"/>
        <v>0</v>
      </c>
      <c r="CE121" s="7">
        <f t="shared" si="448"/>
        <v>0</v>
      </c>
      <c r="CF121" s="375">
        <f>+BZ121+CB121+CD121</f>
        <v>0</v>
      </c>
      <c r="CG121" s="7">
        <f t="shared" si="449"/>
        <v>0</v>
      </c>
      <c r="CH121" s="375">
        <f>+CB121+CD121+CF121</f>
        <v>0</v>
      </c>
      <c r="CI121" s="7">
        <f t="shared" si="449"/>
        <v>0</v>
      </c>
      <c r="CJ121" s="375">
        <f>+CD121+CF121+CH121</f>
        <v>0</v>
      </c>
      <c r="CK121" s="7">
        <f t="shared" si="449"/>
        <v>0</v>
      </c>
      <c r="CL121" s="375">
        <f t="shared" si="700"/>
        <v>0</v>
      </c>
      <c r="CM121" s="7">
        <f t="shared" si="449"/>
        <v>0</v>
      </c>
      <c r="CN121" s="375">
        <f t="shared" si="701"/>
        <v>0</v>
      </c>
      <c r="CO121" s="7">
        <f t="shared" si="639"/>
        <v>0</v>
      </c>
      <c r="CP121" s="375">
        <v>0</v>
      </c>
      <c r="CQ121" s="7">
        <f t="shared" si="728"/>
        <v>0</v>
      </c>
      <c r="CR121" s="375">
        <f t="shared" si="702"/>
        <v>0</v>
      </c>
      <c r="CS121" s="7">
        <f t="shared" si="641"/>
        <v>0</v>
      </c>
      <c r="CT121" s="375">
        <v>0</v>
      </c>
      <c r="CU121" s="7">
        <f t="shared" si="611"/>
        <v>0</v>
      </c>
      <c r="CV121" s="375">
        <v>0</v>
      </c>
      <c r="CW121" s="7">
        <f t="shared" si="452"/>
        <v>0</v>
      </c>
      <c r="CX121" s="375">
        <f t="shared" si="703"/>
        <v>0</v>
      </c>
      <c r="CY121" s="7">
        <f t="shared" si="729"/>
        <v>0</v>
      </c>
      <c r="CZ121" s="375">
        <f t="shared" si="704"/>
        <v>0</v>
      </c>
      <c r="DA121" s="7">
        <f t="shared" si="453"/>
        <v>0</v>
      </c>
      <c r="DB121" s="375">
        <f>+CV121+CX121+CZ121</f>
        <v>0</v>
      </c>
      <c r="DC121" s="7">
        <f t="shared" si="642"/>
        <v>0</v>
      </c>
      <c r="DD121" s="375">
        <f>+CX121+CZ121+DB121</f>
        <v>0</v>
      </c>
      <c r="DE121" s="7">
        <f t="shared" si="642"/>
        <v>0</v>
      </c>
      <c r="DF121" s="375">
        <f>+CZ121+DB121+DD121</f>
        <v>0</v>
      </c>
      <c r="DG121" s="7">
        <f t="shared" si="642"/>
        <v>0</v>
      </c>
      <c r="DH121" s="375">
        <f t="shared" si="794"/>
        <v>0</v>
      </c>
      <c r="DI121" s="7">
        <f t="shared" si="730"/>
        <v>0</v>
      </c>
      <c r="DJ121" s="375"/>
      <c r="DK121" s="7">
        <f t="shared" si="643"/>
        <v>0</v>
      </c>
      <c r="DL121" s="375">
        <f>+DF121+DH121+DJ121</f>
        <v>0</v>
      </c>
      <c r="DM121" s="7">
        <f t="shared" si="644"/>
        <v>0</v>
      </c>
      <c r="DN121" s="375">
        <f>+DH121+DJ121+DL121</f>
        <v>0</v>
      </c>
      <c r="DO121" s="7">
        <f t="shared" si="645"/>
        <v>0</v>
      </c>
      <c r="DP121" s="375">
        <f>+DJ121+DL121+DN121</f>
        <v>0</v>
      </c>
      <c r="DQ121" s="7">
        <f t="shared" si="646"/>
        <v>0</v>
      </c>
      <c r="DR121" s="375">
        <f t="shared" si="798"/>
        <v>0</v>
      </c>
      <c r="DS121" s="7">
        <f t="shared" si="731"/>
        <v>0</v>
      </c>
      <c r="DT121" s="375">
        <f t="shared" si="713"/>
        <v>0</v>
      </c>
      <c r="DU121" s="7">
        <f t="shared" si="454"/>
        <v>0</v>
      </c>
      <c r="DV121" s="375"/>
      <c r="DW121" s="7">
        <f t="shared" si="647"/>
        <v>0</v>
      </c>
      <c r="DX121" s="375"/>
      <c r="DY121" s="7">
        <f t="shared" si="648"/>
        <v>0</v>
      </c>
      <c r="DZ121" s="375"/>
      <c r="EA121" s="7">
        <f t="shared" si="649"/>
        <v>0</v>
      </c>
      <c r="EB121" s="375">
        <f t="shared" si="799"/>
        <v>0</v>
      </c>
      <c r="EC121" s="7">
        <f t="shared" si="427"/>
        <v>0</v>
      </c>
      <c r="ED121" s="375">
        <f t="shared" si="715"/>
        <v>0</v>
      </c>
      <c r="EE121" s="7">
        <f t="shared" si="455"/>
        <v>0</v>
      </c>
      <c r="EF121" s="375"/>
      <c r="EG121" s="7">
        <f t="shared" si="650"/>
        <v>0</v>
      </c>
      <c r="EH121" s="375"/>
      <c r="EI121" s="7">
        <f t="shared" si="651"/>
        <v>0</v>
      </c>
      <c r="EJ121" s="375"/>
      <c r="EK121" s="7">
        <f t="shared" si="652"/>
        <v>0</v>
      </c>
      <c r="EL121" s="375">
        <f t="shared" si="800"/>
        <v>0</v>
      </c>
      <c r="EM121" s="7">
        <f t="shared" si="428"/>
        <v>0</v>
      </c>
      <c r="EN121" s="375">
        <f t="shared" si="717"/>
        <v>0</v>
      </c>
      <c r="EO121" s="7">
        <f t="shared" si="456"/>
        <v>0</v>
      </c>
      <c r="EP121" s="373"/>
      <c r="EQ121" s="373"/>
      <c r="ER121" s="373"/>
      <c r="ES121" s="373"/>
      <c r="ET121" s="375"/>
      <c r="EU121" s="7">
        <f t="shared" si="653"/>
        <v>0</v>
      </c>
      <c r="EV121" s="375"/>
      <c r="EW121" s="7">
        <f t="shared" si="654"/>
        <v>0</v>
      </c>
      <c r="EX121" s="375"/>
      <c r="EY121" s="7">
        <f t="shared" si="655"/>
        <v>0</v>
      </c>
      <c r="EZ121" s="375">
        <f t="shared" si="801"/>
        <v>0</v>
      </c>
      <c r="FA121" s="7">
        <f t="shared" si="429"/>
        <v>0</v>
      </c>
      <c r="FB121" s="375"/>
      <c r="FC121" s="7">
        <f t="shared" si="656"/>
        <v>0</v>
      </c>
      <c r="FD121" s="375"/>
      <c r="FE121" s="7">
        <f t="shared" si="612"/>
        <v>0</v>
      </c>
      <c r="FF121" s="375"/>
      <c r="FG121" s="7">
        <f t="shared" si="430"/>
        <v>0</v>
      </c>
      <c r="FH121" s="375">
        <f t="shared" si="802"/>
        <v>0</v>
      </c>
      <c r="FI121" s="7">
        <f t="shared" si="431"/>
        <v>0</v>
      </c>
      <c r="FJ121" s="375">
        <f t="shared" si="803"/>
        <v>0</v>
      </c>
      <c r="FK121" s="7">
        <f t="shared" si="459"/>
        <v>0</v>
      </c>
      <c r="FL121" s="375"/>
      <c r="FM121" s="7">
        <f t="shared" si="658"/>
        <v>0</v>
      </c>
      <c r="FN121" s="375"/>
      <c r="FO121" s="7">
        <f t="shared" si="432"/>
        <v>0</v>
      </c>
      <c r="FP121" s="375"/>
      <c r="FQ121" s="7">
        <f t="shared" si="433"/>
        <v>0</v>
      </c>
      <c r="FR121" s="375">
        <f t="shared" si="804"/>
        <v>0</v>
      </c>
      <c r="FS121" s="7">
        <f t="shared" si="434"/>
        <v>0</v>
      </c>
      <c r="FT121" s="375">
        <f t="shared" si="805"/>
        <v>0</v>
      </c>
      <c r="FU121" s="7">
        <f t="shared" si="462"/>
        <v>0</v>
      </c>
      <c r="FV121" s="375"/>
      <c r="FW121" s="7">
        <f t="shared" si="660"/>
        <v>0</v>
      </c>
      <c r="FX121" s="375"/>
      <c r="FY121" s="7">
        <f t="shared" si="435"/>
        <v>0</v>
      </c>
      <c r="FZ121" s="375"/>
      <c r="GA121" s="7">
        <f t="shared" si="436"/>
        <v>0</v>
      </c>
      <c r="GB121" s="375">
        <f t="shared" si="806"/>
        <v>0</v>
      </c>
      <c r="GC121" s="7">
        <f t="shared" si="437"/>
        <v>0</v>
      </c>
      <c r="GD121" s="375">
        <f t="shared" si="807"/>
        <v>0</v>
      </c>
      <c r="GE121" s="7">
        <f t="shared" si="465"/>
        <v>0</v>
      </c>
      <c r="GF121" s="566">
        <f t="shared" si="808"/>
        <v>0</v>
      </c>
      <c r="GG121" s="525">
        <f t="shared" si="438"/>
        <v>0</v>
      </c>
      <c r="GH121" s="528">
        <f t="shared" si="726"/>
        <v>0</v>
      </c>
      <c r="GI121" s="525">
        <f t="shared" si="439"/>
        <v>0</v>
      </c>
      <c r="GJ121" s="528"/>
      <c r="GK121" s="525">
        <f t="shared" si="440"/>
        <v>0</v>
      </c>
      <c r="GL121" s="528">
        <f t="shared" si="727"/>
        <v>0</v>
      </c>
      <c r="GM121" s="565">
        <f t="shared" si="468"/>
        <v>0</v>
      </c>
      <c r="GO121" s="586"/>
      <c r="GQ121" s="586"/>
      <c r="GT121" s="551">
        <f t="shared" si="558"/>
        <v>0</v>
      </c>
      <c r="GU121" s="551">
        <f t="shared" si="471"/>
        <v>0</v>
      </c>
      <c r="GV121" s="550">
        <f t="shared" si="732"/>
        <v>0</v>
      </c>
      <c r="GW121" s="527"/>
      <c r="GX121" s="525">
        <f t="shared" si="664"/>
        <v>0</v>
      </c>
      <c r="GY121" s="528"/>
      <c r="GZ121" s="525">
        <f t="shared" si="665"/>
        <v>0</v>
      </c>
      <c r="HA121" s="528"/>
      <c r="HB121" s="526">
        <f t="shared" si="666"/>
        <v>0</v>
      </c>
      <c r="HD121" s="527"/>
      <c r="HE121" s="525">
        <v>0</v>
      </c>
      <c r="HF121" s="528"/>
      <c r="HG121" s="525">
        <v>0</v>
      </c>
      <c r="HH121" s="528"/>
      <c r="HI121" s="526">
        <v>0</v>
      </c>
    </row>
    <row r="122" spans="1:217" ht="15" customHeight="1" outlineLevel="1">
      <c r="A122" s="386" t="s">
        <v>101</v>
      </c>
      <c r="B122" s="386" t="s">
        <v>30</v>
      </c>
      <c r="C122" s="375">
        <v>0</v>
      </c>
      <c r="D122" s="4"/>
      <c r="E122" s="375">
        <v>0</v>
      </c>
      <c r="F122" s="4"/>
      <c r="G122" s="375"/>
      <c r="H122" s="375"/>
      <c r="I122" s="4"/>
      <c r="J122" s="375"/>
      <c r="K122" s="375"/>
      <c r="L122" s="4"/>
      <c r="M122" s="375"/>
      <c r="N122" s="375">
        <v>0</v>
      </c>
      <c r="O122" s="4"/>
      <c r="P122" s="375">
        <f t="shared" si="421"/>
        <v>0</v>
      </c>
      <c r="Q122" s="375">
        <f t="shared" si="421"/>
        <v>0</v>
      </c>
      <c r="R122" s="7">
        <f t="shared" si="442"/>
        <v>0</v>
      </c>
      <c r="S122" s="375"/>
      <c r="T122" s="375"/>
      <c r="U122" s="4"/>
      <c r="V122" s="375"/>
      <c r="W122" s="375"/>
      <c r="X122" s="4"/>
      <c r="Y122" s="375"/>
      <c r="Z122" s="375"/>
      <c r="AA122" s="4"/>
      <c r="AB122" s="375">
        <f t="shared" si="684"/>
        <v>0</v>
      </c>
      <c r="AC122" s="375">
        <f t="shared" si="533"/>
        <v>0</v>
      </c>
      <c r="AD122" s="7">
        <f t="shared" si="443"/>
        <v>0</v>
      </c>
      <c r="AE122" s="375">
        <f t="shared" si="685"/>
        <v>0</v>
      </c>
      <c r="AF122" s="375">
        <f>+AC122+Q122</f>
        <v>0</v>
      </c>
      <c r="AG122" s="4"/>
      <c r="AH122" s="375"/>
      <c r="AI122" s="375"/>
      <c r="AJ122" s="4"/>
      <c r="AK122" s="375">
        <v>-3920080.01</v>
      </c>
      <c r="AL122" s="375">
        <v>-3920080.01</v>
      </c>
      <c r="AM122" s="4"/>
      <c r="AN122" s="375">
        <v>-478078</v>
      </c>
      <c r="AO122" s="375">
        <v>-478078</v>
      </c>
      <c r="AP122" s="4"/>
      <c r="AQ122" s="375">
        <f t="shared" si="781"/>
        <v>-4398158.01</v>
      </c>
      <c r="AR122" s="375">
        <f t="shared" si="782"/>
        <v>-4398158.01</v>
      </c>
      <c r="AS122" s="7">
        <f t="shared" si="444"/>
        <v>-0.16520366305535356</v>
      </c>
      <c r="AT122" s="375">
        <f t="shared" si="633"/>
        <v>-4398158.01</v>
      </c>
      <c r="AU122" s="4"/>
      <c r="AV122" s="375"/>
      <c r="AW122" s="375"/>
      <c r="AX122" s="4"/>
      <c r="AY122" s="375"/>
      <c r="AZ122" s="375"/>
      <c r="BA122" s="4"/>
      <c r="BB122" s="375"/>
      <c r="BC122" s="375">
        <v>2513538</v>
      </c>
      <c r="BD122" s="448"/>
      <c r="BE122" s="375">
        <f t="shared" si="783"/>
        <v>0</v>
      </c>
      <c r="BF122" s="375">
        <f t="shared" si="784"/>
        <v>2513538</v>
      </c>
      <c r="BG122" s="7">
        <f t="shared" si="445"/>
        <v>8.004982868059006E-2</v>
      </c>
      <c r="BH122" s="375">
        <f t="shared" si="691"/>
        <v>-4398158.01</v>
      </c>
      <c r="BI122" s="388">
        <f t="shared" si="692"/>
        <v>-1884620.0099999998</v>
      </c>
      <c r="BJ122" s="7">
        <f t="shared" si="446"/>
        <v>-1.433413935274004E-2</v>
      </c>
      <c r="BK122" s="375">
        <v>0</v>
      </c>
      <c r="BL122" s="282"/>
      <c r="BM122" s="378"/>
      <c r="BN122" s="375">
        <v>-130000</v>
      </c>
      <c r="BO122" s="4"/>
      <c r="BP122" s="375">
        <v>-130000</v>
      </c>
      <c r="BQ122" s="4"/>
      <c r="BR122" s="375">
        <v>-80644.160000000003</v>
      </c>
      <c r="BS122" s="4"/>
      <c r="BT122" s="375">
        <f t="shared" si="785"/>
        <v>-340644.16000000003</v>
      </c>
      <c r="BU122" s="7">
        <f t="shared" si="447"/>
        <v>-6.283150586789861E-3</v>
      </c>
      <c r="BV122" s="375">
        <v>-756495.01</v>
      </c>
      <c r="BW122" s="7"/>
      <c r="BX122" s="375">
        <v>-248651.04</v>
      </c>
      <c r="BY122" s="7"/>
      <c r="BZ122" s="375">
        <v>-204209.79</v>
      </c>
      <c r="CA122" s="7"/>
      <c r="CB122" s="375">
        <f t="shared" si="786"/>
        <v>-1209355.8400000001</v>
      </c>
      <c r="CC122" s="7">
        <f t="shared" si="534"/>
        <v>-3.5316909365640851E-2</v>
      </c>
      <c r="CD122" s="375">
        <f t="shared" si="787"/>
        <v>-1550000</v>
      </c>
      <c r="CE122" s="7">
        <f t="shared" si="448"/>
        <v>-1.7522346788660909E-2</v>
      </c>
      <c r="CF122" s="375">
        <v>-290000</v>
      </c>
      <c r="CG122" s="7">
        <f t="shared" si="449"/>
        <v>-5.7415574901260549E-2</v>
      </c>
      <c r="CH122" s="375">
        <v>-290000</v>
      </c>
      <c r="CI122" s="7">
        <f t="shared" si="449"/>
        <v>-7.8208834519030053E-3</v>
      </c>
      <c r="CJ122" s="375">
        <v>-290000</v>
      </c>
      <c r="CK122" s="7">
        <f t="shared" si="449"/>
        <v>-1.0297459246734451E-2</v>
      </c>
      <c r="CL122" s="375">
        <f t="shared" si="700"/>
        <v>-870000</v>
      </c>
      <c r="CM122" s="7">
        <f t="shared" si="449"/>
        <v>-1.2376696989089655E-2</v>
      </c>
      <c r="CN122" s="375">
        <f t="shared" si="701"/>
        <v>-2420000</v>
      </c>
      <c r="CO122" s="7">
        <f t="shared" si="639"/>
        <v>-1.5243915724829794E-2</v>
      </c>
      <c r="CP122" s="375">
        <v>-350000</v>
      </c>
      <c r="CQ122" s="7">
        <f t="shared" si="728"/>
        <v>-1.7866171463083971E-2</v>
      </c>
      <c r="CR122" s="375">
        <f t="shared" si="702"/>
        <v>-2770000</v>
      </c>
      <c r="CS122" s="7">
        <f t="shared" si="641"/>
        <v>-1.5531959214341211E-2</v>
      </c>
      <c r="CT122" s="375">
        <v>-290000</v>
      </c>
      <c r="CU122" s="7">
        <f t="shared" si="611"/>
        <v>-1.8513066893193746E-2</v>
      </c>
      <c r="CV122" s="375">
        <v>-420000</v>
      </c>
      <c r="CW122" s="7">
        <f t="shared" si="452"/>
        <v>-6.7123786761107548E-3</v>
      </c>
      <c r="CX122" s="375">
        <f>+CV122+CT122+CP122</f>
        <v>-1060000</v>
      </c>
      <c r="CY122" s="7">
        <f t="shared" si="729"/>
        <v>-1.0835601738190436E-2</v>
      </c>
      <c r="CZ122" s="375">
        <f>+CD122+CL122+CX122</f>
        <v>-3480000</v>
      </c>
      <c r="DA122" s="7">
        <f t="shared" si="453"/>
        <v>-1.3563151760096839E-2</v>
      </c>
      <c r="DB122" s="375">
        <v>-290000</v>
      </c>
      <c r="DC122" s="7">
        <f t="shared" si="642"/>
        <v>-1.5107071260769338E-2</v>
      </c>
      <c r="DD122" s="375">
        <v>-290000</v>
      </c>
      <c r="DE122" s="7">
        <f t="shared" si="642"/>
        <v>-1.1167930550802075E-2</v>
      </c>
      <c r="DF122" s="375">
        <v>-290000</v>
      </c>
      <c r="DG122" s="7">
        <f t="shared" si="642"/>
        <v>-9.348747581442331E-3</v>
      </c>
      <c r="DH122" s="375">
        <f t="shared" si="794"/>
        <v>-870000</v>
      </c>
      <c r="DI122" s="7">
        <f t="shared" si="730"/>
        <v>-1.1419763164599772E-2</v>
      </c>
      <c r="DJ122" s="375">
        <v>-1375000</v>
      </c>
      <c r="DK122" s="7">
        <f t="shared" si="643"/>
        <v>-2.6143622344111363E-2</v>
      </c>
      <c r="DL122" s="375">
        <v>-290000</v>
      </c>
      <c r="DM122" s="7">
        <f t="shared" si="644"/>
        <v>-3.3433314738761259E-2</v>
      </c>
      <c r="DN122" s="375">
        <v>-290000</v>
      </c>
      <c r="DO122" s="7">
        <f t="shared" si="645"/>
        <v>-1.6899116598912883E-2</v>
      </c>
      <c r="DP122" s="375">
        <v>-290000</v>
      </c>
      <c r="DQ122" s="7">
        <f t="shared" si="646"/>
        <v>-3.4562691222416973E-3</v>
      </c>
      <c r="DR122" s="375">
        <f t="shared" si="798"/>
        <v>-870000</v>
      </c>
      <c r="DS122" s="7">
        <f t="shared" si="731"/>
        <v>-7.9278188344418937E-3</v>
      </c>
      <c r="DT122" s="375">
        <f t="shared" si="713"/>
        <v>-1740000</v>
      </c>
      <c r="DU122" s="7">
        <f t="shared" si="454"/>
        <v>-9.3586695749023514E-3</v>
      </c>
      <c r="DV122" s="375">
        <v>-290000</v>
      </c>
      <c r="DW122" s="7">
        <f t="shared" si="647"/>
        <v>-6.3712035407454863E-3</v>
      </c>
      <c r="DX122" s="375">
        <f>+DP122</f>
        <v>-290000</v>
      </c>
      <c r="DY122" s="7">
        <f t="shared" si="648"/>
        <v>-1.1217499717934036E-2</v>
      </c>
      <c r="DZ122" s="375">
        <v>-290000</v>
      </c>
      <c r="EA122" s="7">
        <f t="shared" si="649"/>
        <v>-2.3703773557362091E-3</v>
      </c>
      <c r="EB122" s="375">
        <f t="shared" si="799"/>
        <v>-870000</v>
      </c>
      <c r="EC122" s="7">
        <f t="shared" si="427"/>
        <v>-4.4911766469038139E-3</v>
      </c>
      <c r="ED122" s="375">
        <f t="shared" si="715"/>
        <v>-2610000</v>
      </c>
      <c r="EE122" s="7">
        <f t="shared" si="455"/>
        <v>-6.8749881413533685E-3</v>
      </c>
      <c r="EF122" s="375">
        <f>+DZ122</f>
        <v>-290000</v>
      </c>
      <c r="EG122" s="7">
        <f t="shared" si="650"/>
        <v>-1.9625513636574301E-2</v>
      </c>
      <c r="EH122" s="375">
        <v>-290000</v>
      </c>
      <c r="EI122" s="7">
        <f t="shared" si="651"/>
        <v>-2.2747494090752073E-2</v>
      </c>
      <c r="EJ122" s="375">
        <f>+EH122</f>
        <v>-290000</v>
      </c>
      <c r="EK122" s="7">
        <f t="shared" si="652"/>
        <v>-1.8570335611764717E-3</v>
      </c>
      <c r="EL122" s="375">
        <f t="shared" si="800"/>
        <v>-870000</v>
      </c>
      <c r="EM122" s="7">
        <f t="shared" si="428"/>
        <v>-4.7362822541797351E-3</v>
      </c>
      <c r="EN122" s="375">
        <f t="shared" si="717"/>
        <v>-3480000</v>
      </c>
      <c r="EO122" s="7">
        <f t="shared" si="456"/>
        <v>-6.177601841413847E-3</v>
      </c>
      <c r="EP122" s="373"/>
      <c r="EQ122" s="373"/>
      <c r="ER122" s="373"/>
      <c r="ES122" s="373"/>
      <c r="ET122" s="375"/>
      <c r="EU122" s="7">
        <f t="shared" si="653"/>
        <v>0</v>
      </c>
      <c r="EV122" s="375"/>
      <c r="EW122" s="7">
        <f t="shared" si="654"/>
        <v>0</v>
      </c>
      <c r="EX122" s="375"/>
      <c r="EY122" s="7">
        <f t="shared" si="655"/>
        <v>0</v>
      </c>
      <c r="EZ122" s="375">
        <f t="shared" si="801"/>
        <v>0</v>
      </c>
      <c r="FA122" s="7">
        <f t="shared" si="429"/>
        <v>0</v>
      </c>
      <c r="FB122" s="375"/>
      <c r="FC122" s="7">
        <f t="shared" si="656"/>
        <v>0</v>
      </c>
      <c r="FD122" s="375"/>
      <c r="FE122" s="7">
        <f t="shared" si="612"/>
        <v>0</v>
      </c>
      <c r="FF122" s="375"/>
      <c r="FG122" s="7">
        <f t="shared" si="430"/>
        <v>0</v>
      </c>
      <c r="FH122" s="375">
        <f t="shared" si="802"/>
        <v>0</v>
      </c>
      <c r="FI122" s="7">
        <f t="shared" si="431"/>
        <v>0</v>
      </c>
      <c r="FJ122" s="375">
        <f t="shared" si="803"/>
        <v>0</v>
      </c>
      <c r="FK122" s="7">
        <f t="shared" si="459"/>
        <v>0</v>
      </c>
      <c r="FL122" s="375"/>
      <c r="FM122" s="7">
        <f t="shared" si="658"/>
        <v>0</v>
      </c>
      <c r="FN122" s="375"/>
      <c r="FO122" s="7">
        <f t="shared" si="432"/>
        <v>0</v>
      </c>
      <c r="FP122" s="375"/>
      <c r="FQ122" s="7">
        <f t="shared" si="433"/>
        <v>0</v>
      </c>
      <c r="FR122" s="375">
        <f t="shared" si="804"/>
        <v>0</v>
      </c>
      <c r="FS122" s="7">
        <f t="shared" si="434"/>
        <v>0</v>
      </c>
      <c r="FT122" s="375">
        <f t="shared" si="805"/>
        <v>0</v>
      </c>
      <c r="FU122" s="7">
        <f t="shared" si="462"/>
        <v>0</v>
      </c>
      <c r="FV122" s="375"/>
      <c r="FW122" s="7">
        <f t="shared" si="660"/>
        <v>0</v>
      </c>
      <c r="FX122" s="375"/>
      <c r="FY122" s="7">
        <f t="shared" si="435"/>
        <v>0</v>
      </c>
      <c r="FZ122" s="375"/>
      <c r="GA122" s="7">
        <f t="shared" si="436"/>
        <v>0</v>
      </c>
      <c r="GB122" s="375">
        <f t="shared" si="806"/>
        <v>0</v>
      </c>
      <c r="GC122" s="7">
        <f t="shared" si="437"/>
        <v>0</v>
      </c>
      <c r="GD122" s="375">
        <f t="shared" si="807"/>
        <v>0</v>
      </c>
      <c r="GE122" s="7">
        <f t="shared" si="465"/>
        <v>0</v>
      </c>
      <c r="GF122" s="566">
        <f t="shared" si="808"/>
        <v>0</v>
      </c>
      <c r="GG122" s="525">
        <f t="shared" si="438"/>
        <v>0</v>
      </c>
      <c r="GH122" s="528">
        <f t="shared" si="726"/>
        <v>0</v>
      </c>
      <c r="GI122" s="525">
        <f t="shared" si="439"/>
        <v>0</v>
      </c>
      <c r="GJ122" s="528"/>
      <c r="GK122" s="525">
        <f t="shared" si="440"/>
        <v>0</v>
      </c>
      <c r="GL122" s="528">
        <f t="shared" si="727"/>
        <v>0</v>
      </c>
      <c r="GM122" s="565">
        <f t="shared" si="468"/>
        <v>0</v>
      </c>
      <c r="GO122" s="586"/>
      <c r="GQ122" s="586"/>
      <c r="GT122" s="551">
        <f t="shared" si="558"/>
        <v>0</v>
      </c>
      <c r="GU122" s="551">
        <f t="shared" si="471"/>
        <v>0</v>
      </c>
      <c r="GV122" s="550">
        <f t="shared" si="732"/>
        <v>0</v>
      </c>
      <c r="GW122" s="527"/>
      <c r="GX122" s="525">
        <f t="shared" si="664"/>
        <v>0</v>
      </c>
      <c r="GY122" s="528"/>
      <c r="GZ122" s="525">
        <f t="shared" si="665"/>
        <v>0</v>
      </c>
      <c r="HA122" s="528"/>
      <c r="HB122" s="526">
        <f t="shared" si="666"/>
        <v>0</v>
      </c>
      <c r="HD122" s="527"/>
      <c r="HE122" s="525">
        <v>0</v>
      </c>
      <c r="HF122" s="528"/>
      <c r="HG122" s="525">
        <v>0</v>
      </c>
      <c r="HH122" s="528"/>
      <c r="HI122" s="526">
        <v>0</v>
      </c>
    </row>
    <row r="123" spans="1:217" ht="15" customHeight="1" outlineLevel="1">
      <c r="A123" s="386" t="s">
        <v>101</v>
      </c>
      <c r="B123" s="386" t="s">
        <v>112</v>
      </c>
      <c r="C123" s="375">
        <v>-1113004.5</v>
      </c>
      <c r="D123" s="4"/>
      <c r="E123" s="375">
        <v>899229</v>
      </c>
      <c r="F123" s="4"/>
      <c r="G123" s="375">
        <v>-312046.51999999996</v>
      </c>
      <c r="H123" s="375">
        <v>-33196.31</v>
      </c>
      <c r="I123" s="4"/>
      <c r="J123" s="375">
        <v>-312046.51999999996</v>
      </c>
      <c r="K123" s="375">
        <v>-27866.22</v>
      </c>
      <c r="L123" s="4"/>
      <c r="M123" s="388">
        <v>-312046.51999999996</v>
      </c>
      <c r="N123" s="388">
        <v>64946.74</v>
      </c>
      <c r="O123" s="4"/>
      <c r="P123" s="388">
        <f t="shared" si="421"/>
        <v>-936139.55999999982</v>
      </c>
      <c r="Q123" s="388">
        <f t="shared" si="421"/>
        <v>3884.2099999999991</v>
      </c>
      <c r="R123" s="7">
        <f t="shared" si="442"/>
        <v>1.0680273113705504E-4</v>
      </c>
      <c r="S123" s="375">
        <v>-104208.89</v>
      </c>
      <c r="T123" s="375">
        <v>-104208.89</v>
      </c>
      <c r="U123" s="4"/>
      <c r="V123" s="375">
        <v>-48907.13</v>
      </c>
      <c r="W123" s="375">
        <v>-48907.13</v>
      </c>
      <c r="X123" s="4"/>
      <c r="Y123" s="375">
        <v>89908.19</v>
      </c>
      <c r="Z123" s="375">
        <v>89908.19</v>
      </c>
      <c r="AA123" s="4"/>
      <c r="AB123" s="375">
        <f t="shared" si="684"/>
        <v>-63207.829999999987</v>
      </c>
      <c r="AC123" s="375">
        <f t="shared" si="533"/>
        <v>-63207.829999999987</v>
      </c>
      <c r="AD123" s="7">
        <f t="shared" si="443"/>
        <v>-1.7042968356220875E-3</v>
      </c>
      <c r="AE123" s="375">
        <f t="shared" si="685"/>
        <v>-59323.619999999988</v>
      </c>
      <c r="AF123" s="375">
        <f>+AC123+Q123</f>
        <v>-59323.619999999988</v>
      </c>
      <c r="AG123" s="4"/>
      <c r="AH123" s="375">
        <v>-167478.15</v>
      </c>
      <c r="AI123" s="375">
        <v>-167478.15</v>
      </c>
      <c r="AJ123" s="4"/>
      <c r="AK123" s="375">
        <v>-206922.18</v>
      </c>
      <c r="AL123" s="375">
        <v>-206922.18</v>
      </c>
      <c r="AM123" s="4"/>
      <c r="AN123" s="381">
        <v>-95523.650000000023</v>
      </c>
      <c r="AO123" s="381">
        <v>-95523.650000000023</v>
      </c>
      <c r="AP123" s="4"/>
      <c r="AQ123" s="375">
        <f t="shared" si="781"/>
        <v>-469923.98</v>
      </c>
      <c r="AR123" s="375">
        <f t="shared" si="782"/>
        <v>-469923.98</v>
      </c>
      <c r="AS123" s="7">
        <f t="shared" si="444"/>
        <v>-1.7651290080310394E-2</v>
      </c>
      <c r="AT123" s="375">
        <f>+AF123+AR123</f>
        <v>-529247.6</v>
      </c>
      <c r="AU123" s="4"/>
      <c r="AV123" s="375">
        <v>-574555.48</v>
      </c>
      <c r="AW123" s="381">
        <v>-342135.62</v>
      </c>
      <c r="AX123" s="4"/>
      <c r="AY123" s="375">
        <v>-574555.48</v>
      </c>
      <c r="AZ123" s="381">
        <v>-283254.96000000002</v>
      </c>
      <c r="BA123" s="4"/>
      <c r="BB123" s="375">
        <v>-138051.39000000001</v>
      </c>
      <c r="BC123" s="375">
        <f>-825587.33</f>
        <v>-825587.33</v>
      </c>
      <c r="BD123" s="448"/>
      <c r="BE123" s="375">
        <f t="shared" si="783"/>
        <v>-1287162.3500000001</v>
      </c>
      <c r="BF123" s="375">
        <f t="shared" si="784"/>
        <v>-1450977.9100000001</v>
      </c>
      <c r="BG123" s="7">
        <f t="shared" si="445"/>
        <v>-4.6209976978593768E-2</v>
      </c>
      <c r="BH123" s="375">
        <f t="shared" si="691"/>
        <v>-1816409.9500000002</v>
      </c>
      <c r="BI123" s="388">
        <f t="shared" si="692"/>
        <v>-1980225.5100000002</v>
      </c>
      <c r="BJ123" s="7">
        <f t="shared" si="446"/>
        <v>-1.5061300559039868E-2</v>
      </c>
      <c r="BK123" s="388">
        <f>-5000000-1218458-50000</f>
        <v>-6268458</v>
      </c>
      <c r="BL123" s="282"/>
      <c r="BM123" s="378"/>
      <c r="BN123" s="375">
        <v>-32106.04</v>
      </c>
      <c r="BO123" s="4"/>
      <c r="BP123" s="375">
        <v>-31560.54</v>
      </c>
      <c r="BQ123" s="4"/>
      <c r="BR123" s="375"/>
      <c r="BS123" s="4"/>
      <c r="BT123" s="375">
        <f t="shared" si="785"/>
        <v>-63666.58</v>
      </c>
      <c r="BU123" s="7">
        <f t="shared" si="447"/>
        <v>-1.1743242845728035E-3</v>
      </c>
      <c r="BV123" s="375"/>
      <c r="BW123" s="7"/>
      <c r="BX123" s="375">
        <v>-20243.529999999901</v>
      </c>
      <c r="BY123" s="7"/>
      <c r="BZ123" s="375"/>
      <c r="CA123" s="7"/>
      <c r="CB123" s="375">
        <f t="shared" si="786"/>
        <v>-20243.529999999901</v>
      </c>
      <c r="CC123" s="7">
        <f t="shared" si="534"/>
        <v>-5.9117332600025149E-4</v>
      </c>
      <c r="CD123" s="375">
        <f t="shared" si="787"/>
        <v>-83910.109999999899</v>
      </c>
      <c r="CE123" s="7">
        <f t="shared" si="448"/>
        <v>-9.4858196548043984E-4</v>
      </c>
      <c r="CF123" s="375">
        <v>-75294.78</v>
      </c>
      <c r="CG123" s="7">
        <f t="shared" si="449"/>
        <v>-1.4907217519875636E-2</v>
      </c>
      <c r="CH123" s="375">
        <v>-101105.5</v>
      </c>
      <c r="CI123" s="7">
        <f t="shared" si="449"/>
        <v>-2.7266701098151011E-3</v>
      </c>
      <c r="CJ123" s="375">
        <v>-111458.02</v>
      </c>
      <c r="CK123" s="7">
        <f t="shared" si="449"/>
        <v>-3.9577048919714258E-3</v>
      </c>
      <c r="CL123" s="375">
        <f t="shared" si="700"/>
        <v>-287858.3</v>
      </c>
      <c r="CM123" s="7">
        <f t="shared" si="449"/>
        <v>-4.0950976493039845E-3</v>
      </c>
      <c r="CN123" s="375">
        <f t="shared" si="701"/>
        <v>-371768.40999999992</v>
      </c>
      <c r="CO123" s="7">
        <f t="shared" si="639"/>
        <v>-2.341820789749574E-3</v>
      </c>
      <c r="CP123" s="375">
        <v>-89602.8</v>
      </c>
      <c r="CQ123" s="7">
        <f t="shared" si="728"/>
        <v>-4.5738828239212017E-3</v>
      </c>
      <c r="CR123" s="375">
        <f t="shared" si="702"/>
        <v>-461371.2099999999</v>
      </c>
      <c r="CS123" s="7">
        <f t="shared" si="641"/>
        <v>-2.5870031828127264E-3</v>
      </c>
      <c r="CT123" s="375">
        <v>-115125.29</v>
      </c>
      <c r="CU123" s="7">
        <f t="shared" si="611"/>
        <v>-7.3493868788563066E-3</v>
      </c>
      <c r="CV123" s="375">
        <v>-25231.5</v>
      </c>
      <c r="CW123" s="7">
        <f t="shared" si="452"/>
        <v>-4.032461489673536E-4</v>
      </c>
      <c r="CX123" s="375">
        <f t="shared" si="703"/>
        <v>-229959.58999999997</v>
      </c>
      <c r="CY123" s="7">
        <f t="shared" si="729"/>
        <v>-2.3507080501109054E-3</v>
      </c>
      <c r="CZ123" s="375">
        <f>+CD123+CL123+CX123</f>
        <v>-601727.99999999988</v>
      </c>
      <c r="DA123" s="7">
        <f t="shared" si="453"/>
        <v>-2.3452092477872269E-3</v>
      </c>
      <c r="DB123" s="375">
        <v>-183891</v>
      </c>
      <c r="DC123" s="7">
        <f t="shared" si="642"/>
        <v>-9.579498073152188E-3</v>
      </c>
      <c r="DD123" s="375">
        <v>-128166.78000000003</v>
      </c>
      <c r="DE123" s="7">
        <f t="shared" si="642"/>
        <v>-4.9357161998618239E-3</v>
      </c>
      <c r="DF123" s="375">
        <v>-31290.3</v>
      </c>
      <c r="DG123" s="7">
        <f t="shared" si="642"/>
        <v>-1.0087072980951896E-3</v>
      </c>
      <c r="DH123" s="375">
        <f t="shared" si="794"/>
        <v>-343348.08</v>
      </c>
      <c r="DI123" s="7">
        <f t="shared" si="730"/>
        <v>-4.5068433984138574E-3</v>
      </c>
      <c r="DJ123" s="375">
        <f>-716066+245000</f>
        <v>-471066</v>
      </c>
      <c r="DK123" s="7">
        <f t="shared" si="643"/>
        <v>-8.9566338932008469E-3</v>
      </c>
      <c r="DL123" s="375">
        <v>-228792</v>
      </c>
      <c r="DM123" s="7">
        <f t="shared" si="644"/>
        <v>-2.6376810157622985E-2</v>
      </c>
      <c r="DN123" s="375">
        <f>-106637-221.84</f>
        <v>-106858.84</v>
      </c>
      <c r="DO123" s="7">
        <f t="shared" si="645"/>
        <v>-6.2269655061537102E-3</v>
      </c>
      <c r="DP123" s="375">
        <f>-26139.58-200</f>
        <v>-26339.58</v>
      </c>
      <c r="DQ123" s="7">
        <f t="shared" si="646"/>
        <v>-3.1391957602349991E-4</v>
      </c>
      <c r="DR123" s="375">
        <f t="shared" si="798"/>
        <v>-361990.42</v>
      </c>
      <c r="DS123" s="7">
        <f t="shared" si="731"/>
        <v>-3.2986143328316456E-3</v>
      </c>
      <c r="DT123" s="375">
        <f t="shared" si="713"/>
        <v>-705338.5</v>
      </c>
      <c r="DU123" s="7">
        <f t="shared" si="454"/>
        <v>-3.793695379285783E-3</v>
      </c>
      <c r="DV123" s="375">
        <v>-94457.039999999979</v>
      </c>
      <c r="DW123" s="7">
        <f t="shared" si="647"/>
        <v>-2.0751897506770273E-3</v>
      </c>
      <c r="DX123" s="375">
        <v>-125096.84</v>
      </c>
      <c r="DY123" s="7">
        <f t="shared" si="648"/>
        <v>-4.8388750600497901E-3</v>
      </c>
      <c r="DZ123" s="375">
        <v>33177.72</v>
      </c>
      <c r="EA123" s="7">
        <f t="shared" si="649"/>
        <v>2.7118522828605636E-4</v>
      </c>
      <c r="EB123" s="375">
        <f t="shared" si="799"/>
        <v>-186376.15999999997</v>
      </c>
      <c r="EC123" s="7">
        <f t="shared" si="427"/>
        <v>-9.6212443371449278E-4</v>
      </c>
      <c r="ED123" s="375">
        <f t="shared" si="715"/>
        <v>-891714.65999999992</v>
      </c>
      <c r="EE123" s="7">
        <f t="shared" si="455"/>
        <v>-2.3488611927091766E-3</v>
      </c>
      <c r="EF123" s="375">
        <v>-74439.010000000009</v>
      </c>
      <c r="EG123" s="7">
        <f t="shared" si="650"/>
        <v>-5.0375993305106581E-3</v>
      </c>
      <c r="EH123" s="375">
        <v>-131542.6</v>
      </c>
      <c r="EI123" s="7">
        <f t="shared" si="651"/>
        <v>-1.0318153504076426E-2</v>
      </c>
      <c r="EJ123" s="375">
        <v>-4964.18</v>
      </c>
      <c r="EK123" s="7">
        <f t="shared" si="652"/>
        <v>-3.1788444357658682E-5</v>
      </c>
      <c r="EL123" s="375">
        <f t="shared" si="800"/>
        <v>-210945.79</v>
      </c>
      <c r="EM123" s="7">
        <f t="shared" si="428"/>
        <v>-1.1483894273229022E-3</v>
      </c>
      <c r="EN123" s="375">
        <f t="shared" si="717"/>
        <v>-1102660.45</v>
      </c>
      <c r="EO123" s="7">
        <f t="shared" si="456"/>
        <v>-1.9574129960845464E-3</v>
      </c>
      <c r="EP123" s="373"/>
      <c r="EQ123" s="373"/>
      <c r="ER123" s="373"/>
      <c r="ES123" s="373"/>
      <c r="ET123" s="375">
        <v>-119897.13</v>
      </c>
      <c r="EU123" s="7">
        <f t="shared" si="653"/>
        <v>-1.6255211674068026E-2</v>
      </c>
      <c r="EV123" s="375">
        <v>-262458.53000000003</v>
      </c>
      <c r="EW123" s="7">
        <f t="shared" si="654"/>
        <v>-4.3065383961249031E-2</v>
      </c>
      <c r="EX123" s="375">
        <v>-214549.21</v>
      </c>
      <c r="EY123" s="7">
        <f t="shared" si="655"/>
        <v>-9.3982190380396285E-4</v>
      </c>
      <c r="EZ123" s="375">
        <f t="shared" si="801"/>
        <v>-596904.87</v>
      </c>
      <c r="FA123" s="7">
        <f t="shared" si="429"/>
        <v>-2.469023870766402E-3</v>
      </c>
      <c r="FB123" s="375">
        <v>-258933.8</v>
      </c>
      <c r="FC123" s="7">
        <f t="shared" si="656"/>
        <v>-2.8573728138633767E-2</v>
      </c>
      <c r="FD123" s="375">
        <v>-177835.98</v>
      </c>
      <c r="FE123" s="7">
        <f t="shared" si="612"/>
        <v>-1.6895931634514554E-3</v>
      </c>
      <c r="FF123" s="375">
        <v>82594.03</v>
      </c>
      <c r="FG123" s="7">
        <f t="shared" si="430"/>
        <v>5.1402222426239212E-4</v>
      </c>
      <c r="FH123" s="375">
        <f t="shared" si="802"/>
        <v>-354175.75</v>
      </c>
      <c r="FI123" s="7">
        <f t="shared" si="431"/>
        <v>-1.2879234850357501E-3</v>
      </c>
      <c r="FJ123" s="375">
        <f t="shared" si="803"/>
        <v>-951080.62</v>
      </c>
      <c r="FK123" s="7">
        <f t="shared" si="459"/>
        <v>-1.8404867475552019E-3</v>
      </c>
      <c r="FL123" s="375">
        <v>-125729.54</v>
      </c>
      <c r="FM123" s="7">
        <f t="shared" si="658"/>
        <v>-1.149862209915033E-2</v>
      </c>
      <c r="FN123" s="375">
        <v>-96231.65</v>
      </c>
      <c r="FO123" s="7">
        <f t="shared" si="432"/>
        <v>-2.0140466029668042E-2</v>
      </c>
      <c r="FP123" s="375">
        <v>-498508.72</v>
      </c>
      <c r="FQ123" s="7">
        <f t="shared" si="433"/>
        <v>-1.8019957848415785E-3</v>
      </c>
      <c r="FR123" s="375">
        <f t="shared" si="804"/>
        <v>-720469.90999999992</v>
      </c>
      <c r="FS123" s="7">
        <f t="shared" si="434"/>
        <v>-2.4643675309898739E-3</v>
      </c>
      <c r="FT123" s="375">
        <f t="shared" si="805"/>
        <v>-1671550.5299999998</v>
      </c>
      <c r="FU123" s="7">
        <f t="shared" si="462"/>
        <v>-2.065913003390435E-3</v>
      </c>
      <c r="FV123" s="375">
        <v>-99718.14</v>
      </c>
      <c r="FW123" s="7">
        <f t="shared" si="660"/>
        <v>-3.593454262592017E-3</v>
      </c>
      <c r="FX123" s="375">
        <v>-439753.27</v>
      </c>
      <c r="FY123" s="7">
        <f t="shared" si="435"/>
        <v>-1.7130135831244109E-2</v>
      </c>
      <c r="FZ123" s="375">
        <v>162643.95000000001</v>
      </c>
      <c r="GA123" s="7">
        <f t="shared" si="436"/>
        <v>5.6256891368408981E-4</v>
      </c>
      <c r="GB123" s="375">
        <f t="shared" si="806"/>
        <v>-376827.46</v>
      </c>
      <c r="GC123" s="7">
        <f t="shared" si="437"/>
        <v>-1.1001277291848638E-3</v>
      </c>
      <c r="GD123" s="375">
        <f t="shared" si="807"/>
        <v>-2048377.9899999998</v>
      </c>
      <c r="GE123" s="7">
        <f t="shared" si="465"/>
        <v>-1.7786609849477087E-3</v>
      </c>
      <c r="GF123" s="566">
        <f t="shared" si="808"/>
        <v>-1337397.3529962499</v>
      </c>
      <c r="GG123" s="525">
        <f t="shared" si="438"/>
        <v>-0.10378455727236341</v>
      </c>
      <c r="GH123" s="528">
        <f t="shared" si="726"/>
        <v>-1003556.3075098332</v>
      </c>
      <c r="GI123" s="531">
        <f t="shared" si="439"/>
        <v>-220134700000.00003</v>
      </c>
      <c r="GJ123" s="528"/>
      <c r="GK123" s="531">
        <f t="shared" si="440"/>
        <v>0</v>
      </c>
      <c r="GL123" s="528">
        <f t="shared" si="727"/>
        <v>-4389331.6505060829</v>
      </c>
      <c r="GM123" s="565">
        <f t="shared" si="468"/>
        <v>-3.7877086979241368E-3</v>
      </c>
      <c r="GO123" s="586">
        <f>-'KSA IS'!B19-'KSA IS'!B22-'KSA IS'!B23-'KSA IS'!B24-'KSA IS'!B26-'KSA IS'!B27</f>
        <v>-109432.04999999999</v>
      </c>
      <c r="GQ123" s="586">
        <v>-22013.47</v>
      </c>
      <c r="GT123" s="551">
        <f t="shared" si="558"/>
        <v>-111772.97630295657</v>
      </c>
      <c r="GU123" s="551">
        <f t="shared" si="471"/>
        <v>-130956.14369704344</v>
      </c>
      <c r="GV123" s="550">
        <f t="shared" si="732"/>
        <v>-242729.12</v>
      </c>
      <c r="GW123" s="527">
        <f>+EZ123*2</f>
        <v>-1193809.74</v>
      </c>
      <c r="GX123" s="525">
        <f t="shared" si="664"/>
        <v>-1.0081873295732314E-3</v>
      </c>
      <c r="GY123" s="528">
        <f>+GW123</f>
        <v>-1193809.74</v>
      </c>
      <c r="GZ123" s="525">
        <f t="shared" si="665"/>
        <v>-1.3261603488799684E-3</v>
      </c>
      <c r="HA123" s="528">
        <f>+GY123</f>
        <v>-1193809.74</v>
      </c>
      <c r="HB123" s="526">
        <f t="shared" si="666"/>
        <v>-1.6399930362624234E-3</v>
      </c>
      <c r="HD123" s="527">
        <v>-1193809.74</v>
      </c>
      <c r="HE123" s="525">
        <v>-1.0049446110359285E-3</v>
      </c>
      <c r="HF123" s="528">
        <v>-1193809.74</v>
      </c>
      <c r="HG123" s="525">
        <v>-1.3261603488799684E-3</v>
      </c>
      <c r="HH123" s="528">
        <v>-1193809.74</v>
      </c>
      <c r="HI123" s="526">
        <v>-1.6399930362624234E-3</v>
      </c>
    </row>
    <row r="124" spans="1:217" ht="15" customHeight="1" outlineLevel="1">
      <c r="A124" s="386" t="s">
        <v>101</v>
      </c>
      <c r="B124" s="386" t="s">
        <v>113</v>
      </c>
      <c r="C124" s="375">
        <v>0</v>
      </c>
      <c r="D124" s="4"/>
      <c r="E124" s="375">
        <v>0</v>
      </c>
      <c r="F124" s="4"/>
      <c r="G124" s="375"/>
      <c r="H124" s="375"/>
      <c r="I124" s="4"/>
      <c r="J124" s="375"/>
      <c r="K124" s="375"/>
      <c r="L124" s="4"/>
      <c r="M124" s="375"/>
      <c r="N124" s="375">
        <v>0</v>
      </c>
      <c r="O124" s="4"/>
      <c r="P124" s="375">
        <f t="shared" si="421"/>
        <v>0</v>
      </c>
      <c r="Q124" s="375">
        <f t="shared" si="421"/>
        <v>0</v>
      </c>
      <c r="R124" s="7">
        <f t="shared" si="442"/>
        <v>0</v>
      </c>
      <c r="S124" s="375"/>
      <c r="T124" s="375"/>
      <c r="U124" s="4"/>
      <c r="V124" s="375"/>
      <c r="W124" s="375"/>
      <c r="X124" s="4"/>
      <c r="Y124" s="375"/>
      <c r="Z124" s="375"/>
      <c r="AA124" s="4"/>
      <c r="AB124" s="375">
        <f t="shared" si="684"/>
        <v>0</v>
      </c>
      <c r="AC124" s="375">
        <f t="shared" si="533"/>
        <v>0</v>
      </c>
      <c r="AD124" s="7">
        <f t="shared" si="443"/>
        <v>0</v>
      </c>
      <c r="AE124" s="375">
        <f t="shared" si="685"/>
        <v>0</v>
      </c>
      <c r="AF124" s="375">
        <f>+AC124+Q124</f>
        <v>0</v>
      </c>
      <c r="AG124" s="4"/>
      <c r="AH124" s="375"/>
      <c r="AI124" s="375"/>
      <c r="AJ124" s="4"/>
      <c r="AK124" s="375"/>
      <c r="AL124" s="375"/>
      <c r="AM124" s="4"/>
      <c r="AN124" s="375"/>
      <c r="AO124" s="375"/>
      <c r="AP124" s="4"/>
      <c r="AQ124" s="375">
        <f t="shared" si="781"/>
        <v>0</v>
      </c>
      <c r="AR124" s="375">
        <f t="shared" si="782"/>
        <v>0</v>
      </c>
      <c r="AS124" s="7">
        <f t="shared" si="444"/>
        <v>0</v>
      </c>
      <c r="AT124" s="375">
        <f t="shared" si="633"/>
        <v>0</v>
      </c>
      <c r="AU124" s="4"/>
      <c r="AV124" s="375"/>
      <c r="AW124" s="375"/>
      <c r="AX124" s="4"/>
      <c r="AY124" s="375"/>
      <c r="AZ124" s="375"/>
      <c r="BA124" s="4"/>
      <c r="BB124" s="375"/>
      <c r="BC124" s="375"/>
      <c r="BD124" s="448"/>
      <c r="BE124" s="375">
        <f t="shared" si="783"/>
        <v>0</v>
      </c>
      <c r="BF124" s="375">
        <f t="shared" si="784"/>
        <v>0</v>
      </c>
      <c r="BG124" s="7">
        <f t="shared" si="445"/>
        <v>0</v>
      </c>
      <c r="BH124" s="375">
        <f t="shared" si="691"/>
        <v>0</v>
      </c>
      <c r="BI124" s="388">
        <f t="shared" si="692"/>
        <v>0</v>
      </c>
      <c r="BJ124" s="7">
        <f t="shared" si="446"/>
        <v>0</v>
      </c>
      <c r="BK124" s="375">
        <v>0</v>
      </c>
      <c r="BL124" s="282"/>
      <c r="BM124" s="378"/>
      <c r="BN124" s="375"/>
      <c r="BO124" s="4"/>
      <c r="BP124" s="375"/>
      <c r="BQ124" s="4"/>
      <c r="BR124" s="375"/>
      <c r="BS124" s="4"/>
      <c r="BT124" s="375">
        <f t="shared" si="785"/>
        <v>0</v>
      </c>
      <c r="BU124" s="7">
        <f t="shared" si="447"/>
        <v>0</v>
      </c>
      <c r="BV124" s="375"/>
      <c r="BW124" s="7"/>
      <c r="BX124" s="375"/>
      <c r="BY124" s="7"/>
      <c r="BZ124" s="375">
        <f t="shared" si="740"/>
        <v>0</v>
      </c>
      <c r="CA124" s="7"/>
      <c r="CB124" s="375">
        <f t="shared" si="786"/>
        <v>0</v>
      </c>
      <c r="CC124" s="7">
        <f t="shared" si="534"/>
        <v>0</v>
      </c>
      <c r="CD124" s="375">
        <f t="shared" si="787"/>
        <v>0</v>
      </c>
      <c r="CE124" s="7">
        <f t="shared" si="448"/>
        <v>0</v>
      </c>
      <c r="CF124" s="375">
        <f t="shared" ref="CF124" si="809">+BZ124+CB124+CD124</f>
        <v>0</v>
      </c>
      <c r="CG124" s="7">
        <f t="shared" si="449"/>
        <v>0</v>
      </c>
      <c r="CH124" s="375">
        <f t="shared" ref="CH124" si="810">+CB124+CD124+CF124</f>
        <v>0</v>
      </c>
      <c r="CI124" s="7">
        <f t="shared" si="449"/>
        <v>0</v>
      </c>
      <c r="CJ124" s="375">
        <f t="shared" ref="CJ124" si="811">+CD124+CF124+CH124</f>
        <v>0</v>
      </c>
      <c r="CK124" s="7">
        <f t="shared" si="449"/>
        <v>0</v>
      </c>
      <c r="CL124" s="375">
        <f t="shared" si="700"/>
        <v>0</v>
      </c>
      <c r="CM124" s="7">
        <f t="shared" si="449"/>
        <v>0</v>
      </c>
      <c r="CN124" s="375">
        <f t="shared" si="701"/>
        <v>0</v>
      </c>
      <c r="CO124" s="7">
        <f t="shared" si="639"/>
        <v>0</v>
      </c>
      <c r="CP124" s="375">
        <v>0</v>
      </c>
      <c r="CQ124" s="7">
        <f t="shared" si="728"/>
        <v>0</v>
      </c>
      <c r="CR124" s="375">
        <f t="shared" si="702"/>
        <v>0</v>
      </c>
      <c r="CS124" s="7">
        <f t="shared" si="641"/>
        <v>0</v>
      </c>
      <c r="CT124" s="375">
        <v>0</v>
      </c>
      <c r="CU124" s="7">
        <f t="shared" si="611"/>
        <v>0</v>
      </c>
      <c r="CV124" s="375">
        <v>0</v>
      </c>
      <c r="CW124" s="7">
        <f t="shared" si="452"/>
        <v>0</v>
      </c>
      <c r="CX124" s="375">
        <f t="shared" si="703"/>
        <v>0</v>
      </c>
      <c r="CY124" s="7">
        <f t="shared" si="729"/>
        <v>0</v>
      </c>
      <c r="CZ124" s="375">
        <f t="shared" si="704"/>
        <v>0</v>
      </c>
      <c r="DA124" s="7">
        <f t="shared" si="453"/>
        <v>0</v>
      </c>
      <c r="DB124" s="375">
        <f t="shared" ref="DB124" si="812">+CV124+CX124+CZ124</f>
        <v>0</v>
      </c>
      <c r="DC124" s="7">
        <f t="shared" si="642"/>
        <v>0</v>
      </c>
      <c r="DD124" s="375">
        <f t="shared" ref="DD124" si="813">+CX124+CZ124+DB124</f>
        <v>0</v>
      </c>
      <c r="DE124" s="7">
        <f t="shared" si="642"/>
        <v>0</v>
      </c>
      <c r="DF124" s="375">
        <f t="shared" ref="DF124" si="814">+CZ124+DB124+DD124</f>
        <v>0</v>
      </c>
      <c r="DG124" s="7">
        <f t="shared" si="642"/>
        <v>0</v>
      </c>
      <c r="DH124" s="375">
        <f t="shared" si="794"/>
        <v>0</v>
      </c>
      <c r="DI124" s="7">
        <f t="shared" si="730"/>
        <v>0</v>
      </c>
      <c r="DJ124" s="375"/>
      <c r="DK124" s="7">
        <f t="shared" si="643"/>
        <v>0</v>
      </c>
      <c r="DL124" s="375">
        <f t="shared" ref="DL124" si="815">+DF124+DH124+DJ124</f>
        <v>0</v>
      </c>
      <c r="DM124" s="7">
        <f t="shared" si="644"/>
        <v>0</v>
      </c>
      <c r="DN124" s="375">
        <f t="shared" ref="DN124" si="816">+DH124+DJ124+DL124</f>
        <v>0</v>
      </c>
      <c r="DO124" s="7">
        <f t="shared" si="645"/>
        <v>0</v>
      </c>
      <c r="DP124" s="375">
        <f t="shared" ref="DP124" si="817">+DJ124+DL124+DN124</f>
        <v>0</v>
      </c>
      <c r="DQ124" s="7">
        <f t="shared" si="646"/>
        <v>0</v>
      </c>
      <c r="DR124" s="375">
        <f t="shared" si="798"/>
        <v>0</v>
      </c>
      <c r="DS124" s="7">
        <f t="shared" si="731"/>
        <v>0</v>
      </c>
      <c r="DT124" s="375">
        <f t="shared" si="713"/>
        <v>0</v>
      </c>
      <c r="DU124" s="7">
        <f t="shared" si="454"/>
        <v>0</v>
      </c>
      <c r="DV124" s="375"/>
      <c r="DW124" s="7">
        <f t="shared" si="647"/>
        <v>0</v>
      </c>
      <c r="DX124" s="375"/>
      <c r="DY124" s="7">
        <f t="shared" si="648"/>
        <v>0</v>
      </c>
      <c r="DZ124" s="375"/>
      <c r="EA124" s="7">
        <f t="shared" si="649"/>
        <v>0</v>
      </c>
      <c r="EB124" s="375">
        <f t="shared" si="799"/>
        <v>0</v>
      </c>
      <c r="EC124" s="7">
        <f t="shared" si="427"/>
        <v>0</v>
      </c>
      <c r="ED124" s="375">
        <f t="shared" si="715"/>
        <v>0</v>
      </c>
      <c r="EE124" s="7">
        <f t="shared" si="455"/>
        <v>0</v>
      </c>
      <c r="EF124" s="375"/>
      <c r="EG124" s="7">
        <f t="shared" si="650"/>
        <v>0</v>
      </c>
      <c r="EH124" s="375"/>
      <c r="EI124" s="7">
        <f t="shared" si="651"/>
        <v>0</v>
      </c>
      <c r="EJ124" s="375"/>
      <c r="EK124" s="7">
        <f t="shared" si="652"/>
        <v>0</v>
      </c>
      <c r="EL124" s="375">
        <f t="shared" si="800"/>
        <v>0</v>
      </c>
      <c r="EM124" s="7">
        <f t="shared" si="428"/>
        <v>0</v>
      </c>
      <c r="EN124" s="375">
        <f t="shared" si="717"/>
        <v>0</v>
      </c>
      <c r="EO124" s="7">
        <f t="shared" si="456"/>
        <v>0</v>
      </c>
      <c r="EP124" s="373"/>
      <c r="EQ124" s="373"/>
      <c r="ER124" s="373"/>
      <c r="ES124" s="373"/>
      <c r="ET124" s="375"/>
      <c r="EU124" s="7">
        <f t="shared" si="653"/>
        <v>0</v>
      </c>
      <c r="EV124" s="375"/>
      <c r="EW124" s="7">
        <f t="shared" si="654"/>
        <v>0</v>
      </c>
      <c r="EX124" s="375"/>
      <c r="EY124" s="7">
        <f t="shared" si="655"/>
        <v>0</v>
      </c>
      <c r="EZ124" s="375">
        <f t="shared" si="801"/>
        <v>0</v>
      </c>
      <c r="FA124" s="7">
        <f t="shared" si="429"/>
        <v>0</v>
      </c>
      <c r="FB124" s="375"/>
      <c r="FC124" s="7">
        <f t="shared" si="656"/>
        <v>0</v>
      </c>
      <c r="FD124" s="375"/>
      <c r="FE124" s="7">
        <f t="shared" si="612"/>
        <v>0</v>
      </c>
      <c r="FF124" s="375"/>
      <c r="FG124" s="7">
        <f t="shared" si="430"/>
        <v>0</v>
      </c>
      <c r="FH124" s="375">
        <f t="shared" si="802"/>
        <v>0</v>
      </c>
      <c r="FI124" s="7">
        <f t="shared" si="431"/>
        <v>0</v>
      </c>
      <c r="FJ124" s="375">
        <f t="shared" si="803"/>
        <v>0</v>
      </c>
      <c r="FK124" s="7">
        <f t="shared" si="459"/>
        <v>0</v>
      </c>
      <c r="FL124" s="375"/>
      <c r="FM124" s="7">
        <f t="shared" si="658"/>
        <v>0</v>
      </c>
      <c r="FN124" s="375"/>
      <c r="FO124" s="7">
        <f t="shared" si="432"/>
        <v>0</v>
      </c>
      <c r="FP124" s="375">
        <v>0</v>
      </c>
      <c r="FQ124" s="7">
        <f t="shared" si="433"/>
        <v>0</v>
      </c>
      <c r="FR124" s="375">
        <f t="shared" si="804"/>
        <v>0</v>
      </c>
      <c r="FS124" s="7">
        <f t="shared" si="434"/>
        <v>0</v>
      </c>
      <c r="FT124" s="375">
        <f t="shared" si="805"/>
        <v>0</v>
      </c>
      <c r="FU124" s="7">
        <f t="shared" si="462"/>
        <v>0</v>
      </c>
      <c r="FV124" s="375"/>
      <c r="FW124" s="7">
        <f t="shared" si="660"/>
        <v>0</v>
      </c>
      <c r="FX124" s="375"/>
      <c r="FY124" s="7">
        <f t="shared" si="435"/>
        <v>0</v>
      </c>
      <c r="FZ124" s="375"/>
      <c r="GA124" s="7">
        <f t="shared" si="436"/>
        <v>0</v>
      </c>
      <c r="GB124" s="375">
        <f t="shared" si="806"/>
        <v>0</v>
      </c>
      <c r="GC124" s="7">
        <f t="shared" si="437"/>
        <v>0</v>
      </c>
      <c r="GD124" s="375">
        <f>FT124+GB124</f>
        <v>0</v>
      </c>
      <c r="GE124" s="7">
        <f t="shared" si="465"/>
        <v>0</v>
      </c>
      <c r="GF124" s="566">
        <f t="shared" si="808"/>
        <v>0</v>
      </c>
      <c r="GG124" s="525">
        <f t="shared" si="438"/>
        <v>0</v>
      </c>
      <c r="GH124" s="528">
        <f t="shared" si="726"/>
        <v>0</v>
      </c>
      <c r="GI124" s="525">
        <f t="shared" si="439"/>
        <v>0</v>
      </c>
      <c r="GJ124" s="528"/>
      <c r="GK124" s="525">
        <f t="shared" si="440"/>
        <v>0</v>
      </c>
      <c r="GL124" s="528">
        <f t="shared" si="727"/>
        <v>0</v>
      </c>
      <c r="GM124" s="565">
        <f t="shared" si="468"/>
        <v>0</v>
      </c>
      <c r="GO124" s="586"/>
      <c r="GQ124" s="586"/>
      <c r="GT124" s="551">
        <f t="shared" si="558"/>
        <v>0</v>
      </c>
      <c r="GU124" s="551">
        <f t="shared" si="471"/>
        <v>0</v>
      </c>
      <c r="GV124" s="550">
        <f t="shared" si="732"/>
        <v>0</v>
      </c>
      <c r="GW124" s="527"/>
      <c r="GX124" s="525">
        <f t="shared" si="664"/>
        <v>0</v>
      </c>
      <c r="GY124" s="528"/>
      <c r="GZ124" s="525">
        <f t="shared" si="665"/>
        <v>0</v>
      </c>
      <c r="HA124" s="528"/>
      <c r="HB124" s="526">
        <f t="shared" si="666"/>
        <v>0</v>
      </c>
      <c r="HD124" s="527"/>
      <c r="HE124" s="525">
        <v>0</v>
      </c>
      <c r="HF124" s="528"/>
      <c r="HG124" s="525">
        <v>0</v>
      </c>
      <c r="HH124" s="528"/>
      <c r="HI124" s="526">
        <v>0</v>
      </c>
    </row>
    <row r="125" spans="1:217">
      <c r="A125" s="386" t="s">
        <v>101</v>
      </c>
      <c r="B125" s="386"/>
      <c r="C125" s="389">
        <f>SUM(C112:C124)</f>
        <v>-1113004.5</v>
      </c>
      <c r="D125" s="4"/>
      <c r="E125" s="389">
        <f>SUM(E112:E124)</f>
        <v>899229</v>
      </c>
      <c r="F125" s="4"/>
      <c r="G125" s="389">
        <f>SUM(G112:G124)</f>
        <v>-312046.51999999996</v>
      </c>
      <c r="H125" s="389">
        <f>SUM(H112:H124)</f>
        <v>-33196.31</v>
      </c>
      <c r="I125" s="4"/>
      <c r="J125" s="389">
        <f>SUM(J112:J124)</f>
        <v>-312046.51999999996</v>
      </c>
      <c r="K125" s="389">
        <f>SUM(K112:K124)</f>
        <v>-27866.22</v>
      </c>
      <c r="L125" s="4"/>
      <c r="M125" s="389">
        <f>SUM(M112:M124)</f>
        <v>-312046.51999999996</v>
      </c>
      <c r="N125" s="389">
        <f>SUM(N112:N124)</f>
        <v>64946.74</v>
      </c>
      <c r="O125" s="4"/>
      <c r="P125" s="389">
        <f t="shared" si="421"/>
        <v>-936139.55999999982</v>
      </c>
      <c r="Q125" s="389">
        <f>+H125+K125+N125</f>
        <v>3884.2099999999991</v>
      </c>
      <c r="R125" s="7">
        <f t="shared" si="442"/>
        <v>1.0680273113705504E-4</v>
      </c>
      <c r="S125" s="389">
        <f>SUM(S112:S124)</f>
        <v>-104208.89</v>
      </c>
      <c r="T125" s="389">
        <f>SUM(T112:T124)</f>
        <v>-104208.89</v>
      </c>
      <c r="U125" s="4"/>
      <c r="V125" s="389">
        <f>SUM(V112:V124)</f>
        <v>-48907.13</v>
      </c>
      <c r="W125" s="389">
        <f>SUM(W112:W124)</f>
        <v>-48907.13</v>
      </c>
      <c r="X125" s="4"/>
      <c r="Y125" s="389">
        <f>SUM(Y112:Y124)</f>
        <v>89908.19</v>
      </c>
      <c r="Z125" s="389">
        <f>SUM(Z112:Z124)</f>
        <v>89908.19</v>
      </c>
      <c r="AA125" s="4"/>
      <c r="AB125" s="375">
        <f t="shared" si="684"/>
        <v>-63207.829999999987</v>
      </c>
      <c r="AC125" s="389">
        <f>SUM(AC112:AC124)</f>
        <v>-63207.829999999987</v>
      </c>
      <c r="AD125" s="7">
        <f t="shared" si="443"/>
        <v>-1.7042968356220875E-3</v>
      </c>
      <c r="AE125" s="375">
        <f>+Q125+AB125</f>
        <v>-59323.619999999988</v>
      </c>
      <c r="AF125" s="375">
        <f>+AC125+Q125</f>
        <v>-59323.619999999988</v>
      </c>
      <c r="AG125" s="4"/>
      <c r="AH125" s="389">
        <f>SUM(AH112:AH124)</f>
        <v>-167478.15</v>
      </c>
      <c r="AI125" s="389">
        <f>SUM(AI112:AI124)</f>
        <v>-167478.15</v>
      </c>
      <c r="AJ125" s="4"/>
      <c r="AK125" s="389">
        <f>SUM(AK112:AK124)</f>
        <v>-4127002.19</v>
      </c>
      <c r="AL125" s="389">
        <f>SUM(AL112:AL124)</f>
        <v>-4127002.19</v>
      </c>
      <c r="AM125" s="4"/>
      <c r="AN125" s="389">
        <f>SUM(AN112:AN124)</f>
        <v>-573601.65</v>
      </c>
      <c r="AO125" s="389">
        <f>SUM(AO112:AO124)</f>
        <v>-573601.65</v>
      </c>
      <c r="AP125" s="4"/>
      <c r="AQ125" s="389">
        <f>SUM(AQ112:AQ124)</f>
        <v>-4868081.99</v>
      </c>
      <c r="AR125" s="389">
        <f>SUM(AR112:AR124)</f>
        <v>-4868081.99</v>
      </c>
      <c r="AS125" s="7">
        <f t="shared" si="444"/>
        <v>-0.18285495313566397</v>
      </c>
      <c r="AT125" s="389">
        <f>SUM(AT112:AT124)</f>
        <v>-4927405.6099999994</v>
      </c>
      <c r="AU125" s="4"/>
      <c r="AV125" s="389">
        <f>SUM(AV112:AV124)</f>
        <v>-574555.48</v>
      </c>
      <c r="AW125" s="389">
        <f>SUM(AW112:AW124)</f>
        <v>-342135.62</v>
      </c>
      <c r="AX125" s="4"/>
      <c r="AY125" s="389">
        <f>SUM(AY112:AY124)</f>
        <v>-574555.48</v>
      </c>
      <c r="AZ125" s="389">
        <f>SUM(AZ112:AZ124)</f>
        <v>-283254.96000000002</v>
      </c>
      <c r="BA125" s="4"/>
      <c r="BB125" s="389">
        <f>SUM(BB112:BB124)</f>
        <v>-138051.39000000001</v>
      </c>
      <c r="BC125" s="389">
        <f>SUM(BC112:BC124)</f>
        <v>1687950.67</v>
      </c>
      <c r="BD125" s="448"/>
      <c r="BE125" s="389">
        <f>SUM(BE112:BE124)</f>
        <v>-1287162.3500000001</v>
      </c>
      <c r="BF125" s="389">
        <f>SUM(BF112:BF124)</f>
        <v>1062560.0899999999</v>
      </c>
      <c r="BG125" s="7">
        <f t="shared" si="445"/>
        <v>3.3839851701996285E-2</v>
      </c>
      <c r="BH125" s="389">
        <f>SUM(BH112:BH124)</f>
        <v>-6214567.96</v>
      </c>
      <c r="BI125" s="389">
        <f>SUM(BI112:BI124)</f>
        <v>-3864845.52</v>
      </c>
      <c r="BJ125" s="7">
        <f t="shared" si="446"/>
        <v>-2.9395439911779907E-2</v>
      </c>
      <c r="BK125" s="389">
        <f>SUM(BK112:BK124)</f>
        <v>-6268458</v>
      </c>
      <c r="BL125" s="282"/>
      <c r="BM125" s="378">
        <f>-5000000-1218458-50000</f>
        <v>-6268458</v>
      </c>
      <c r="BN125" s="389">
        <f>SUM(BN112:BN124)</f>
        <v>-162106.04</v>
      </c>
      <c r="BO125" s="4"/>
      <c r="BP125" s="389">
        <f>SUM(BP112:BP124)</f>
        <v>-161560.54</v>
      </c>
      <c r="BQ125" s="4"/>
      <c r="BR125" s="389">
        <f>SUM(BR112:BR124)</f>
        <v>-80644.160000000003</v>
      </c>
      <c r="BS125" s="4"/>
      <c r="BT125" s="389">
        <f>SUM(BT112:BT124)</f>
        <v>-404310.74000000005</v>
      </c>
      <c r="BU125" s="7">
        <f t="shared" si="447"/>
        <v>-7.4574748713626647E-3</v>
      </c>
      <c r="BV125" s="389">
        <f>SUM(BV112:BV124)</f>
        <v>-756495.01</v>
      </c>
      <c r="BW125" s="7"/>
      <c r="BX125" s="389">
        <f>SUM(BX112:BX124)</f>
        <v>-268894.56999999989</v>
      </c>
      <c r="BY125" s="7"/>
      <c r="BZ125" s="389">
        <f>SUM(BZ112:BZ124)</f>
        <v>-204209.79</v>
      </c>
      <c r="CA125" s="7"/>
      <c r="CB125" s="389">
        <f>SUM(CB112:CB124)</f>
        <v>-1229599.3699999999</v>
      </c>
      <c r="CC125" s="7">
        <f t="shared" si="534"/>
        <v>-3.5908082691641099E-2</v>
      </c>
      <c r="CD125" s="389">
        <f>SUM(CD112:CD124)</f>
        <v>-1633910.1099999999</v>
      </c>
      <c r="CE125" s="7">
        <f t="shared" si="448"/>
        <v>-1.8470928754141348E-2</v>
      </c>
      <c r="CF125" s="389">
        <f>SUM(CF112:CF124)</f>
        <v>-365294.78</v>
      </c>
      <c r="CG125" s="7">
        <f t="shared" si="449"/>
        <v>-7.2322792421136192E-2</v>
      </c>
      <c r="CH125" s="389">
        <f>SUM(CH112:CH124)</f>
        <v>-391105.5</v>
      </c>
      <c r="CI125" s="7">
        <f t="shared" si="449"/>
        <v>-1.0547553561718107E-2</v>
      </c>
      <c r="CJ125" s="389">
        <f>SUM(CJ112:CJ124)</f>
        <v>-401458.02</v>
      </c>
      <c r="CK125" s="7">
        <f t="shared" si="449"/>
        <v>-1.4255164138705877E-2</v>
      </c>
      <c r="CL125" s="389">
        <f>SUM(CL112:CL124)</f>
        <v>-1157858.3</v>
      </c>
      <c r="CM125" s="7">
        <f t="shared" si="449"/>
        <v>-1.6471794638393641E-2</v>
      </c>
      <c r="CN125" s="389">
        <f>SUM(CN112:CN124)</f>
        <v>-2791768.41</v>
      </c>
      <c r="CO125" s="7">
        <f t="shared" si="639"/>
        <v>-1.758573651457937E-2</v>
      </c>
      <c r="CP125" s="389">
        <f>SUM(CP112:CP124)</f>
        <v>-439602.8</v>
      </c>
      <c r="CQ125" s="7">
        <f t="shared" si="728"/>
        <v>-2.2440054287005171E-2</v>
      </c>
      <c r="CR125" s="389">
        <f>SUM(CR112:CR124)</f>
        <v>-3231371.21</v>
      </c>
      <c r="CS125" s="7">
        <f t="shared" si="641"/>
        <v>-1.8118962397153937E-2</v>
      </c>
      <c r="CT125" s="389">
        <f t="shared" ref="CT125" si="818">SUM(CT112:CT124)</f>
        <v>-405125.29</v>
      </c>
      <c r="CU125" s="7">
        <f t="shared" si="611"/>
        <v>-2.5862453772050053E-2</v>
      </c>
      <c r="CV125" s="389">
        <f t="shared" ref="CV125" si="819">SUM(CV112:CV124)</f>
        <v>-445231.5</v>
      </c>
      <c r="CW125" s="7">
        <f t="shared" si="452"/>
        <v>-7.1156248250781092E-3</v>
      </c>
      <c r="CX125" s="389">
        <f>SUM(CX112:CX124)</f>
        <v>-1289959.5899999999</v>
      </c>
      <c r="CY125" s="7">
        <f t="shared" si="729"/>
        <v>-1.3186309788301341E-2</v>
      </c>
      <c r="CZ125" s="389">
        <f>SUM(CZ112:CZ124)</f>
        <v>-4081728</v>
      </c>
      <c r="DA125" s="7">
        <f>+CZ125/CZ$8</f>
        <v>-1.5908361007884068E-2</v>
      </c>
      <c r="DB125" s="389">
        <f>SUM(DB112:DB124)</f>
        <v>-473891</v>
      </c>
      <c r="DC125" s="7">
        <f t="shared" si="642"/>
        <v>-2.4686569333921524E-2</v>
      </c>
      <c r="DD125" s="389">
        <f>SUM(DD112:DD124)</f>
        <v>-418166.78</v>
      </c>
      <c r="DE125" s="7">
        <f t="shared" si="642"/>
        <v>-1.6103646750663898E-2</v>
      </c>
      <c r="DF125" s="389">
        <f>SUM(DF112:DF124)</f>
        <v>-321290.3</v>
      </c>
      <c r="DG125" s="7">
        <f t="shared" si="642"/>
        <v>-1.035745487953752E-2</v>
      </c>
      <c r="DH125" s="389">
        <f>SUM(DH112:DH124)</f>
        <v>-1213348.08</v>
      </c>
      <c r="DI125" s="7">
        <f t="shared" si="730"/>
        <v>-1.5926606563013632E-2</v>
      </c>
      <c r="DJ125" s="389">
        <f>SUM(DJ112:DJ124)</f>
        <v>-1846066</v>
      </c>
      <c r="DK125" s="7">
        <f t="shared" si="643"/>
        <v>-3.5100256237312208E-2</v>
      </c>
      <c r="DL125" s="389">
        <f>SUM(DL112:DL124)</f>
        <v>-518792</v>
      </c>
      <c r="DM125" s="7">
        <f t="shared" si="644"/>
        <v>-5.9810124896384244E-2</v>
      </c>
      <c r="DN125" s="389">
        <f>SUM(DN112:DN124)</f>
        <v>-396858.83999999997</v>
      </c>
      <c r="DO125" s="7">
        <f t="shared" si="645"/>
        <v>-2.312608210506659E-2</v>
      </c>
      <c r="DP125" s="389">
        <f>SUM(DP112:DP124)</f>
        <v>-316339.58</v>
      </c>
      <c r="DQ125" s="7">
        <f t="shared" si="646"/>
        <v>-3.7701886982651972E-3</v>
      </c>
      <c r="DR125" s="389">
        <f>SUM(DR112:DR124)</f>
        <v>-1231990.42</v>
      </c>
      <c r="DS125" s="7">
        <f t="shared" si="731"/>
        <v>-1.122643316727354E-2</v>
      </c>
      <c r="DT125" s="389">
        <f>SUM(DT112:DT124)</f>
        <v>-2445338.5</v>
      </c>
      <c r="DU125" s="7">
        <f t="shared" si="454"/>
        <v>-1.3152364954188134E-2</v>
      </c>
      <c r="DV125" s="389">
        <f>SUM(DV112:DV124)</f>
        <v>-384457.04</v>
      </c>
      <c r="DW125" s="7">
        <f t="shared" si="647"/>
        <v>-8.4463932914225128E-3</v>
      </c>
      <c r="DX125" s="389">
        <f>SUM(DX112:DX124)</f>
        <v>-415096.83999999997</v>
      </c>
      <c r="DY125" s="7">
        <f t="shared" si="648"/>
        <v>-1.6056374777983825E-2</v>
      </c>
      <c r="DZ125" s="389">
        <f>SUM(DZ112:DZ124)</f>
        <v>-256822.28</v>
      </c>
      <c r="EA125" s="7">
        <f t="shared" si="649"/>
        <v>-2.099192127450153E-3</v>
      </c>
      <c r="EB125" s="389">
        <f>SUM(EB112:EB124)</f>
        <v>-1056376.1599999999</v>
      </c>
      <c r="EC125" s="7">
        <f t="shared" si="427"/>
        <v>-5.453301080618307E-3</v>
      </c>
      <c r="ED125" s="389">
        <f>SUM(ED112:ED124)</f>
        <v>-3501714.66</v>
      </c>
      <c r="EE125" s="7">
        <f t="shared" si="455"/>
        <v>-9.223849334062546E-3</v>
      </c>
      <c r="EF125" s="389">
        <f>SUM(EF112:EF124)</f>
        <v>-364439.01</v>
      </c>
      <c r="EG125" s="7">
        <f t="shared" si="650"/>
        <v>-2.4663112967084958E-2</v>
      </c>
      <c r="EH125" s="389">
        <f>SUM(EH112:EH124)</f>
        <v>-421542.6</v>
      </c>
      <c r="EI125" s="7">
        <f t="shared" si="651"/>
        <v>-3.3065647594828496E-2</v>
      </c>
      <c r="EJ125" s="389">
        <f>SUM(EJ112:EJ124)</f>
        <v>-294964.18</v>
      </c>
      <c r="EK125" s="7">
        <f t="shared" si="652"/>
        <v>-1.8888220055341303E-3</v>
      </c>
      <c r="EL125" s="389">
        <f>SUM(EL112:EL124)</f>
        <v>-1080945.79</v>
      </c>
      <c r="EM125" s="7">
        <f t="shared" si="428"/>
        <v>-5.8846716815026375E-3</v>
      </c>
      <c r="EN125" s="389">
        <f>SUM(EN112:EN124)</f>
        <v>-4582660.45</v>
      </c>
      <c r="EO125" s="7">
        <f t="shared" si="456"/>
        <v>-8.135014837498393E-3</v>
      </c>
      <c r="EP125" s="373"/>
      <c r="EQ125" s="373"/>
      <c r="ER125" s="373"/>
      <c r="ES125" s="373"/>
      <c r="ET125" s="389">
        <f>SUM(ET112:ET124)</f>
        <v>-119897.13</v>
      </c>
      <c r="EU125" s="7">
        <f t="shared" si="653"/>
        <v>-1.6255211674068026E-2</v>
      </c>
      <c r="EV125" s="389">
        <f>SUM(EV112:EV124)</f>
        <v>-262458.53000000003</v>
      </c>
      <c r="EW125" s="7">
        <f t="shared" si="654"/>
        <v>-4.3065383961249031E-2</v>
      </c>
      <c r="EX125" s="389">
        <f>SUM(EX112:EX124)</f>
        <v>-214549.21</v>
      </c>
      <c r="EY125" s="7">
        <f t="shared" si="655"/>
        <v>-9.3982190380396285E-4</v>
      </c>
      <c r="EZ125" s="389">
        <f>SUM(EZ112:EZ124)</f>
        <v>-596904.87</v>
      </c>
      <c r="FA125" s="7">
        <f t="shared" si="429"/>
        <v>-2.469023870766402E-3</v>
      </c>
      <c r="FB125" s="389">
        <f>SUM(FB112:FB124)</f>
        <v>-258933.8</v>
      </c>
      <c r="FC125" s="7">
        <f t="shared" si="656"/>
        <v>-2.8573728138633767E-2</v>
      </c>
      <c r="FD125" s="389">
        <f t="shared" ref="FD125" si="820">SUM(FD112:FD124)</f>
        <v>-177835.98</v>
      </c>
      <c r="FE125" s="7">
        <f t="shared" si="612"/>
        <v>-1.6895931634514554E-3</v>
      </c>
      <c r="FF125" s="389">
        <f t="shared" ref="FF125" si="821">SUM(FF112:FF124)</f>
        <v>82594.03</v>
      </c>
      <c r="FG125" s="7">
        <f t="shared" si="430"/>
        <v>5.1402222426239212E-4</v>
      </c>
      <c r="FH125" s="389">
        <f>SUM(FH112:FH124)</f>
        <v>-354175.75</v>
      </c>
      <c r="FI125" s="7">
        <f t="shared" si="431"/>
        <v>-1.2879234850357501E-3</v>
      </c>
      <c r="FJ125" s="389">
        <f>SUM(FJ112:FJ124)</f>
        <v>-951080.62</v>
      </c>
      <c r="FK125" s="7">
        <f t="shared" si="459"/>
        <v>-1.8404867475552019E-3</v>
      </c>
      <c r="FL125" s="389">
        <f>SUM(FL112:FL124)</f>
        <v>-125729.54</v>
      </c>
      <c r="FM125" s="7">
        <f t="shared" si="658"/>
        <v>-1.149862209915033E-2</v>
      </c>
      <c r="FN125" s="389">
        <f t="shared" ref="FN125" si="822">SUM(FN112:FN124)</f>
        <v>-96231.65</v>
      </c>
      <c r="FO125" s="7">
        <f t="shared" si="432"/>
        <v>-2.0140466029668042E-2</v>
      </c>
      <c r="FP125" s="389">
        <f t="shared" ref="FP125" si="823">SUM(FP112:FP124)</f>
        <v>-498508.72</v>
      </c>
      <c r="FQ125" s="7">
        <f t="shared" si="433"/>
        <v>-1.8019957848415785E-3</v>
      </c>
      <c r="FR125" s="389">
        <f>SUM(FR112:FR124)</f>
        <v>-720469.90999999992</v>
      </c>
      <c r="FS125" s="7">
        <f t="shared" si="434"/>
        <v>-2.4643675309898739E-3</v>
      </c>
      <c r="FT125" s="389">
        <f>SUM(FT112:FT124)</f>
        <v>-1671550.5299999998</v>
      </c>
      <c r="FU125" s="7">
        <f t="shared" si="462"/>
        <v>-2.065913003390435E-3</v>
      </c>
      <c r="FV125" s="389">
        <f>SUM(FV112:FV124)</f>
        <v>-99718.14</v>
      </c>
      <c r="FW125" s="7">
        <f t="shared" si="660"/>
        <v>-3.593454262592017E-3</v>
      </c>
      <c r="FX125" s="389">
        <f t="shared" ref="FX125" si="824">SUM(FX112:FX124)</f>
        <v>-439753.27</v>
      </c>
      <c r="FY125" s="7">
        <f t="shared" si="435"/>
        <v>-1.7130135831244109E-2</v>
      </c>
      <c r="FZ125" s="389">
        <f>SUM(FZ112:FZ124)</f>
        <v>162643.95000000001</v>
      </c>
      <c r="GA125" s="7">
        <f t="shared" si="436"/>
        <v>5.6256891368408981E-4</v>
      </c>
      <c r="GB125" s="389">
        <f>SUM(GB112:GB124)</f>
        <v>-376827.46</v>
      </c>
      <c r="GC125" s="7">
        <f t="shared" si="437"/>
        <v>-1.1001277291848638E-3</v>
      </c>
      <c r="GD125" s="389">
        <f>SUM(GD112:GD124)</f>
        <v>-2048377.9899999998</v>
      </c>
      <c r="GE125" s="7">
        <f t="shared" si="465"/>
        <v>-1.7786609849477087E-3</v>
      </c>
      <c r="GF125" s="567">
        <f>SUM(GF112:GF124)</f>
        <v>-1337397.3529962499</v>
      </c>
      <c r="GG125" s="525">
        <f t="shared" si="438"/>
        <v>-0.10378455727236341</v>
      </c>
      <c r="GH125" s="530">
        <f>SUM(GH112:GH124)</f>
        <v>-1003556.3075098332</v>
      </c>
      <c r="GI125" s="531">
        <f t="shared" si="439"/>
        <v>-220134700000.00003</v>
      </c>
      <c r="GJ125" s="530">
        <f>SUM(GJ112:GJ124)</f>
        <v>0</v>
      </c>
      <c r="GK125" s="531">
        <f t="shared" si="440"/>
        <v>0</v>
      </c>
      <c r="GL125" s="530">
        <f>SUM(GL112:GL124)</f>
        <v>-4389331.6505060829</v>
      </c>
      <c r="GM125" s="565">
        <f t="shared" si="468"/>
        <v>-3.7877086979241368E-3</v>
      </c>
      <c r="GO125" s="587">
        <f>SUM(GO112:GO124)</f>
        <v>-109432.04999999999</v>
      </c>
      <c r="GQ125" s="587">
        <f>SUM(GQ112:GQ124)</f>
        <v>-22013.47</v>
      </c>
      <c r="GT125" s="551">
        <f t="shared" si="558"/>
        <v>-111772.97630295657</v>
      </c>
      <c r="GU125" s="551">
        <f t="shared" si="471"/>
        <v>-130956.14369704344</v>
      </c>
      <c r="GV125" s="550">
        <f t="shared" si="732"/>
        <v>-242729.12</v>
      </c>
      <c r="GW125" s="529">
        <f>SUM(GW112:GW124)</f>
        <v>-1193809.74</v>
      </c>
      <c r="GX125" s="525">
        <f t="shared" si="664"/>
        <v>-1.0081873295732314E-3</v>
      </c>
      <c r="GY125" s="530">
        <f>SUM(GY112:GY124)</f>
        <v>-1193809.74</v>
      </c>
      <c r="GZ125" s="525">
        <f t="shared" si="665"/>
        <v>-1.3261603488799684E-3</v>
      </c>
      <c r="HA125" s="530">
        <f>SUM(HA112:HA124)</f>
        <v>-1193809.74</v>
      </c>
      <c r="HB125" s="526">
        <f t="shared" si="666"/>
        <v>-1.6399930362624234E-3</v>
      </c>
      <c r="HD125" s="529">
        <v>-1193809.74</v>
      </c>
      <c r="HE125" s="525">
        <v>-1.0049446110359285E-3</v>
      </c>
      <c r="HF125" s="530">
        <v>-1193809.74</v>
      </c>
      <c r="HG125" s="525">
        <v>-1.3261603488799684E-3</v>
      </c>
      <c r="HH125" s="530">
        <v>-1193809.74</v>
      </c>
      <c r="HI125" s="526">
        <v>-1.6399930362624234E-3</v>
      </c>
    </row>
    <row r="126" spans="1:217">
      <c r="A126" s="8" t="s">
        <v>114</v>
      </c>
      <c r="B126" s="8" t="s">
        <v>115</v>
      </c>
      <c r="C126" s="9">
        <f>C29+C47+C59+C69+C74+C78+C84+C86+C88+C93+C98+C107+C125+C111</f>
        <v>-40539195.759999998</v>
      </c>
      <c r="D126" s="11">
        <f>C126/C8</f>
        <v>-0.33211969702356825</v>
      </c>
      <c r="E126" s="9">
        <f>E29+E47+E59+E69+E74+E78+E84+E86+E88+E93+E98+E107+E125+E111</f>
        <v>-6488542.3099999968</v>
      </c>
      <c r="F126" s="11">
        <f>E126/E8</f>
        <v>-0.15990992692492995</v>
      </c>
      <c r="G126" s="9">
        <f>G29+G47+G59+G69+G74+G78+G84+G86+G88+G93+G98+G107+G125+G111</f>
        <v>-4419296.7266666675</v>
      </c>
      <c r="H126" s="9">
        <f>H29+H47+H59+H69+H74+H78+H84+H86+H88+H93+H98+H107+H125+H111</f>
        <v>409474.66000000038</v>
      </c>
      <c r="I126" s="10"/>
      <c r="J126" s="9">
        <f>J29+J47+J59+J69+J74+J78+J84+J86+J88+J93+J98+J107+J125+J111</f>
        <v>-7456705.6966666635</v>
      </c>
      <c r="K126" s="9">
        <f>K29+K47+K59+K69+K74+K78+K84+K86+K88+K93+K98+K107+K125+K111</f>
        <v>-3874194.1599999992</v>
      </c>
      <c r="L126" s="10"/>
      <c r="M126" s="9">
        <f>M29+M47+M59+M69+M74+M78+M84+M86+M88+M93+M98+M107+M125+M111</f>
        <v>1214515.9333333352</v>
      </c>
      <c r="N126" s="9">
        <f>N29+N47+N59+N69+N74+N78+N84+N86+N88+N93+N98+N107+N125+N111</f>
        <v>3288560.77</v>
      </c>
      <c r="O126" s="10"/>
      <c r="P126" s="9">
        <f>+G126+J126+M126</f>
        <v>-10661486.489999996</v>
      </c>
      <c r="Q126" s="9">
        <f>+H126+K126+N126</f>
        <v>-176158.72999999905</v>
      </c>
      <c r="R126" s="11">
        <f t="shared" si="442"/>
        <v>-4.8437735028834632E-3</v>
      </c>
      <c r="S126" s="9">
        <f>S29+S47+S59+S69+S74+S78+S84+S86+S88+S93+S98+S107+S125+S111</f>
        <v>-556943.34999999916</v>
      </c>
      <c r="T126" s="9">
        <f>T29+T47+T59+T69+T74+T78+T84+T86+T88+T93+T98+T107+T125+T111</f>
        <v>-556943.34999999916</v>
      </c>
      <c r="U126" s="11">
        <f>T126/T8</f>
        <v>-5.3418112209821608E-2</v>
      </c>
      <c r="V126" s="9">
        <f>V29+V47+V59+V69+V74+V78+V84+V86+V88+V93+V98+V107+V125+V111</f>
        <v>-2865145.5999999996</v>
      </c>
      <c r="W126" s="9">
        <f>W29+W47+W59+W69+W74+W78+W84+W86+W88+W93+W98+W107+W125+W111</f>
        <v>-2855617.9799999986</v>
      </c>
      <c r="X126" s="11">
        <f>W126/W8</f>
        <v>-0.25336973278887293</v>
      </c>
      <c r="Y126" s="9">
        <f>Y29+Y47+Y59+Y69+Y74+Y78+Y84+Y86+Y88+Y93+Y98+Y107+Y125+Y111</f>
        <v>4682497.55</v>
      </c>
      <c r="Z126" s="9">
        <f>Z29+Z47+Z59+Z69+Z74+Z78+Z84+Z86+Z88+Z93+Z98+Z107+Z125+Z111</f>
        <v>4672969.9300000006</v>
      </c>
      <c r="AA126" s="11">
        <f>Z126/Z8</f>
        <v>0.30362365146081138</v>
      </c>
      <c r="AB126" s="9">
        <f>AB29+AB47+AB59+AB69+AB74+AB78+AB84+AB86+AB88+AB93+AB98+AB107+AB125+AB111</f>
        <v>1260408.6000000024</v>
      </c>
      <c r="AC126" s="9">
        <f>AC29+AC47+AC59+AC69+AC74+AC78+AC84+AC86+AC88+AC93+AC98+AC107+AC125+AC111</f>
        <v>1260408.6000000024</v>
      </c>
      <c r="AD126" s="11">
        <f t="shared" si="443"/>
        <v>3.3984877958488209E-2</v>
      </c>
      <c r="AE126" s="9">
        <f>AE29+AE47+AE59+AE69+AE74+AE78+AE84+AE86+AE88+AE93+AE98+AE107+AE125+AE111</f>
        <v>1084249.8700000027</v>
      </c>
      <c r="AF126" s="9">
        <f>AF29+AF47+AF59+AF69+AF74+AF78+AF84+AF86+AF88+AF93+AF98+AF107+AF125+AF111</f>
        <v>1084249.8700000027</v>
      </c>
      <c r="AG126" s="11">
        <f>AF126/AF8</f>
        <v>1.4760652938520144E-2</v>
      </c>
      <c r="AH126" s="9">
        <f>AH29+AH47+AH59+AH69+AH74+AH78+AH84+AH86+AH88+AH93+AH98+AH107+AH125+AH111</f>
        <v>-6803737.1299999999</v>
      </c>
      <c r="AI126" s="9">
        <f>AI29+AI47+AI59+AI69+AI74+AI78+AI84+AI86+AI88+AI93+AI98+AI107+AI125+AI111</f>
        <v>-6803737.1299999999</v>
      </c>
      <c r="AJ126" s="11">
        <f>AI126/AI8</f>
        <v>-1.1427338527353414</v>
      </c>
      <c r="AK126" s="9">
        <f>AK29+AK47+AK59+AK69+AK74+AK78+AK84+AK86+AK88+AK93+AK98+AK107+AK125+AK111</f>
        <v>-2699066.6000000006</v>
      </c>
      <c r="AL126" s="9">
        <f>AL29+AL47+AL59+AL69+AL74+AL78+AL84+AL86+AL88+AL93+AL98+AL107+AL125+AL111</f>
        <v>-2699066.6000000006</v>
      </c>
      <c r="AM126" s="11">
        <f>AL126/AL8</f>
        <v>-0.38740526023910493</v>
      </c>
      <c r="AN126" s="9">
        <f>AN29+AN47+AN59+AN69+AN74+AN78+AN84+AN86+AN88+AN93+AN98+AN107+AN125+AN111</f>
        <v>9280276.2499999981</v>
      </c>
      <c r="AO126" s="9">
        <f>AO29+AO47+AO59+AO69+AO74+AO78+AO84+AO86+AO88+AO93+AO98+AO107+AO125+AO111</f>
        <v>9280276.2499999981</v>
      </c>
      <c r="AP126" s="11">
        <f>AO126/AO8</f>
        <v>0.67730870917891506</v>
      </c>
      <c r="AQ126" s="9">
        <f>AQ29+AQ47+AQ59+AQ69+AQ74+AQ78+AQ84+AQ86+AQ88+AQ93+AQ98+AQ107+AQ125+AQ111</f>
        <v>-222527.48000000417</v>
      </c>
      <c r="AR126" s="9">
        <f>AR29+AR47+AR59+AR69+AR74+AR78+AR84+AR86+AR88+AR93+AR98+AR107+AR125+AR111</f>
        <v>-222527.48000000417</v>
      </c>
      <c r="AS126" s="11">
        <f t="shared" si="444"/>
        <v>-8.3585798288492181E-3</v>
      </c>
      <c r="AT126" s="9">
        <f>AT29+AT47+AT59+AT69+AT74+AT78+AT84+AT86+AT88+AT93+AT98+AT107+AT125+AT111</f>
        <v>861722.38999998104</v>
      </c>
      <c r="AU126" s="11">
        <f>AT126/AT8</f>
        <v>8.6105028841464617E-3</v>
      </c>
      <c r="AV126" s="9">
        <f>AV29+AV47+AV59+AV69+AV74+AV78+AV84+AV86+AV88+AV93+AV98+AV107+AV125+AV111</f>
        <v>-6360599.4027452338</v>
      </c>
      <c r="AW126" s="9">
        <f>AW29+AW47+AW59+AW69+AW74+AW78+AW84+AW86+AW88+AW93+AW98+AW107+AW125+AW111</f>
        <v>-11751225.609999998</v>
      </c>
      <c r="AX126" s="11">
        <f>AW126/AW8</f>
        <v>-3.6424998154685069</v>
      </c>
      <c r="AY126" s="9">
        <f>AY29+AY47+AY59+AY69+AY74+AY78+AY84+AY86+AY88+AY93+AY98+AY107+AY125+AY111</f>
        <v>1244224.2827776892</v>
      </c>
      <c r="AZ126" s="9">
        <f>AZ29+AZ47+AZ59+AZ69+AZ74+AZ78+AZ84+AZ86+AZ88+AZ93+AZ98+AZ107+AZ125+AZ111</f>
        <v>-5058822.3500000006</v>
      </c>
      <c r="BA126" s="11">
        <f>AZ126/AZ8</f>
        <v>-1.0019911108284285</v>
      </c>
      <c r="BB126" s="9">
        <f>BB29+BB47+BB59+BB69+BB74+BB78+BB84+BB86+BB88+BB93+BB98+BB107+BB125+BB111</f>
        <v>17075511.694293052</v>
      </c>
      <c r="BC126" s="9">
        <f>BC29+BC47+BC59+BC69+BC74+BC78+BC84+BC86+BC88+BC93+BC98+BC107+BC125+BC111</f>
        <v>19926138.129999995</v>
      </c>
      <c r="BD126" s="19">
        <f>BC126/BC8</f>
        <v>0.86167997950051323</v>
      </c>
      <c r="BE126" s="9">
        <f>BE29+BE47+BE59+BE69+BE74+BE78+BE84+BE86+BE88+BE93+BE98+BE107+BE125+BE111</f>
        <v>11959136.574325515</v>
      </c>
      <c r="BF126" s="9">
        <f>BF29+BF47+BF59+BF69+BF74+BF78+BF84+BF86+BF88+BF93+BF98+BF107+BF125+BF111</f>
        <v>3116090.1699999957</v>
      </c>
      <c r="BG126" s="11">
        <f t="shared" si="445"/>
        <v>9.9239591468985311E-2</v>
      </c>
      <c r="BH126" s="9">
        <f>BH29+BH47+BH59+BH69+BH74+BH78+BH84+BH86+BH88+BH93+BH98+BH107+BH125+BH111</f>
        <v>12820858.964325488</v>
      </c>
      <c r="BI126" s="9">
        <f>BI29+BI47+BI59+BI69+BI74+BI78+BI84+BI86+BI88+BI93+BI98+BI107+BI125+BI111</f>
        <v>3977812.5600000112</v>
      </c>
      <c r="BJ126" s="11">
        <f t="shared" si="446"/>
        <v>3.0254650407813388E-2</v>
      </c>
      <c r="BK126" s="9">
        <f>BK29+BK47+BK59+BK69+BK74+BK78+BK84+BK86+BK88+BK93+BK98+BK107+BK125+BK111</f>
        <v>27972422.480000101</v>
      </c>
      <c r="BL126" s="285">
        <f>BK126/BK8</f>
        <v>9.8067439396160028E-2</v>
      </c>
      <c r="BN126" s="9">
        <f>BN29+BN47+BN59+BN69+BN74+BN78+BN84+BN86+BN88+BN93+BN98+BN107+BN125+BN111</f>
        <v>-2857724.0500000007</v>
      </c>
      <c r="BO126" s="11">
        <f>BN126/BN8</f>
        <v>-0.21169868717249657</v>
      </c>
      <c r="BP126" s="9">
        <f>BP29+BP47+BP59+BP69+BP74+BP78+BP84+BP86+BP88+BP93+BP98+BP107+BP125+BP111</f>
        <v>-8502083.0000000019</v>
      </c>
      <c r="BQ126" s="11">
        <f>BP126/BP8</f>
        <v>-0.91882058690951962</v>
      </c>
      <c r="BR126" s="9">
        <f>BR29+BR47+BR59+BR69+BR74+BR78+BR84+BR86+BR88+BR93+BR98+BR107+BR125+BR111</f>
        <v>14012410.709999999</v>
      </c>
      <c r="BS126" s="11">
        <f>BR126/BR8</f>
        <v>0.44535832930292463</v>
      </c>
      <c r="BT126" s="9">
        <f>BT29+BT47+BT59+BT69+BT74+BT78+BT84+BT86+BT88+BT93+BT98+BT107+BT125+BT111</f>
        <v>2652603.6599999811</v>
      </c>
      <c r="BU126" s="11">
        <f t="shared" si="447"/>
        <v>4.8927033543888762E-2</v>
      </c>
      <c r="BV126" s="9">
        <f>BV29+BV47+BV59+BV69+BV74+BV78+BV84+BV86+BV88+BV93+BV98+BV107+BV125+BV111</f>
        <v>-4187690.8200000003</v>
      </c>
      <c r="BW126" s="11">
        <f>BV126/BV8</f>
        <v>-1.1350345457873541</v>
      </c>
      <c r="BX126" s="9">
        <f>BX29+BX47+BX59+BX69+BX74+BX78+BX84+BX86+BX88+BX93+BX98+BX107+BX125+BX111</f>
        <v>3632528.0899999985</v>
      </c>
      <c r="BY126" s="11">
        <f>BX126/BX8</f>
        <v>0.21767973136353577</v>
      </c>
      <c r="BZ126" s="9">
        <f>BZ29+BZ47+BZ59+BZ69+BZ74+BZ78+BZ84+BZ86+BZ88+BZ93+BZ98+BZ107+BZ125+BZ111</f>
        <v>1599299.8699999996</v>
      </c>
      <c r="CA126" s="11">
        <f>BZ126/BZ8</f>
        <v>0.11533969354134917</v>
      </c>
      <c r="CB126" s="9">
        <f>CB29+CB47+CB59+CB69+CB74+CB78+CB84+CB86+CB88+CB93+CB98+CB107+CB125+CB111</f>
        <v>1044137.1399999938</v>
      </c>
      <c r="CC126" s="11">
        <f t="shared" si="534"/>
        <v>3.0492015268789072E-2</v>
      </c>
      <c r="CD126" s="9">
        <f>CD29+CD47+CD59+CD69+CD74+CD78+CD84+CD86+CD88+CD93+CD98+CD107+CD125+CD111</f>
        <v>3696740.7999999984</v>
      </c>
      <c r="CE126" s="11">
        <f t="shared" si="448"/>
        <v>4.1790693087349499E-2</v>
      </c>
      <c r="CF126" s="9">
        <f>CF29+CF47+CF59+CF69+CF74+CF78+CF84+CF86+CF88+CF93+CF98+CF107+CF125+CF111</f>
        <v>-5454112.8199999984</v>
      </c>
      <c r="CG126" s="11">
        <f t="shared" si="449"/>
        <v>-1.0798311142642596</v>
      </c>
      <c r="CH126" s="9">
        <f>CH29+CH47+CH59+CH69+CH74+CH78+CH84+CH86+CH88+CH93+CH98+CH107+CH125+CH111</f>
        <v>3038816.6699999962</v>
      </c>
      <c r="CI126" s="11">
        <f t="shared" si="449"/>
        <v>8.1952520716448166E-2</v>
      </c>
      <c r="CJ126" s="9">
        <f>CJ29+CJ47+CJ59+CJ69+CJ74+CJ78+CJ84+CJ86+CJ88+CJ93+CJ98+CJ107+CJ125+CJ111</f>
        <v>7838350.5999999959</v>
      </c>
      <c r="CK126" s="11">
        <f t="shared" si="449"/>
        <v>0.27832791677626378</v>
      </c>
      <c r="CL126" s="9">
        <f>CL29+CL47+CL59+CL69+CL74+CL78+CL84+CL86+CL88+CL93+CL98+CL107+CL125+CL111</f>
        <v>5423054.4499999946</v>
      </c>
      <c r="CM126" s="11">
        <f t="shared" si="449"/>
        <v>7.7148852509177232E-2</v>
      </c>
      <c r="CN126" s="9">
        <f>CN29+CN47+CN59+CN69+CN74+CN78+CN84+CN86+CN88+CN93+CN98+CN107+CN125+CN111</f>
        <v>9119795.2500000037</v>
      </c>
      <c r="CO126" s="11">
        <f t="shared" si="639"/>
        <v>5.7446855462274016E-2</v>
      </c>
      <c r="CP126" s="9">
        <f>CP29+CP47+CP59+CP69+CP74+CP78+CP84+CP86+CP88+CP93+CP98+CP107+CP125+CP111</f>
        <v>-2369563.3600000003</v>
      </c>
      <c r="CQ126" s="11">
        <f t="shared" si="728"/>
        <v>-0.12095721509257536</v>
      </c>
      <c r="CR126" s="9">
        <f>CR29+CR47+CR59+CR69+CR74+CR78+CR84+CR86+CR88+CR93+CR98+CR107+CR125+CR111</f>
        <v>6750231.8899999997</v>
      </c>
      <c r="CS126" s="11">
        <f t="shared" si="641"/>
        <v>3.7849937329539847E-2</v>
      </c>
      <c r="CT126" s="9">
        <f t="shared" ref="CT126" si="825">CT29+CT47+CT59+CT69+CT74+CT78+CT84+CT86+CT88+CT93+CT98+CT107+CT125+CT111</f>
        <v>1499441.4599999993</v>
      </c>
      <c r="CU126" s="11">
        <f t="shared" si="611"/>
        <v>9.5721586384165794E-2</v>
      </c>
      <c r="CV126" s="9">
        <f t="shared" ref="CV126" si="826">CV29+CV47+CV59+CV69+CV74+CV78+CV84+CV86+CV88+CV93+CV98+CV107+CV125+CV111</f>
        <v>10217623.310000001</v>
      </c>
      <c r="CW126" s="11">
        <f t="shared" si="452"/>
        <v>0.16329656387280048</v>
      </c>
      <c r="CX126" s="9">
        <f>CX29+CX47+CX59+CX69+CX74+CX78+CX84+CX86+CX88+CX93+CX98+CX107+CX125+CX111</f>
        <v>9347501.4099999722</v>
      </c>
      <c r="CY126" s="11">
        <f t="shared" si="729"/>
        <v>9.5552643892389863E-2</v>
      </c>
      <c r="CZ126" s="9">
        <f>CZ29+CZ47+CZ59+CZ69+CZ74+CZ78+CZ84+CZ86+CZ88+CZ93+CZ98+CZ107+CZ125+CZ111</f>
        <v>18467296.660000056</v>
      </c>
      <c r="DA126" s="11">
        <f t="shared" si="453"/>
        <v>7.1975502068479955E-2</v>
      </c>
      <c r="DB126" s="9">
        <f>DB29+DB47+DB59+DB69+DB74+DB78+DB84+DB86+DB88+DB93+DB98+DB107+DB125+DB111</f>
        <v>484072.73999999906</v>
      </c>
      <c r="DC126" s="11">
        <f t="shared" si="642"/>
        <v>2.5216970270951218E-2</v>
      </c>
      <c r="DD126" s="9">
        <f>DD29+DD47+DD59+DD69+DD74+DD78+DD84+DD86+DD88+DD93+DD98+DD107+DD125+DD111</f>
        <v>2258974.5300000021</v>
      </c>
      <c r="DE126" s="11">
        <f>+DD126/DD$8</f>
        <v>8.6993347127830287E-2</v>
      </c>
      <c r="DF126" s="9">
        <f>DF29+DF47+DF59+DF69+DF74+DF78+DF84+DF86+DF88+DF93+DF98+DF107+DF125+DF111</f>
        <v>5610363.2999999998</v>
      </c>
      <c r="DG126" s="11">
        <f t="shared" si="642"/>
        <v>0.1808616218340959</v>
      </c>
      <c r="DH126" s="9">
        <f>DH29+DH47+DH59+DH69+DH74+DH78+DH84+DH86+DH88+DH93+DH98+DH107+DH125+DH111</f>
        <v>8353410.5700000059</v>
      </c>
      <c r="DI126" s="11">
        <f t="shared" si="730"/>
        <v>0.10964824175409707</v>
      </c>
      <c r="DJ126" s="9">
        <f>DJ29+DJ47+DJ59+DJ69+DJ74+DJ78+DJ84+DJ86+DJ88+DJ93+DJ98+DJ107+DJ125+DJ111</f>
        <v>1609573.4735125415</v>
      </c>
      <c r="DK126" s="11">
        <f t="shared" si="643"/>
        <v>3.0603695292081033E-2</v>
      </c>
      <c r="DL126" s="9">
        <f>DL29+DL47+DL59+DL69+DL74+DL78+DL84+DL86+DL88+DL93+DL98+DL107+DL125+DL111</f>
        <v>-3118017.3799999985</v>
      </c>
      <c r="DM126" s="11">
        <f t="shared" si="644"/>
        <v>-0.35946778078092317</v>
      </c>
      <c r="DN126" s="9">
        <f>DN29+DN47+DN59+DN69+DN74+DN78+DN84+DN86+DN88+DN93+DN98+DN107+DN125+DN111</f>
        <v>-1144458.8899999997</v>
      </c>
      <c r="DO126" s="11">
        <f t="shared" si="645"/>
        <v>-6.6690842154387614E-2</v>
      </c>
      <c r="DP126" s="9">
        <f>DP29+DP47+DP59+DP69+DP74+DP78+DP84+DP86+DP88+DP93+DP98+DP107+DP125+DP111</f>
        <v>16124108.689999999</v>
      </c>
      <c r="DQ126" s="11">
        <f t="shared" si="646"/>
        <v>0.19216985858246904</v>
      </c>
      <c r="DR126" s="9">
        <f>DR29+DR47+DR59+DR69+DR74+DR78+DR84+DR86+DR88+DR93+DR98+DR107+DR125+DR111</f>
        <v>11861632.419999996</v>
      </c>
      <c r="DS126" s="11">
        <f t="shared" si="731"/>
        <v>0.10808835966264661</v>
      </c>
      <c r="DT126" s="9">
        <f>DT29+DT47+DT59+DT69+DT74+DT78+DT84+DT86+DT88+DT93+DT98+DT107+DT125+DT111</f>
        <v>20215042.990000021</v>
      </c>
      <c r="DU126" s="11">
        <f t="shared" si="454"/>
        <v>0.10872753321026223</v>
      </c>
      <c r="DV126" s="9">
        <f>DV29+DV47+DV59+DV69+DV74+DV78+DV84+DV86+DV88+DV93+DV98+DV107+DV125+DV111</f>
        <v>-9138286.9600000083</v>
      </c>
      <c r="DW126" s="11">
        <f t="shared" si="647"/>
        <v>-0.20076512495138055</v>
      </c>
      <c r="DX126" s="9">
        <f>DX29+DX47+DX59+DX69+DX74+DX78+DX84+DX86+DX88+DX93+DX98+DX107+DX125+DX111</f>
        <v>7046356.4100000011</v>
      </c>
      <c r="DY126" s="11">
        <f>+DX126/DX$8</f>
        <v>0.27256034841944032</v>
      </c>
      <c r="DZ126" s="9">
        <f>DZ29+DZ47+DZ59+DZ69+DZ74+DZ78+DZ84+DZ86+DZ88+DZ93+DZ98+DZ107+DZ125+DZ111</f>
        <v>26920283.170000013</v>
      </c>
      <c r="EA126" s="11">
        <f t="shared" si="649"/>
        <v>0.22003872288336071</v>
      </c>
      <c r="EB126" s="9">
        <f>EB29+EB47+EB59+EB69+EB74+EB78+EB84+EB86+EB88+EB93+EB98+EB107+EB125+EB111</f>
        <v>24828352.61999999</v>
      </c>
      <c r="EC126" s="11">
        <f t="shared" si="427"/>
        <v>0.12817070973337596</v>
      </c>
      <c r="ED126" s="9">
        <f>ED29+ED47+ED59+ED69+ED74+ED78+ED84+ED86+ED88+ED93+ED98+ED107+ED125+ED111</f>
        <v>45043395.610000059</v>
      </c>
      <c r="EE126" s="11">
        <f t="shared" si="455"/>
        <v>0.11864858646170069</v>
      </c>
      <c r="EF126" s="9">
        <f>EF29+EF47+EF59+EF69+EF74+EF78+EF84+EF86+EF88+EF93+EF98+EF107+EF125+EF111</f>
        <v>-9850065.2399999965</v>
      </c>
      <c r="EG126" s="11">
        <f t="shared" si="650"/>
        <v>-0.66659513685781524</v>
      </c>
      <c r="EH126" s="9">
        <f>EH29+EH47+EH59+EH69+EH74+EH78+EH84+EH86+EH88+EH93+EH98+EH107+EH125+EH111</f>
        <v>-3521342.2300000009</v>
      </c>
      <c r="EI126" s="11">
        <f>+EH126/EH$8</f>
        <v>-0.27621279851186464</v>
      </c>
      <c r="EJ126" s="9">
        <f>EJ29+EJ47+EJ59+EJ69+EJ74+EJ78+EJ84+EJ86+EJ88+EJ93+EJ98+EJ107+EJ125+EJ111</f>
        <v>41788380.969999984</v>
      </c>
      <c r="EK126" s="11">
        <f t="shared" si="652"/>
        <v>0.26759457216730403</v>
      </c>
      <c r="EL126" s="9">
        <f>EL29+EL47+EL59+EL69+EL74+EL78+EL84+EL86+EL88+EL93+EL98+EL107+EL125+EL111</f>
        <v>28416973.499999993</v>
      </c>
      <c r="EM126" s="11">
        <f t="shared" si="428"/>
        <v>0.15470207736269626</v>
      </c>
      <c r="EN126" s="9">
        <f>EN29+EN47+EN59+EN69+EN74+EN78+EN84+EN86+EN88+EN93+EN98+EN107+EN125+EN111</f>
        <v>73460369.110000104</v>
      </c>
      <c r="EO126" s="11">
        <f t="shared" si="456"/>
        <v>0.13040485962209125</v>
      </c>
      <c r="EP126" s="373"/>
      <c r="EQ126" s="373"/>
      <c r="ER126" s="373"/>
      <c r="ES126" s="373"/>
      <c r="ET126" s="9">
        <f>ET29+ET47+ET59+ET69+ET74+ET78+ET84+ET86+ET88+ET93+ET98+ET107+ET125+ET111</f>
        <v>-5522007.7800000003</v>
      </c>
      <c r="EU126" s="11">
        <f t="shared" si="653"/>
        <v>-0.74865349428923322</v>
      </c>
      <c r="EV126" s="9">
        <f>EV29+EV47+EV59+EV69+EV74+EV78+EV84+EV86+EV88+EV93+EV98+EV107+EV125+EV111</f>
        <v>-10197785.500000002</v>
      </c>
      <c r="EW126" s="11">
        <f>+EV126/EV$8</f>
        <v>-1.6732988183388742</v>
      </c>
      <c r="EX126" s="9">
        <f>EX29+EX47+EX59+EX69+EX74+EX78+EX84+EX86+EX88+EX93+EX98+EX107+EX125+EX111</f>
        <v>42495031.299999975</v>
      </c>
      <c r="EY126" s="11">
        <f t="shared" si="655"/>
        <v>0.18614732358406244</v>
      </c>
      <c r="EZ126" s="9">
        <f>EZ29+EZ47+EZ59+EZ69+EZ74+EZ78+EZ84+EZ86+EZ88+EZ93+EZ98+EZ107+EZ125+EZ111</f>
        <v>26775238.019999981</v>
      </c>
      <c r="FA126" s="11">
        <f t="shared" si="429"/>
        <v>0.1107524919621314</v>
      </c>
      <c r="FB126" s="9">
        <f>FB29+FB47+FB59+FB69+FB74+FB78+FB84+FB86+FB88+FB93+FB98+FB107+FB125+FB111</f>
        <v>-7411310.4100000001</v>
      </c>
      <c r="FC126" s="11">
        <f t="shared" si="656"/>
        <v>-0.81784907496188752</v>
      </c>
      <c r="FD126" s="9">
        <f t="shared" ref="FD126" si="827">FD29+FD47+FD59+FD69+FD74+FD78+FD84+FD86+FD88+FD93+FD98+FD107+FD125+FD111</f>
        <v>10212948.429999992</v>
      </c>
      <c r="FE126" s="11">
        <f t="shared" si="612"/>
        <v>9.7031702167414385E-2</v>
      </c>
      <c r="FF126" s="9">
        <f t="shared" ref="FF126" si="828">FF29+FF47+FF59+FF69+FF74+FF78+FF84+FF86+FF88+FF93+FF98+FF107+FF125+FF111</f>
        <v>27823138.200000018</v>
      </c>
      <c r="FG126" s="11">
        <f t="shared" si="430"/>
        <v>0.17315672069184584</v>
      </c>
      <c r="FH126" s="9">
        <f>FH29+FH47+FH59+FH69+FH74+FH78+FH84+FH86+FH88+FH93+FH98+FH107+FH125+FH111</f>
        <v>30624776.220000032</v>
      </c>
      <c r="FI126" s="11">
        <f t="shared" si="431"/>
        <v>0.11136383142465967</v>
      </c>
      <c r="FJ126" s="9">
        <f>FJ29+FJ47+FJ59+FJ69+FJ74+FJ78+FJ84+FJ86+FJ88+FJ93+FJ98+FJ107+FJ125+FJ111</f>
        <v>57400014.240000084</v>
      </c>
      <c r="FK126" s="11">
        <f t="shared" si="459"/>
        <v>0.11107782378974354</v>
      </c>
      <c r="FL126" s="9">
        <f>FL29+FL47+FL59+FL69+FL74+FL78+FL84+FL86+FL88+FL93+FL98+FL107+FL125+FL111</f>
        <v>-5507866.3300000001</v>
      </c>
      <c r="FM126" s="11">
        <f t="shared" si="658"/>
        <v>-0.50372309881435995</v>
      </c>
      <c r="FN126" s="9">
        <f t="shared" ref="FN126" si="829">FN29+FN47+FN59+FN69+FN74+FN78+FN84+FN86+FN88+FN93+FN98+FN107+FN125+FN111</f>
        <v>-10051840.1</v>
      </c>
      <c r="FO126" s="11">
        <f t="shared" si="432"/>
        <v>-2.1037646561157897</v>
      </c>
      <c r="FP126" s="9">
        <f t="shared" ref="FP126" si="830">FP29+FP47+FP59+FP69+FP74+FP78+FP84+FP86+FP88+FP93+FP98+FP107+FP125+FP111</f>
        <v>47384567.860000037</v>
      </c>
      <c r="FQ126" s="11">
        <f t="shared" si="433"/>
        <v>0.17128444924746714</v>
      </c>
      <c r="FR126" s="9">
        <f>FR29+FR47+FR59+FR69+FR74+FR78+FR84+FR86+FR88+FR93+FR98+FR107+FR125+FR111</f>
        <v>31824861.430000011</v>
      </c>
      <c r="FS126" s="11">
        <f t="shared" si="434"/>
        <v>0.10885694752518396</v>
      </c>
      <c r="FT126" s="9">
        <f>FT29+FT47+FT59+FT69+FT74+FT78+FT84+FT86+FT88+FT93+FT98+FT107+FT125+FT111</f>
        <v>89224875.670000017</v>
      </c>
      <c r="FU126" s="11">
        <f t="shared" si="462"/>
        <v>0.11027535666094875</v>
      </c>
      <c r="FV126" s="9">
        <f>FV29+FV47+FV59+FV69+FV74+FV78+FV84+FV86+FV88+FV93+FV98+FV107+FV125+FV111</f>
        <v>6098426.8899999978</v>
      </c>
      <c r="FW126" s="11">
        <f t="shared" si="660"/>
        <v>0.21976360673169665</v>
      </c>
      <c r="FX126" s="9">
        <f t="shared" ref="FX126" si="831">FX29+FX47+FX59+FX69+FX74+FX78+FX84+FX86+FX88+FX93+FX98+FX107+FX125+FX111</f>
        <v>-15758175.15</v>
      </c>
      <c r="FY126" s="11">
        <f t="shared" si="435"/>
        <v>-0.61384348721735604</v>
      </c>
      <c r="FZ126" s="9">
        <f t="shared" ref="FZ126" si="832">FZ29+FZ47+FZ59+FZ69+FZ74+FZ78+FZ84+FZ86+FZ88+FZ93+FZ98+FZ107+FZ125+FZ111</f>
        <v>60725103.399999969</v>
      </c>
      <c r="GA126" s="11">
        <f t="shared" si="436"/>
        <v>0.21004196868738131</v>
      </c>
      <c r="GB126" s="9">
        <f>GB29+GB47+GB59+GB69+GB74+GB78+GB84+GB86+GB88+GB93+GB98+GB107+GB125+GB111</f>
        <v>51065355.139999971</v>
      </c>
      <c r="GC126" s="11">
        <f t="shared" si="437"/>
        <v>0.14908258859422499</v>
      </c>
      <c r="GD126" s="9">
        <f>GD29+GD47+GD59+GD69+GD74+GD78+GD84+GD86+GD88+GD93+GD98+GD107+GD125+GD111</f>
        <v>140290230.80999967</v>
      </c>
      <c r="GE126" s="478">
        <f t="shared" si="465"/>
        <v>0.1218177315560081</v>
      </c>
      <c r="GF126" s="568">
        <f t="shared" ref="GF126:GH126" si="833">GF29+GF47+GF59+GF69+GF74+GF78+GF84+GF86+GF88+GF93+GF98+GF107+GF125+GF111</f>
        <v>-5373814.3902533334</v>
      </c>
      <c r="GG126" s="533">
        <f t="shared" si="438"/>
        <v>-0.41701813309769692</v>
      </c>
      <c r="GH126" s="534">
        <f t="shared" si="833"/>
        <v>-1003556.3075052744</v>
      </c>
      <c r="GI126" s="628">
        <f t="shared" si="439"/>
        <v>-220134699999.00003</v>
      </c>
      <c r="GJ126" s="534">
        <f t="shared" ref="GJ126" si="834">GJ29+GJ47+GJ59+GJ69+GJ74+GJ78+GJ84+GJ86+GJ88+GJ93+GJ98+GJ107+GJ125+GJ111</f>
        <v>0</v>
      </c>
      <c r="GK126" s="628">
        <f t="shared" si="440"/>
        <v>0</v>
      </c>
      <c r="GL126" s="534">
        <f>GL29+GL47+GL59+GL69+GL74+GL78+GL84+GL86+GL88+GL93+GL98+GL107+GL125+GL111</f>
        <v>133912860.11224127</v>
      </c>
      <c r="GM126" s="619">
        <f>+GL126/GL$8</f>
        <v>0.11555811804572855</v>
      </c>
      <c r="GO126" s="588">
        <f t="shared" ref="GO126" si="835">GO29+GO47+GO59+GO69+GO74+GO78+GO84+GO86+GO88+GO93+GO98+GO107+GO125+GO111</f>
        <v>-439710.4</v>
      </c>
      <c r="GQ126" s="588">
        <f t="shared" ref="GQ126" si="836">GQ29+GQ47+GQ59+GQ69+GQ74+GQ78+GQ84+GQ86+GQ88+GQ93+GQ98+GQ107+GQ125+GQ111</f>
        <v>-22013.4699999</v>
      </c>
      <c r="GT126" s="551">
        <f t="shared" si="558"/>
        <v>38606485.532538027</v>
      </c>
      <c r="GU126" s="551">
        <f t="shared" si="471"/>
        <v>45232368.630262069</v>
      </c>
      <c r="GV126" s="550">
        <f t="shared" si="732"/>
        <v>83838854.162800089</v>
      </c>
      <c r="GW126" s="532">
        <f>GW29+GW47+GW59+GW69+GW74+GW78+GW84+GW86+GW88+GW93+GW98+GW107+GW125+GW111</f>
        <v>141238868.40280017</v>
      </c>
      <c r="GX126" s="533">
        <f t="shared" si="664"/>
        <v>0.11927799949677421</v>
      </c>
      <c r="GY126" s="534">
        <f>GY29+GY47+GY59+GY69+GY74+GY78+GY84+GY86+GY88+GY93+GY98+GY107+GY125+GY111</f>
        <v>58443786.965258695</v>
      </c>
      <c r="GZ126" s="533">
        <f t="shared" si="665"/>
        <v>6.4923103166936807E-2</v>
      </c>
      <c r="HA126" s="534">
        <f>HA29+HA47+HA59+HA69+HA74+HA78+HA84+HA86+HA88+HA93+HA98+HA107+HA125+HA111</f>
        <v>58892510.255577184</v>
      </c>
      <c r="HB126" s="535">
        <f t="shared" si="666"/>
        <v>8.0903433328630689E-2</v>
      </c>
      <c r="HD126" s="532">
        <v>157592509.9893274</v>
      </c>
      <c r="HE126" s="533">
        <v>0.13266079036463574</v>
      </c>
      <c r="HF126" s="534">
        <v>58443786.965258695</v>
      </c>
      <c r="HG126" s="533">
        <v>6.4923103166936807E-2</v>
      </c>
      <c r="HH126" s="534">
        <v>58892510.255577184</v>
      </c>
      <c r="HI126" s="535">
        <v>8.0903433328630689E-2</v>
      </c>
    </row>
    <row r="127" spans="1:217" ht="15" customHeight="1" outlineLevel="1">
      <c r="A127" s="386" t="s">
        <v>116</v>
      </c>
      <c r="B127" s="386" t="s">
        <v>117</v>
      </c>
      <c r="C127" s="388">
        <v>-23163000</v>
      </c>
      <c r="D127" s="4"/>
      <c r="E127" s="388">
        <v>6973000</v>
      </c>
      <c r="F127" s="4"/>
      <c r="G127" s="388"/>
      <c r="H127" s="388"/>
      <c r="I127" s="4"/>
      <c r="J127" s="375"/>
      <c r="K127" s="375"/>
      <c r="L127" s="4"/>
      <c r="M127" s="375"/>
      <c r="N127" s="375"/>
      <c r="O127" s="4"/>
      <c r="P127" s="375">
        <f>+G127+J127+M127</f>
        <v>0</v>
      </c>
      <c r="Q127" s="375">
        <f>+H127+K127+N127</f>
        <v>0</v>
      </c>
      <c r="R127" s="7">
        <f t="shared" si="442"/>
        <v>0</v>
      </c>
      <c r="S127" s="375"/>
      <c r="T127" s="375"/>
      <c r="U127" s="4"/>
      <c r="V127" s="375"/>
      <c r="W127" s="375"/>
      <c r="X127" s="4"/>
      <c r="Y127" s="375"/>
      <c r="Z127" s="375"/>
      <c r="AA127" s="4"/>
      <c r="AB127" s="375">
        <f t="shared" si="684"/>
        <v>0</v>
      </c>
      <c r="AC127" s="375">
        <f t="shared" si="533"/>
        <v>0</v>
      </c>
      <c r="AD127" s="7">
        <f t="shared" si="443"/>
        <v>0</v>
      </c>
      <c r="AE127" s="375">
        <f t="shared" ref="AE127:AE128" si="837">+Q127+AB127</f>
        <v>0</v>
      </c>
      <c r="AF127" s="375">
        <f>+AC127+Q127</f>
        <v>0</v>
      </c>
      <c r="AG127" s="4"/>
      <c r="AH127" s="375"/>
      <c r="AI127" s="375"/>
      <c r="AJ127" s="4"/>
      <c r="AK127" s="375"/>
      <c r="AL127" s="375"/>
      <c r="AM127" s="4"/>
      <c r="AN127" s="375"/>
      <c r="AO127" s="375"/>
      <c r="AP127" s="4"/>
      <c r="AQ127" s="375">
        <f t="shared" ref="AQ127:AQ128" si="838">AN127+AK127+AH127</f>
        <v>0</v>
      </c>
      <c r="AR127" s="375">
        <f t="shared" ref="AR127" si="839">AO127+AL127+AI127</f>
        <v>0</v>
      </c>
      <c r="AS127" s="7">
        <f t="shared" si="444"/>
        <v>0</v>
      </c>
      <c r="AT127" s="375">
        <f t="shared" ref="AT127:AT134" si="840">+AF127+AR127</f>
        <v>0</v>
      </c>
      <c r="AU127" s="4"/>
      <c r="AV127" s="375"/>
      <c r="AW127" s="375"/>
      <c r="AX127" s="4"/>
      <c r="AY127" s="375"/>
      <c r="AZ127" s="375"/>
      <c r="BA127" s="4"/>
      <c r="BB127" s="375"/>
      <c r="BC127" s="375"/>
      <c r="BD127" s="448"/>
      <c r="BE127" s="375">
        <f t="shared" ref="BE127:BE128" si="841">BB127+AY127+AV127</f>
        <v>0</v>
      </c>
      <c r="BF127" s="375">
        <f t="shared" ref="BF127" si="842">BC127+AZ127+AW127</f>
        <v>0</v>
      </c>
      <c r="BG127" s="7">
        <f t="shared" si="445"/>
        <v>0</v>
      </c>
      <c r="BH127" s="375">
        <f t="shared" ref="BH127:BH128" si="843">Q127+AB127+AQ127+BE127</f>
        <v>0</v>
      </c>
      <c r="BI127" s="388">
        <f t="shared" ref="BI127:BI128" si="844">Q127+AC127+AR127+BF127</f>
        <v>0</v>
      </c>
      <c r="BJ127" s="7">
        <f t="shared" si="446"/>
        <v>0</v>
      </c>
      <c r="BK127" s="375">
        <v>0</v>
      </c>
      <c r="BL127" s="282"/>
      <c r="BN127" s="375"/>
      <c r="BO127" s="4"/>
      <c r="BP127" s="375"/>
      <c r="BQ127" s="4"/>
      <c r="BR127" s="375"/>
      <c r="BS127" s="4"/>
      <c r="BT127" s="375">
        <f t="shared" ref="BT127:BT134" si="845">SUM(BN127:BS127)</f>
        <v>0</v>
      </c>
      <c r="BU127" s="7">
        <f t="shared" si="447"/>
        <v>0</v>
      </c>
      <c r="BV127" s="375"/>
      <c r="BW127" s="7"/>
      <c r="BX127" s="375"/>
      <c r="BY127" s="7"/>
      <c r="BZ127" s="375">
        <f t="shared" ref="BZ127:BZ134" si="846">+BT127+BV127+BX127</f>
        <v>0</v>
      </c>
      <c r="CA127" s="7"/>
      <c r="CB127" s="375">
        <f t="shared" ref="CB127:CB128" si="847">+BV127+BX127+BZ127</f>
        <v>0</v>
      </c>
      <c r="CC127" s="7">
        <f t="shared" si="534"/>
        <v>0</v>
      </c>
      <c r="CD127" s="375">
        <f t="shared" ref="CD127:CD128" si="848">BT127+CB127</f>
        <v>0</v>
      </c>
      <c r="CE127" s="7">
        <f t="shared" si="448"/>
        <v>0</v>
      </c>
      <c r="CF127" s="375">
        <f t="shared" ref="CF127:CF128" si="849">+BZ127+CB127+CD127</f>
        <v>0</v>
      </c>
      <c r="CG127" s="7">
        <f t="shared" si="449"/>
        <v>0</v>
      </c>
      <c r="CH127" s="375">
        <f t="shared" ref="CH127:CH128" si="850">+CB127+CD127+CF127</f>
        <v>0</v>
      </c>
      <c r="CI127" s="7">
        <f t="shared" si="449"/>
        <v>0</v>
      </c>
      <c r="CJ127" s="375">
        <v>-1664666.67</v>
      </c>
      <c r="CK127" s="7">
        <f t="shared" si="449"/>
        <v>-5.9109783426628093E-2</v>
      </c>
      <c r="CL127" s="375">
        <f>+CF127+CH127+CJ127</f>
        <v>-1664666.67</v>
      </c>
      <c r="CM127" s="7">
        <f t="shared" si="449"/>
        <v>-2.3681695359111382E-2</v>
      </c>
      <c r="CN127" s="375">
        <f t="shared" ref="CN127:CN134" si="851">+CL127+CD127</f>
        <v>-1664666.67</v>
      </c>
      <c r="CO127" s="7">
        <f t="shared" si="639"/>
        <v>-1.0485966292319442E-2</v>
      </c>
      <c r="CP127" s="375">
        <f>-693611.11-332667</f>
        <v>-1026278.11</v>
      </c>
      <c r="CQ127" s="7">
        <f t="shared" si="728"/>
        <v>-5.2387601948770721E-2</v>
      </c>
      <c r="CR127" s="375">
        <f t="shared" ref="CR127:CR128" si="852">+CN127+CP127</f>
        <v>-2690944.78</v>
      </c>
      <c r="CS127" s="7">
        <f t="shared" si="641"/>
        <v>-1.5088680350543096E-2</v>
      </c>
      <c r="CT127" s="375">
        <v>-693611.11</v>
      </c>
      <c r="CU127" s="7">
        <f t="shared" ref="CU127" si="853">+CT127/CT$8</f>
        <v>-4.4278858197559882E-2</v>
      </c>
      <c r="CV127" s="375">
        <f>-693611.11-332667.11-6664169.96</f>
        <v>-7690448.1799999997</v>
      </c>
      <c r="CW127" s="7">
        <f t="shared" si="452"/>
        <v>-0.12290761993611135</v>
      </c>
      <c r="CX127" s="375">
        <f>+CV127+CT127+CP127</f>
        <v>-9410337.4000000004</v>
      </c>
      <c r="CY127" s="7">
        <f t="shared" si="729"/>
        <v>-9.6194970083394796E-2</v>
      </c>
      <c r="CZ127" s="375">
        <f t="shared" ref="CZ127:CZ134" si="854">+CD127+CL127+CX127</f>
        <v>-11075004.07</v>
      </c>
      <c r="DA127" s="7">
        <f t="shared" si="453"/>
        <v>-4.3164356593419585E-2</v>
      </c>
      <c r="DB127" s="375"/>
      <c r="DC127" s="7">
        <f t="shared" si="642"/>
        <v>0</v>
      </c>
      <c r="DD127" s="375"/>
      <c r="DE127" s="7">
        <f t="shared" si="642"/>
        <v>0</v>
      </c>
      <c r="DF127" s="375"/>
      <c r="DG127" s="7">
        <f t="shared" si="642"/>
        <v>0</v>
      </c>
      <c r="DH127" s="375">
        <f>+DB127+DD127+DF127</f>
        <v>0</v>
      </c>
      <c r="DI127" s="7">
        <f t="shared" si="730"/>
        <v>0</v>
      </c>
      <c r="DJ127" s="375"/>
      <c r="DK127" s="7">
        <f t="shared" si="643"/>
        <v>0</v>
      </c>
      <c r="DL127" s="375"/>
      <c r="DM127" s="7">
        <f t="shared" si="644"/>
        <v>0</v>
      </c>
      <c r="DN127" s="375"/>
      <c r="DO127" s="7">
        <f t="shared" si="645"/>
        <v>0</v>
      </c>
      <c r="DP127" s="375"/>
      <c r="DQ127" s="7">
        <f t="shared" si="646"/>
        <v>0</v>
      </c>
      <c r="DR127" s="375">
        <f>+DL127+DN127+DP127</f>
        <v>0</v>
      </c>
      <c r="DS127" s="7">
        <f t="shared" si="731"/>
        <v>0</v>
      </c>
      <c r="DT127" s="375">
        <f t="shared" ref="DT127:DT134" si="855">+DR127+DH127</f>
        <v>0</v>
      </c>
      <c r="DU127" s="7">
        <f t="shared" si="454"/>
        <v>0</v>
      </c>
      <c r="DV127" s="375"/>
      <c r="DW127" s="7">
        <f t="shared" si="647"/>
        <v>0</v>
      </c>
      <c r="DX127" s="375"/>
      <c r="DY127" s="7">
        <f t="shared" ref="DY127:DY177" si="856">+DX127/DX$8</f>
        <v>0</v>
      </c>
      <c r="DZ127" s="375"/>
      <c r="EA127" s="7">
        <f t="shared" si="649"/>
        <v>0</v>
      </c>
      <c r="EB127" s="375">
        <f>+DV127+DX127+DZ127</f>
        <v>0</v>
      </c>
      <c r="EC127" s="7">
        <f t="shared" si="427"/>
        <v>0</v>
      </c>
      <c r="ED127" s="375">
        <f>+EB127+DT127</f>
        <v>0</v>
      </c>
      <c r="EE127" s="7">
        <f t="shared" si="455"/>
        <v>0</v>
      </c>
      <c r="EF127" s="375"/>
      <c r="EG127" s="7">
        <f t="shared" si="650"/>
        <v>0</v>
      </c>
      <c r="EH127" s="375"/>
      <c r="EI127" s="7">
        <f t="shared" ref="EI127:EI177" si="857">+EH127/EH$8</f>
        <v>0</v>
      </c>
      <c r="EJ127" s="375"/>
      <c r="EK127" s="7">
        <f t="shared" si="652"/>
        <v>0</v>
      </c>
      <c r="EL127" s="375">
        <f>+EF127+EH127+EJ127</f>
        <v>0</v>
      </c>
      <c r="EM127" s="7">
        <f t="shared" si="428"/>
        <v>0</v>
      </c>
      <c r="EN127" s="375">
        <f>+EL127+ED127</f>
        <v>0</v>
      </c>
      <c r="EO127" s="7">
        <f t="shared" si="456"/>
        <v>0</v>
      </c>
      <c r="EP127" s="373"/>
      <c r="EQ127" s="373"/>
      <c r="ER127" s="373"/>
      <c r="ES127" s="373"/>
      <c r="ET127" s="375"/>
      <c r="EU127" s="7">
        <f t="shared" si="653"/>
        <v>0</v>
      </c>
      <c r="EV127" s="375"/>
      <c r="EW127" s="7">
        <f t="shared" ref="EW127:EW177" si="858">+EV127/EV$8</f>
        <v>0</v>
      </c>
      <c r="EX127" s="375"/>
      <c r="EY127" s="7">
        <f t="shared" si="655"/>
        <v>0</v>
      </c>
      <c r="EZ127" s="375">
        <f>+ET127+EV127+EX127</f>
        <v>0</v>
      </c>
      <c r="FA127" s="7">
        <f t="shared" si="429"/>
        <v>0</v>
      </c>
      <c r="FB127" s="375"/>
      <c r="FC127" s="7">
        <f t="shared" si="656"/>
        <v>0</v>
      </c>
      <c r="FD127" s="375"/>
      <c r="FE127" s="7">
        <f t="shared" si="612"/>
        <v>0</v>
      </c>
      <c r="FF127" s="375"/>
      <c r="FG127" s="7">
        <f t="shared" si="430"/>
        <v>0</v>
      </c>
      <c r="FH127" s="375">
        <f>+FB127+FD127+FF127</f>
        <v>0</v>
      </c>
      <c r="FI127" s="7">
        <f t="shared" si="431"/>
        <v>0</v>
      </c>
      <c r="FJ127" s="375">
        <f t="shared" ref="FJ127:FJ128" si="859">EZ127+FH127</f>
        <v>0</v>
      </c>
      <c r="FK127" s="7">
        <f t="shared" si="459"/>
        <v>0</v>
      </c>
      <c r="FL127" s="375"/>
      <c r="FM127" s="7">
        <f t="shared" si="658"/>
        <v>0</v>
      </c>
      <c r="FN127" s="375"/>
      <c r="FO127" s="7">
        <f t="shared" si="432"/>
        <v>0</v>
      </c>
      <c r="FP127" s="375"/>
      <c r="FQ127" s="7">
        <f t="shared" si="433"/>
        <v>0</v>
      </c>
      <c r="FR127" s="375">
        <f>+FL127+FN127+FP127</f>
        <v>0</v>
      </c>
      <c r="FS127" s="7">
        <f t="shared" si="434"/>
        <v>0</v>
      </c>
      <c r="FT127" s="375">
        <f t="shared" ref="FT127:FT128" si="860">FJ127+FR127</f>
        <v>0</v>
      </c>
      <c r="FU127" s="7">
        <f t="shared" si="462"/>
        <v>0</v>
      </c>
      <c r="FV127" s="375"/>
      <c r="FW127" s="7">
        <f t="shared" si="660"/>
        <v>0</v>
      </c>
      <c r="FX127" s="375"/>
      <c r="FY127" s="7">
        <f t="shared" si="435"/>
        <v>0</v>
      </c>
      <c r="FZ127" s="375"/>
      <c r="GA127" s="7">
        <f t="shared" si="436"/>
        <v>0</v>
      </c>
      <c r="GB127" s="375">
        <f>+FV127+FX127+FZ127</f>
        <v>0</v>
      </c>
      <c r="GC127" s="7">
        <f t="shared" si="437"/>
        <v>0</v>
      </c>
      <c r="GD127" s="375">
        <f t="shared" ref="GD127:GD128" si="861">FT127+GB127</f>
        <v>0</v>
      </c>
      <c r="GE127" s="7">
        <f t="shared" si="465"/>
        <v>0</v>
      </c>
      <c r="GF127" s="566">
        <f t="shared" ref="GF127:GF128" si="862">+GO127*$GO$1</f>
        <v>0</v>
      </c>
      <c r="GG127" s="525">
        <f t="shared" si="438"/>
        <v>0</v>
      </c>
      <c r="GH127" s="528">
        <f t="shared" ref="GH127:GH128" si="863">+GQ127*$GO$2</f>
        <v>0</v>
      </c>
      <c r="GI127" s="525">
        <f t="shared" si="439"/>
        <v>0</v>
      </c>
      <c r="GJ127" s="528"/>
      <c r="GK127" s="525">
        <f t="shared" si="440"/>
        <v>0</v>
      </c>
      <c r="GL127" s="528">
        <f t="shared" ref="GL127:GL128" si="864">+GD127+GF127+GH127-GJ127</f>
        <v>0</v>
      </c>
      <c r="GM127" s="565">
        <f t="shared" si="468"/>
        <v>0</v>
      </c>
      <c r="GO127" s="586"/>
      <c r="GQ127" s="586"/>
      <c r="GT127" s="551">
        <f t="shared" si="558"/>
        <v>0</v>
      </c>
      <c r="GU127" s="551">
        <f t="shared" si="471"/>
        <v>0</v>
      </c>
      <c r="GV127" s="550">
        <f t="shared" si="732"/>
        <v>0</v>
      </c>
      <c r="GW127" s="527"/>
      <c r="GX127" s="525">
        <f t="shared" si="664"/>
        <v>0</v>
      </c>
      <c r="GY127" s="528"/>
      <c r="GZ127" s="525">
        <f t="shared" si="665"/>
        <v>0</v>
      </c>
      <c r="HA127" s="528"/>
      <c r="HB127" s="526">
        <f t="shared" si="666"/>
        <v>0</v>
      </c>
      <c r="HD127" s="527"/>
      <c r="HE127" s="525">
        <v>0</v>
      </c>
      <c r="HF127" s="528"/>
      <c r="HG127" s="525">
        <v>0</v>
      </c>
      <c r="HH127" s="528"/>
      <c r="HI127" s="526">
        <v>0</v>
      </c>
    </row>
    <row r="128" spans="1:217" ht="15" customHeight="1" outlineLevel="1">
      <c r="A128" s="386" t="s">
        <v>116</v>
      </c>
      <c r="B128" s="386" t="s">
        <v>118</v>
      </c>
      <c r="C128" s="375"/>
      <c r="D128" s="4"/>
      <c r="E128" s="375"/>
      <c r="F128" s="4"/>
      <c r="G128" s="375">
        <v>-417382.27000000008</v>
      </c>
      <c r="H128" s="375"/>
      <c r="I128" s="4"/>
      <c r="J128" s="375">
        <v>-417382.27000000008</v>
      </c>
      <c r="K128" s="375"/>
      <c r="L128" s="4"/>
      <c r="M128" s="375">
        <v>-417382.27000000008</v>
      </c>
      <c r="N128" s="375"/>
      <c r="O128" s="4"/>
      <c r="P128" s="375">
        <f>+G128+J128+M128</f>
        <v>-1252146.8100000003</v>
      </c>
      <c r="Q128" s="375">
        <f>+H128+K128+N128</f>
        <v>0</v>
      </c>
      <c r="R128" s="7">
        <f t="shared" si="442"/>
        <v>0</v>
      </c>
      <c r="S128" s="375"/>
      <c r="T128" s="375"/>
      <c r="U128" s="4"/>
      <c r="V128" s="375">
        <v>-74547</v>
      </c>
      <c r="W128" s="375">
        <v>-74547</v>
      </c>
      <c r="X128" s="4"/>
      <c r="Y128" s="375"/>
      <c r="Z128" s="375"/>
      <c r="AA128" s="4"/>
      <c r="AB128" s="375">
        <f t="shared" si="684"/>
        <v>-74547</v>
      </c>
      <c r="AC128" s="375">
        <f t="shared" si="533"/>
        <v>-74547</v>
      </c>
      <c r="AD128" s="7">
        <f t="shared" si="443"/>
        <v>-2.0100392025025979E-3</v>
      </c>
      <c r="AE128" s="375">
        <f t="shared" si="837"/>
        <v>-74547</v>
      </c>
      <c r="AF128" s="375">
        <f>+AC128+Q128</f>
        <v>-74547</v>
      </c>
      <c r="AG128" s="4"/>
      <c r="AH128" s="375"/>
      <c r="AI128" s="375"/>
      <c r="AJ128" s="4"/>
      <c r="AK128" s="375">
        <v>-876617.98</v>
      </c>
      <c r="AL128" s="375">
        <v>-876617.98</v>
      </c>
      <c r="AM128" s="4"/>
      <c r="AN128" s="375">
        <v>-176605.02</v>
      </c>
      <c r="AO128" s="375">
        <v>-176605.02</v>
      </c>
      <c r="AP128" s="4"/>
      <c r="AQ128" s="375">
        <f t="shared" si="838"/>
        <v>-1053223</v>
      </c>
      <c r="AR128" s="375">
        <f>AO128+AL128+AI128</f>
        <v>-1053223</v>
      </c>
      <c r="AS128" s="7">
        <f t="shared" si="444"/>
        <v>-3.9561174750551688E-2</v>
      </c>
      <c r="AT128" s="375">
        <f t="shared" si="840"/>
        <v>-1127770</v>
      </c>
      <c r="AU128" s="4"/>
      <c r="AV128" s="375"/>
      <c r="AW128" s="375">
        <v>-179605.02</v>
      </c>
      <c r="AX128" s="4"/>
      <c r="AY128" s="375"/>
      <c r="AZ128" s="375">
        <v>-179605.02</v>
      </c>
      <c r="BA128" s="4"/>
      <c r="BB128" s="375">
        <v>-625000</v>
      </c>
      <c r="BC128" s="375">
        <v>-144985.01999999999</v>
      </c>
      <c r="BD128" s="448"/>
      <c r="BE128" s="375">
        <f t="shared" si="841"/>
        <v>-625000</v>
      </c>
      <c r="BF128" s="375">
        <f>BC128+AZ128+AW128</f>
        <v>-504195.05999999994</v>
      </c>
      <c r="BG128" s="7">
        <f t="shared" si="445"/>
        <v>-1.6057337575401613E-2</v>
      </c>
      <c r="BH128" s="375">
        <f t="shared" si="843"/>
        <v>-1752770</v>
      </c>
      <c r="BI128" s="388">
        <f t="shared" si="844"/>
        <v>-1631965.06</v>
      </c>
      <c r="BJ128" s="7">
        <f t="shared" si="446"/>
        <v>-1.2412483399686902E-2</v>
      </c>
      <c r="BK128" s="375">
        <v>-5190551.99</v>
      </c>
      <c r="BL128" s="282"/>
      <c r="BN128" s="375"/>
      <c r="BO128" s="4"/>
      <c r="BP128" s="375"/>
      <c r="BQ128" s="4"/>
      <c r="BR128" s="375"/>
      <c r="BS128" s="4"/>
      <c r="BT128" s="375">
        <f t="shared" si="845"/>
        <v>0</v>
      </c>
      <c r="BU128" s="7">
        <f t="shared" si="447"/>
        <v>0</v>
      </c>
      <c r="BV128" s="375"/>
      <c r="BW128" s="7"/>
      <c r="BX128" s="375"/>
      <c r="BY128" s="7"/>
      <c r="BZ128" s="375">
        <f t="shared" si="846"/>
        <v>0</v>
      </c>
      <c r="CA128" s="7"/>
      <c r="CB128" s="375">
        <f t="shared" si="847"/>
        <v>0</v>
      </c>
      <c r="CC128" s="7">
        <f t="shared" si="534"/>
        <v>0</v>
      </c>
      <c r="CD128" s="375">
        <f t="shared" si="848"/>
        <v>0</v>
      </c>
      <c r="CE128" s="7">
        <f t="shared" si="448"/>
        <v>0</v>
      </c>
      <c r="CF128" s="375">
        <f t="shared" si="849"/>
        <v>0</v>
      </c>
      <c r="CG128" s="7">
        <f t="shared" si="449"/>
        <v>0</v>
      </c>
      <c r="CH128" s="375">
        <f t="shared" si="850"/>
        <v>0</v>
      </c>
      <c r="CI128" s="7">
        <f t="shared" si="449"/>
        <v>0</v>
      </c>
      <c r="CJ128" s="375">
        <f t="shared" ref="CJ128" si="865">+CD128+CF128+CH128</f>
        <v>0</v>
      </c>
      <c r="CK128" s="7">
        <f t="shared" si="449"/>
        <v>0</v>
      </c>
      <c r="CL128" s="375">
        <f t="shared" ref="CL128" si="866">+CF128+CH128+CJ128</f>
        <v>0</v>
      </c>
      <c r="CM128" s="7">
        <f t="shared" si="449"/>
        <v>0</v>
      </c>
      <c r="CN128" s="375">
        <f t="shared" si="851"/>
        <v>0</v>
      </c>
      <c r="CO128" s="7">
        <f t="shared" si="639"/>
        <v>0</v>
      </c>
      <c r="CP128" s="375">
        <v>0</v>
      </c>
      <c r="CQ128" s="7">
        <f t="shared" si="728"/>
        <v>0</v>
      </c>
      <c r="CR128" s="375">
        <f t="shared" si="852"/>
        <v>0</v>
      </c>
      <c r="CS128" s="7">
        <f t="shared" si="641"/>
        <v>0</v>
      </c>
      <c r="CT128" s="375">
        <v>0</v>
      </c>
      <c r="CU128" s="7">
        <f t="shared" si="611"/>
        <v>0</v>
      </c>
      <c r="CV128" s="375">
        <v>0</v>
      </c>
      <c r="CW128" s="7">
        <f t="shared" si="452"/>
        <v>0</v>
      </c>
      <c r="CX128" s="375"/>
      <c r="CY128" s="7">
        <f t="shared" si="729"/>
        <v>0</v>
      </c>
      <c r="CZ128" s="375">
        <f t="shared" si="854"/>
        <v>0</v>
      </c>
      <c r="DA128" s="7">
        <f t="shared" si="453"/>
        <v>0</v>
      </c>
      <c r="DB128" s="375">
        <f t="shared" ref="DB128" si="867">+CV128+CX128+CZ128</f>
        <v>0</v>
      </c>
      <c r="DC128" s="7">
        <f t="shared" si="642"/>
        <v>0</v>
      </c>
      <c r="DD128" s="375">
        <f t="shared" ref="DD128" si="868">+CX128+CZ128+DB128</f>
        <v>0</v>
      </c>
      <c r="DE128" s="7">
        <f t="shared" si="642"/>
        <v>0</v>
      </c>
      <c r="DF128" s="375">
        <v>-100000</v>
      </c>
      <c r="DG128" s="7">
        <f t="shared" si="642"/>
        <v>-3.2237060625663208E-3</v>
      </c>
      <c r="DH128" s="375">
        <f>+DB128+DD128+DF128</f>
        <v>-100000</v>
      </c>
      <c r="DI128" s="7">
        <f t="shared" si="730"/>
        <v>-1.3126164557011233E-3</v>
      </c>
      <c r="DJ128" s="375"/>
      <c r="DK128" s="7">
        <f t="shared" si="643"/>
        <v>0</v>
      </c>
      <c r="DL128" s="375"/>
      <c r="DM128" s="7">
        <f t="shared" si="644"/>
        <v>0</v>
      </c>
      <c r="DN128" s="375">
        <v>-232677</v>
      </c>
      <c r="DO128" s="7">
        <f t="shared" si="645"/>
        <v>-1.355874397546639E-2</v>
      </c>
      <c r="DP128" s="375"/>
      <c r="DQ128" s="7">
        <f t="shared" si="646"/>
        <v>0</v>
      </c>
      <c r="DR128" s="375">
        <f>+DL128+DN128+DP128</f>
        <v>-232677</v>
      </c>
      <c r="DS128" s="7">
        <f t="shared" si="731"/>
        <v>-2.1202541413119962E-3</v>
      </c>
      <c r="DT128" s="375">
        <f>+DR128+DH128</f>
        <v>-332677</v>
      </c>
      <c r="DU128" s="7">
        <f t="shared" si="454"/>
        <v>-1.78931845871827E-3</v>
      </c>
      <c r="DV128" s="375"/>
      <c r="DW128" s="7">
        <f t="shared" si="647"/>
        <v>0</v>
      </c>
      <c r="DX128" s="375">
        <v>-100000</v>
      </c>
      <c r="DY128" s="7">
        <f t="shared" si="856"/>
        <v>-3.8681033510117365E-3</v>
      </c>
      <c r="DZ128" s="375"/>
      <c r="EA128" s="7">
        <f t="shared" si="649"/>
        <v>0</v>
      </c>
      <c r="EB128" s="375">
        <f>+DV128+DX128+DZ128</f>
        <v>-100000</v>
      </c>
      <c r="EC128" s="7">
        <f t="shared" si="427"/>
        <v>-5.1622720079354191E-4</v>
      </c>
      <c r="ED128" s="375">
        <f>+EB128+DT128</f>
        <v>-432677</v>
      </c>
      <c r="EE128" s="7">
        <f t="shared" si="455"/>
        <v>-1.1397123540369163E-3</v>
      </c>
      <c r="EF128" s="375">
        <v>-232667</v>
      </c>
      <c r="EG128" s="7">
        <f t="shared" si="650"/>
        <v>-1.5745549590623562E-2</v>
      </c>
      <c r="EH128" s="375"/>
      <c r="EI128" s="7">
        <f t="shared" si="857"/>
        <v>0</v>
      </c>
      <c r="EJ128" s="375"/>
      <c r="EK128" s="7">
        <f t="shared" si="652"/>
        <v>0</v>
      </c>
      <c r="EL128" s="375">
        <f>+EF128+EH128+EJ128</f>
        <v>-232667</v>
      </c>
      <c r="EM128" s="7">
        <f t="shared" si="428"/>
        <v>-1.2666397508428004E-3</v>
      </c>
      <c r="EN128" s="375">
        <f>+EL128+ED128</f>
        <v>-665344</v>
      </c>
      <c r="EO128" s="7">
        <f t="shared" si="456"/>
        <v>-1.1811006665441537E-3</v>
      </c>
      <c r="EP128" s="373"/>
      <c r="EQ128" s="373"/>
      <c r="ER128" s="373"/>
      <c r="ES128" s="373"/>
      <c r="ET128" s="375"/>
      <c r="EU128" s="7">
        <f t="shared" si="653"/>
        <v>0</v>
      </c>
      <c r="EV128" s="375"/>
      <c r="EW128" s="7">
        <f t="shared" si="858"/>
        <v>0</v>
      </c>
      <c r="EX128" s="375"/>
      <c r="EY128" s="7">
        <f t="shared" si="655"/>
        <v>0</v>
      </c>
      <c r="EZ128" s="375">
        <f>+ET128+EV128+EX128</f>
        <v>0</v>
      </c>
      <c r="FA128" s="7">
        <f t="shared" si="429"/>
        <v>0</v>
      </c>
      <c r="FB128" s="375"/>
      <c r="FC128" s="7">
        <f t="shared" si="656"/>
        <v>0</v>
      </c>
      <c r="FD128" s="375"/>
      <c r="FE128" s="7">
        <f t="shared" si="612"/>
        <v>0</v>
      </c>
      <c r="FF128" s="375"/>
      <c r="FG128" s="7">
        <f t="shared" si="430"/>
        <v>0</v>
      </c>
      <c r="FH128" s="375">
        <f>+FB128+FD128+FF128</f>
        <v>0</v>
      </c>
      <c r="FI128" s="7">
        <f t="shared" si="431"/>
        <v>0</v>
      </c>
      <c r="FJ128" s="375">
        <f t="shared" si="859"/>
        <v>0</v>
      </c>
      <c r="FK128" s="7">
        <f t="shared" si="459"/>
        <v>0</v>
      </c>
      <c r="FL128" s="375"/>
      <c r="FM128" s="7">
        <f t="shared" si="658"/>
        <v>0</v>
      </c>
      <c r="FN128" s="375"/>
      <c r="FO128" s="7">
        <f t="shared" si="432"/>
        <v>0</v>
      </c>
      <c r="FP128" s="375"/>
      <c r="FQ128" s="7">
        <f t="shared" si="433"/>
        <v>0</v>
      </c>
      <c r="FR128" s="375">
        <f>+FL128+FN128+FP128</f>
        <v>0</v>
      </c>
      <c r="FS128" s="7">
        <f t="shared" si="434"/>
        <v>0</v>
      </c>
      <c r="FT128" s="375">
        <f t="shared" si="860"/>
        <v>0</v>
      </c>
      <c r="FU128" s="7">
        <f t="shared" si="462"/>
        <v>0</v>
      </c>
      <c r="FV128" s="375"/>
      <c r="FW128" s="7">
        <f t="shared" si="660"/>
        <v>0</v>
      </c>
      <c r="FX128" s="375"/>
      <c r="FY128" s="7">
        <f t="shared" si="435"/>
        <v>0</v>
      </c>
      <c r="FZ128" s="375"/>
      <c r="GA128" s="7">
        <f t="shared" si="436"/>
        <v>0</v>
      </c>
      <c r="GB128" s="375">
        <f>+FV128+FX128+FZ128</f>
        <v>0</v>
      </c>
      <c r="GC128" s="7">
        <f t="shared" si="437"/>
        <v>0</v>
      </c>
      <c r="GD128" s="375">
        <f t="shared" si="861"/>
        <v>0</v>
      </c>
      <c r="GE128" s="7">
        <f t="shared" si="465"/>
        <v>0</v>
      </c>
      <c r="GF128" s="566">
        <f t="shared" si="862"/>
        <v>0</v>
      </c>
      <c r="GG128" s="525">
        <f t="shared" si="438"/>
        <v>0</v>
      </c>
      <c r="GH128" s="528">
        <f t="shared" si="863"/>
        <v>0</v>
      </c>
      <c r="GI128" s="525">
        <f t="shared" si="439"/>
        <v>0</v>
      </c>
      <c r="GJ128" s="528"/>
      <c r="GK128" s="525">
        <f t="shared" si="440"/>
        <v>0</v>
      </c>
      <c r="GL128" s="528">
        <f t="shared" si="864"/>
        <v>0</v>
      </c>
      <c r="GM128" s="565">
        <f t="shared" si="468"/>
        <v>0</v>
      </c>
      <c r="GO128" s="586"/>
      <c r="GQ128" s="586"/>
      <c r="GT128" s="551">
        <f t="shared" si="558"/>
        <v>0</v>
      </c>
      <c r="GU128" s="551">
        <f t="shared" si="471"/>
        <v>0</v>
      </c>
      <c r="GV128" s="550">
        <f t="shared" si="732"/>
        <v>0</v>
      </c>
      <c r="GW128" s="527">
        <f>+EZ128*4</f>
        <v>0</v>
      </c>
      <c r="GX128" s="525">
        <f t="shared" si="664"/>
        <v>0</v>
      </c>
      <c r="GY128" s="528"/>
      <c r="GZ128" s="525">
        <f t="shared" si="665"/>
        <v>0</v>
      </c>
      <c r="HA128" s="528"/>
      <c r="HB128" s="526">
        <f t="shared" si="666"/>
        <v>0</v>
      </c>
      <c r="HD128" s="527">
        <v>0</v>
      </c>
      <c r="HE128" s="525">
        <v>0</v>
      </c>
      <c r="HF128" s="528"/>
      <c r="HG128" s="525">
        <v>0</v>
      </c>
      <c r="HH128" s="528"/>
      <c r="HI128" s="526">
        <v>0</v>
      </c>
    </row>
    <row r="129" spans="1:217" ht="15" customHeight="1">
      <c r="A129" s="386" t="s">
        <v>116</v>
      </c>
      <c r="B129" s="386"/>
      <c r="C129" s="389">
        <f>SUM(C127:C128)</f>
        <v>-23163000</v>
      </c>
      <c r="D129" s="4"/>
      <c r="E129" s="389">
        <f>SUM(E127:E128)</f>
        <v>6973000</v>
      </c>
      <c r="F129" s="4"/>
      <c r="G129" s="389">
        <f>SUM(G127:G128)</f>
        <v>-417382.27000000008</v>
      </c>
      <c r="H129" s="389"/>
      <c r="I129" s="4"/>
      <c r="J129" s="389">
        <f>SUM(J127:J128)</f>
        <v>-417382.27000000008</v>
      </c>
      <c r="K129" s="389"/>
      <c r="L129" s="4"/>
      <c r="M129" s="389">
        <f>SUM(M127:M128)</f>
        <v>-417382.27000000008</v>
      </c>
      <c r="N129" s="389"/>
      <c r="O129" s="4"/>
      <c r="P129" s="389">
        <f t="shared" ref="P129:Q176" si="869">+G129+J129+M129</f>
        <v>-1252146.8100000003</v>
      </c>
      <c r="Q129" s="389">
        <f t="shared" si="869"/>
        <v>0</v>
      </c>
      <c r="R129" s="7">
        <f t="shared" si="442"/>
        <v>0</v>
      </c>
      <c r="S129" s="389"/>
      <c r="T129" s="389"/>
      <c r="U129" s="4"/>
      <c r="V129" s="389">
        <f>SUM(V127:V128)</f>
        <v>-74547</v>
      </c>
      <c r="W129" s="389">
        <f>SUM(W127:W128)</f>
        <v>-74547</v>
      </c>
      <c r="X129" s="4"/>
      <c r="Y129" s="389">
        <f>SUM(Y127:Y128)</f>
        <v>0</v>
      </c>
      <c r="Z129" s="389">
        <f>SUM(Z127:Z128)</f>
        <v>0</v>
      </c>
      <c r="AA129" s="4"/>
      <c r="AB129" s="389">
        <f>SUM(AB127:AB128)</f>
        <v>-74547</v>
      </c>
      <c r="AC129" s="389">
        <f>SUM(AC127:AC128)</f>
        <v>-74547</v>
      </c>
      <c r="AD129" s="7">
        <f t="shared" si="443"/>
        <v>-2.0100392025025979E-3</v>
      </c>
      <c r="AE129" s="389">
        <f>SUM(AE127:AE128)</f>
        <v>-74547</v>
      </c>
      <c r="AF129" s="389">
        <f>SUM(AF127:AF128)</f>
        <v>-74547</v>
      </c>
      <c r="AG129" s="4"/>
      <c r="AH129" s="389">
        <f>SUM(AH127:AH128)</f>
        <v>0</v>
      </c>
      <c r="AI129" s="389">
        <f>SUM(AI127:AI128)</f>
        <v>0</v>
      </c>
      <c r="AJ129" s="4"/>
      <c r="AK129" s="389">
        <f>SUM(AK127:AK128)</f>
        <v>-876617.98</v>
      </c>
      <c r="AL129" s="389">
        <f>SUM(AL127:AL128)</f>
        <v>-876617.98</v>
      </c>
      <c r="AM129" s="4"/>
      <c r="AN129" s="389">
        <f>SUM(AN127:AN128)</f>
        <v>-176605.02</v>
      </c>
      <c r="AO129" s="389">
        <f>SUM(AO127:AO128)</f>
        <v>-176605.02</v>
      </c>
      <c r="AP129" s="4"/>
      <c r="AQ129" s="389">
        <f>SUM(AQ127:AQ128)</f>
        <v>-1053223</v>
      </c>
      <c r="AR129" s="389">
        <f>SUM(AR127:AR128)</f>
        <v>-1053223</v>
      </c>
      <c r="AS129" s="7">
        <f t="shared" si="444"/>
        <v>-3.9561174750551688E-2</v>
      </c>
      <c r="AT129" s="389">
        <f>SUM(AT127:AT128)</f>
        <v>-1127770</v>
      </c>
      <c r="AU129" s="4"/>
      <c r="AV129" s="389">
        <f>SUM(AV127:AV128)</f>
        <v>0</v>
      </c>
      <c r="AW129" s="389">
        <f>SUM(AW127:AW128)</f>
        <v>-179605.02</v>
      </c>
      <c r="AX129" s="4"/>
      <c r="AY129" s="389">
        <f>SUM(AY127:AY128)</f>
        <v>0</v>
      </c>
      <c r="AZ129" s="389">
        <f>SUM(AZ127:AZ128)</f>
        <v>-179605.02</v>
      </c>
      <c r="BA129" s="4"/>
      <c r="BB129" s="389">
        <f>SUM(BB127:BB128)</f>
        <v>-625000</v>
      </c>
      <c r="BC129" s="389">
        <f>SUM(BC127:BC128)</f>
        <v>-144985.01999999999</v>
      </c>
      <c r="BD129" s="448"/>
      <c r="BE129" s="389">
        <f>SUM(BE127:BE128)</f>
        <v>-625000</v>
      </c>
      <c r="BF129" s="389">
        <f>SUM(BF127:BF128)</f>
        <v>-504195.05999999994</v>
      </c>
      <c r="BG129" s="7">
        <f t="shared" si="445"/>
        <v>-1.6057337575401613E-2</v>
      </c>
      <c r="BH129" s="389">
        <f>SUM(BH127:BH128)</f>
        <v>-1752770</v>
      </c>
      <c r="BI129" s="389">
        <f>SUM(BI127:BI128)</f>
        <v>-1631965.06</v>
      </c>
      <c r="BJ129" s="7">
        <f t="shared" si="446"/>
        <v>-1.2412483399686902E-2</v>
      </c>
      <c r="BK129" s="389">
        <v>-5190551.99</v>
      </c>
      <c r="BL129" s="282"/>
      <c r="BN129" s="389">
        <f>SUM(BN127:BN128)</f>
        <v>0</v>
      </c>
      <c r="BO129" s="4"/>
      <c r="BP129" s="389">
        <f>SUM(BP127:BP128)</f>
        <v>0</v>
      </c>
      <c r="BQ129" s="4"/>
      <c r="BR129" s="389">
        <f>SUM(BR127:BR128)</f>
        <v>0</v>
      </c>
      <c r="BS129" s="4"/>
      <c r="BT129" s="375">
        <f t="shared" si="845"/>
        <v>0</v>
      </c>
      <c r="BU129" s="7">
        <f t="shared" si="447"/>
        <v>0</v>
      </c>
      <c r="BV129" s="389">
        <f>SUM(BV127:BV128)</f>
        <v>0</v>
      </c>
      <c r="BW129" s="7"/>
      <c r="BX129" s="389">
        <f>SUM(BX127:BX128)</f>
        <v>0</v>
      </c>
      <c r="BY129" s="7"/>
      <c r="BZ129" s="389">
        <f>SUM(BZ127:BZ128)</f>
        <v>0</v>
      </c>
      <c r="CA129" s="7"/>
      <c r="CB129" s="389">
        <f>SUM(CB127:CB128)</f>
        <v>0</v>
      </c>
      <c r="CC129" s="7">
        <f t="shared" si="534"/>
        <v>0</v>
      </c>
      <c r="CD129" s="389">
        <f>SUM(CD127:CD128)</f>
        <v>0</v>
      </c>
      <c r="CE129" s="7">
        <f t="shared" si="448"/>
        <v>0</v>
      </c>
      <c r="CF129" s="389">
        <f>SUM(CF127:CF128)</f>
        <v>0</v>
      </c>
      <c r="CG129" s="7">
        <f t="shared" si="449"/>
        <v>0</v>
      </c>
      <c r="CH129" s="389">
        <f>SUM(CH127:CH128)</f>
        <v>0</v>
      </c>
      <c r="CI129" s="7">
        <f t="shared" si="449"/>
        <v>0</v>
      </c>
      <c r="CJ129" s="389">
        <f>SUM(CJ127:CJ128)</f>
        <v>-1664666.67</v>
      </c>
      <c r="CK129" s="7">
        <f t="shared" si="449"/>
        <v>-5.9109783426628093E-2</v>
      </c>
      <c r="CL129" s="389">
        <f>SUM(CL127:CL128)</f>
        <v>-1664666.67</v>
      </c>
      <c r="CM129" s="7">
        <f t="shared" si="449"/>
        <v>-2.3681695359111382E-2</v>
      </c>
      <c r="CN129" s="389">
        <f t="shared" si="851"/>
        <v>-1664666.67</v>
      </c>
      <c r="CO129" s="7">
        <f t="shared" si="639"/>
        <v>-1.0485966292319442E-2</v>
      </c>
      <c r="CP129" s="389">
        <f>SUM(CP127:CP128)</f>
        <v>-1026278.11</v>
      </c>
      <c r="CQ129" s="7">
        <f t="shared" si="728"/>
        <v>-5.2387601948770721E-2</v>
      </c>
      <c r="CR129" s="375">
        <f>+CN129+CP129</f>
        <v>-2690944.78</v>
      </c>
      <c r="CS129" s="7">
        <f t="shared" si="641"/>
        <v>-1.5088680350543096E-2</v>
      </c>
      <c r="CT129" s="389">
        <f t="shared" ref="CT129" si="870">SUM(CT127:CT128)</f>
        <v>-693611.11</v>
      </c>
      <c r="CU129" s="7">
        <f t="shared" si="611"/>
        <v>-4.4278858197559882E-2</v>
      </c>
      <c r="CV129" s="389">
        <f t="shared" ref="CV129" si="871">SUM(CV127:CV128)</f>
        <v>-7690448.1799999997</v>
      </c>
      <c r="CW129" s="7">
        <f t="shared" si="452"/>
        <v>-0.12290761993611135</v>
      </c>
      <c r="CX129" s="389">
        <f>SUM(CX127:CX128)</f>
        <v>-9410337.4000000004</v>
      </c>
      <c r="CY129" s="7">
        <f t="shared" si="729"/>
        <v>-9.6194970083394796E-2</v>
      </c>
      <c r="CZ129" s="389">
        <f t="shared" si="854"/>
        <v>-11075004.07</v>
      </c>
      <c r="DA129" s="7">
        <f t="shared" si="453"/>
        <v>-4.3164356593419585E-2</v>
      </c>
      <c r="DB129" s="389">
        <f>SUM(DB127:DB128)</f>
        <v>0</v>
      </c>
      <c r="DC129" s="7">
        <f t="shared" si="642"/>
        <v>0</v>
      </c>
      <c r="DD129" s="389">
        <f>SUM(DD127:DD128)</f>
        <v>0</v>
      </c>
      <c r="DE129" s="7">
        <f t="shared" si="642"/>
        <v>0</v>
      </c>
      <c r="DF129" s="389">
        <f>SUM(DF127:DF128)</f>
        <v>-100000</v>
      </c>
      <c r="DG129" s="7">
        <f t="shared" si="642"/>
        <v>-3.2237060625663208E-3</v>
      </c>
      <c r="DH129" s="389">
        <f>SUM(DH127:DH128)</f>
        <v>-100000</v>
      </c>
      <c r="DI129" s="7">
        <f t="shared" si="730"/>
        <v>-1.3126164557011233E-3</v>
      </c>
      <c r="DJ129" s="389">
        <f>SUM(DJ127:DJ128)</f>
        <v>0</v>
      </c>
      <c r="DK129" s="7">
        <f t="shared" si="643"/>
        <v>0</v>
      </c>
      <c r="DL129" s="389">
        <f>SUM(DL127:DL128)</f>
        <v>0</v>
      </c>
      <c r="DM129" s="7">
        <f t="shared" si="644"/>
        <v>0</v>
      </c>
      <c r="DN129" s="389">
        <f>SUM(DN127:DN128)</f>
        <v>-232677</v>
      </c>
      <c r="DO129" s="7">
        <f t="shared" si="645"/>
        <v>-1.355874397546639E-2</v>
      </c>
      <c r="DP129" s="389">
        <f>SUM(DP127:DP128)</f>
        <v>0</v>
      </c>
      <c r="DQ129" s="7">
        <f t="shared" si="646"/>
        <v>0</v>
      </c>
      <c r="DR129" s="389">
        <f>SUM(DR127:DR128)</f>
        <v>-232677</v>
      </c>
      <c r="DS129" s="7">
        <f t="shared" si="731"/>
        <v>-2.1202541413119962E-3</v>
      </c>
      <c r="DT129" s="389">
        <f>+DR129+DH129</f>
        <v>-332677</v>
      </c>
      <c r="DU129" s="7">
        <f t="shared" si="454"/>
        <v>-1.78931845871827E-3</v>
      </c>
      <c r="DV129" s="389">
        <f>SUM(DV127:DV128)</f>
        <v>0</v>
      </c>
      <c r="DW129" s="7">
        <f t="shared" si="647"/>
        <v>0</v>
      </c>
      <c r="DX129" s="389">
        <f>SUM(DX127:DX128)</f>
        <v>-100000</v>
      </c>
      <c r="DY129" s="7">
        <f t="shared" si="856"/>
        <v>-3.8681033510117365E-3</v>
      </c>
      <c r="DZ129" s="389">
        <f>SUM(DZ127:DZ128)</f>
        <v>0</v>
      </c>
      <c r="EA129" s="7">
        <f t="shared" si="649"/>
        <v>0</v>
      </c>
      <c r="EB129" s="389">
        <f>SUM(EB127:EB128)</f>
        <v>-100000</v>
      </c>
      <c r="EC129" s="7">
        <f t="shared" si="427"/>
        <v>-5.1622720079354191E-4</v>
      </c>
      <c r="ED129" s="389">
        <f>SUM(ED127:ED128)</f>
        <v>-432677</v>
      </c>
      <c r="EE129" s="7">
        <f t="shared" si="455"/>
        <v>-1.1397123540369163E-3</v>
      </c>
      <c r="EF129" s="389">
        <f>SUM(EF127:EF128)</f>
        <v>-232667</v>
      </c>
      <c r="EG129" s="7">
        <f t="shared" si="650"/>
        <v>-1.5745549590623562E-2</v>
      </c>
      <c r="EH129" s="389">
        <f>SUM(EH127:EH128)</f>
        <v>0</v>
      </c>
      <c r="EI129" s="7">
        <f t="shared" si="857"/>
        <v>0</v>
      </c>
      <c r="EJ129" s="389">
        <f>SUM(EJ127:EJ128)</f>
        <v>0</v>
      </c>
      <c r="EK129" s="7">
        <f t="shared" si="652"/>
        <v>0</v>
      </c>
      <c r="EL129" s="389">
        <f>SUM(EL127:EL128)</f>
        <v>-232667</v>
      </c>
      <c r="EM129" s="7">
        <f t="shared" si="428"/>
        <v>-1.2666397508428004E-3</v>
      </c>
      <c r="EN129" s="389">
        <f>SUM(EN127:EN128)</f>
        <v>-665344</v>
      </c>
      <c r="EO129" s="7">
        <f t="shared" si="456"/>
        <v>-1.1811006665441537E-3</v>
      </c>
      <c r="EP129" s="373"/>
      <c r="EQ129" s="373"/>
      <c r="ER129" s="373"/>
      <c r="ES129" s="373"/>
      <c r="ET129" s="389">
        <f>SUM(ET127:ET128)</f>
        <v>0</v>
      </c>
      <c r="EU129" s="7">
        <f t="shared" si="653"/>
        <v>0</v>
      </c>
      <c r="EV129" s="389">
        <f>SUM(EV127:EV128)</f>
        <v>0</v>
      </c>
      <c r="EW129" s="7">
        <f t="shared" si="858"/>
        <v>0</v>
      </c>
      <c r="EX129" s="389">
        <f>SUM(EX127:EX128)</f>
        <v>0</v>
      </c>
      <c r="EY129" s="7">
        <f t="shared" si="655"/>
        <v>0</v>
      </c>
      <c r="EZ129" s="389">
        <f>SUM(EZ127:EZ128)</f>
        <v>0</v>
      </c>
      <c r="FA129" s="7">
        <f t="shared" si="429"/>
        <v>0</v>
      </c>
      <c r="FB129" s="389">
        <f>SUM(FB127:FB128)</f>
        <v>0</v>
      </c>
      <c r="FC129" s="7">
        <f t="shared" si="656"/>
        <v>0</v>
      </c>
      <c r="FD129" s="389">
        <f t="shared" ref="FD129" si="872">SUM(FD127:FD128)</f>
        <v>0</v>
      </c>
      <c r="FE129" s="7">
        <f t="shared" si="612"/>
        <v>0</v>
      </c>
      <c r="FF129" s="389">
        <f t="shared" ref="FF129" si="873">SUM(FF127:FF128)</f>
        <v>0</v>
      </c>
      <c r="FG129" s="7">
        <f t="shared" si="430"/>
        <v>0</v>
      </c>
      <c r="FH129" s="389">
        <f>SUM(FH127:FH128)</f>
        <v>0</v>
      </c>
      <c r="FI129" s="7">
        <f t="shared" si="431"/>
        <v>0</v>
      </c>
      <c r="FJ129" s="389">
        <f>SUM(FJ127:FJ128)</f>
        <v>0</v>
      </c>
      <c r="FK129" s="7">
        <f t="shared" si="459"/>
        <v>0</v>
      </c>
      <c r="FL129" s="389">
        <f>SUM(FL127:FL128)</f>
        <v>0</v>
      </c>
      <c r="FM129" s="7">
        <f t="shared" si="658"/>
        <v>0</v>
      </c>
      <c r="FN129" s="389">
        <f t="shared" ref="FN129" si="874">SUM(FN127:FN128)</f>
        <v>0</v>
      </c>
      <c r="FO129" s="7">
        <f t="shared" si="432"/>
        <v>0</v>
      </c>
      <c r="FP129" s="389">
        <f t="shared" ref="FP129" si="875">SUM(FP127:FP128)</f>
        <v>0</v>
      </c>
      <c r="FQ129" s="7">
        <f t="shared" si="433"/>
        <v>0</v>
      </c>
      <c r="FR129" s="389">
        <f>SUM(FR127:FR128)</f>
        <v>0</v>
      </c>
      <c r="FS129" s="7">
        <f t="shared" si="434"/>
        <v>0</v>
      </c>
      <c r="FT129" s="389">
        <f>SUM(FT127:FT128)</f>
        <v>0</v>
      </c>
      <c r="FU129" s="7">
        <f t="shared" si="462"/>
        <v>0</v>
      </c>
      <c r="FV129" s="389">
        <f>SUM(FV127:FV128)</f>
        <v>0</v>
      </c>
      <c r="FW129" s="7">
        <f t="shared" si="660"/>
        <v>0</v>
      </c>
      <c r="FX129" s="389">
        <f t="shared" ref="FX129" si="876">SUM(FX127:FX128)</f>
        <v>0</v>
      </c>
      <c r="FY129" s="7">
        <f t="shared" si="435"/>
        <v>0</v>
      </c>
      <c r="FZ129" s="389">
        <f t="shared" ref="FZ129" si="877">SUM(FZ127:FZ128)</f>
        <v>0</v>
      </c>
      <c r="GA129" s="7">
        <f t="shared" si="436"/>
        <v>0</v>
      </c>
      <c r="GB129" s="389">
        <f>SUM(GB127:GB128)</f>
        <v>0</v>
      </c>
      <c r="GC129" s="7">
        <f t="shared" si="437"/>
        <v>0</v>
      </c>
      <c r="GD129" s="389">
        <f>SUM(GD127:GD128)</f>
        <v>0</v>
      </c>
      <c r="GE129" s="7">
        <f t="shared" si="465"/>
        <v>0</v>
      </c>
      <c r="GF129" s="567">
        <f t="shared" ref="GF129:GH129" si="878">SUM(GF127:GF128)</f>
        <v>0</v>
      </c>
      <c r="GG129" s="525">
        <f t="shared" si="438"/>
        <v>0</v>
      </c>
      <c r="GH129" s="530">
        <f t="shared" si="878"/>
        <v>0</v>
      </c>
      <c r="GI129" s="525">
        <f t="shared" si="439"/>
        <v>0</v>
      </c>
      <c r="GJ129" s="530">
        <f t="shared" ref="GJ129" si="879">SUM(GJ127:GJ128)</f>
        <v>0</v>
      </c>
      <c r="GK129" s="525">
        <f t="shared" si="440"/>
        <v>0</v>
      </c>
      <c r="GL129" s="530">
        <f>SUM(GL127:GL128)</f>
        <v>0</v>
      </c>
      <c r="GM129" s="565">
        <f t="shared" si="468"/>
        <v>0</v>
      </c>
      <c r="GO129" s="587">
        <f t="shared" ref="GO129" si="880">SUM(GO127:GO128)</f>
        <v>0</v>
      </c>
      <c r="GQ129" s="587">
        <f t="shared" ref="GQ129" si="881">SUM(GQ127:GQ128)</f>
        <v>0</v>
      </c>
      <c r="GT129" s="551">
        <f t="shared" si="558"/>
        <v>0</v>
      </c>
      <c r="GU129" s="551">
        <f t="shared" si="471"/>
        <v>0</v>
      </c>
      <c r="GV129" s="550">
        <f t="shared" si="732"/>
        <v>0</v>
      </c>
      <c r="GW129" s="529">
        <f>SUM(GW127:GW128)</f>
        <v>0</v>
      </c>
      <c r="GX129" s="525">
        <f t="shared" si="664"/>
        <v>0</v>
      </c>
      <c r="GY129" s="530">
        <f>SUM(GY127:GY128)</f>
        <v>0</v>
      </c>
      <c r="GZ129" s="525">
        <f t="shared" si="665"/>
        <v>0</v>
      </c>
      <c r="HA129" s="530">
        <f>SUM(HA127:HA128)</f>
        <v>0</v>
      </c>
      <c r="HB129" s="526">
        <f t="shared" si="666"/>
        <v>0</v>
      </c>
      <c r="HD129" s="529">
        <v>0</v>
      </c>
      <c r="HE129" s="525">
        <v>0</v>
      </c>
      <c r="HF129" s="530">
        <v>0</v>
      </c>
      <c r="HG129" s="525">
        <v>0</v>
      </c>
      <c r="HH129" s="530">
        <v>0</v>
      </c>
      <c r="HI129" s="526">
        <v>0</v>
      </c>
    </row>
    <row r="130" spans="1:217" ht="15" customHeight="1" outlineLevel="1">
      <c r="A130" s="386" t="s">
        <v>119</v>
      </c>
      <c r="B130" s="386" t="s">
        <v>120</v>
      </c>
      <c r="C130" s="375"/>
      <c r="D130" s="4"/>
      <c r="E130" s="375"/>
      <c r="F130" s="4"/>
      <c r="G130" s="375"/>
      <c r="H130" s="375"/>
      <c r="I130" s="4"/>
      <c r="J130" s="375"/>
      <c r="K130" s="375"/>
      <c r="L130" s="4"/>
      <c r="M130" s="375"/>
      <c r="N130" s="375"/>
      <c r="O130" s="4"/>
      <c r="P130" s="375">
        <f t="shared" si="869"/>
        <v>0</v>
      </c>
      <c r="Q130" s="375">
        <f t="shared" si="869"/>
        <v>0</v>
      </c>
      <c r="R130" s="7">
        <f t="shared" si="442"/>
        <v>0</v>
      </c>
      <c r="S130" s="375"/>
      <c r="T130" s="375"/>
      <c r="U130" s="4"/>
      <c r="V130" s="375"/>
      <c r="W130" s="375"/>
      <c r="X130" s="4"/>
      <c r="Y130" s="375"/>
      <c r="Z130" s="375"/>
      <c r="AA130" s="4"/>
      <c r="AB130" s="375">
        <f t="shared" si="684"/>
        <v>0</v>
      </c>
      <c r="AC130" s="375">
        <f t="shared" si="533"/>
        <v>0</v>
      </c>
      <c r="AD130" s="7">
        <f t="shared" si="443"/>
        <v>0</v>
      </c>
      <c r="AE130" s="375">
        <f t="shared" ref="AE130:AE134" si="882">+Q130+AB130</f>
        <v>0</v>
      </c>
      <c r="AF130" s="375">
        <f t="shared" ref="AF130:AF134" si="883">+AC130+Q130</f>
        <v>0</v>
      </c>
      <c r="AG130" s="4"/>
      <c r="AH130" s="375"/>
      <c r="AI130" s="375"/>
      <c r="AJ130" s="4"/>
      <c r="AK130" s="375"/>
      <c r="AL130" s="375"/>
      <c r="AM130" s="4"/>
      <c r="AN130" s="375"/>
      <c r="AO130" s="375"/>
      <c r="AP130" s="4"/>
      <c r="AQ130" s="375">
        <f t="shared" ref="AQ130:AQ134" si="884">AN130+AK130+AH130</f>
        <v>0</v>
      </c>
      <c r="AR130" s="375">
        <f t="shared" ref="AR130:AR134" si="885">AO130+AL130+AI130</f>
        <v>0</v>
      </c>
      <c r="AS130" s="7">
        <f t="shared" si="444"/>
        <v>0</v>
      </c>
      <c r="AT130" s="375">
        <f t="shared" si="840"/>
        <v>0</v>
      </c>
      <c r="AU130" s="4"/>
      <c r="AV130" s="375"/>
      <c r="AW130" s="375"/>
      <c r="AX130" s="4"/>
      <c r="AY130" s="375"/>
      <c r="AZ130" s="375"/>
      <c r="BA130" s="4"/>
      <c r="BB130" s="375"/>
      <c r="BC130" s="375"/>
      <c r="BD130" s="448"/>
      <c r="BE130" s="375">
        <f t="shared" ref="BE130:BE134" si="886">BB130+AY130+AV130</f>
        <v>0</v>
      </c>
      <c r="BF130" s="375">
        <f t="shared" ref="BF130:BF134" si="887">BC130+AZ130+AW130</f>
        <v>0</v>
      </c>
      <c r="BG130" s="7">
        <f t="shared" si="445"/>
        <v>0</v>
      </c>
      <c r="BH130" s="375">
        <f t="shared" ref="BH130:BH134" si="888">Q130+AB130+AQ130+BE130</f>
        <v>0</v>
      </c>
      <c r="BI130" s="388">
        <f t="shared" ref="BI130:BI134" si="889">Q130+AC130+AR130+BF130</f>
        <v>0</v>
      </c>
      <c r="BJ130" s="7">
        <f t="shared" si="446"/>
        <v>0</v>
      </c>
      <c r="BK130" s="375">
        <v>0</v>
      </c>
      <c r="BL130" s="282"/>
      <c r="BN130" s="375"/>
      <c r="BO130" s="4"/>
      <c r="BP130" s="375"/>
      <c r="BQ130" s="4"/>
      <c r="BR130" s="375"/>
      <c r="BS130" s="4"/>
      <c r="BT130" s="375">
        <f t="shared" si="845"/>
        <v>0</v>
      </c>
      <c r="BU130" s="7">
        <f t="shared" si="447"/>
        <v>0</v>
      </c>
      <c r="BV130" s="375"/>
      <c r="BW130" s="7"/>
      <c r="BX130" s="375"/>
      <c r="BY130" s="7"/>
      <c r="BZ130" s="375">
        <f t="shared" si="846"/>
        <v>0</v>
      </c>
      <c r="CA130" s="7"/>
      <c r="CB130" s="375">
        <f t="shared" ref="CB130:CB134" si="890">+BV130+BX130+BZ130</f>
        <v>0</v>
      </c>
      <c r="CC130" s="7">
        <f t="shared" si="534"/>
        <v>0</v>
      </c>
      <c r="CD130" s="375">
        <f t="shared" ref="CD130:CD134" si="891">BT130+CB130</f>
        <v>0</v>
      </c>
      <c r="CE130" s="7">
        <f t="shared" si="448"/>
        <v>0</v>
      </c>
      <c r="CF130" s="375">
        <f t="shared" ref="CF130:CF134" si="892">+BZ130+CB130+CD130</f>
        <v>0</v>
      </c>
      <c r="CG130" s="7">
        <f t="shared" si="449"/>
        <v>0</v>
      </c>
      <c r="CH130" s="375">
        <f t="shared" ref="CH130:CH134" si="893">+CB130+CD130+CF130</f>
        <v>0</v>
      </c>
      <c r="CI130" s="7">
        <f t="shared" si="449"/>
        <v>0</v>
      </c>
      <c r="CJ130" s="375">
        <f t="shared" ref="CJ130:CJ134" si="894">+CD130+CF130+CH130</f>
        <v>0</v>
      </c>
      <c r="CK130" s="7">
        <f t="shared" si="449"/>
        <v>0</v>
      </c>
      <c r="CL130" s="375">
        <f t="shared" ref="CL130:CL133" si="895">+CF130+CH130+CJ130</f>
        <v>0</v>
      </c>
      <c r="CM130" s="7">
        <f t="shared" si="449"/>
        <v>0</v>
      </c>
      <c r="CN130" s="375">
        <f t="shared" si="851"/>
        <v>0</v>
      </c>
      <c r="CO130" s="7">
        <f t="shared" si="639"/>
        <v>0</v>
      </c>
      <c r="CP130" s="375">
        <v>0</v>
      </c>
      <c r="CQ130" s="7">
        <f t="shared" si="728"/>
        <v>0</v>
      </c>
      <c r="CR130" s="375">
        <f t="shared" ref="CR130:CR134" si="896">+CN130+CP130</f>
        <v>0</v>
      </c>
      <c r="CS130" s="7">
        <f t="shared" si="641"/>
        <v>0</v>
      </c>
      <c r="CT130" s="375">
        <v>0</v>
      </c>
      <c r="CU130" s="7">
        <f t="shared" si="611"/>
        <v>0</v>
      </c>
      <c r="CV130" s="375">
        <v>0</v>
      </c>
      <c r="CW130" s="7">
        <f t="shared" si="452"/>
        <v>0</v>
      </c>
      <c r="CX130" s="375">
        <f>+CV130+CT130+CP130</f>
        <v>0</v>
      </c>
      <c r="CY130" s="7">
        <f t="shared" si="729"/>
        <v>0</v>
      </c>
      <c r="CZ130" s="375">
        <f t="shared" si="854"/>
        <v>0</v>
      </c>
      <c r="DA130" s="7">
        <f t="shared" si="453"/>
        <v>0</v>
      </c>
      <c r="DB130" s="375">
        <f t="shared" ref="DB130:DB134" si="897">+CV130+CX130+CZ130</f>
        <v>0</v>
      </c>
      <c r="DC130" s="7">
        <f t="shared" si="642"/>
        <v>0</v>
      </c>
      <c r="DD130" s="375">
        <f t="shared" ref="DD130:DD134" si="898">+CX130+CZ130+DB130</f>
        <v>0</v>
      </c>
      <c r="DE130" s="7">
        <f t="shared" si="642"/>
        <v>0</v>
      </c>
      <c r="DF130" s="375">
        <f t="shared" ref="DF130:DF134" si="899">+CZ130+DB130+DD130</f>
        <v>0</v>
      </c>
      <c r="DG130" s="7">
        <f t="shared" si="642"/>
        <v>0</v>
      </c>
      <c r="DH130" s="375">
        <f>+DB130+DD130+DF130</f>
        <v>0</v>
      </c>
      <c r="DI130" s="7">
        <f t="shared" si="730"/>
        <v>0</v>
      </c>
      <c r="DJ130" s="375"/>
      <c r="DK130" s="7">
        <f t="shared" si="643"/>
        <v>0</v>
      </c>
      <c r="DL130" s="375">
        <f t="shared" ref="DL130:DL134" si="900">+DF130+DH130+DJ130</f>
        <v>0</v>
      </c>
      <c r="DM130" s="7">
        <f t="shared" si="644"/>
        <v>0</v>
      </c>
      <c r="DN130" s="375">
        <f t="shared" ref="DN130:DN134" si="901">+DH130+DJ130+DL130</f>
        <v>0</v>
      </c>
      <c r="DO130" s="7">
        <f t="shared" si="645"/>
        <v>0</v>
      </c>
      <c r="DP130" s="375">
        <f t="shared" ref="DP130:DP134" si="902">+DJ130+DL130+DN130</f>
        <v>0</v>
      </c>
      <c r="DQ130" s="7">
        <f t="shared" si="646"/>
        <v>0</v>
      </c>
      <c r="DR130" s="375">
        <f>+DL130+DN130+DP130</f>
        <v>0</v>
      </c>
      <c r="DS130" s="7">
        <f t="shared" si="731"/>
        <v>0</v>
      </c>
      <c r="DT130" s="375">
        <f t="shared" si="855"/>
        <v>0</v>
      </c>
      <c r="DU130" s="7">
        <f t="shared" si="454"/>
        <v>0</v>
      </c>
      <c r="DV130" s="375"/>
      <c r="DW130" s="7">
        <f t="shared" si="647"/>
        <v>0</v>
      </c>
      <c r="DX130" s="375"/>
      <c r="DY130" s="7">
        <f t="shared" si="856"/>
        <v>0</v>
      </c>
      <c r="DZ130" s="375"/>
      <c r="EA130" s="7">
        <f t="shared" si="649"/>
        <v>0</v>
      </c>
      <c r="EB130" s="375">
        <f>+DV130+DX130+DZ130</f>
        <v>0</v>
      </c>
      <c r="EC130" s="7">
        <f t="shared" si="427"/>
        <v>0</v>
      </c>
      <c r="ED130" s="375">
        <f>+EB130+DT130</f>
        <v>0</v>
      </c>
      <c r="EE130" s="7">
        <f t="shared" si="455"/>
        <v>0</v>
      </c>
      <c r="EF130" s="375"/>
      <c r="EG130" s="7">
        <f t="shared" si="650"/>
        <v>0</v>
      </c>
      <c r="EH130" s="375"/>
      <c r="EI130" s="7">
        <f t="shared" si="857"/>
        <v>0</v>
      </c>
      <c r="EJ130" s="375"/>
      <c r="EK130" s="7">
        <f t="shared" si="652"/>
        <v>0</v>
      </c>
      <c r="EL130" s="375">
        <f>+EF130+EH130+EJ130</f>
        <v>0</v>
      </c>
      <c r="EM130" s="7">
        <f t="shared" si="428"/>
        <v>0</v>
      </c>
      <c r="EN130" s="375">
        <f>+EL130+ED130</f>
        <v>0</v>
      </c>
      <c r="EO130" s="7">
        <f t="shared" si="456"/>
        <v>0</v>
      </c>
      <c r="EP130" s="373"/>
      <c r="EQ130" s="373"/>
      <c r="ER130" s="373"/>
      <c r="ES130" s="373"/>
      <c r="ET130" s="375"/>
      <c r="EU130" s="7">
        <f t="shared" si="653"/>
        <v>0</v>
      </c>
      <c r="EV130" s="375"/>
      <c r="EW130" s="7">
        <f t="shared" si="858"/>
        <v>0</v>
      </c>
      <c r="EX130" s="375"/>
      <c r="EY130" s="7">
        <f t="shared" si="655"/>
        <v>0</v>
      </c>
      <c r="EZ130" s="375">
        <f>+ET130+EV130+EX130</f>
        <v>0</v>
      </c>
      <c r="FA130" s="7">
        <f t="shared" si="429"/>
        <v>0</v>
      </c>
      <c r="FB130" s="375"/>
      <c r="FC130" s="7">
        <f t="shared" si="656"/>
        <v>0</v>
      </c>
      <c r="FD130" s="375"/>
      <c r="FE130" s="7">
        <f t="shared" si="612"/>
        <v>0</v>
      </c>
      <c r="FF130" s="375"/>
      <c r="FG130" s="7">
        <f t="shared" si="430"/>
        <v>0</v>
      </c>
      <c r="FH130" s="375">
        <f>+FB130+FD130+FF130</f>
        <v>0</v>
      </c>
      <c r="FI130" s="7">
        <f t="shared" si="431"/>
        <v>0</v>
      </c>
      <c r="FJ130" s="375">
        <f t="shared" ref="FJ130:FJ134" si="903">EZ130+FH130</f>
        <v>0</v>
      </c>
      <c r="FK130" s="7">
        <f t="shared" si="459"/>
        <v>0</v>
      </c>
      <c r="FL130" s="375"/>
      <c r="FM130" s="7">
        <f t="shared" si="658"/>
        <v>0</v>
      </c>
      <c r="FN130" s="375"/>
      <c r="FO130" s="7">
        <f t="shared" si="432"/>
        <v>0</v>
      </c>
      <c r="FP130" s="375"/>
      <c r="FQ130" s="7">
        <f t="shared" si="433"/>
        <v>0</v>
      </c>
      <c r="FR130" s="375">
        <f>+FL130+FN130+FP130</f>
        <v>0</v>
      </c>
      <c r="FS130" s="7">
        <f t="shared" si="434"/>
        <v>0</v>
      </c>
      <c r="FT130" s="375">
        <f t="shared" ref="FT130:FT134" si="904">FJ130+FR130</f>
        <v>0</v>
      </c>
      <c r="FU130" s="7">
        <f t="shared" si="462"/>
        <v>0</v>
      </c>
      <c r="FV130" s="375"/>
      <c r="FW130" s="7">
        <f t="shared" si="660"/>
        <v>0</v>
      </c>
      <c r="FX130" s="375"/>
      <c r="FY130" s="7">
        <f t="shared" si="435"/>
        <v>0</v>
      </c>
      <c r="FZ130" s="375"/>
      <c r="GA130" s="7">
        <f t="shared" si="436"/>
        <v>0</v>
      </c>
      <c r="GB130" s="375">
        <f>+FV130+FX130+FZ130</f>
        <v>0</v>
      </c>
      <c r="GC130" s="7">
        <f t="shared" si="437"/>
        <v>0</v>
      </c>
      <c r="GD130" s="375">
        <f t="shared" ref="GD130:GD134" si="905">FT130+GB130</f>
        <v>0</v>
      </c>
      <c r="GE130" s="7">
        <f t="shared" si="465"/>
        <v>0</v>
      </c>
      <c r="GF130" s="566">
        <f t="shared" ref="GF130:GF133" si="906">+GO130*$GO$1</f>
        <v>0</v>
      </c>
      <c r="GG130" s="525">
        <f t="shared" si="438"/>
        <v>0</v>
      </c>
      <c r="GH130" s="528">
        <f t="shared" ref="GH130:GH134" si="907">+GQ130*$GO$2</f>
        <v>0</v>
      </c>
      <c r="GI130" s="525">
        <f t="shared" si="439"/>
        <v>0</v>
      </c>
      <c r="GJ130" s="528"/>
      <c r="GK130" s="525">
        <f t="shared" si="440"/>
        <v>0</v>
      </c>
      <c r="GL130" s="528">
        <f t="shared" ref="GL130:GL134" si="908">+GD130+GF130+GH130-GJ130</f>
        <v>0</v>
      </c>
      <c r="GM130" s="565">
        <f t="shared" si="468"/>
        <v>0</v>
      </c>
      <c r="GO130" s="586"/>
      <c r="GQ130" s="586"/>
      <c r="GT130" s="551">
        <f t="shared" si="558"/>
        <v>0</v>
      </c>
      <c r="GU130" s="551">
        <f t="shared" si="471"/>
        <v>0</v>
      </c>
      <c r="GV130" s="550">
        <f t="shared" si="732"/>
        <v>0</v>
      </c>
      <c r="GW130" s="527"/>
      <c r="GX130" s="525">
        <f t="shared" si="664"/>
        <v>0</v>
      </c>
      <c r="GY130" s="528"/>
      <c r="GZ130" s="525">
        <f t="shared" si="665"/>
        <v>0</v>
      </c>
      <c r="HA130" s="528"/>
      <c r="HB130" s="526">
        <f t="shared" si="666"/>
        <v>0</v>
      </c>
      <c r="HD130" s="527"/>
      <c r="HE130" s="525">
        <v>0</v>
      </c>
      <c r="HF130" s="528"/>
      <c r="HG130" s="525">
        <v>0</v>
      </c>
      <c r="HH130" s="528"/>
      <c r="HI130" s="526">
        <v>0</v>
      </c>
    </row>
    <row r="131" spans="1:217" ht="15" customHeight="1" outlineLevel="1">
      <c r="A131" s="386" t="s">
        <v>119</v>
      </c>
      <c r="B131" s="386" t="s">
        <v>119</v>
      </c>
      <c r="C131" s="375"/>
      <c r="D131" s="4"/>
      <c r="E131" s="375"/>
      <c r="F131" s="4"/>
      <c r="G131" s="375"/>
      <c r="H131" s="375"/>
      <c r="I131" s="4"/>
      <c r="J131" s="375"/>
      <c r="K131" s="375"/>
      <c r="L131" s="4"/>
      <c r="M131" s="375"/>
      <c r="N131" s="375"/>
      <c r="O131" s="4"/>
      <c r="P131" s="375">
        <f t="shared" si="869"/>
        <v>0</v>
      </c>
      <c r="Q131" s="375">
        <f t="shared" si="869"/>
        <v>0</v>
      </c>
      <c r="R131" s="7">
        <f t="shared" si="442"/>
        <v>0</v>
      </c>
      <c r="S131" s="375"/>
      <c r="T131" s="375"/>
      <c r="U131" s="4"/>
      <c r="V131" s="375"/>
      <c r="W131" s="375"/>
      <c r="X131" s="4"/>
      <c r="Y131" s="375"/>
      <c r="Z131" s="375"/>
      <c r="AA131" s="4"/>
      <c r="AB131" s="375">
        <f t="shared" si="684"/>
        <v>0</v>
      </c>
      <c r="AC131" s="375">
        <f t="shared" si="533"/>
        <v>0</v>
      </c>
      <c r="AD131" s="7">
        <f t="shared" si="443"/>
        <v>0</v>
      </c>
      <c r="AE131" s="375">
        <f t="shared" si="882"/>
        <v>0</v>
      </c>
      <c r="AF131" s="375">
        <f t="shared" si="883"/>
        <v>0</v>
      </c>
      <c r="AG131" s="4"/>
      <c r="AH131" s="375"/>
      <c r="AI131" s="375"/>
      <c r="AJ131" s="4"/>
      <c r="AK131" s="375"/>
      <c r="AL131" s="375"/>
      <c r="AM131" s="4"/>
      <c r="AN131" s="375"/>
      <c r="AO131" s="375"/>
      <c r="AP131" s="4"/>
      <c r="AQ131" s="375">
        <f t="shared" si="884"/>
        <v>0</v>
      </c>
      <c r="AR131" s="375">
        <f t="shared" si="885"/>
        <v>0</v>
      </c>
      <c r="AS131" s="7">
        <f t="shared" si="444"/>
        <v>0</v>
      </c>
      <c r="AT131" s="375">
        <f t="shared" si="840"/>
        <v>0</v>
      </c>
      <c r="AU131" s="4"/>
      <c r="AV131" s="375"/>
      <c r="AW131" s="375"/>
      <c r="AX131" s="4"/>
      <c r="AY131" s="375"/>
      <c r="AZ131" s="375"/>
      <c r="BA131" s="4"/>
      <c r="BB131" s="375"/>
      <c r="BC131" s="375"/>
      <c r="BD131" s="448"/>
      <c r="BE131" s="375">
        <f t="shared" si="886"/>
        <v>0</v>
      </c>
      <c r="BF131" s="375">
        <f t="shared" si="887"/>
        <v>0</v>
      </c>
      <c r="BG131" s="7">
        <f t="shared" si="445"/>
        <v>0</v>
      </c>
      <c r="BH131" s="375">
        <f t="shared" si="888"/>
        <v>0</v>
      </c>
      <c r="BI131" s="388">
        <f t="shared" si="889"/>
        <v>0</v>
      </c>
      <c r="BJ131" s="7">
        <f t="shared" si="446"/>
        <v>0</v>
      </c>
      <c r="BK131" s="375">
        <v>0</v>
      </c>
      <c r="BL131" s="282"/>
      <c r="BN131" s="375"/>
      <c r="BO131" s="4"/>
      <c r="BP131" s="375"/>
      <c r="BQ131" s="4"/>
      <c r="BR131" s="375"/>
      <c r="BS131" s="4"/>
      <c r="BT131" s="375">
        <f t="shared" si="845"/>
        <v>0</v>
      </c>
      <c r="BU131" s="7">
        <f t="shared" si="447"/>
        <v>0</v>
      </c>
      <c r="BV131" s="375"/>
      <c r="BW131" s="7"/>
      <c r="BX131" s="375"/>
      <c r="BY131" s="7"/>
      <c r="BZ131" s="375">
        <f t="shared" si="846"/>
        <v>0</v>
      </c>
      <c r="CA131" s="7"/>
      <c r="CB131" s="375">
        <f t="shared" si="890"/>
        <v>0</v>
      </c>
      <c r="CC131" s="7">
        <f t="shared" si="534"/>
        <v>0</v>
      </c>
      <c r="CD131" s="375">
        <f t="shared" si="891"/>
        <v>0</v>
      </c>
      <c r="CE131" s="7">
        <f t="shared" si="448"/>
        <v>0</v>
      </c>
      <c r="CF131" s="375">
        <f t="shared" si="892"/>
        <v>0</v>
      </c>
      <c r="CG131" s="7">
        <f t="shared" si="449"/>
        <v>0</v>
      </c>
      <c r="CH131" s="375">
        <f t="shared" si="893"/>
        <v>0</v>
      </c>
      <c r="CI131" s="7">
        <f t="shared" si="449"/>
        <v>0</v>
      </c>
      <c r="CJ131" s="375">
        <f t="shared" si="894"/>
        <v>0</v>
      </c>
      <c r="CK131" s="7">
        <f t="shared" si="449"/>
        <v>0</v>
      </c>
      <c r="CL131" s="375">
        <f t="shared" si="895"/>
        <v>0</v>
      </c>
      <c r="CM131" s="7">
        <f t="shared" si="449"/>
        <v>0</v>
      </c>
      <c r="CN131" s="375">
        <f t="shared" si="851"/>
        <v>0</v>
      </c>
      <c r="CO131" s="7">
        <f t="shared" si="639"/>
        <v>0</v>
      </c>
      <c r="CP131" s="375">
        <v>0</v>
      </c>
      <c r="CQ131" s="7">
        <f t="shared" si="728"/>
        <v>0</v>
      </c>
      <c r="CR131" s="375">
        <f t="shared" si="896"/>
        <v>0</v>
      </c>
      <c r="CS131" s="7">
        <f t="shared" si="641"/>
        <v>0</v>
      </c>
      <c r="CT131" s="375">
        <v>0</v>
      </c>
      <c r="CU131" s="7">
        <f t="shared" si="611"/>
        <v>0</v>
      </c>
      <c r="CV131" s="375">
        <v>0</v>
      </c>
      <c r="CW131" s="7">
        <f t="shared" si="452"/>
        <v>0</v>
      </c>
      <c r="CX131" s="375">
        <f>+CV131+CT131+CP131</f>
        <v>0</v>
      </c>
      <c r="CY131" s="7">
        <f t="shared" si="729"/>
        <v>0</v>
      </c>
      <c r="CZ131" s="375">
        <f t="shared" si="854"/>
        <v>0</v>
      </c>
      <c r="DA131" s="7">
        <f t="shared" si="453"/>
        <v>0</v>
      </c>
      <c r="DB131" s="375">
        <f t="shared" si="897"/>
        <v>0</v>
      </c>
      <c r="DC131" s="7">
        <f t="shared" si="642"/>
        <v>0</v>
      </c>
      <c r="DD131" s="375">
        <f t="shared" si="898"/>
        <v>0</v>
      </c>
      <c r="DE131" s="7">
        <f t="shared" si="642"/>
        <v>0</v>
      </c>
      <c r="DF131" s="375">
        <f t="shared" si="899"/>
        <v>0</v>
      </c>
      <c r="DG131" s="7">
        <f t="shared" si="642"/>
        <v>0</v>
      </c>
      <c r="DH131" s="375">
        <f>+DB131+DD131+DF131</f>
        <v>0</v>
      </c>
      <c r="DI131" s="7">
        <f t="shared" si="730"/>
        <v>0</v>
      </c>
      <c r="DJ131" s="375"/>
      <c r="DK131" s="7">
        <f t="shared" si="643"/>
        <v>0</v>
      </c>
      <c r="DL131" s="375">
        <f t="shared" si="900"/>
        <v>0</v>
      </c>
      <c r="DM131" s="7">
        <f t="shared" si="644"/>
        <v>0</v>
      </c>
      <c r="DN131" s="375">
        <f t="shared" si="901"/>
        <v>0</v>
      </c>
      <c r="DO131" s="7">
        <f t="shared" si="645"/>
        <v>0</v>
      </c>
      <c r="DP131" s="375">
        <f t="shared" si="902"/>
        <v>0</v>
      </c>
      <c r="DQ131" s="7">
        <f t="shared" si="646"/>
        <v>0</v>
      </c>
      <c r="DR131" s="375">
        <f>+DL131+DN131+DP131</f>
        <v>0</v>
      </c>
      <c r="DS131" s="7">
        <f t="shared" si="731"/>
        <v>0</v>
      </c>
      <c r="DT131" s="375">
        <f t="shared" si="855"/>
        <v>0</v>
      </c>
      <c r="DU131" s="7">
        <f t="shared" si="454"/>
        <v>0</v>
      </c>
      <c r="DV131" s="375"/>
      <c r="DW131" s="7">
        <f t="shared" si="647"/>
        <v>0</v>
      </c>
      <c r="DX131" s="375"/>
      <c r="DY131" s="7">
        <f t="shared" si="856"/>
        <v>0</v>
      </c>
      <c r="DZ131" s="375"/>
      <c r="EA131" s="7">
        <f t="shared" si="649"/>
        <v>0</v>
      </c>
      <c r="EB131" s="375">
        <f>+DV131+DX131+DZ131</f>
        <v>0</v>
      </c>
      <c r="EC131" s="7">
        <f t="shared" si="427"/>
        <v>0</v>
      </c>
      <c r="ED131" s="375">
        <f>+EB131+DT131</f>
        <v>0</v>
      </c>
      <c r="EE131" s="7">
        <f t="shared" si="455"/>
        <v>0</v>
      </c>
      <c r="EF131" s="375"/>
      <c r="EG131" s="7">
        <f t="shared" si="650"/>
        <v>0</v>
      </c>
      <c r="EH131" s="375"/>
      <c r="EI131" s="7">
        <f t="shared" si="857"/>
        <v>0</v>
      </c>
      <c r="EJ131" s="375"/>
      <c r="EK131" s="7">
        <f t="shared" si="652"/>
        <v>0</v>
      </c>
      <c r="EL131" s="375">
        <f>+EF131+EH131+EJ131</f>
        <v>0</v>
      </c>
      <c r="EM131" s="7">
        <f t="shared" si="428"/>
        <v>0</v>
      </c>
      <c r="EN131" s="375">
        <f>+EL131+ED131</f>
        <v>0</v>
      </c>
      <c r="EO131" s="7">
        <f t="shared" si="456"/>
        <v>0</v>
      </c>
      <c r="EP131" s="373"/>
      <c r="EQ131" s="373"/>
      <c r="ER131" s="373"/>
      <c r="ES131" s="373"/>
      <c r="ET131" s="375"/>
      <c r="EU131" s="7">
        <f t="shared" si="653"/>
        <v>0</v>
      </c>
      <c r="EV131" s="375"/>
      <c r="EW131" s="7">
        <f t="shared" si="858"/>
        <v>0</v>
      </c>
      <c r="EX131" s="375"/>
      <c r="EY131" s="7">
        <f t="shared" si="655"/>
        <v>0</v>
      </c>
      <c r="EZ131" s="375">
        <f>+ET131+EV131+EX131</f>
        <v>0</v>
      </c>
      <c r="FA131" s="7">
        <f t="shared" si="429"/>
        <v>0</v>
      </c>
      <c r="FB131" s="375"/>
      <c r="FC131" s="7">
        <f t="shared" si="656"/>
        <v>0</v>
      </c>
      <c r="FD131" s="375"/>
      <c r="FE131" s="7">
        <f t="shared" si="612"/>
        <v>0</v>
      </c>
      <c r="FF131" s="375"/>
      <c r="FG131" s="7">
        <f t="shared" si="430"/>
        <v>0</v>
      </c>
      <c r="FH131" s="375">
        <f>+FB131+FD131+FF131</f>
        <v>0</v>
      </c>
      <c r="FI131" s="7">
        <f t="shared" si="431"/>
        <v>0</v>
      </c>
      <c r="FJ131" s="375">
        <f t="shared" si="903"/>
        <v>0</v>
      </c>
      <c r="FK131" s="7">
        <f t="shared" si="459"/>
        <v>0</v>
      </c>
      <c r="FL131" s="375"/>
      <c r="FM131" s="7">
        <f t="shared" si="658"/>
        <v>0</v>
      </c>
      <c r="FN131" s="375"/>
      <c r="FO131" s="7">
        <f t="shared" si="432"/>
        <v>0</v>
      </c>
      <c r="FP131" s="375"/>
      <c r="FQ131" s="7">
        <f t="shared" si="433"/>
        <v>0</v>
      </c>
      <c r="FR131" s="375">
        <f>+FL131+FN131+FP131</f>
        <v>0</v>
      </c>
      <c r="FS131" s="7">
        <f t="shared" si="434"/>
        <v>0</v>
      </c>
      <c r="FT131" s="375">
        <f t="shared" si="904"/>
        <v>0</v>
      </c>
      <c r="FU131" s="7">
        <f t="shared" si="462"/>
        <v>0</v>
      </c>
      <c r="FV131" s="375"/>
      <c r="FW131" s="7">
        <f t="shared" si="660"/>
        <v>0</v>
      </c>
      <c r="FX131" s="375"/>
      <c r="FY131" s="7">
        <f t="shared" si="435"/>
        <v>0</v>
      </c>
      <c r="FZ131" s="375"/>
      <c r="GA131" s="7">
        <f t="shared" si="436"/>
        <v>0</v>
      </c>
      <c r="GB131" s="375">
        <f>+FV131+FX131+FZ131</f>
        <v>0</v>
      </c>
      <c r="GC131" s="7">
        <f t="shared" si="437"/>
        <v>0</v>
      </c>
      <c r="GD131" s="375">
        <f t="shared" si="905"/>
        <v>0</v>
      </c>
      <c r="GE131" s="7">
        <f t="shared" si="465"/>
        <v>0</v>
      </c>
      <c r="GF131" s="566">
        <f t="shared" si="906"/>
        <v>0</v>
      </c>
      <c r="GG131" s="525">
        <f t="shared" si="438"/>
        <v>0</v>
      </c>
      <c r="GH131" s="528">
        <f t="shared" si="907"/>
        <v>0</v>
      </c>
      <c r="GI131" s="525">
        <f t="shared" si="439"/>
        <v>0</v>
      </c>
      <c r="GJ131" s="528"/>
      <c r="GK131" s="525">
        <f t="shared" si="440"/>
        <v>0</v>
      </c>
      <c r="GL131" s="528">
        <f t="shared" si="908"/>
        <v>0</v>
      </c>
      <c r="GM131" s="565">
        <f t="shared" si="468"/>
        <v>0</v>
      </c>
      <c r="GO131" s="586"/>
      <c r="GQ131" s="586"/>
      <c r="GT131" s="551">
        <f t="shared" si="558"/>
        <v>0</v>
      </c>
      <c r="GU131" s="551">
        <f t="shared" si="471"/>
        <v>0</v>
      </c>
      <c r="GV131" s="550">
        <f t="shared" si="732"/>
        <v>0</v>
      </c>
      <c r="GW131" s="527"/>
      <c r="GX131" s="525">
        <f t="shared" si="664"/>
        <v>0</v>
      </c>
      <c r="GY131" s="528"/>
      <c r="GZ131" s="525">
        <f t="shared" si="665"/>
        <v>0</v>
      </c>
      <c r="HA131" s="528"/>
      <c r="HB131" s="526">
        <f t="shared" si="666"/>
        <v>0</v>
      </c>
      <c r="HD131" s="527"/>
      <c r="HE131" s="525">
        <v>0</v>
      </c>
      <c r="HF131" s="528"/>
      <c r="HG131" s="525">
        <v>0</v>
      </c>
      <c r="HH131" s="528"/>
      <c r="HI131" s="526">
        <v>0</v>
      </c>
    </row>
    <row r="132" spans="1:217" ht="15" customHeight="1" outlineLevel="1">
      <c r="A132" s="386" t="s">
        <v>119</v>
      </c>
      <c r="B132" s="386" t="s">
        <v>121</v>
      </c>
      <c r="C132" s="375">
        <v>0</v>
      </c>
      <c r="D132" s="4"/>
      <c r="E132" s="375">
        <v>0</v>
      </c>
      <c r="F132" s="4"/>
      <c r="G132" s="375">
        <v>0</v>
      </c>
      <c r="H132" s="375"/>
      <c r="I132" s="4"/>
      <c r="J132" s="375">
        <v>0</v>
      </c>
      <c r="K132" s="375"/>
      <c r="L132" s="4"/>
      <c r="M132" s="375">
        <v>0</v>
      </c>
      <c r="N132" s="375"/>
      <c r="O132" s="4"/>
      <c r="P132" s="375">
        <f t="shared" si="869"/>
        <v>0</v>
      </c>
      <c r="Q132" s="375">
        <f t="shared" si="869"/>
        <v>0</v>
      </c>
      <c r="R132" s="7">
        <f t="shared" si="442"/>
        <v>0</v>
      </c>
      <c r="S132" s="375"/>
      <c r="T132" s="375"/>
      <c r="U132" s="4"/>
      <c r="V132" s="375">
        <v>0</v>
      </c>
      <c r="W132" s="375"/>
      <c r="X132" s="4"/>
      <c r="Y132" s="375">
        <v>0</v>
      </c>
      <c r="Z132" s="375"/>
      <c r="AA132" s="4"/>
      <c r="AB132" s="375">
        <f t="shared" si="684"/>
        <v>0</v>
      </c>
      <c r="AC132" s="375">
        <f t="shared" si="533"/>
        <v>0</v>
      </c>
      <c r="AD132" s="7">
        <f t="shared" si="443"/>
        <v>0</v>
      </c>
      <c r="AE132" s="375">
        <f t="shared" si="882"/>
        <v>0</v>
      </c>
      <c r="AF132" s="375">
        <f t="shared" si="883"/>
        <v>0</v>
      </c>
      <c r="AG132" s="4"/>
      <c r="AH132" s="375">
        <v>0</v>
      </c>
      <c r="AI132" s="375">
        <v>0</v>
      </c>
      <c r="AJ132" s="4"/>
      <c r="AK132" s="375"/>
      <c r="AL132" s="375"/>
      <c r="AM132" s="4"/>
      <c r="AN132" s="375">
        <v>0</v>
      </c>
      <c r="AO132" s="375">
        <v>0</v>
      </c>
      <c r="AP132" s="4"/>
      <c r="AQ132" s="375">
        <f t="shared" si="884"/>
        <v>0</v>
      </c>
      <c r="AR132" s="375">
        <f t="shared" si="885"/>
        <v>0</v>
      </c>
      <c r="AS132" s="7">
        <f t="shared" si="444"/>
        <v>0</v>
      </c>
      <c r="AT132" s="375">
        <f t="shared" si="840"/>
        <v>0</v>
      </c>
      <c r="AU132" s="4"/>
      <c r="AV132" s="375">
        <v>0</v>
      </c>
      <c r="AW132" s="375">
        <v>0</v>
      </c>
      <c r="AX132" s="4"/>
      <c r="AY132" s="375"/>
      <c r="AZ132" s="375">
        <v>0</v>
      </c>
      <c r="BA132" s="4"/>
      <c r="BB132" s="375"/>
      <c r="BC132" s="375"/>
      <c r="BD132" s="448"/>
      <c r="BE132" s="375">
        <f t="shared" si="886"/>
        <v>0</v>
      </c>
      <c r="BF132" s="375">
        <f t="shared" si="887"/>
        <v>0</v>
      </c>
      <c r="BG132" s="7">
        <f t="shared" si="445"/>
        <v>0</v>
      </c>
      <c r="BH132" s="375">
        <f t="shared" si="888"/>
        <v>0</v>
      </c>
      <c r="BI132" s="388">
        <f t="shared" si="889"/>
        <v>0</v>
      </c>
      <c r="BJ132" s="7">
        <f t="shared" si="446"/>
        <v>0</v>
      </c>
      <c r="BK132" s="375">
        <v>0</v>
      </c>
      <c r="BL132" s="282"/>
      <c r="BN132" s="375"/>
      <c r="BO132" s="4"/>
      <c r="BP132" s="375"/>
      <c r="BQ132" s="4"/>
      <c r="BR132" s="375"/>
      <c r="BS132" s="4"/>
      <c r="BT132" s="375">
        <f t="shared" si="845"/>
        <v>0</v>
      </c>
      <c r="BU132" s="7">
        <f t="shared" si="447"/>
        <v>0</v>
      </c>
      <c r="BV132" s="375"/>
      <c r="BW132" s="7"/>
      <c r="BX132" s="375"/>
      <c r="BY132" s="7"/>
      <c r="BZ132" s="375">
        <f t="shared" si="846"/>
        <v>0</v>
      </c>
      <c r="CA132" s="7"/>
      <c r="CB132" s="375">
        <f t="shared" si="890"/>
        <v>0</v>
      </c>
      <c r="CC132" s="7">
        <f t="shared" si="534"/>
        <v>0</v>
      </c>
      <c r="CD132" s="375">
        <f t="shared" si="891"/>
        <v>0</v>
      </c>
      <c r="CE132" s="7">
        <f t="shared" si="448"/>
        <v>0</v>
      </c>
      <c r="CF132" s="375">
        <f t="shared" si="892"/>
        <v>0</v>
      </c>
      <c r="CG132" s="7">
        <f t="shared" si="449"/>
        <v>0</v>
      </c>
      <c r="CH132" s="375">
        <f t="shared" si="893"/>
        <v>0</v>
      </c>
      <c r="CI132" s="7">
        <f t="shared" si="449"/>
        <v>0</v>
      </c>
      <c r="CJ132" s="375">
        <f t="shared" si="894"/>
        <v>0</v>
      </c>
      <c r="CK132" s="7">
        <f t="shared" si="449"/>
        <v>0</v>
      </c>
      <c r="CL132" s="375">
        <f t="shared" si="895"/>
        <v>0</v>
      </c>
      <c r="CM132" s="7">
        <f t="shared" si="449"/>
        <v>0</v>
      </c>
      <c r="CN132" s="375">
        <f t="shared" si="851"/>
        <v>0</v>
      </c>
      <c r="CO132" s="7">
        <f t="shared" si="639"/>
        <v>0</v>
      </c>
      <c r="CP132" s="375">
        <v>0</v>
      </c>
      <c r="CQ132" s="7">
        <f t="shared" si="728"/>
        <v>0</v>
      </c>
      <c r="CR132" s="375">
        <f t="shared" si="896"/>
        <v>0</v>
      </c>
      <c r="CS132" s="7">
        <f t="shared" si="641"/>
        <v>0</v>
      </c>
      <c r="CT132" s="375">
        <v>0</v>
      </c>
      <c r="CU132" s="7">
        <f t="shared" si="611"/>
        <v>0</v>
      </c>
      <c r="CV132" s="375">
        <v>0</v>
      </c>
      <c r="CW132" s="7">
        <f t="shared" si="452"/>
        <v>0</v>
      </c>
      <c r="CX132" s="375">
        <f>+CV132+CT132+CP132</f>
        <v>0</v>
      </c>
      <c r="CY132" s="7">
        <f t="shared" si="729"/>
        <v>0</v>
      </c>
      <c r="CZ132" s="375">
        <f t="shared" si="854"/>
        <v>0</v>
      </c>
      <c r="DA132" s="7">
        <f t="shared" si="453"/>
        <v>0</v>
      </c>
      <c r="DB132" s="375">
        <f t="shared" si="897"/>
        <v>0</v>
      </c>
      <c r="DC132" s="7">
        <f t="shared" si="642"/>
        <v>0</v>
      </c>
      <c r="DD132" s="375">
        <f t="shared" si="898"/>
        <v>0</v>
      </c>
      <c r="DE132" s="7">
        <f t="shared" si="642"/>
        <v>0</v>
      </c>
      <c r="DF132" s="375">
        <f t="shared" si="899"/>
        <v>0</v>
      </c>
      <c r="DG132" s="7">
        <f t="shared" si="642"/>
        <v>0</v>
      </c>
      <c r="DH132" s="375">
        <f t="shared" ref="DH132:DH133" si="909">+DB132+DD132+DF132</f>
        <v>0</v>
      </c>
      <c r="DI132" s="7">
        <f t="shared" si="730"/>
        <v>0</v>
      </c>
      <c r="DJ132" s="375"/>
      <c r="DK132" s="7">
        <f t="shared" si="643"/>
        <v>0</v>
      </c>
      <c r="DL132" s="375">
        <f t="shared" si="900"/>
        <v>0</v>
      </c>
      <c r="DM132" s="7">
        <f t="shared" si="644"/>
        <v>0</v>
      </c>
      <c r="DN132" s="375">
        <f t="shared" si="901"/>
        <v>0</v>
      </c>
      <c r="DO132" s="7">
        <f t="shared" si="645"/>
        <v>0</v>
      </c>
      <c r="DP132" s="375">
        <f t="shared" si="902"/>
        <v>0</v>
      </c>
      <c r="DQ132" s="7">
        <f t="shared" si="646"/>
        <v>0</v>
      </c>
      <c r="DR132" s="375">
        <f t="shared" ref="DR132:DR133" si="910">+DL132+DN132+DP132</f>
        <v>0</v>
      </c>
      <c r="DS132" s="7">
        <f t="shared" si="731"/>
        <v>0</v>
      </c>
      <c r="DT132" s="375">
        <f t="shared" si="855"/>
        <v>0</v>
      </c>
      <c r="DU132" s="7">
        <f t="shared" si="454"/>
        <v>0</v>
      </c>
      <c r="DV132" s="375"/>
      <c r="DW132" s="7">
        <f t="shared" si="647"/>
        <v>0</v>
      </c>
      <c r="DX132" s="375"/>
      <c r="DY132" s="7">
        <f t="shared" si="856"/>
        <v>0</v>
      </c>
      <c r="DZ132" s="375"/>
      <c r="EA132" s="7">
        <f t="shared" si="649"/>
        <v>0</v>
      </c>
      <c r="EB132" s="375">
        <f t="shared" ref="EB132:EB133" si="911">+DV132+DX132+DZ132</f>
        <v>0</v>
      </c>
      <c r="EC132" s="7">
        <f t="shared" si="427"/>
        <v>0</v>
      </c>
      <c r="ED132" s="375">
        <f>+EB132+DT132</f>
        <v>0</v>
      </c>
      <c r="EE132" s="7">
        <f t="shared" si="455"/>
        <v>0</v>
      </c>
      <c r="EF132" s="375"/>
      <c r="EG132" s="7">
        <f t="shared" si="650"/>
        <v>0</v>
      </c>
      <c r="EH132" s="375"/>
      <c r="EI132" s="7">
        <f t="shared" si="857"/>
        <v>0</v>
      </c>
      <c r="EJ132" s="375"/>
      <c r="EK132" s="7">
        <f t="shared" si="652"/>
        <v>0</v>
      </c>
      <c r="EL132" s="375">
        <f t="shared" ref="EL132:EL133" si="912">+EF132+EH132+EJ132</f>
        <v>0</v>
      </c>
      <c r="EM132" s="7">
        <f t="shared" si="428"/>
        <v>0</v>
      </c>
      <c r="EN132" s="375">
        <f>+EL132+ED132</f>
        <v>0</v>
      </c>
      <c r="EO132" s="7">
        <f t="shared" si="456"/>
        <v>0</v>
      </c>
      <c r="EP132" s="373"/>
      <c r="EQ132" s="373"/>
      <c r="ER132" s="373"/>
      <c r="ES132" s="373"/>
      <c r="ET132" s="375"/>
      <c r="EU132" s="7">
        <f t="shared" si="653"/>
        <v>0</v>
      </c>
      <c r="EV132" s="375"/>
      <c r="EW132" s="7">
        <f t="shared" si="858"/>
        <v>0</v>
      </c>
      <c r="EX132" s="375"/>
      <c r="EY132" s="7">
        <f t="shared" si="655"/>
        <v>0</v>
      </c>
      <c r="EZ132" s="375">
        <f t="shared" ref="EZ132:EZ133" si="913">+ET132+EV132+EX132</f>
        <v>0</v>
      </c>
      <c r="FA132" s="7">
        <f t="shared" si="429"/>
        <v>0</v>
      </c>
      <c r="FB132" s="375"/>
      <c r="FC132" s="7">
        <f t="shared" si="656"/>
        <v>0</v>
      </c>
      <c r="FD132" s="375"/>
      <c r="FE132" s="7">
        <f t="shared" si="612"/>
        <v>0</v>
      </c>
      <c r="FF132" s="375"/>
      <c r="FG132" s="7">
        <f t="shared" si="430"/>
        <v>0</v>
      </c>
      <c r="FH132" s="375">
        <f t="shared" ref="FH132:FH133" si="914">+FB132+FD132+FF132</f>
        <v>0</v>
      </c>
      <c r="FI132" s="7">
        <f t="shared" si="431"/>
        <v>0</v>
      </c>
      <c r="FJ132" s="375">
        <f t="shared" si="903"/>
        <v>0</v>
      </c>
      <c r="FK132" s="7">
        <f t="shared" si="459"/>
        <v>0</v>
      </c>
      <c r="FL132" s="375"/>
      <c r="FM132" s="7">
        <f t="shared" si="658"/>
        <v>0</v>
      </c>
      <c r="FN132" s="375"/>
      <c r="FO132" s="7">
        <f t="shared" si="432"/>
        <v>0</v>
      </c>
      <c r="FP132" s="375"/>
      <c r="FQ132" s="7">
        <f t="shared" si="433"/>
        <v>0</v>
      </c>
      <c r="FR132" s="375">
        <f t="shared" ref="FR132:FR133" si="915">+FL132+FN132+FP132</f>
        <v>0</v>
      </c>
      <c r="FS132" s="7">
        <f t="shared" si="434"/>
        <v>0</v>
      </c>
      <c r="FT132" s="375">
        <f t="shared" si="904"/>
        <v>0</v>
      </c>
      <c r="FU132" s="7">
        <f t="shared" si="462"/>
        <v>0</v>
      </c>
      <c r="FV132" s="375"/>
      <c r="FW132" s="7">
        <f t="shared" si="660"/>
        <v>0</v>
      </c>
      <c r="FX132" s="375"/>
      <c r="FY132" s="7">
        <f t="shared" si="435"/>
        <v>0</v>
      </c>
      <c r="FZ132" s="375"/>
      <c r="GA132" s="7">
        <f t="shared" si="436"/>
        <v>0</v>
      </c>
      <c r="GB132" s="375">
        <f t="shared" ref="GB132:GB133" si="916">+FV132+FX132+FZ132</f>
        <v>0</v>
      </c>
      <c r="GC132" s="7">
        <f t="shared" si="437"/>
        <v>0</v>
      </c>
      <c r="GD132" s="375">
        <f t="shared" si="905"/>
        <v>0</v>
      </c>
      <c r="GE132" s="7">
        <f t="shared" si="465"/>
        <v>0</v>
      </c>
      <c r="GF132" s="566">
        <f t="shared" si="906"/>
        <v>0</v>
      </c>
      <c r="GG132" s="525">
        <f t="shared" si="438"/>
        <v>0</v>
      </c>
      <c r="GH132" s="528">
        <f t="shared" si="907"/>
        <v>0</v>
      </c>
      <c r="GI132" s="525">
        <f t="shared" si="439"/>
        <v>0</v>
      </c>
      <c r="GJ132" s="528"/>
      <c r="GK132" s="525">
        <f t="shared" si="440"/>
        <v>0</v>
      </c>
      <c r="GL132" s="528">
        <f t="shared" si="908"/>
        <v>0</v>
      </c>
      <c r="GM132" s="565">
        <f t="shared" si="468"/>
        <v>0</v>
      </c>
      <c r="GO132" s="586"/>
      <c r="GQ132" s="586"/>
      <c r="GT132" s="551">
        <f t="shared" si="558"/>
        <v>0</v>
      </c>
      <c r="GU132" s="551">
        <f t="shared" si="471"/>
        <v>0</v>
      </c>
      <c r="GV132" s="550">
        <f t="shared" si="732"/>
        <v>0</v>
      </c>
      <c r="GW132" s="527"/>
      <c r="GX132" s="525">
        <f t="shared" si="664"/>
        <v>0</v>
      </c>
      <c r="GY132" s="528"/>
      <c r="GZ132" s="525">
        <f t="shared" si="665"/>
        <v>0</v>
      </c>
      <c r="HA132" s="528"/>
      <c r="HB132" s="526">
        <f t="shared" si="666"/>
        <v>0</v>
      </c>
      <c r="HD132" s="527"/>
      <c r="HE132" s="525">
        <v>0</v>
      </c>
      <c r="HF132" s="528"/>
      <c r="HG132" s="525">
        <v>0</v>
      </c>
      <c r="HH132" s="528"/>
      <c r="HI132" s="526">
        <v>0</v>
      </c>
    </row>
    <row r="133" spans="1:217" ht="15" customHeight="1" outlineLevel="1">
      <c r="A133" s="386" t="s">
        <v>119</v>
      </c>
      <c r="B133" s="386" t="s">
        <v>122</v>
      </c>
      <c r="C133" s="375"/>
      <c r="D133" s="4"/>
      <c r="E133" s="375"/>
      <c r="F133" s="4"/>
      <c r="G133" s="375"/>
      <c r="H133" s="375"/>
      <c r="I133" s="4"/>
      <c r="J133" s="375"/>
      <c r="K133" s="375"/>
      <c r="L133" s="4"/>
      <c r="M133" s="375"/>
      <c r="N133" s="375"/>
      <c r="O133" s="4"/>
      <c r="P133" s="375">
        <f t="shared" si="869"/>
        <v>0</v>
      </c>
      <c r="Q133" s="375">
        <f t="shared" si="869"/>
        <v>0</v>
      </c>
      <c r="R133" s="7">
        <f t="shared" si="442"/>
        <v>0</v>
      </c>
      <c r="S133" s="375"/>
      <c r="T133" s="375"/>
      <c r="U133" s="4"/>
      <c r="V133" s="375"/>
      <c r="W133" s="375"/>
      <c r="X133" s="4"/>
      <c r="Y133" s="375"/>
      <c r="Z133" s="375"/>
      <c r="AA133" s="4"/>
      <c r="AB133" s="375">
        <f t="shared" si="684"/>
        <v>0</v>
      </c>
      <c r="AC133" s="375">
        <f t="shared" si="533"/>
        <v>0</v>
      </c>
      <c r="AD133" s="7">
        <f t="shared" si="443"/>
        <v>0</v>
      </c>
      <c r="AE133" s="375">
        <f t="shared" si="882"/>
        <v>0</v>
      </c>
      <c r="AF133" s="375">
        <f t="shared" si="883"/>
        <v>0</v>
      </c>
      <c r="AG133" s="4"/>
      <c r="AH133" s="375"/>
      <c r="AI133" s="375"/>
      <c r="AJ133" s="4"/>
      <c r="AK133" s="375"/>
      <c r="AL133" s="375"/>
      <c r="AM133" s="4"/>
      <c r="AN133" s="375"/>
      <c r="AO133" s="375"/>
      <c r="AP133" s="4"/>
      <c r="AQ133" s="375">
        <f t="shared" si="884"/>
        <v>0</v>
      </c>
      <c r="AR133" s="375">
        <f t="shared" si="885"/>
        <v>0</v>
      </c>
      <c r="AS133" s="7">
        <f t="shared" si="444"/>
        <v>0</v>
      </c>
      <c r="AT133" s="375">
        <f>+AF133+AR133</f>
        <v>0</v>
      </c>
      <c r="AU133" s="4"/>
      <c r="AV133" s="375"/>
      <c r="AW133" s="375"/>
      <c r="AX133" s="4"/>
      <c r="AY133" s="375"/>
      <c r="AZ133" s="375"/>
      <c r="BA133" s="4"/>
      <c r="BB133" s="375"/>
      <c r="BC133" s="375"/>
      <c r="BD133" s="448"/>
      <c r="BE133" s="375">
        <f t="shared" si="886"/>
        <v>0</v>
      </c>
      <c r="BF133" s="375">
        <f t="shared" si="887"/>
        <v>0</v>
      </c>
      <c r="BG133" s="7">
        <f t="shared" si="445"/>
        <v>0</v>
      </c>
      <c r="BH133" s="375">
        <f t="shared" si="888"/>
        <v>0</v>
      </c>
      <c r="BI133" s="388">
        <f t="shared" si="889"/>
        <v>0</v>
      </c>
      <c r="BJ133" s="7">
        <f t="shared" si="446"/>
        <v>0</v>
      </c>
      <c r="BK133" s="375">
        <v>0</v>
      </c>
      <c r="BL133" s="282"/>
      <c r="BN133" s="375"/>
      <c r="BO133" s="4"/>
      <c r="BP133" s="375"/>
      <c r="BQ133" s="4"/>
      <c r="BR133" s="375"/>
      <c r="BS133" s="4"/>
      <c r="BT133" s="375">
        <f t="shared" si="845"/>
        <v>0</v>
      </c>
      <c r="BU133" s="7">
        <f t="shared" si="447"/>
        <v>0</v>
      </c>
      <c r="BV133" s="375"/>
      <c r="BW133" s="7"/>
      <c r="BX133" s="375"/>
      <c r="BY133" s="7"/>
      <c r="BZ133" s="375">
        <f t="shared" si="846"/>
        <v>0</v>
      </c>
      <c r="CA133" s="7"/>
      <c r="CB133" s="375">
        <f t="shared" si="890"/>
        <v>0</v>
      </c>
      <c r="CC133" s="7">
        <f t="shared" si="534"/>
        <v>0</v>
      </c>
      <c r="CD133" s="375">
        <f t="shared" si="891"/>
        <v>0</v>
      </c>
      <c r="CE133" s="7">
        <f t="shared" si="448"/>
        <v>0</v>
      </c>
      <c r="CF133" s="375">
        <f t="shared" si="892"/>
        <v>0</v>
      </c>
      <c r="CG133" s="7">
        <f t="shared" si="449"/>
        <v>0</v>
      </c>
      <c r="CH133" s="375">
        <f t="shared" si="893"/>
        <v>0</v>
      </c>
      <c r="CI133" s="7">
        <f t="shared" si="449"/>
        <v>0</v>
      </c>
      <c r="CJ133" s="375">
        <f t="shared" si="894"/>
        <v>0</v>
      </c>
      <c r="CK133" s="7">
        <f t="shared" si="449"/>
        <v>0</v>
      </c>
      <c r="CL133" s="375">
        <f t="shared" si="895"/>
        <v>0</v>
      </c>
      <c r="CM133" s="7">
        <f t="shared" si="449"/>
        <v>0</v>
      </c>
      <c r="CN133" s="375">
        <f t="shared" si="851"/>
        <v>0</v>
      </c>
      <c r="CO133" s="7">
        <f t="shared" si="639"/>
        <v>0</v>
      </c>
      <c r="CP133" s="375">
        <v>0</v>
      </c>
      <c r="CQ133" s="7">
        <f t="shared" si="728"/>
        <v>0</v>
      </c>
      <c r="CR133" s="375">
        <f t="shared" si="896"/>
        <v>0</v>
      </c>
      <c r="CS133" s="7">
        <f t="shared" si="641"/>
        <v>0</v>
      </c>
      <c r="CT133" s="375">
        <v>0</v>
      </c>
      <c r="CU133" s="7">
        <f t="shared" si="611"/>
        <v>0</v>
      </c>
      <c r="CV133" s="375">
        <v>0</v>
      </c>
      <c r="CW133" s="7">
        <f t="shared" si="452"/>
        <v>0</v>
      </c>
      <c r="CX133" s="375">
        <f>+CV133+CT133+CP133</f>
        <v>0</v>
      </c>
      <c r="CY133" s="7">
        <f t="shared" si="729"/>
        <v>0</v>
      </c>
      <c r="CZ133" s="375">
        <f t="shared" si="854"/>
        <v>0</v>
      </c>
      <c r="DA133" s="7">
        <f t="shared" si="453"/>
        <v>0</v>
      </c>
      <c r="DB133" s="375">
        <f t="shared" si="897"/>
        <v>0</v>
      </c>
      <c r="DC133" s="7">
        <f t="shared" si="642"/>
        <v>0</v>
      </c>
      <c r="DD133" s="375">
        <f t="shared" si="898"/>
        <v>0</v>
      </c>
      <c r="DE133" s="7">
        <f t="shared" si="642"/>
        <v>0</v>
      </c>
      <c r="DF133" s="375">
        <f t="shared" si="899"/>
        <v>0</v>
      </c>
      <c r="DG133" s="7">
        <f t="shared" si="642"/>
        <v>0</v>
      </c>
      <c r="DH133" s="375">
        <f t="shared" si="909"/>
        <v>0</v>
      </c>
      <c r="DI133" s="7">
        <f t="shared" si="730"/>
        <v>0</v>
      </c>
      <c r="DJ133" s="375"/>
      <c r="DK133" s="7">
        <f t="shared" si="643"/>
        <v>0</v>
      </c>
      <c r="DL133" s="375">
        <f t="shared" si="900"/>
        <v>0</v>
      </c>
      <c r="DM133" s="7">
        <f t="shared" si="644"/>
        <v>0</v>
      </c>
      <c r="DN133" s="375">
        <f t="shared" si="901"/>
        <v>0</v>
      </c>
      <c r="DO133" s="7">
        <f t="shared" si="645"/>
        <v>0</v>
      </c>
      <c r="DP133" s="375">
        <f t="shared" si="902"/>
        <v>0</v>
      </c>
      <c r="DQ133" s="7">
        <f t="shared" si="646"/>
        <v>0</v>
      </c>
      <c r="DR133" s="375">
        <f t="shared" si="910"/>
        <v>0</v>
      </c>
      <c r="DS133" s="7">
        <f t="shared" si="731"/>
        <v>0</v>
      </c>
      <c r="DT133" s="375">
        <f t="shared" si="855"/>
        <v>0</v>
      </c>
      <c r="DU133" s="7">
        <f t="shared" si="454"/>
        <v>0</v>
      </c>
      <c r="DV133" s="375"/>
      <c r="DW133" s="7">
        <f t="shared" si="647"/>
        <v>0</v>
      </c>
      <c r="DX133" s="375"/>
      <c r="DY133" s="7">
        <f t="shared" si="856"/>
        <v>0</v>
      </c>
      <c r="DZ133" s="375"/>
      <c r="EA133" s="7">
        <f t="shared" si="649"/>
        <v>0</v>
      </c>
      <c r="EB133" s="375">
        <f t="shared" si="911"/>
        <v>0</v>
      </c>
      <c r="EC133" s="7">
        <f t="shared" si="427"/>
        <v>0</v>
      </c>
      <c r="ED133" s="375">
        <f>+EB133+DT133</f>
        <v>0</v>
      </c>
      <c r="EE133" s="7">
        <f t="shared" si="455"/>
        <v>0</v>
      </c>
      <c r="EF133" s="375"/>
      <c r="EG133" s="7">
        <f t="shared" si="650"/>
        <v>0</v>
      </c>
      <c r="EH133" s="375"/>
      <c r="EI133" s="7">
        <f t="shared" si="857"/>
        <v>0</v>
      </c>
      <c r="EJ133" s="375"/>
      <c r="EK133" s="7">
        <f t="shared" si="652"/>
        <v>0</v>
      </c>
      <c r="EL133" s="375">
        <f t="shared" si="912"/>
        <v>0</v>
      </c>
      <c r="EM133" s="7">
        <f t="shared" si="428"/>
        <v>0</v>
      </c>
      <c r="EN133" s="375">
        <f>+EL133+ED133</f>
        <v>0</v>
      </c>
      <c r="EO133" s="7">
        <f t="shared" si="456"/>
        <v>0</v>
      </c>
      <c r="EP133" s="373"/>
      <c r="EQ133" s="373"/>
      <c r="ER133" s="373"/>
      <c r="ES133" s="373"/>
      <c r="ET133" s="375"/>
      <c r="EU133" s="7">
        <f t="shared" si="653"/>
        <v>0</v>
      </c>
      <c r="EV133" s="375"/>
      <c r="EW133" s="7">
        <f t="shared" si="858"/>
        <v>0</v>
      </c>
      <c r="EX133" s="375"/>
      <c r="EY133" s="7">
        <f t="shared" si="655"/>
        <v>0</v>
      </c>
      <c r="EZ133" s="375">
        <f t="shared" si="913"/>
        <v>0</v>
      </c>
      <c r="FA133" s="7">
        <f t="shared" si="429"/>
        <v>0</v>
      </c>
      <c r="FB133" s="375"/>
      <c r="FC133" s="7">
        <f t="shared" si="656"/>
        <v>0</v>
      </c>
      <c r="FD133" s="375"/>
      <c r="FE133" s="7">
        <f t="shared" si="612"/>
        <v>0</v>
      </c>
      <c r="FF133" s="375"/>
      <c r="FG133" s="7">
        <f t="shared" si="430"/>
        <v>0</v>
      </c>
      <c r="FH133" s="375">
        <f t="shared" si="914"/>
        <v>0</v>
      </c>
      <c r="FI133" s="7">
        <f t="shared" si="431"/>
        <v>0</v>
      </c>
      <c r="FJ133" s="375">
        <f t="shared" si="903"/>
        <v>0</v>
      </c>
      <c r="FK133" s="7">
        <f t="shared" si="459"/>
        <v>0</v>
      </c>
      <c r="FL133" s="375"/>
      <c r="FM133" s="7">
        <f t="shared" si="658"/>
        <v>0</v>
      </c>
      <c r="FN133" s="375"/>
      <c r="FO133" s="7">
        <f t="shared" si="432"/>
        <v>0</v>
      </c>
      <c r="FP133" s="375"/>
      <c r="FQ133" s="7">
        <f t="shared" si="433"/>
        <v>0</v>
      </c>
      <c r="FR133" s="375">
        <f t="shared" si="915"/>
        <v>0</v>
      </c>
      <c r="FS133" s="7">
        <f t="shared" si="434"/>
        <v>0</v>
      </c>
      <c r="FT133" s="375">
        <f t="shared" si="904"/>
        <v>0</v>
      </c>
      <c r="FU133" s="7">
        <f t="shared" si="462"/>
        <v>0</v>
      </c>
      <c r="FV133" s="375"/>
      <c r="FW133" s="7">
        <f t="shared" si="660"/>
        <v>0</v>
      </c>
      <c r="FX133" s="375"/>
      <c r="FY133" s="7">
        <f t="shared" si="435"/>
        <v>0</v>
      </c>
      <c r="FZ133" s="375"/>
      <c r="GA133" s="7">
        <f t="shared" si="436"/>
        <v>0</v>
      </c>
      <c r="GB133" s="375">
        <f t="shared" si="916"/>
        <v>0</v>
      </c>
      <c r="GC133" s="7">
        <f t="shared" si="437"/>
        <v>0</v>
      </c>
      <c r="GD133" s="375">
        <f t="shared" si="905"/>
        <v>0</v>
      </c>
      <c r="GE133" s="7">
        <f t="shared" si="465"/>
        <v>0</v>
      </c>
      <c r="GF133" s="566">
        <f t="shared" si="906"/>
        <v>0</v>
      </c>
      <c r="GG133" s="525">
        <f t="shared" si="438"/>
        <v>0</v>
      </c>
      <c r="GH133" s="528">
        <f t="shared" si="907"/>
        <v>0</v>
      </c>
      <c r="GI133" s="525">
        <f t="shared" si="439"/>
        <v>0</v>
      </c>
      <c r="GJ133" s="528"/>
      <c r="GK133" s="525">
        <f t="shared" si="440"/>
        <v>0</v>
      </c>
      <c r="GL133" s="528">
        <f t="shared" si="908"/>
        <v>0</v>
      </c>
      <c r="GM133" s="565">
        <f t="shared" si="468"/>
        <v>0</v>
      </c>
      <c r="GO133" s="586"/>
      <c r="GQ133" s="586"/>
      <c r="GT133" s="551">
        <f t="shared" si="558"/>
        <v>0</v>
      </c>
      <c r="GU133" s="551">
        <f t="shared" si="471"/>
        <v>0</v>
      </c>
      <c r="GV133" s="550">
        <f t="shared" si="732"/>
        <v>0</v>
      </c>
      <c r="GW133" s="527"/>
      <c r="GX133" s="525">
        <f t="shared" si="664"/>
        <v>0</v>
      </c>
      <c r="GY133" s="528"/>
      <c r="GZ133" s="525">
        <f t="shared" si="665"/>
        <v>0</v>
      </c>
      <c r="HA133" s="528"/>
      <c r="HB133" s="526">
        <f t="shared" si="666"/>
        <v>0</v>
      </c>
      <c r="HD133" s="527"/>
      <c r="HE133" s="525">
        <v>0</v>
      </c>
      <c r="HF133" s="528"/>
      <c r="HG133" s="525">
        <v>0</v>
      </c>
      <c r="HH133" s="528"/>
      <c r="HI133" s="526">
        <v>0</v>
      </c>
    </row>
    <row r="134" spans="1:217" ht="15" customHeight="1" outlineLevel="1">
      <c r="A134" s="386" t="s">
        <v>119</v>
      </c>
      <c r="B134" s="386"/>
      <c r="C134" s="389">
        <f>SUM(C130:C133)</f>
        <v>0</v>
      </c>
      <c r="D134" s="4"/>
      <c r="E134" s="389">
        <f>SUM(E130:E133)</f>
        <v>0</v>
      </c>
      <c r="F134" s="4"/>
      <c r="G134" s="389">
        <f>SUM(G130:G133)</f>
        <v>0</v>
      </c>
      <c r="H134" s="389"/>
      <c r="I134" s="4"/>
      <c r="J134" s="389">
        <f>SUM(J130:J133)</f>
        <v>0</v>
      </c>
      <c r="K134" s="389"/>
      <c r="L134" s="4"/>
      <c r="M134" s="389">
        <f>SUM(M130:M133)</f>
        <v>0</v>
      </c>
      <c r="N134" s="389"/>
      <c r="O134" s="4"/>
      <c r="P134" s="389">
        <f t="shared" si="869"/>
        <v>0</v>
      </c>
      <c r="Q134" s="389">
        <f t="shared" si="869"/>
        <v>0</v>
      </c>
      <c r="R134" s="7">
        <f t="shared" si="442"/>
        <v>0</v>
      </c>
      <c r="S134" s="389"/>
      <c r="T134" s="389"/>
      <c r="U134" s="4"/>
      <c r="V134" s="389">
        <f>SUM(V130:V133)</f>
        <v>0</v>
      </c>
      <c r="W134" s="389"/>
      <c r="X134" s="4"/>
      <c r="Y134" s="389">
        <f>SUM(Y130:Y133)</f>
        <v>0</v>
      </c>
      <c r="Z134" s="389"/>
      <c r="AA134" s="4"/>
      <c r="AB134" s="375">
        <f t="shared" si="684"/>
        <v>0</v>
      </c>
      <c r="AC134" s="375">
        <f t="shared" si="533"/>
        <v>0</v>
      </c>
      <c r="AD134" s="7">
        <f t="shared" si="443"/>
        <v>0</v>
      </c>
      <c r="AE134" s="375">
        <f t="shared" si="882"/>
        <v>0</v>
      </c>
      <c r="AF134" s="375">
        <f t="shared" si="883"/>
        <v>0</v>
      </c>
      <c r="AG134" s="4"/>
      <c r="AH134" s="389">
        <f>SUM(AH130:AH133)</f>
        <v>0</v>
      </c>
      <c r="AI134" s="389">
        <f>SUM(AI130:AI133)</f>
        <v>0</v>
      </c>
      <c r="AJ134" s="4"/>
      <c r="AK134" s="389"/>
      <c r="AL134" s="389"/>
      <c r="AM134" s="4"/>
      <c r="AN134" s="389">
        <f>SUM(AN130:AN133)</f>
        <v>0</v>
      </c>
      <c r="AO134" s="389">
        <f>SUM(AO130:AO133)</f>
        <v>0</v>
      </c>
      <c r="AP134" s="4"/>
      <c r="AQ134" s="375">
        <f t="shared" si="884"/>
        <v>0</v>
      </c>
      <c r="AR134" s="375">
        <f t="shared" si="885"/>
        <v>0</v>
      </c>
      <c r="AS134" s="7">
        <f t="shared" si="444"/>
        <v>0</v>
      </c>
      <c r="AT134" s="375">
        <f t="shared" si="840"/>
        <v>0</v>
      </c>
      <c r="AU134" s="4"/>
      <c r="AV134" s="389">
        <f>SUM(AV130:AV133)</f>
        <v>0</v>
      </c>
      <c r="AW134" s="389">
        <f>SUM(AW130:AW133)</f>
        <v>0</v>
      </c>
      <c r="AX134" s="4"/>
      <c r="AY134" s="389">
        <f>SUM(AY130:AY133)</f>
        <v>0</v>
      </c>
      <c r="AZ134" s="389">
        <f>SUM(AZ130:AZ133)</f>
        <v>0</v>
      </c>
      <c r="BA134" s="4"/>
      <c r="BB134" s="389">
        <f>SUM(BB130:BB133)</f>
        <v>0</v>
      </c>
      <c r="BC134" s="389">
        <f>SUM(BC130:BC133)</f>
        <v>0</v>
      </c>
      <c r="BD134" s="448"/>
      <c r="BE134" s="375">
        <f t="shared" si="886"/>
        <v>0</v>
      </c>
      <c r="BF134" s="375">
        <f t="shared" si="887"/>
        <v>0</v>
      </c>
      <c r="BG134" s="7">
        <f t="shared" si="445"/>
        <v>0</v>
      </c>
      <c r="BH134" s="375">
        <f t="shared" si="888"/>
        <v>0</v>
      </c>
      <c r="BI134" s="388">
        <f t="shared" si="889"/>
        <v>0</v>
      </c>
      <c r="BJ134" s="7">
        <f t="shared" si="446"/>
        <v>0</v>
      </c>
      <c r="BK134" s="389">
        <v>0</v>
      </c>
      <c r="BL134" s="282"/>
      <c r="BN134" s="375"/>
      <c r="BO134" s="4"/>
      <c r="BP134" s="375"/>
      <c r="BQ134" s="4"/>
      <c r="BR134" s="375"/>
      <c r="BS134" s="4"/>
      <c r="BT134" s="375">
        <f t="shared" si="845"/>
        <v>0</v>
      </c>
      <c r="BU134" s="7">
        <f t="shared" si="447"/>
        <v>0</v>
      </c>
      <c r="BV134" s="375"/>
      <c r="BW134" s="7"/>
      <c r="BX134" s="375"/>
      <c r="BY134" s="7"/>
      <c r="BZ134" s="375">
        <f t="shared" si="846"/>
        <v>0</v>
      </c>
      <c r="CA134" s="7"/>
      <c r="CB134" s="375">
        <f t="shared" si="890"/>
        <v>0</v>
      </c>
      <c r="CC134" s="7">
        <f t="shared" si="534"/>
        <v>0</v>
      </c>
      <c r="CD134" s="375">
        <f t="shared" si="891"/>
        <v>0</v>
      </c>
      <c r="CE134" s="7">
        <f t="shared" si="448"/>
        <v>0</v>
      </c>
      <c r="CF134" s="375">
        <f t="shared" si="892"/>
        <v>0</v>
      </c>
      <c r="CG134" s="7">
        <f t="shared" si="449"/>
        <v>0</v>
      </c>
      <c r="CH134" s="375">
        <f t="shared" si="893"/>
        <v>0</v>
      </c>
      <c r="CI134" s="7">
        <f t="shared" si="449"/>
        <v>0</v>
      </c>
      <c r="CJ134" s="375">
        <f t="shared" si="894"/>
        <v>0</v>
      </c>
      <c r="CK134" s="7">
        <f t="shared" si="449"/>
        <v>0</v>
      </c>
      <c r="CL134" s="375">
        <f>SUM(CL130:CL133)</f>
        <v>0</v>
      </c>
      <c r="CM134" s="7">
        <f t="shared" si="449"/>
        <v>0</v>
      </c>
      <c r="CN134" s="375">
        <f t="shared" si="851"/>
        <v>0</v>
      </c>
      <c r="CO134" s="7">
        <f t="shared" si="639"/>
        <v>0</v>
      </c>
      <c r="CP134" s="375">
        <v>0</v>
      </c>
      <c r="CQ134" s="7">
        <f t="shared" si="728"/>
        <v>0</v>
      </c>
      <c r="CR134" s="375">
        <f t="shared" si="896"/>
        <v>0</v>
      </c>
      <c r="CS134" s="7">
        <f t="shared" si="641"/>
        <v>0</v>
      </c>
      <c r="CT134" s="375">
        <v>0</v>
      </c>
      <c r="CU134" s="7">
        <f t="shared" si="611"/>
        <v>0</v>
      </c>
      <c r="CV134" s="375">
        <v>0</v>
      </c>
      <c r="CW134" s="7">
        <f t="shared" si="452"/>
        <v>0</v>
      </c>
      <c r="CX134" s="375">
        <f>SUM(CX130:CX133)</f>
        <v>0</v>
      </c>
      <c r="CY134" s="7">
        <f t="shared" si="729"/>
        <v>0</v>
      </c>
      <c r="CZ134" s="375">
        <f t="shared" si="854"/>
        <v>0</v>
      </c>
      <c r="DA134" s="7">
        <f t="shared" si="453"/>
        <v>0</v>
      </c>
      <c r="DB134" s="375">
        <f t="shared" si="897"/>
        <v>0</v>
      </c>
      <c r="DC134" s="7">
        <f t="shared" si="642"/>
        <v>0</v>
      </c>
      <c r="DD134" s="375">
        <f t="shared" si="898"/>
        <v>0</v>
      </c>
      <c r="DE134" s="7">
        <f t="shared" si="642"/>
        <v>0</v>
      </c>
      <c r="DF134" s="375">
        <f t="shared" si="899"/>
        <v>0</v>
      </c>
      <c r="DG134" s="7">
        <f t="shared" si="642"/>
        <v>0</v>
      </c>
      <c r="DH134" s="375">
        <f>SUM(DH130:DH133)</f>
        <v>0</v>
      </c>
      <c r="DI134" s="7">
        <f t="shared" si="730"/>
        <v>0</v>
      </c>
      <c r="DJ134" s="375">
        <f>SUM(DJ130:DJ133)</f>
        <v>0</v>
      </c>
      <c r="DK134" s="7">
        <f t="shared" si="643"/>
        <v>0</v>
      </c>
      <c r="DL134" s="375">
        <f t="shared" si="900"/>
        <v>0</v>
      </c>
      <c r="DM134" s="7">
        <f t="shared" si="644"/>
        <v>0</v>
      </c>
      <c r="DN134" s="375">
        <f t="shared" si="901"/>
        <v>0</v>
      </c>
      <c r="DO134" s="7">
        <f t="shared" si="645"/>
        <v>0</v>
      </c>
      <c r="DP134" s="375">
        <f t="shared" si="902"/>
        <v>0</v>
      </c>
      <c r="DQ134" s="7">
        <f t="shared" si="646"/>
        <v>0</v>
      </c>
      <c r="DR134" s="375">
        <f>SUM(DR130:DR133)</f>
        <v>0</v>
      </c>
      <c r="DS134" s="7">
        <f t="shared" si="731"/>
        <v>0</v>
      </c>
      <c r="DT134" s="375">
        <f t="shared" si="855"/>
        <v>0</v>
      </c>
      <c r="DU134" s="7">
        <f t="shared" si="454"/>
        <v>0</v>
      </c>
      <c r="DV134" s="375"/>
      <c r="DW134" s="7">
        <f t="shared" si="647"/>
        <v>0</v>
      </c>
      <c r="DX134" s="375"/>
      <c r="DY134" s="7">
        <f t="shared" si="856"/>
        <v>0</v>
      </c>
      <c r="DZ134" s="375"/>
      <c r="EA134" s="7">
        <f t="shared" si="649"/>
        <v>0</v>
      </c>
      <c r="EB134" s="375">
        <f>SUM(EB130:EB133)</f>
        <v>0</v>
      </c>
      <c r="EC134" s="7">
        <f t="shared" si="427"/>
        <v>0</v>
      </c>
      <c r="ED134" s="375">
        <f>+EB134+DT134</f>
        <v>0</v>
      </c>
      <c r="EE134" s="7">
        <f t="shared" si="455"/>
        <v>0</v>
      </c>
      <c r="EF134" s="375"/>
      <c r="EG134" s="7">
        <f t="shared" si="650"/>
        <v>0</v>
      </c>
      <c r="EH134" s="375"/>
      <c r="EI134" s="7">
        <f t="shared" si="857"/>
        <v>0</v>
      </c>
      <c r="EJ134" s="375"/>
      <c r="EK134" s="7">
        <f t="shared" si="652"/>
        <v>0</v>
      </c>
      <c r="EL134" s="375">
        <f>SUM(EL130:EL133)</f>
        <v>0</v>
      </c>
      <c r="EM134" s="7">
        <f t="shared" si="428"/>
        <v>0</v>
      </c>
      <c r="EN134" s="375">
        <f>+EL134+ED134</f>
        <v>0</v>
      </c>
      <c r="EO134" s="7">
        <f t="shared" si="456"/>
        <v>0</v>
      </c>
      <c r="EP134" s="373"/>
      <c r="EQ134" s="373"/>
      <c r="ER134" s="373"/>
      <c r="ES134" s="373"/>
      <c r="ET134" s="375">
        <f>SUM(ET130:ET133)</f>
        <v>0</v>
      </c>
      <c r="EU134" s="7">
        <f t="shared" si="653"/>
        <v>0</v>
      </c>
      <c r="EV134" s="375">
        <f>SUM(EV130:EV133)</f>
        <v>0</v>
      </c>
      <c r="EW134" s="7">
        <f t="shared" si="858"/>
        <v>0</v>
      </c>
      <c r="EX134" s="375">
        <f>SUM(EX130:EX133)</f>
        <v>0</v>
      </c>
      <c r="EY134" s="7">
        <f t="shared" si="655"/>
        <v>0</v>
      </c>
      <c r="EZ134" s="375">
        <f>SUM(EZ130:EZ133)</f>
        <v>0</v>
      </c>
      <c r="FA134" s="7">
        <f t="shared" si="429"/>
        <v>0</v>
      </c>
      <c r="FB134" s="375">
        <f>SUM(FB130:FB133)</f>
        <v>0</v>
      </c>
      <c r="FC134" s="7">
        <f t="shared" si="656"/>
        <v>0</v>
      </c>
      <c r="FD134" s="375">
        <f t="shared" ref="FD134" si="917">SUM(FD130:FD133)</f>
        <v>0</v>
      </c>
      <c r="FE134" s="7">
        <f t="shared" si="612"/>
        <v>0</v>
      </c>
      <c r="FF134" s="375">
        <f t="shared" ref="FF134" si="918">SUM(FF130:FF133)</f>
        <v>0</v>
      </c>
      <c r="FG134" s="7">
        <f t="shared" si="430"/>
        <v>0</v>
      </c>
      <c r="FH134" s="375">
        <f>SUM(FH130:FH133)</f>
        <v>0</v>
      </c>
      <c r="FI134" s="7">
        <f t="shared" si="431"/>
        <v>0</v>
      </c>
      <c r="FJ134" s="375">
        <f t="shared" si="903"/>
        <v>0</v>
      </c>
      <c r="FK134" s="7">
        <f t="shared" si="459"/>
        <v>0</v>
      </c>
      <c r="FL134" s="375">
        <f>SUM(FL130:FL133)</f>
        <v>0</v>
      </c>
      <c r="FM134" s="7">
        <f t="shared" si="658"/>
        <v>0</v>
      </c>
      <c r="FN134" s="375">
        <f t="shared" ref="FN134" si="919">SUM(FN130:FN133)</f>
        <v>0</v>
      </c>
      <c r="FO134" s="7">
        <f t="shared" si="432"/>
        <v>0</v>
      </c>
      <c r="FP134" s="375">
        <f t="shared" ref="FP134" si="920">SUM(FP130:FP133)</f>
        <v>0</v>
      </c>
      <c r="FQ134" s="7">
        <f t="shared" si="433"/>
        <v>0</v>
      </c>
      <c r="FR134" s="375">
        <f>SUM(FR130:FR133)</f>
        <v>0</v>
      </c>
      <c r="FS134" s="7">
        <f t="shared" si="434"/>
        <v>0</v>
      </c>
      <c r="FT134" s="375">
        <f t="shared" si="904"/>
        <v>0</v>
      </c>
      <c r="FU134" s="7">
        <f t="shared" si="462"/>
        <v>0</v>
      </c>
      <c r="FV134" s="375">
        <f>SUM(FV130:FV133)</f>
        <v>0</v>
      </c>
      <c r="FW134" s="7">
        <f t="shared" si="660"/>
        <v>0</v>
      </c>
      <c r="FX134" s="375">
        <f t="shared" ref="FX134" si="921">SUM(FX130:FX133)</f>
        <v>0</v>
      </c>
      <c r="FY134" s="7">
        <f t="shared" si="435"/>
        <v>0</v>
      </c>
      <c r="FZ134" s="375">
        <f t="shared" ref="FZ134" si="922">SUM(FZ130:FZ133)</f>
        <v>0</v>
      </c>
      <c r="GA134" s="7">
        <f t="shared" si="436"/>
        <v>0</v>
      </c>
      <c r="GB134" s="375">
        <f>SUM(GB130:GB133)</f>
        <v>0</v>
      </c>
      <c r="GC134" s="7">
        <f t="shared" si="437"/>
        <v>0</v>
      </c>
      <c r="GD134" s="375">
        <f t="shared" si="905"/>
        <v>0</v>
      </c>
      <c r="GE134" s="7">
        <f t="shared" si="465"/>
        <v>0</v>
      </c>
      <c r="GF134" s="566">
        <f t="shared" ref="GF134" si="923">SUM(GF130:GF133)</f>
        <v>0</v>
      </c>
      <c r="GG134" s="525">
        <f t="shared" si="438"/>
        <v>0</v>
      </c>
      <c r="GH134" s="528">
        <f t="shared" si="907"/>
        <v>0</v>
      </c>
      <c r="GI134" s="525">
        <f t="shared" si="439"/>
        <v>0</v>
      </c>
      <c r="GJ134" s="528"/>
      <c r="GK134" s="525">
        <f t="shared" si="440"/>
        <v>0</v>
      </c>
      <c r="GL134" s="528">
        <f t="shared" si="908"/>
        <v>0</v>
      </c>
      <c r="GM134" s="565">
        <f t="shared" si="468"/>
        <v>0</v>
      </c>
      <c r="GO134" s="586">
        <f t="shared" ref="GO134" si="924">SUM(GO130:GO133)</f>
        <v>0</v>
      </c>
      <c r="GQ134" s="586">
        <f t="shared" ref="GQ134" si="925">SUM(GQ130:GQ133)</f>
        <v>0</v>
      </c>
      <c r="GT134" s="551">
        <f t="shared" si="558"/>
        <v>0</v>
      </c>
      <c r="GU134" s="551">
        <f t="shared" si="471"/>
        <v>0</v>
      </c>
      <c r="GV134" s="550">
        <f t="shared" si="732"/>
        <v>0</v>
      </c>
      <c r="GW134" s="527">
        <f>SUM(GW130:GW133)</f>
        <v>0</v>
      </c>
      <c r="GX134" s="525">
        <f t="shared" si="664"/>
        <v>0</v>
      </c>
      <c r="GY134" s="528">
        <f>SUM(GY130:GY133)</f>
        <v>0</v>
      </c>
      <c r="GZ134" s="525">
        <f t="shared" si="665"/>
        <v>0</v>
      </c>
      <c r="HA134" s="528">
        <f>SUM(HA130:HA133)</f>
        <v>0</v>
      </c>
      <c r="HB134" s="526">
        <f t="shared" si="666"/>
        <v>0</v>
      </c>
      <c r="HD134" s="527">
        <v>0</v>
      </c>
      <c r="HE134" s="525">
        <v>0</v>
      </c>
      <c r="HF134" s="528">
        <v>0</v>
      </c>
      <c r="HG134" s="525">
        <v>0</v>
      </c>
      <c r="HH134" s="528">
        <v>0</v>
      </c>
      <c r="HI134" s="526">
        <v>0</v>
      </c>
    </row>
    <row r="135" spans="1:217" ht="15" customHeight="1">
      <c r="A135" s="457" t="s">
        <v>123</v>
      </c>
      <c r="B135" s="457" t="s">
        <v>124</v>
      </c>
      <c r="C135" s="458">
        <f>C126+C129+C134</f>
        <v>-63702195.759999998</v>
      </c>
      <c r="D135" s="459">
        <f>C135/C8</f>
        <v>-0.52188390911352489</v>
      </c>
      <c r="E135" s="458">
        <f>E126+E129+E134</f>
        <v>484457.6900000032</v>
      </c>
      <c r="F135" s="460"/>
      <c r="G135" s="458">
        <f>G126+G129+G134</f>
        <v>-4836678.996666668</v>
      </c>
      <c r="H135" s="458">
        <f>H126+H129+H134</f>
        <v>409474.66000000038</v>
      </c>
      <c r="I135" s="460"/>
      <c r="J135" s="458">
        <f>J126+J129+J134</f>
        <v>-7874087.966666664</v>
      </c>
      <c r="K135" s="458">
        <f>K126+K129+K134</f>
        <v>-3874194.1599999992</v>
      </c>
      <c r="L135" s="460"/>
      <c r="M135" s="458">
        <f>M126+M129+M134</f>
        <v>797133.66333333519</v>
      </c>
      <c r="N135" s="458">
        <f>N126+N129+N134</f>
        <v>3288560.77</v>
      </c>
      <c r="O135" s="460"/>
      <c r="P135" s="458">
        <f>+G135+J135+M135</f>
        <v>-11913633.299999995</v>
      </c>
      <c r="Q135" s="458">
        <f>+H135+K135+N135</f>
        <v>-176158.72999999905</v>
      </c>
      <c r="R135" s="459">
        <f t="shared" si="442"/>
        <v>-4.8437735028834632E-3</v>
      </c>
      <c r="S135" s="458">
        <f>S126+S129+S134</f>
        <v>-556943.34999999916</v>
      </c>
      <c r="T135" s="458">
        <f>T126+T129+T134</f>
        <v>-556943.34999999916</v>
      </c>
      <c r="U135" s="461"/>
      <c r="V135" s="458">
        <f>V126+V129+V134</f>
        <v>-2939692.5999999996</v>
      </c>
      <c r="W135" s="458">
        <f>W126+W129+W134</f>
        <v>-2930164.9799999986</v>
      </c>
      <c r="X135" s="461"/>
      <c r="Y135" s="458">
        <f>Y126+Y129+Y134</f>
        <v>4682497.55</v>
      </c>
      <c r="Z135" s="458">
        <f>Z126+Z129+Z134</f>
        <v>4672969.9300000006</v>
      </c>
      <c r="AA135" s="461"/>
      <c r="AB135" s="458">
        <f>AB126+AB129+AB134</f>
        <v>1185861.6000000024</v>
      </c>
      <c r="AC135" s="458">
        <f>AC126+AC129+AC134</f>
        <v>1185861.6000000024</v>
      </c>
      <c r="AD135" s="459">
        <f t="shared" si="443"/>
        <v>3.1974838755985613E-2</v>
      </c>
      <c r="AE135" s="458">
        <f>AE126+AE129+AE134</f>
        <v>1009702.8700000027</v>
      </c>
      <c r="AF135" s="458">
        <f>AF126+AF129+AF134</f>
        <v>1009702.8700000027</v>
      </c>
      <c r="AG135" s="459">
        <f>AF135/AF8</f>
        <v>1.3745792411391044E-2</v>
      </c>
      <c r="AH135" s="458">
        <f>AH126+AH129+AH134</f>
        <v>-6803737.1299999999</v>
      </c>
      <c r="AI135" s="458">
        <f>AI126+AI129+AI134</f>
        <v>-6803737.1299999999</v>
      </c>
      <c r="AJ135" s="461"/>
      <c r="AK135" s="458">
        <f>AK126+AK129+AK134</f>
        <v>-3575684.5800000005</v>
      </c>
      <c r="AL135" s="458">
        <f>AL126+AL129+AL134</f>
        <v>-3575684.5800000005</v>
      </c>
      <c r="AM135" s="461"/>
      <c r="AN135" s="458">
        <f>AN126+AN129+AN134</f>
        <v>9103671.2299999986</v>
      </c>
      <c r="AO135" s="458">
        <f>AO126+AO129+AO134</f>
        <v>9103671.2299999986</v>
      </c>
      <c r="AP135" s="461"/>
      <c r="AQ135" s="458">
        <f>AQ126+AQ129+AQ134</f>
        <v>-1275750.4800000042</v>
      </c>
      <c r="AR135" s="458">
        <f>AR126+AR129+AR134</f>
        <v>-1275750.4800000042</v>
      </c>
      <c r="AS135" s="459">
        <f t="shared" si="444"/>
        <v>-4.7919754579400904E-2</v>
      </c>
      <c r="AT135" s="458">
        <f>AT126+AT129+AT134</f>
        <v>-266047.61000001896</v>
      </c>
      <c r="AU135" s="459">
        <f>AT135/AT8</f>
        <v>-2.6584010579387253E-3</v>
      </c>
      <c r="AV135" s="458">
        <f>AV126+AV129+AV134</f>
        <v>-6360599.4027452338</v>
      </c>
      <c r="AW135" s="458">
        <f>AW126+AW129+AW134</f>
        <v>-11930830.629999997</v>
      </c>
      <c r="AX135" s="459">
        <f>AW135/AW8</f>
        <v>-3.6981715618819617</v>
      </c>
      <c r="AY135" s="458">
        <f>AY126+AY129+AY134</f>
        <v>1244224.2827776892</v>
      </c>
      <c r="AZ135" s="458">
        <f>AZ126+AZ129+AZ134</f>
        <v>-5238427.37</v>
      </c>
      <c r="BA135" s="459">
        <f>AZ135/AZ8</f>
        <v>-1.0375651280698448</v>
      </c>
      <c r="BB135" s="458">
        <f>BB126+BB129+BB134</f>
        <v>16450511.694293052</v>
      </c>
      <c r="BC135" s="458">
        <f>BC126+BC129+BC134</f>
        <v>19781153.109999996</v>
      </c>
      <c r="BD135" s="462">
        <f>BC135/BC8</f>
        <v>0.85541029049974338</v>
      </c>
      <c r="BE135" s="458">
        <f>BE126+BE129+BE134</f>
        <v>11334136.574325515</v>
      </c>
      <c r="BF135" s="458">
        <f>BF126+BF129+BF134</f>
        <v>2611895.1099999957</v>
      </c>
      <c r="BG135" s="459">
        <f t="shared" si="445"/>
        <v>8.3182253893583691E-2</v>
      </c>
      <c r="BH135" s="458">
        <f>BH126+BH129+BH134</f>
        <v>11068088.964325488</v>
      </c>
      <c r="BI135" s="458">
        <f>BI126+BI129+BI134</f>
        <v>2345847.5000000112</v>
      </c>
      <c r="BJ135" s="459">
        <f t="shared" si="446"/>
        <v>1.7842167008126485E-2</v>
      </c>
      <c r="BK135" s="458">
        <f>BK126+BK129+BK134</f>
        <v>22781870.490000099</v>
      </c>
      <c r="BL135" s="465">
        <f>BK135/BK8</f>
        <v>7.9870082943536438E-2</v>
      </c>
      <c r="BM135" s="466"/>
      <c r="BN135" s="458">
        <f>BN126+BN129+BN134</f>
        <v>-2857724.0500000007</v>
      </c>
      <c r="BO135" s="459">
        <f>BN135/BN8</f>
        <v>-0.21169868717249657</v>
      </c>
      <c r="BP135" s="458">
        <f>BP126+BP129+BP134</f>
        <v>-8502083.0000000019</v>
      </c>
      <c r="BQ135" s="459">
        <f>BP135/BP8</f>
        <v>-0.91882058690951962</v>
      </c>
      <c r="BR135" s="458">
        <f>BR126+BR129+BR134</f>
        <v>14012410.709999999</v>
      </c>
      <c r="BS135" s="459">
        <f>BR135/BR8</f>
        <v>0.44535832930292463</v>
      </c>
      <c r="BT135" s="458">
        <f>BT126+BT129+BT134</f>
        <v>2652603.6599999811</v>
      </c>
      <c r="BU135" s="459">
        <f t="shared" si="447"/>
        <v>4.8927033543888762E-2</v>
      </c>
      <c r="BV135" s="458">
        <f>BV126+BV129+BV134</f>
        <v>-4187690.8200000003</v>
      </c>
      <c r="BW135" s="459">
        <f>BV135/BV8</f>
        <v>-1.1350345457873541</v>
      </c>
      <c r="BX135" s="458">
        <f>BX126+BX129+BX134</f>
        <v>3632528.0899999985</v>
      </c>
      <c r="BY135" s="459">
        <f>BX135/BX8</f>
        <v>0.21767973136353577</v>
      </c>
      <c r="BZ135" s="458">
        <f>BZ126+BZ129+BZ134</f>
        <v>1599299.8699999996</v>
      </c>
      <c r="CA135" s="459">
        <f>BZ135/BZ8</f>
        <v>0.11533969354134917</v>
      </c>
      <c r="CB135" s="458">
        <f>CB126+CB129+CB134</f>
        <v>1044137.1399999938</v>
      </c>
      <c r="CC135" s="459">
        <f t="shared" si="534"/>
        <v>3.0492015268789072E-2</v>
      </c>
      <c r="CD135" s="458">
        <f>CD126+CD129+CD134</f>
        <v>3696740.7999999984</v>
      </c>
      <c r="CE135" s="459">
        <f t="shared" si="448"/>
        <v>4.1790693087349499E-2</v>
      </c>
      <c r="CF135" s="458">
        <f>CF126+CF129+CF134</f>
        <v>-5454112.8199999984</v>
      </c>
      <c r="CG135" s="459">
        <f t="shared" si="449"/>
        <v>-1.0798311142642596</v>
      </c>
      <c r="CH135" s="458">
        <f>CH126+CH129+CH134</f>
        <v>3038816.6699999962</v>
      </c>
      <c r="CI135" s="459">
        <f t="shared" si="449"/>
        <v>8.1952520716448166E-2</v>
      </c>
      <c r="CJ135" s="458">
        <f>CJ126+CJ129+CJ134</f>
        <v>6173683.929999996</v>
      </c>
      <c r="CK135" s="459">
        <f t="shared" si="449"/>
        <v>0.21921813334963566</v>
      </c>
      <c r="CL135" s="458">
        <f>CL126+CL129+CL134</f>
        <v>3758387.7799999947</v>
      </c>
      <c r="CM135" s="459">
        <f t="shared" si="449"/>
        <v>5.346715715006585E-2</v>
      </c>
      <c r="CN135" s="458">
        <f>CN126+CN129+CN134</f>
        <v>7455128.5800000038</v>
      </c>
      <c r="CO135" s="459">
        <f t="shared" si="639"/>
        <v>4.6960889169954577E-2</v>
      </c>
      <c r="CP135" s="458">
        <f>CP126+CP129+CP134</f>
        <v>-3395841.47</v>
      </c>
      <c r="CQ135" s="459">
        <f t="shared" si="728"/>
        <v>-0.17334481704134608</v>
      </c>
      <c r="CR135" s="458">
        <f>CR126+CR129+CR134</f>
        <v>4059287.11</v>
      </c>
      <c r="CS135" s="459">
        <f t="shared" si="641"/>
        <v>2.2761256978996752E-2</v>
      </c>
      <c r="CT135" s="458">
        <f t="shared" ref="CT135" si="926">CT126+CT129+CT134</f>
        <v>805830.34999999928</v>
      </c>
      <c r="CU135" s="459">
        <f t="shared" si="611"/>
        <v>5.1442728186605918E-2</v>
      </c>
      <c r="CV135" s="458">
        <f t="shared" ref="CV135" si="927">CV126+CV129+CV134</f>
        <v>2527175.1300000008</v>
      </c>
      <c r="CW135" s="459">
        <f t="shared" si="452"/>
        <v>4.0388943936689119E-2</v>
      </c>
      <c r="CX135" s="458">
        <f>CX126+CX129+CX134</f>
        <v>-62835.990000028163</v>
      </c>
      <c r="CY135" s="459">
        <f t="shared" si="729"/>
        <v>-6.4232619100492653E-4</v>
      </c>
      <c r="CZ135" s="458">
        <f>CZ126+CZ129+CZ134</f>
        <v>7392292.5900000557</v>
      </c>
      <c r="DA135" s="459">
        <f t="shared" si="453"/>
        <v>2.8811145475060366E-2</v>
      </c>
      <c r="DB135" s="458">
        <f>DB126+DB129+DB134</f>
        <v>484072.73999999906</v>
      </c>
      <c r="DC135" s="459">
        <f t="shared" si="642"/>
        <v>2.5216970270951218E-2</v>
      </c>
      <c r="DD135" s="458">
        <f>DD126+DD129+DD134</f>
        <v>2258974.5300000021</v>
      </c>
      <c r="DE135" s="459">
        <f t="shared" si="642"/>
        <v>8.6993347127830287E-2</v>
      </c>
      <c r="DF135" s="458">
        <f>DF126+DF129+DF134</f>
        <v>5510363.2999999998</v>
      </c>
      <c r="DG135" s="459">
        <f t="shared" si="642"/>
        <v>0.17763791577152957</v>
      </c>
      <c r="DH135" s="458">
        <f>DH126+DH129+DH134</f>
        <v>8253410.5700000059</v>
      </c>
      <c r="DI135" s="459">
        <f t="shared" si="730"/>
        <v>0.10833562529839595</v>
      </c>
      <c r="DJ135" s="458">
        <f>DJ126+DJ129+DJ134</f>
        <v>1609573.4735125415</v>
      </c>
      <c r="DK135" s="459">
        <f t="shared" si="643"/>
        <v>3.0603695292081033E-2</v>
      </c>
      <c r="DL135" s="458">
        <f>DL126+DL129+DL134</f>
        <v>-3118017.3799999985</v>
      </c>
      <c r="DM135" s="459">
        <f t="shared" si="644"/>
        <v>-0.35946778078092317</v>
      </c>
      <c r="DN135" s="458">
        <f>DN126+DN129+DN134</f>
        <v>-1377135.8899999997</v>
      </c>
      <c r="DO135" s="459">
        <f t="shared" si="645"/>
        <v>-8.0249586129854E-2</v>
      </c>
      <c r="DP135" s="458">
        <f>DP126+DP129+DP134</f>
        <v>16124108.689999999</v>
      </c>
      <c r="DQ135" s="459">
        <f t="shared" si="646"/>
        <v>0.19216985858246904</v>
      </c>
      <c r="DR135" s="458">
        <f>DR126+DR129+DR134</f>
        <v>11628955.419999996</v>
      </c>
      <c r="DS135" s="459">
        <f t="shared" si="731"/>
        <v>0.10596810552133462</v>
      </c>
      <c r="DT135" s="458">
        <f>DT126+DT129+DT134</f>
        <v>19882365.990000021</v>
      </c>
      <c r="DU135" s="459">
        <f t="shared" si="454"/>
        <v>0.10693821475154396</v>
      </c>
      <c r="DV135" s="458">
        <f>DV126+DV129+DV134</f>
        <v>-9138286.9600000083</v>
      </c>
      <c r="DW135" s="459">
        <f t="shared" si="647"/>
        <v>-0.20076512495138055</v>
      </c>
      <c r="DX135" s="458">
        <f>DX126+DX129+DX134</f>
        <v>6946356.4100000011</v>
      </c>
      <c r="DY135" s="459">
        <f t="shared" si="856"/>
        <v>0.26869224506842859</v>
      </c>
      <c r="DZ135" s="458">
        <f>DZ126+DZ129+DZ134</f>
        <v>26920283.170000013</v>
      </c>
      <c r="EA135" s="459">
        <f t="shared" si="649"/>
        <v>0.22003872288336071</v>
      </c>
      <c r="EB135" s="458">
        <f>EB126+EB129+EB134</f>
        <v>24728352.61999999</v>
      </c>
      <c r="EC135" s="459">
        <f t="shared" si="427"/>
        <v>0.12765448253258241</v>
      </c>
      <c r="ED135" s="458">
        <f>ED126+ED129+ED134</f>
        <v>44610718.610000059</v>
      </c>
      <c r="EE135" s="459">
        <f t="shared" si="455"/>
        <v>0.11750887410766377</v>
      </c>
      <c r="EF135" s="458">
        <f>EF126+EF129+EF134</f>
        <v>-10082732.239999996</v>
      </c>
      <c r="EG135" s="459">
        <f t="shared" si="650"/>
        <v>-0.68234068644843882</v>
      </c>
      <c r="EH135" s="458">
        <f>EH126+EH129+EH134</f>
        <v>-3521342.2300000009</v>
      </c>
      <c r="EI135" s="459">
        <f t="shared" si="857"/>
        <v>-0.27621279851186464</v>
      </c>
      <c r="EJ135" s="458">
        <f>EJ126+EJ129+EJ134</f>
        <v>41788380.969999984</v>
      </c>
      <c r="EK135" s="459">
        <f t="shared" si="652"/>
        <v>0.26759457216730403</v>
      </c>
      <c r="EL135" s="458">
        <f>EL126+EL129+EL134</f>
        <v>28184306.499999993</v>
      </c>
      <c r="EM135" s="459">
        <f t="shared" si="428"/>
        <v>0.15343543761185346</v>
      </c>
      <c r="EN135" s="458">
        <f>EN126+EN129+EN134</f>
        <v>72795025.110000104</v>
      </c>
      <c r="EO135" s="459">
        <f t="shared" si="456"/>
        <v>0.12922375895554708</v>
      </c>
      <c r="EP135" s="373"/>
      <c r="EQ135" s="373"/>
      <c r="ER135" s="373"/>
      <c r="ES135" s="373"/>
      <c r="ET135" s="458">
        <f>ET126+ET129+ET134</f>
        <v>-5522007.7800000003</v>
      </c>
      <c r="EU135" s="459">
        <f t="shared" si="653"/>
        <v>-0.74865349428923322</v>
      </c>
      <c r="EV135" s="458">
        <f>EV126+EV129+EV134</f>
        <v>-10197785.500000002</v>
      </c>
      <c r="EW135" s="459">
        <f t="shared" si="858"/>
        <v>-1.6732988183388742</v>
      </c>
      <c r="EX135" s="458">
        <f>EX126+EX129+EX134</f>
        <v>42495031.299999975</v>
      </c>
      <c r="EY135" s="459">
        <f t="shared" si="655"/>
        <v>0.18614732358406244</v>
      </c>
      <c r="EZ135" s="458">
        <f>EZ126+EZ129+EZ134</f>
        <v>26775238.019999981</v>
      </c>
      <c r="FA135" s="459">
        <f t="shared" si="429"/>
        <v>0.1107524919621314</v>
      </c>
      <c r="FB135" s="458">
        <f>FB126+FB129+FB134</f>
        <v>-7411310.4100000001</v>
      </c>
      <c r="FC135" s="459">
        <f t="shared" si="656"/>
        <v>-0.81784907496188752</v>
      </c>
      <c r="FD135" s="458">
        <f t="shared" ref="FD135" si="928">FD126+FD129+FD134</f>
        <v>10212948.429999992</v>
      </c>
      <c r="FE135" s="459">
        <f t="shared" si="612"/>
        <v>9.7031702167414385E-2</v>
      </c>
      <c r="FF135" s="458">
        <f t="shared" ref="FF135" si="929">FF126+FF129+FF134</f>
        <v>27823138.200000018</v>
      </c>
      <c r="FG135" s="459">
        <f t="shared" si="430"/>
        <v>0.17315672069184584</v>
      </c>
      <c r="FH135" s="458">
        <f>FH126+FH129+FH134</f>
        <v>30624776.220000032</v>
      </c>
      <c r="FI135" s="459">
        <f t="shared" si="431"/>
        <v>0.11136383142465967</v>
      </c>
      <c r="FJ135" s="458">
        <f>FJ126+FJ129+FJ134</f>
        <v>57400014.240000084</v>
      </c>
      <c r="FK135" s="459">
        <f t="shared" si="459"/>
        <v>0.11107782378974354</v>
      </c>
      <c r="FL135" s="458">
        <f>FL126+FL129+FL134</f>
        <v>-5507866.3300000001</v>
      </c>
      <c r="FM135" s="459">
        <f t="shared" si="658"/>
        <v>-0.50372309881435995</v>
      </c>
      <c r="FN135" s="458">
        <f t="shared" ref="FN135" si="930">FN126+FN129+FN134</f>
        <v>-10051840.1</v>
      </c>
      <c r="FO135" s="459">
        <f t="shared" si="432"/>
        <v>-2.1037646561157897</v>
      </c>
      <c r="FP135" s="458">
        <f t="shared" ref="FP135" si="931">FP126+FP129+FP134</f>
        <v>47384567.860000037</v>
      </c>
      <c r="FQ135" s="459">
        <f t="shared" si="433"/>
        <v>0.17128444924746714</v>
      </c>
      <c r="FR135" s="458">
        <f>FR126+FR129+FR134</f>
        <v>31824861.430000011</v>
      </c>
      <c r="FS135" s="459">
        <f t="shared" si="434"/>
        <v>0.10885694752518396</v>
      </c>
      <c r="FT135" s="458">
        <f>FT126+FT129+FT134</f>
        <v>89224875.670000017</v>
      </c>
      <c r="FU135" s="459">
        <f t="shared" si="462"/>
        <v>0.11027535666094875</v>
      </c>
      <c r="FV135" s="458">
        <f>FV126+FV129+FV134</f>
        <v>6098426.8899999978</v>
      </c>
      <c r="FW135" s="459">
        <f t="shared" si="660"/>
        <v>0.21976360673169665</v>
      </c>
      <c r="FX135" s="458">
        <f t="shared" ref="FX135" si="932">FX126+FX129+FX134</f>
        <v>-15758175.15</v>
      </c>
      <c r="FY135" s="459">
        <f t="shared" si="435"/>
        <v>-0.61384348721735604</v>
      </c>
      <c r="FZ135" s="458">
        <f t="shared" ref="FZ135" si="933">FZ126+FZ129+FZ134</f>
        <v>60725103.399999969</v>
      </c>
      <c r="GA135" s="459">
        <f t="shared" si="436"/>
        <v>0.21004196868738131</v>
      </c>
      <c r="GB135" s="458">
        <f>GB126+GB129+GB134</f>
        <v>51065355.139999971</v>
      </c>
      <c r="GC135" s="459">
        <f t="shared" si="437"/>
        <v>0.14908258859422499</v>
      </c>
      <c r="GD135" s="458">
        <f>GD126+GD129+GD134</f>
        <v>140290230.80999967</v>
      </c>
      <c r="GE135" s="555">
        <f t="shared" si="465"/>
        <v>0.1218177315560081</v>
      </c>
      <c r="GF135" s="570">
        <f>GF126+GF129+GF134</f>
        <v>-5373814.3902533334</v>
      </c>
      <c r="GG135" s="537">
        <f t="shared" si="438"/>
        <v>-0.41701813309769692</v>
      </c>
      <c r="GH135" s="538">
        <f>GH126+GH129+GH134</f>
        <v>-1003556.3075052744</v>
      </c>
      <c r="GI135" s="537">
        <f t="shared" si="439"/>
        <v>-220134699999.00003</v>
      </c>
      <c r="GJ135" s="538">
        <f>GJ126+GJ129+GJ134</f>
        <v>0</v>
      </c>
      <c r="GK135" s="537">
        <f t="shared" si="440"/>
        <v>0</v>
      </c>
      <c r="GL135" s="538">
        <f>GL126+GL129+GL134</f>
        <v>133912860.11224127</v>
      </c>
      <c r="GM135" s="618">
        <f t="shared" si="468"/>
        <v>0.11555811804572855</v>
      </c>
      <c r="GO135" s="589">
        <f>GO126+GO129+GO134</f>
        <v>-439710.4</v>
      </c>
      <c r="GQ135" s="589">
        <f>GQ126+GQ129+GQ134</f>
        <v>-22013.4699999</v>
      </c>
      <c r="GT135" s="551">
        <f t="shared" si="558"/>
        <v>38606485.532538027</v>
      </c>
      <c r="GU135" s="551">
        <f t="shared" si="471"/>
        <v>45232368.630262069</v>
      </c>
      <c r="GV135" s="550">
        <f t="shared" si="732"/>
        <v>83838854.162800089</v>
      </c>
      <c r="GW135" s="536">
        <f>GW126+GW129+GW134</f>
        <v>141238868.40280017</v>
      </c>
      <c r="GX135" s="537">
        <f t="shared" si="664"/>
        <v>0.11927799949677421</v>
      </c>
      <c r="GY135" s="538">
        <f>GY126+GY129+GY134</f>
        <v>58443786.965258695</v>
      </c>
      <c r="GZ135" s="537">
        <f t="shared" si="665"/>
        <v>6.4923103166936807E-2</v>
      </c>
      <c r="HA135" s="538">
        <f>HA126+HA129+HA134</f>
        <v>58892510.255577184</v>
      </c>
      <c r="HB135" s="539">
        <f t="shared" si="666"/>
        <v>8.0903433328630689E-2</v>
      </c>
      <c r="HD135" s="536">
        <v>157592509.9893274</v>
      </c>
      <c r="HE135" s="537">
        <v>0.13266079036463574</v>
      </c>
      <c r="HF135" s="538">
        <v>58443786.965258695</v>
      </c>
      <c r="HG135" s="537">
        <v>6.4923103166936807E-2</v>
      </c>
      <c r="HH135" s="538">
        <v>58892510.255577184</v>
      </c>
      <c r="HI135" s="539">
        <v>8.0903433328630689E-2</v>
      </c>
    </row>
    <row r="136" spans="1:217" ht="15" customHeight="1" outlineLevel="1">
      <c r="A136" s="386" t="s">
        <v>125</v>
      </c>
      <c r="B136" s="386" t="s">
        <v>126</v>
      </c>
      <c r="C136" s="375">
        <v>-1205000</v>
      </c>
      <c r="D136" s="4"/>
      <c r="E136" s="388">
        <v>-197789.94</v>
      </c>
      <c r="F136" s="4"/>
      <c r="G136" s="375"/>
      <c r="H136" s="375">
        <v>-20654.95</v>
      </c>
      <c r="I136" s="4"/>
      <c r="J136" s="375"/>
      <c r="K136" s="375">
        <v>-20430.810000000001</v>
      </c>
      <c r="L136" s="4"/>
      <c r="M136" s="375"/>
      <c r="N136" s="375">
        <v>-151897.82</v>
      </c>
      <c r="O136" s="4"/>
      <c r="P136" s="375">
        <f t="shared" si="869"/>
        <v>0</v>
      </c>
      <c r="Q136" s="375">
        <f t="shared" si="869"/>
        <v>-192983.58000000002</v>
      </c>
      <c r="R136" s="7">
        <f t="shared" si="442"/>
        <v>-5.3064003770667296E-3</v>
      </c>
      <c r="S136" s="375">
        <v>-20137.64</v>
      </c>
      <c r="T136" s="375">
        <v>-20137.64</v>
      </c>
      <c r="U136" s="4"/>
      <c r="V136" s="375">
        <v>-19950.57</v>
      </c>
      <c r="W136" s="375">
        <v>-19950.57</v>
      </c>
      <c r="X136" s="4"/>
      <c r="Y136" s="375">
        <v>-151707.35</v>
      </c>
      <c r="Z136" s="375">
        <v>-151707.35</v>
      </c>
      <c r="AA136" s="4"/>
      <c r="AB136" s="375">
        <f t="shared" si="684"/>
        <v>-191795.56</v>
      </c>
      <c r="AC136" s="375">
        <f t="shared" ref="AC136:AC137" si="934">+T136+W136+Z136</f>
        <v>-191795.56</v>
      </c>
      <c r="AD136" s="7">
        <f t="shared" si="443"/>
        <v>-5.171456858974059E-3</v>
      </c>
      <c r="AE136" s="375">
        <f t="shared" ref="AE136:AE137" si="935">+Q136+AB136</f>
        <v>-384779.14</v>
      </c>
      <c r="AF136" s="375">
        <f t="shared" ref="AF136:AF137" si="936">+AC136+Q136</f>
        <v>-384779.14</v>
      </c>
      <c r="AG136" s="4"/>
      <c r="AH136" s="375">
        <v>-19947.05</v>
      </c>
      <c r="AI136" s="375">
        <v>-19947.05</v>
      </c>
      <c r="AJ136" s="4"/>
      <c r="AK136" s="375">
        <v>-19209.53</v>
      </c>
      <c r="AL136" s="375">
        <v>-19209.53</v>
      </c>
      <c r="AM136" s="4"/>
      <c r="AN136" s="375">
        <v>-373810.41</v>
      </c>
      <c r="AO136" s="375">
        <v>-373810.41</v>
      </c>
      <c r="AP136" s="4"/>
      <c r="AQ136" s="375">
        <f t="shared" ref="AQ136:AQ137" si="937">AN136+AK136+AH136</f>
        <v>-412966.98999999993</v>
      </c>
      <c r="AR136" s="375">
        <f t="shared" ref="AR136:AR137" si="938">AO136+AL136+AI136</f>
        <v>-412966.98999999993</v>
      </c>
      <c r="AS136" s="7">
        <f t="shared" si="444"/>
        <v>-1.551187095002609E-2</v>
      </c>
      <c r="AT136" s="375">
        <f t="shared" ref="AT136:AT137" si="939">+AF136+AR136</f>
        <v>-797746.12999999989</v>
      </c>
      <c r="AU136" s="4"/>
      <c r="AV136" s="375"/>
      <c r="AW136" s="375">
        <v>-19209.490000000002</v>
      </c>
      <c r="AX136" s="4"/>
      <c r="AY136" s="375"/>
      <c r="AZ136" s="375">
        <v>-19209.490000000002</v>
      </c>
      <c r="BA136" s="4"/>
      <c r="BB136" s="375"/>
      <c r="BC136" s="375">
        <v>-214128.99</v>
      </c>
      <c r="BD136" s="448"/>
      <c r="BE136" s="375">
        <f t="shared" ref="BE136:BE137" si="940">BB136+AY136+AV136</f>
        <v>0</v>
      </c>
      <c r="BF136" s="375">
        <f t="shared" ref="BF136:BF137" si="941">BC136+AZ136+AW136</f>
        <v>-252547.96999999997</v>
      </c>
      <c r="BG136" s="7">
        <f t="shared" si="445"/>
        <v>-8.0430141625592276E-3</v>
      </c>
      <c r="BH136" s="375">
        <f t="shared" ref="BH136:BH137" si="942">Q136+AB136+AQ136+BE136</f>
        <v>-797746.12999999989</v>
      </c>
      <c r="BI136" s="388">
        <f t="shared" ref="BI136:BI137" si="943">Q136+AC136+AR136+BF136</f>
        <v>-1050294.0999999999</v>
      </c>
      <c r="BJ136" s="7">
        <f t="shared" si="446"/>
        <v>-7.9883806342269936E-3</v>
      </c>
      <c r="BK136" s="375">
        <v>-1440000</v>
      </c>
      <c r="BL136" s="282"/>
      <c r="BN136" s="375">
        <v>-11434.1</v>
      </c>
      <c r="BO136" s="4"/>
      <c r="BP136" s="375">
        <v>-11098.81</v>
      </c>
      <c r="BQ136" s="4"/>
      <c r="BR136" s="375">
        <v>-213793.74</v>
      </c>
      <c r="BS136" s="4"/>
      <c r="BT136" s="375">
        <f t="shared" ref="BT136:BT137" si="944">SUM(BN136:BS136)</f>
        <v>-236326.65</v>
      </c>
      <c r="BU136" s="7">
        <f t="shared" si="447"/>
        <v>-4.3590235911326993E-3</v>
      </c>
      <c r="BV136" s="375">
        <v>-10159.799999999999</v>
      </c>
      <c r="BW136" s="7"/>
      <c r="BX136" s="375">
        <v>-10159.879999999999</v>
      </c>
      <c r="BY136" s="7"/>
      <c r="BZ136" s="375">
        <v>-211564.16</v>
      </c>
      <c r="CA136" s="7"/>
      <c r="CB136" s="375">
        <f t="shared" ref="CB136:CB137" si="945">+BV136+BX136+BZ136</f>
        <v>-231883.84</v>
      </c>
      <c r="CC136" s="7">
        <f t="shared" si="534"/>
        <v>-6.7717211839294252E-3</v>
      </c>
      <c r="CD136" s="375">
        <f t="shared" ref="CD136:CD137" si="946">BT136+CB136</f>
        <v>-468210.49</v>
      </c>
      <c r="CE136" s="7">
        <f t="shared" si="448"/>
        <v>-5.2929977908831288E-3</v>
      </c>
      <c r="CF136" s="375">
        <v>-8869.16</v>
      </c>
      <c r="CG136" s="7">
        <f t="shared" si="449"/>
        <v>-1.7559583458319449E-3</v>
      </c>
      <c r="CH136" s="375">
        <v>-8869.2099999999991</v>
      </c>
      <c r="CI136" s="7">
        <f t="shared" si="449"/>
        <v>-2.3918985420845742E-4</v>
      </c>
      <c r="CJ136" s="375">
        <v>-229806.64</v>
      </c>
      <c r="CK136" s="7">
        <f t="shared" si="449"/>
        <v>-8.1600845173412945E-3</v>
      </c>
      <c r="CL136" s="375">
        <f t="shared" ref="CL136:CL137" si="947">+CF136+CH136+CJ136</f>
        <v>-247545.01</v>
      </c>
      <c r="CM136" s="7">
        <f t="shared" si="449"/>
        <v>-3.5215972183116882E-3</v>
      </c>
      <c r="CN136" s="375">
        <f t="shared" ref="CN136:CN137" si="948">+CL136+CD136</f>
        <v>-715755.5</v>
      </c>
      <c r="CO136" s="7">
        <f t="shared" si="639"/>
        <v>-4.5086431907369467E-3</v>
      </c>
      <c r="CP136" s="472">
        <v>-7894.44</v>
      </c>
      <c r="CQ136" s="7">
        <f t="shared" si="728"/>
        <v>-4.029811961286532E-4</v>
      </c>
      <c r="CR136" s="375">
        <f t="shared" ref="CR136:CR137" si="949">+CN136+CP136</f>
        <v>-723649.94</v>
      </c>
      <c r="CS136" s="7">
        <f t="shared" si="641"/>
        <v>-4.0576539182456545E-3</v>
      </c>
      <c r="CT136" s="375">
        <v>-7894.44</v>
      </c>
      <c r="CU136" s="7">
        <f t="shared" ref="CU136:CU137" si="950">+CT136/CT$8</f>
        <v>-5.0396653725622216E-4</v>
      </c>
      <c r="CV136" s="375">
        <v>-228831.87</v>
      </c>
      <c r="CW136" s="7">
        <f t="shared" si="452"/>
        <v>-3.6571575347679724E-3</v>
      </c>
      <c r="CX136" s="375">
        <f>+CV136+CT136+CP136</f>
        <v>-244620.75</v>
      </c>
      <c r="CY136" s="7">
        <f t="shared" si="729"/>
        <v>-2.5005783244315552E-3</v>
      </c>
      <c r="CZ136" s="375">
        <f>+CD136+CL136+CX136</f>
        <v>-960376.25</v>
      </c>
      <c r="DA136" s="7">
        <f t="shared" si="453"/>
        <v>-3.7430255245812362E-3</v>
      </c>
      <c r="DB136" s="375">
        <v>-5309.03</v>
      </c>
      <c r="DC136" s="7">
        <f t="shared" si="642"/>
        <v>-2.7656515357090425E-4</v>
      </c>
      <c r="DD136" s="375">
        <v>-4383.18</v>
      </c>
      <c r="DE136" s="7">
        <f t="shared" si="642"/>
        <v>-1.687967235574643E-4</v>
      </c>
      <c r="DF136" s="375">
        <v>-225320.59</v>
      </c>
      <c r="DG136" s="7">
        <f t="shared" si="642"/>
        <v>-7.2636735200402036E-3</v>
      </c>
      <c r="DH136" s="375">
        <f t="shared" ref="DH136:DH137" si="951">+DB136+DD136+DF136</f>
        <v>-235012.8</v>
      </c>
      <c r="DI136" s="7">
        <f t="shared" si="730"/>
        <v>-3.0848166858039694E-3</v>
      </c>
      <c r="DJ136" s="375">
        <v>-165000</v>
      </c>
      <c r="DK136" s="7">
        <f t="shared" si="643"/>
        <v>-3.1372346812933638E-3</v>
      </c>
      <c r="DL136" s="375">
        <v>-4383.1899999999996</v>
      </c>
      <c r="DM136" s="7">
        <f t="shared" si="644"/>
        <v>-5.0532610630962393E-4</v>
      </c>
      <c r="DN136" s="375">
        <v>-4022.84</v>
      </c>
      <c r="DO136" s="7">
        <f t="shared" si="645"/>
        <v>-2.3442221454748519E-4</v>
      </c>
      <c r="DP136" s="375">
        <v>-224960.28</v>
      </c>
      <c r="DQ136" s="7">
        <f t="shared" si="646"/>
        <v>-2.681114722396022E-3</v>
      </c>
      <c r="DR136" s="375">
        <f t="shared" ref="DR136:DR137" si="952">+DL136+DN136+DP136</f>
        <v>-233366.31</v>
      </c>
      <c r="DS136" s="7">
        <f t="shared" si="731"/>
        <v>-2.1265354341864435E-3</v>
      </c>
      <c r="DT136" s="375">
        <f t="shared" ref="DT136:DT137" si="953">+DR136+DH136</f>
        <v>-468379.11</v>
      </c>
      <c r="DU136" s="7">
        <f t="shared" si="454"/>
        <v>-2.5191984633774955E-3</v>
      </c>
      <c r="DV136" s="375">
        <v>-4022.8</v>
      </c>
      <c r="DW136" s="7">
        <f t="shared" si="647"/>
        <v>-8.8379577943830843E-5</v>
      </c>
      <c r="DX136" s="375">
        <v>-4692.58</v>
      </c>
      <c r="DY136" s="7">
        <f t="shared" si="856"/>
        <v>-1.8151384422890654E-4</v>
      </c>
      <c r="DZ136" s="375">
        <v>-225893.34</v>
      </c>
      <c r="EA136" s="7">
        <f t="shared" si="649"/>
        <v>-1.8463877860262774E-3</v>
      </c>
      <c r="EB136" s="375">
        <f t="shared" ref="EB136:EB137" si="954">+DV136+DX136+DZ136</f>
        <v>-234608.72</v>
      </c>
      <c r="EC136" s="7">
        <f t="shared" si="427"/>
        <v>-1.2111140280735583E-3</v>
      </c>
      <c r="ED136" s="375">
        <f>+EB136+DT136</f>
        <v>-702987.83</v>
      </c>
      <c r="EE136" s="7">
        <f t="shared" si="455"/>
        <v>-1.8517367796037308E-3</v>
      </c>
      <c r="EF136" s="375">
        <v>-4655.47</v>
      </c>
      <c r="EG136" s="7">
        <f t="shared" si="650"/>
        <v>-3.150551378264226E-4</v>
      </c>
      <c r="EH136" s="375">
        <v>-11625.23</v>
      </c>
      <c r="EI136" s="7">
        <f t="shared" si="857"/>
        <v>-9.1187879561597835E-4</v>
      </c>
      <c r="EJ136" s="375">
        <v>-36666.17</v>
      </c>
      <c r="EK136" s="7">
        <f t="shared" si="652"/>
        <v>-2.3479416637862727E-4</v>
      </c>
      <c r="EL136" s="375">
        <f t="shared" ref="EL136:EL137" si="955">+EF136+EH136+EJ136</f>
        <v>-52946.869999999995</v>
      </c>
      <c r="EM136" s="7">
        <f t="shared" si="428"/>
        <v>-2.8824289746593259E-4</v>
      </c>
      <c r="EN136" s="375">
        <f>+EL136+ED136</f>
        <v>-755934.7</v>
      </c>
      <c r="EO136" s="7">
        <f t="shared" si="456"/>
        <v>-1.3419148260656966E-3</v>
      </c>
      <c r="EP136" s="373"/>
      <c r="EQ136" s="373"/>
      <c r="ER136" s="373"/>
      <c r="ES136" s="373"/>
      <c r="ET136" s="375">
        <v>-12000.5</v>
      </c>
      <c r="EU136" s="7">
        <f t="shared" si="653"/>
        <v>-1.6269836291715517E-3</v>
      </c>
      <c r="EV136" s="375">
        <v>-11303.13</v>
      </c>
      <c r="EW136" s="7">
        <f t="shared" si="858"/>
        <v>-1.8546687486739816E-3</v>
      </c>
      <c r="EX136" s="375">
        <v>-232794.77</v>
      </c>
      <c r="EY136" s="7">
        <f t="shared" si="655"/>
        <v>-1.0197456515314395E-3</v>
      </c>
      <c r="EZ136" s="375">
        <f t="shared" ref="EZ136:EZ137" si="956">+ET136+EV136+EX136</f>
        <v>-256098.4</v>
      </c>
      <c r="FA136" s="7">
        <f t="shared" si="429"/>
        <v>-1.0593196581979343E-3</v>
      </c>
      <c r="FB136" s="375">
        <v>-11857.37</v>
      </c>
      <c r="FC136" s="7">
        <f t="shared" si="656"/>
        <v>-1.3084783323737261E-3</v>
      </c>
      <c r="FD136" s="375">
        <v>-11858.16</v>
      </c>
      <c r="FE136" s="7">
        <f t="shared" si="612"/>
        <v>-1.1266261229653025E-4</v>
      </c>
      <c r="FF136" s="375">
        <v>-231906.79</v>
      </c>
      <c r="FG136" s="7">
        <f t="shared" si="430"/>
        <v>-1.443267074113607E-3</v>
      </c>
      <c r="FH136" s="375">
        <f t="shared" ref="FH136:FH137" si="957">+FB136+FD136+FF136</f>
        <v>-255622.32</v>
      </c>
      <c r="FI136" s="7">
        <f t="shared" si="431"/>
        <v>-9.2954412951006308E-4</v>
      </c>
      <c r="FJ136" s="375">
        <f t="shared" ref="FJ136:FJ137" si="958">EZ136+FH136</f>
        <v>-511720.72</v>
      </c>
      <c r="FK136" s="7">
        <f t="shared" si="459"/>
        <v>-9.9025801157572339E-4</v>
      </c>
      <c r="FL136" s="375">
        <v>-12820.89</v>
      </c>
      <c r="FM136" s="7">
        <f t="shared" si="658"/>
        <v>-1.1725372500748469E-3</v>
      </c>
      <c r="FN136" s="375">
        <v>-14808.43</v>
      </c>
      <c r="FO136" s="7">
        <f t="shared" si="432"/>
        <v>-3.0992784740541926E-3</v>
      </c>
      <c r="FP136" s="375">
        <v>-17291.22</v>
      </c>
      <c r="FQ136" s="7">
        <f t="shared" si="433"/>
        <v>-6.2503832540318255E-5</v>
      </c>
      <c r="FR136" s="375">
        <f t="shared" ref="FR136:FR137" si="959">+FL136+FN136+FP136</f>
        <v>-44920.54</v>
      </c>
      <c r="FS136" s="7">
        <f t="shared" si="434"/>
        <v>-1.536507197788897E-4</v>
      </c>
      <c r="FT136" s="375">
        <f t="shared" ref="FT136:FT137" si="960">FJ136+FR136</f>
        <v>-556641.26</v>
      </c>
      <c r="FU136" s="7">
        <f t="shared" si="462"/>
        <v>-6.8796748684446659E-4</v>
      </c>
      <c r="FV136" s="375">
        <v>-19727.2</v>
      </c>
      <c r="FW136" s="7">
        <f t="shared" si="660"/>
        <v>-7.108916284339563E-4</v>
      </c>
      <c r="FX136" s="375">
        <v>-20325.32</v>
      </c>
      <c r="FY136" s="7">
        <f t="shared" si="435"/>
        <v>-7.9175191218817432E-4</v>
      </c>
      <c r="FZ136" s="375">
        <v>-593752.82999999996</v>
      </c>
      <c r="GA136" s="7">
        <f t="shared" si="436"/>
        <v>-2.053730769388926E-3</v>
      </c>
      <c r="GB136" s="375">
        <f t="shared" ref="GB136:GB137" si="961">+FV136+FX136+FZ136</f>
        <v>-633805.35</v>
      </c>
      <c r="GC136" s="7">
        <f t="shared" si="437"/>
        <v>-1.8503610125459478E-3</v>
      </c>
      <c r="GD136" s="375">
        <f t="shared" ref="GD136:GD137" si="962">FT136+GB136</f>
        <v>-1190446.6099999999</v>
      </c>
      <c r="GE136" s="7">
        <f t="shared" si="465"/>
        <v>-1.0336963930520757E-3</v>
      </c>
      <c r="GF136" s="566">
        <f t="shared" ref="GF136:GF137" si="963">+GO136*$GO$1</f>
        <v>0</v>
      </c>
      <c r="GG136" s="525">
        <f t="shared" si="438"/>
        <v>0</v>
      </c>
      <c r="GH136" s="528">
        <f t="shared" ref="GH136:GH137" si="964">+GQ136*$GO$2</f>
        <v>0</v>
      </c>
      <c r="GI136" s="525">
        <f t="shared" si="439"/>
        <v>0</v>
      </c>
      <c r="GJ136" s="528"/>
      <c r="GK136" s="525">
        <f t="shared" si="440"/>
        <v>0</v>
      </c>
      <c r="GL136" s="528">
        <f t="shared" ref="GL136:GL137" si="965">+GD136+GF136+GH136-GJ136</f>
        <v>-1190446.6099999999</v>
      </c>
      <c r="GM136" s="565">
        <f t="shared" si="468"/>
        <v>-1.0272782596848005E-3</v>
      </c>
      <c r="GO136" s="586"/>
      <c r="GQ136" s="586"/>
      <c r="GT136" s="551">
        <f t="shared" si="558"/>
        <v>-236077.87012703091</v>
      </c>
      <c r="GU136" s="551">
        <f t="shared" si="471"/>
        <v>-276595.00987296912</v>
      </c>
      <c r="GV136" s="550">
        <f t="shared" si="732"/>
        <v>-512672.88</v>
      </c>
      <c r="GW136" s="527">
        <f>+EZ136*4</f>
        <v>-1024393.6</v>
      </c>
      <c r="GX136" s="525">
        <f t="shared" si="664"/>
        <v>-8.6511327007259041E-4</v>
      </c>
      <c r="GY136" s="528">
        <f>+GW136</f>
        <v>-1024393.6</v>
      </c>
      <c r="GZ136" s="525">
        <f t="shared" si="665"/>
        <v>-1.1379620457497748E-3</v>
      </c>
      <c r="HA136" s="528">
        <f>+GY136</f>
        <v>-1024393.6</v>
      </c>
      <c r="HB136" s="526">
        <f t="shared" si="666"/>
        <v>-1.4072580530225815E-3</v>
      </c>
      <c r="HD136" s="527">
        <v>-1024393.6</v>
      </c>
      <c r="HE136" s="525">
        <v>-8.6233073278468516E-4</v>
      </c>
      <c r="HF136" s="528">
        <v>-1024393.6</v>
      </c>
      <c r="HG136" s="525">
        <v>-1.1379620457497748E-3</v>
      </c>
      <c r="HH136" s="528">
        <v>-1024393.6</v>
      </c>
      <c r="HI136" s="526">
        <v>-1.4072580530225815E-3</v>
      </c>
    </row>
    <row r="137" spans="1:217" ht="15" customHeight="1" outlineLevel="1">
      <c r="A137" s="386" t="s">
        <v>125</v>
      </c>
      <c r="B137" s="386" t="s">
        <v>127</v>
      </c>
      <c r="C137" s="375"/>
      <c r="D137" s="4"/>
      <c r="E137" s="375">
        <v>-85613.98</v>
      </c>
      <c r="F137" s="4"/>
      <c r="G137" s="375">
        <v>-16704</v>
      </c>
      <c r="H137" s="375">
        <v>-3994.34</v>
      </c>
      <c r="I137" s="4"/>
      <c r="J137" s="375">
        <v>-16704</v>
      </c>
      <c r="K137" s="375">
        <v>-3994.45</v>
      </c>
      <c r="L137" s="4"/>
      <c r="M137" s="375">
        <v>-16704</v>
      </c>
      <c r="N137" s="375">
        <v>-76068.210000000006</v>
      </c>
      <c r="O137" s="4"/>
      <c r="P137" s="375">
        <f t="shared" si="869"/>
        <v>-50112</v>
      </c>
      <c r="Q137" s="375">
        <f t="shared" si="869"/>
        <v>-84057</v>
      </c>
      <c r="R137" s="7">
        <f t="shared" si="442"/>
        <v>-2.311285221753571E-3</v>
      </c>
      <c r="S137" s="375">
        <v>-3994.33</v>
      </c>
      <c r="T137" s="375">
        <v>-3994.33</v>
      </c>
      <c r="U137" s="4"/>
      <c r="V137" s="375">
        <v>-3930.89</v>
      </c>
      <c r="W137" s="375">
        <v>-3930.89</v>
      </c>
      <c r="X137" s="4"/>
      <c r="Y137" s="375">
        <v>-76004.7</v>
      </c>
      <c r="Z137" s="375">
        <v>-76004.7</v>
      </c>
      <c r="AA137" s="4"/>
      <c r="AB137" s="375">
        <f t="shared" si="684"/>
        <v>-83929.919999999998</v>
      </c>
      <c r="AC137" s="375">
        <f t="shared" si="934"/>
        <v>-83929.919999999998</v>
      </c>
      <c r="AD137" s="7">
        <f t="shared" si="443"/>
        <v>-2.2630344542759178E-3</v>
      </c>
      <c r="AE137" s="375">
        <f t="shared" si="935"/>
        <v>-167986.91999999998</v>
      </c>
      <c r="AF137" s="375">
        <f t="shared" si="936"/>
        <v>-167986.91999999998</v>
      </c>
      <c r="AG137" s="4"/>
      <c r="AH137" s="375">
        <v>-3930.74</v>
      </c>
      <c r="AI137" s="375">
        <v>-3930.74</v>
      </c>
      <c r="AJ137" s="4"/>
      <c r="AK137" s="375">
        <v>-4672.8100000000004</v>
      </c>
      <c r="AL137" s="375">
        <v>-4672.8100000000004</v>
      </c>
      <c r="AM137" s="4"/>
      <c r="AN137" s="375">
        <v>-200374.87</v>
      </c>
      <c r="AO137" s="375">
        <v>-200374.87</v>
      </c>
      <c r="AP137" s="4"/>
      <c r="AQ137" s="375">
        <f t="shared" si="937"/>
        <v>-208978.41999999998</v>
      </c>
      <c r="AR137" s="375">
        <f t="shared" si="938"/>
        <v>-208978.41999999998</v>
      </c>
      <c r="AS137" s="7">
        <f t="shared" si="444"/>
        <v>-7.8496498772949175E-3</v>
      </c>
      <c r="AT137" s="375">
        <f t="shared" si="939"/>
        <v>-376965.33999999997</v>
      </c>
      <c r="AU137" s="4"/>
      <c r="AV137" s="375">
        <v>-92127.679999999993</v>
      </c>
      <c r="AW137" s="375">
        <v>-4672.67</v>
      </c>
      <c r="AX137" s="4"/>
      <c r="AY137" s="375">
        <v>-92127.679999999993</v>
      </c>
      <c r="AZ137" s="375">
        <v>-4672.67</v>
      </c>
      <c r="BA137" s="4"/>
      <c r="BB137" s="375">
        <v>-16704</v>
      </c>
      <c r="BC137" s="375">
        <v>-116062.62</v>
      </c>
      <c r="BD137" s="448"/>
      <c r="BE137" s="375">
        <f t="shared" si="940"/>
        <v>-200959.35999999999</v>
      </c>
      <c r="BF137" s="375">
        <f t="shared" si="941"/>
        <v>-125407.95999999999</v>
      </c>
      <c r="BG137" s="7">
        <f t="shared" si="445"/>
        <v>-3.9939263751661161E-3</v>
      </c>
      <c r="BH137" s="375">
        <f t="shared" si="942"/>
        <v>-577924.69999999995</v>
      </c>
      <c r="BI137" s="388">
        <f t="shared" si="943"/>
        <v>-502373.29999999993</v>
      </c>
      <c r="BJ137" s="7">
        <f t="shared" si="446"/>
        <v>-3.8209765634908428E-3</v>
      </c>
      <c r="BK137" s="375">
        <v>0</v>
      </c>
      <c r="BL137" s="282"/>
      <c r="BN137" s="375">
        <v>-3334.31</v>
      </c>
      <c r="BO137" s="4"/>
      <c r="BP137" s="375">
        <v>-3239.71</v>
      </c>
      <c r="BQ137" s="4"/>
      <c r="BR137" s="375">
        <v>-115509.52</v>
      </c>
      <c r="BS137" s="4"/>
      <c r="BT137" s="375">
        <f t="shared" si="944"/>
        <v>-122083.54000000001</v>
      </c>
      <c r="BU137" s="7">
        <f t="shared" si="447"/>
        <v>-2.2518198051256284E-3</v>
      </c>
      <c r="BV137" s="375">
        <v>-2376.35</v>
      </c>
      <c r="BW137" s="7"/>
      <c r="BX137" s="375">
        <v>-2376.46</v>
      </c>
      <c r="BY137" s="7"/>
      <c r="BZ137" s="375">
        <v>-114984.58</v>
      </c>
      <c r="CA137" s="7"/>
      <c r="CB137" s="375">
        <f t="shared" si="945"/>
        <v>-119737.39</v>
      </c>
      <c r="CC137" s="7">
        <f t="shared" si="534"/>
        <v>-3.4966999872497336E-3</v>
      </c>
      <c r="CD137" s="375">
        <f t="shared" si="946"/>
        <v>-241820.93</v>
      </c>
      <c r="CE137" s="7">
        <f t="shared" si="448"/>
        <v>-2.7337227072364479E-3</v>
      </c>
      <c r="CF137" s="375">
        <v>-2376.29</v>
      </c>
      <c r="CG137" s="7">
        <f t="shared" ref="CG137" si="966">+CF137/CF$8</f>
        <v>-4.7046916028316006E-4</v>
      </c>
      <c r="CH137" s="375">
        <v>-2376.4699999999998</v>
      </c>
      <c r="CI137" s="7">
        <f t="shared" si="449"/>
        <v>-6.4089982403254953E-5</v>
      </c>
      <c r="CJ137" s="375">
        <v>-125119.29</v>
      </c>
      <c r="CK137" s="7">
        <f t="shared" si="449"/>
        <v>-4.4427958267425835E-3</v>
      </c>
      <c r="CL137" s="375">
        <f t="shared" si="947"/>
        <v>-129872.04999999999</v>
      </c>
      <c r="CM137" s="7">
        <f t="shared" si="449"/>
        <v>-1.847571276094139E-3</v>
      </c>
      <c r="CN137" s="375">
        <f t="shared" si="948"/>
        <v>-371692.98</v>
      </c>
      <c r="CO137" s="7">
        <f t="shared" si="639"/>
        <v>-2.3413456457152255E-3</v>
      </c>
      <c r="CP137" s="472">
        <v>-2266.69</v>
      </c>
      <c r="CQ137" s="7">
        <f t="shared" ref="CQ137:CQ168" si="967">+CP137/CP$8</f>
        <v>-1.1570592055330802E-4</v>
      </c>
      <c r="CR137" s="375">
        <f t="shared" si="949"/>
        <v>-373959.67</v>
      </c>
      <c r="CS137" s="7">
        <f t="shared" si="641"/>
        <v>-2.0968687156131764E-3</v>
      </c>
      <c r="CT137" s="375">
        <v>-2266.69</v>
      </c>
      <c r="CU137" s="7">
        <f t="shared" si="950"/>
        <v>-1.4470132274528735E-4</v>
      </c>
      <c r="CV137" s="375">
        <v>4739.33</v>
      </c>
      <c r="CW137" s="7">
        <f t="shared" ref="CW137:CW177" si="968">+CV137/CV$8</f>
        <v>7.5743280073933293E-5</v>
      </c>
      <c r="CX137" s="375">
        <f>+CV137+CT137+CP137</f>
        <v>205.94999999999982</v>
      </c>
      <c r="CY137" s="7">
        <f t="shared" ref="CY137:CY168" si="969">+CX137/CX$8</f>
        <v>2.1052756396040741E-6</v>
      </c>
      <c r="CZ137" s="375">
        <f>+CD137+CL137+CX137</f>
        <v>-371487.02999999997</v>
      </c>
      <c r="DA137" s="7">
        <f t="shared" si="453"/>
        <v>-1.4478548749418526E-3</v>
      </c>
      <c r="DB137" s="375">
        <v>-2149.12</v>
      </c>
      <c r="DC137" s="7">
        <f t="shared" si="642"/>
        <v>-1.1195485857911931E-4</v>
      </c>
      <c r="DD137" s="375">
        <v>-2149.27</v>
      </c>
      <c r="DE137" s="7">
        <f t="shared" si="642"/>
        <v>-8.2768614120421987E-5</v>
      </c>
      <c r="DF137" s="375">
        <v>-124892.09</v>
      </c>
      <c r="DG137" s="7">
        <f t="shared" si="642"/>
        <v>-4.0261538769957861E-3</v>
      </c>
      <c r="DH137" s="375">
        <f t="shared" si="951"/>
        <v>-129190.48</v>
      </c>
      <c r="DI137" s="7">
        <f t="shared" ref="DI137:DI168" si="970">+DH137/DH$8</f>
        <v>-1.6957754996792685E-3</v>
      </c>
      <c r="DJ137" s="375"/>
      <c r="DK137" s="7">
        <f t="shared" si="643"/>
        <v>0</v>
      </c>
      <c r="DL137" s="375">
        <v>-2149.15</v>
      </c>
      <c r="DM137" s="7">
        <f t="shared" si="644"/>
        <v>-2.477696840372716E-4</v>
      </c>
      <c r="DN137" s="375">
        <v>-2084.2399999999998</v>
      </c>
      <c r="DO137" s="7">
        <f t="shared" si="645"/>
        <v>-1.2145453372454547E-4</v>
      </c>
      <c r="DP137" s="375">
        <v>-124827.08</v>
      </c>
      <c r="DQ137" s="7">
        <f t="shared" si="646"/>
        <v>-1.4877102835296348E-3</v>
      </c>
      <c r="DR137" s="375">
        <f t="shared" si="952"/>
        <v>-129060.47</v>
      </c>
      <c r="DS137" s="7">
        <f t="shared" ref="DS137:DS168" si="971">+DR137/DR$8</f>
        <v>-1.1760552009746242E-3</v>
      </c>
      <c r="DT137" s="375">
        <f t="shared" si="953"/>
        <v>-258250.95</v>
      </c>
      <c r="DU137" s="7">
        <f t="shared" si="454"/>
        <v>-1.3890145450888671E-3</v>
      </c>
      <c r="DV137" s="375">
        <v>-2084.1</v>
      </c>
      <c r="DW137" s="7">
        <f t="shared" si="647"/>
        <v>-4.5786983790578161E-5</v>
      </c>
      <c r="DX137" s="375">
        <v>-3061.05</v>
      </c>
      <c r="DY137" s="7">
        <f t="shared" si="856"/>
        <v>-1.1840457762614476E-4</v>
      </c>
      <c r="DZ137" s="375">
        <v>-125803.85</v>
      </c>
      <c r="EA137" s="7">
        <f t="shared" si="649"/>
        <v>-1.0282848182911542E-3</v>
      </c>
      <c r="EB137" s="375">
        <f t="shared" si="954"/>
        <v>-130949</v>
      </c>
      <c r="EC137" s="7">
        <f t="shared" ref="EC137:EC177" si="972">+EB137/EB$8</f>
        <v>-6.7599435716713513E-4</v>
      </c>
      <c r="ED137" s="375">
        <f>+EB137+DT137</f>
        <v>-389199.95</v>
      </c>
      <c r="EE137" s="7">
        <f t="shared" si="455"/>
        <v>-1.0251896708296261E-3</v>
      </c>
      <c r="EF137" s="375">
        <v>-3060.9</v>
      </c>
      <c r="EG137" s="7">
        <f t="shared" si="650"/>
        <v>-2.0714391272479407E-4</v>
      </c>
      <c r="EH137" s="375">
        <v>-3061.04</v>
      </c>
      <c r="EI137" s="7">
        <f t="shared" si="857"/>
        <v>-2.4010685969501976E-4</v>
      </c>
      <c r="EJ137" s="375">
        <v>-134899.15</v>
      </c>
      <c r="EK137" s="7">
        <f t="shared" si="652"/>
        <v>-8.6383534111785876E-4</v>
      </c>
      <c r="EL137" s="375">
        <f t="shared" si="955"/>
        <v>-141021.09</v>
      </c>
      <c r="EM137" s="7">
        <f t="shared" ref="EM137:EM177" si="973">+EL137/EL$8</f>
        <v>-7.6771917934722212E-4</v>
      </c>
      <c r="EN137" s="375">
        <f>+EL137+ED137</f>
        <v>-530221.04</v>
      </c>
      <c r="EO137" s="7">
        <f t="shared" si="456"/>
        <v>-9.4123404398286357E-4</v>
      </c>
      <c r="EP137" s="373"/>
      <c r="EQ137" s="373"/>
      <c r="ER137" s="373"/>
      <c r="ES137" s="373"/>
      <c r="ET137" s="375">
        <v>-2857.66</v>
      </c>
      <c r="EU137" s="7">
        <f t="shared" si="653"/>
        <v>-3.8743102685207919E-4</v>
      </c>
      <c r="EV137" s="375">
        <v>-2857.8</v>
      </c>
      <c r="EW137" s="7">
        <f t="shared" si="858"/>
        <v>-4.6892076353722423E-4</v>
      </c>
      <c r="EX137" s="375">
        <v>-126464.74</v>
      </c>
      <c r="EY137" s="7">
        <f t="shared" si="655"/>
        <v>-5.5397236238191312E-4</v>
      </c>
      <c r="EZ137" s="375">
        <f t="shared" si="956"/>
        <v>-132180.20000000001</v>
      </c>
      <c r="FA137" s="7">
        <f t="shared" ref="FA137:FA177" si="974">+EZ137/EZ$8</f>
        <v>-5.4674720452972214E-4</v>
      </c>
      <c r="FB137" s="375">
        <v>-3721.8</v>
      </c>
      <c r="FC137" s="7">
        <f t="shared" si="656"/>
        <v>-4.1070613950889055E-4</v>
      </c>
      <c r="FD137" s="375">
        <v>-3721.91</v>
      </c>
      <c r="FE137" s="7">
        <f t="shared" si="612"/>
        <v>-3.5361312660023051E-5</v>
      </c>
      <c r="FF137" s="375">
        <v>-125725.21</v>
      </c>
      <c r="FG137" s="7">
        <f t="shared" ref="FG137:FG177" si="975">+FF137/FF$8</f>
        <v>-7.8244822404302517E-4</v>
      </c>
      <c r="FH137" s="375">
        <f t="shared" si="957"/>
        <v>-133168.92000000001</v>
      </c>
      <c r="FI137" s="7">
        <f t="shared" ref="FI137:FI177" si="976">+FH137/FH$8</f>
        <v>-4.8425500488061935E-4</v>
      </c>
      <c r="FJ137" s="375">
        <f t="shared" si="958"/>
        <v>-265349.12</v>
      </c>
      <c r="FK137" s="7">
        <f t="shared" si="459"/>
        <v>-5.1349121048795522E-4</v>
      </c>
      <c r="FL137" s="375">
        <v>-2982.23</v>
      </c>
      <c r="FM137" s="7">
        <f t="shared" si="658"/>
        <v>-2.727404855115917E-4</v>
      </c>
      <c r="FN137" s="375">
        <v>-2982.2</v>
      </c>
      <c r="FO137" s="7">
        <f t="shared" ref="FO137:FO177" si="977">+FN137/FN$8</f>
        <v>-6.2414910056801513E-4</v>
      </c>
      <c r="FP137" s="375">
        <v>-2853.64</v>
      </c>
      <c r="FQ137" s="7">
        <f t="shared" ref="FQ137:FQ177" si="978">+FP137/FP$8</f>
        <v>-1.0315260385927296E-5</v>
      </c>
      <c r="FR137" s="375">
        <f t="shared" si="959"/>
        <v>-8818.07</v>
      </c>
      <c r="FS137" s="7">
        <f t="shared" ref="FS137:FS177" si="979">+FR137/FR$8</f>
        <v>-3.0162210929802579E-5</v>
      </c>
      <c r="FT137" s="375">
        <f t="shared" si="960"/>
        <v>-274167.19</v>
      </c>
      <c r="FU137" s="7">
        <f t="shared" si="462"/>
        <v>-3.3885039833286769E-4</v>
      </c>
      <c r="FV137" s="375">
        <v>-2853.67</v>
      </c>
      <c r="FW137" s="7">
        <f t="shared" si="660"/>
        <v>-1.0283517748657326E-4</v>
      </c>
      <c r="FX137" s="375">
        <v>-3117.14</v>
      </c>
      <c r="FY137" s="7">
        <f t="shared" ref="FY137:FY177" si="980">+FX137/FX$8</f>
        <v>-1.2142497906838593E-4</v>
      </c>
      <c r="FZ137" s="375">
        <v>-239960.97</v>
      </c>
      <c r="GA137" s="7">
        <f t="shared" ref="GA137:GA177" si="981">+FZ137/FZ$8</f>
        <v>-8.3000063770881404E-4</v>
      </c>
      <c r="GB137" s="375">
        <f t="shared" si="961"/>
        <v>-245931.78</v>
      </c>
      <c r="GC137" s="7">
        <f t="shared" ref="GC137:GC177" si="982">+GB137/GB$8</f>
        <v>-7.17984752665826E-4</v>
      </c>
      <c r="GD137" s="375">
        <f t="shared" si="962"/>
        <v>-520098.97</v>
      </c>
      <c r="GE137" s="7">
        <f t="shared" si="465"/>
        <v>-4.5161574219535958E-4</v>
      </c>
      <c r="GF137" s="566">
        <f t="shared" si="963"/>
        <v>0</v>
      </c>
      <c r="GG137" s="525">
        <f t="shared" ref="GG137:GG177" si="983">+GF137/GF$8</f>
        <v>0</v>
      </c>
      <c r="GH137" s="528">
        <f t="shared" si="964"/>
        <v>0</v>
      </c>
      <c r="GI137" s="525">
        <f t="shared" ref="GI137:GI177" si="984">+GH137/GH$8</f>
        <v>0</v>
      </c>
      <c r="GJ137" s="528"/>
      <c r="GK137" s="525">
        <f t="shared" ref="GK137:GK177" si="985">+GJ137/GJ$8</f>
        <v>0</v>
      </c>
      <c r="GL137" s="528">
        <f t="shared" si="965"/>
        <v>-520098.97</v>
      </c>
      <c r="GM137" s="565">
        <f t="shared" si="468"/>
        <v>-4.4881169829653878E-4</v>
      </c>
      <c r="GO137" s="586"/>
      <c r="GQ137" s="586"/>
      <c r="GT137" s="551">
        <f t="shared" si="558"/>
        <v>-121278.55342412095</v>
      </c>
      <c r="GU137" s="551">
        <f t="shared" si="471"/>
        <v>-142093.12657587911</v>
      </c>
      <c r="GV137" s="550">
        <f t="shared" ref="GV137:GV168" si="986">+GW137-FJ137</f>
        <v>-263371.68000000005</v>
      </c>
      <c r="GW137" s="527">
        <f>+EZ137*4</f>
        <v>-528720.80000000005</v>
      </c>
      <c r="GX137" s="525">
        <f t="shared" si="664"/>
        <v>-4.4651136071466682E-4</v>
      </c>
      <c r="GY137" s="528">
        <f>+GW137</f>
        <v>-528720.80000000005</v>
      </c>
      <c r="GZ137" s="525">
        <f t="shared" si="665"/>
        <v>-5.8733694079937389E-4</v>
      </c>
      <c r="HA137" s="528">
        <f>+GY137</f>
        <v>-528720.80000000005</v>
      </c>
      <c r="HB137" s="526">
        <f t="shared" si="666"/>
        <v>-7.2632882868512827E-4</v>
      </c>
      <c r="HD137" s="527">
        <v>-528720.80000000005</v>
      </c>
      <c r="HE137" s="525">
        <v>-4.4507520830128677E-4</v>
      </c>
      <c r="HF137" s="528">
        <v>-528720.80000000005</v>
      </c>
      <c r="HG137" s="525">
        <v>-5.8733694079937389E-4</v>
      </c>
      <c r="HH137" s="528">
        <v>-528720.80000000005</v>
      </c>
      <c r="HI137" s="526">
        <v>-7.2632882868512827E-4</v>
      </c>
    </row>
    <row r="138" spans="1:217" ht="15" customHeight="1">
      <c r="A138" s="386" t="s">
        <v>125</v>
      </c>
      <c r="B138" s="386"/>
      <c r="C138" s="389">
        <f>SUM(C136:C137)</f>
        <v>-1205000</v>
      </c>
      <c r="D138" s="4"/>
      <c r="E138" s="389">
        <f>SUM(E136:E137)</f>
        <v>-283403.92</v>
      </c>
      <c r="F138" s="4"/>
      <c r="G138" s="389">
        <f>SUM(G136:G137)</f>
        <v>-16704</v>
      </c>
      <c r="H138" s="389">
        <f>SUM(H136:H137)</f>
        <v>-24649.29</v>
      </c>
      <c r="I138" s="4"/>
      <c r="J138" s="389">
        <f>SUM(J136:J137)</f>
        <v>-16704</v>
      </c>
      <c r="K138" s="389">
        <f>SUM(K136:K137)</f>
        <v>-24425.260000000002</v>
      </c>
      <c r="L138" s="4"/>
      <c r="M138" s="389">
        <f>SUM(M136:M137)</f>
        <v>-16704</v>
      </c>
      <c r="N138" s="389">
        <f>SUM(N136:N137)</f>
        <v>-227966.03000000003</v>
      </c>
      <c r="O138" s="4"/>
      <c r="P138" s="389">
        <f t="shared" si="869"/>
        <v>-50112</v>
      </c>
      <c r="Q138" s="389">
        <f>+H138+K138+N138</f>
        <v>-277040.58</v>
      </c>
      <c r="R138" s="7">
        <f t="shared" ref="R138:R176" si="987">+Q138/Q$8</f>
        <v>-7.6176855988203005E-3</v>
      </c>
      <c r="S138" s="389">
        <f>SUM(S136:S137)</f>
        <v>-24131.97</v>
      </c>
      <c r="T138" s="389">
        <f>SUM(T136:T137)</f>
        <v>-24131.97</v>
      </c>
      <c r="U138" s="4"/>
      <c r="V138" s="389">
        <f>SUM(V136:V137)</f>
        <v>-23881.46</v>
      </c>
      <c r="W138" s="389">
        <f>SUM(W136:W137)</f>
        <v>-23881.46</v>
      </c>
      <c r="X138" s="4"/>
      <c r="Y138" s="389">
        <f>SUM(Y136:Y137)</f>
        <v>-227712.05</v>
      </c>
      <c r="Z138" s="389">
        <f>SUM(Z136:Z137)</f>
        <v>-227712.05</v>
      </c>
      <c r="AA138" s="4"/>
      <c r="AB138" s="389">
        <f>SUM(AB136:AB137)</f>
        <v>-275725.48</v>
      </c>
      <c r="AC138" s="389">
        <f>SUM(AC136:AC137)</f>
        <v>-275725.48</v>
      </c>
      <c r="AD138" s="7">
        <f t="shared" ref="AD138:AD176" si="988">+AC138/AC$8</f>
        <v>-7.434491313249976E-3</v>
      </c>
      <c r="AE138" s="389">
        <f>SUM(AE136:AE137)</f>
        <v>-552766.06000000006</v>
      </c>
      <c r="AF138" s="389">
        <f>SUM(AF136:AF137)</f>
        <v>-552766.06000000006</v>
      </c>
      <c r="AG138" s="4"/>
      <c r="AH138" s="389">
        <f>SUM(AH136:AH137)</f>
        <v>-23877.79</v>
      </c>
      <c r="AI138" s="389">
        <f>SUM(AI136:AI137)</f>
        <v>-23877.79</v>
      </c>
      <c r="AJ138" s="4"/>
      <c r="AK138" s="389">
        <f>SUM(AK136:AK137)</f>
        <v>-23882.34</v>
      </c>
      <c r="AL138" s="389">
        <f>SUM(AL136:AL137)</f>
        <v>-23882.34</v>
      </c>
      <c r="AM138" s="4"/>
      <c r="AN138" s="389">
        <f>SUM(AN136:AN137)</f>
        <v>-574185.28</v>
      </c>
      <c r="AO138" s="389">
        <f>SUM(AO136:AO137)</f>
        <v>-574185.28</v>
      </c>
      <c r="AP138" s="4"/>
      <c r="AQ138" s="389">
        <f>SUM(AQ136:AQ137)</f>
        <v>-621945.40999999992</v>
      </c>
      <c r="AR138" s="389">
        <f>SUM(AR136:AR137)</f>
        <v>-621945.40999999992</v>
      </c>
      <c r="AS138" s="7">
        <f t="shared" ref="AS138:AS176" si="989">+AR138/AR$8</f>
        <v>-2.3361520827321007E-2</v>
      </c>
      <c r="AT138" s="389">
        <f>SUM(AT136:AT137)</f>
        <v>-1174711.4699999997</v>
      </c>
      <c r="AU138" s="4"/>
      <c r="AV138" s="389">
        <f>SUM(AV136:AV137)</f>
        <v>-92127.679999999993</v>
      </c>
      <c r="AW138" s="389">
        <f>SUM(AW136:AW137)</f>
        <v>-23882.160000000003</v>
      </c>
      <c r="AX138" s="4"/>
      <c r="AY138" s="389">
        <f>SUM(AY136:AY137)</f>
        <v>-92127.679999999993</v>
      </c>
      <c r="AZ138" s="389">
        <f>SUM(AZ136:AZ137)</f>
        <v>-23882.160000000003</v>
      </c>
      <c r="BA138" s="4"/>
      <c r="BB138" s="389">
        <f>SUM(BB136:BB137)</f>
        <v>-16704</v>
      </c>
      <c r="BC138" s="389">
        <f>SUM(BC136:BC137)</f>
        <v>-330191.61</v>
      </c>
      <c r="BD138" s="448"/>
      <c r="BE138" s="389">
        <f>SUM(BE136:BE137)</f>
        <v>-200959.35999999999</v>
      </c>
      <c r="BF138" s="389">
        <f>SUM(BF136:BF137)</f>
        <v>-377955.92999999993</v>
      </c>
      <c r="BG138" s="7">
        <f t="shared" ref="BG138:BG176" si="990">+BF138/BF$8</f>
        <v>-1.2036940537725343E-2</v>
      </c>
      <c r="BH138" s="389">
        <f>SUM(BH136:BH137)</f>
        <v>-1375670.8299999998</v>
      </c>
      <c r="BI138" s="389">
        <f>SUM(BI136:BI137)</f>
        <v>-1552667.4</v>
      </c>
      <c r="BJ138" s="7">
        <f t="shared" ref="BJ138:BJ176" si="991">+BI138/BI$8</f>
        <v>-1.1809357197717836E-2</v>
      </c>
      <c r="BK138" s="389">
        <v>-1440000</v>
      </c>
      <c r="BL138" s="282"/>
      <c r="BM138" s="393"/>
      <c r="BN138" s="389">
        <f>SUM(BN136:BN137)</f>
        <v>-14768.41</v>
      </c>
      <c r="BO138" s="4"/>
      <c r="BP138" s="389">
        <f>SUM(BP136:BP137)</f>
        <v>-14338.52</v>
      </c>
      <c r="BQ138" s="4"/>
      <c r="BR138" s="389">
        <f>SUM(BR136:BR137)</f>
        <v>-329303.26</v>
      </c>
      <c r="BS138" s="4"/>
      <c r="BT138" s="389">
        <f>SUM(BT136:BT137)</f>
        <v>-358410.19</v>
      </c>
      <c r="BU138" s="7">
        <f t="shared" ref="BU138:BU177" si="992">+BT138/BT$8</f>
        <v>-6.6108433962583282E-3</v>
      </c>
      <c r="BV138" s="389">
        <f>SUM(BV136:BV137)</f>
        <v>-12536.15</v>
      </c>
      <c r="BW138" s="7"/>
      <c r="BX138" s="389">
        <f>SUM(BX136:BX137)</f>
        <v>-12536.34</v>
      </c>
      <c r="BY138" s="7"/>
      <c r="BZ138" s="389">
        <f>SUM(BZ136:BZ137)</f>
        <v>-326548.74</v>
      </c>
      <c r="CA138" s="7"/>
      <c r="CB138" s="389">
        <f>SUM(CB136:CB137)</f>
        <v>-351621.23</v>
      </c>
      <c r="CC138" s="7">
        <f t="shared" si="534"/>
        <v>-1.0268421171179157E-2</v>
      </c>
      <c r="CD138" s="389">
        <f>SUM(CD136:CD137)</f>
        <v>-710031.41999999993</v>
      </c>
      <c r="CE138" s="7">
        <f t="shared" ref="CE138:CE177" si="993">+CD138/CD$8</f>
        <v>-8.0267204981195762E-3</v>
      </c>
      <c r="CF138" s="389">
        <f>SUM(CF136:CF137)</f>
        <v>-11245.45</v>
      </c>
      <c r="CG138" s="7">
        <f t="shared" ref="CG138:CM177" si="994">+CF138/CF$8</f>
        <v>-2.2264275061151051E-3</v>
      </c>
      <c r="CH138" s="389">
        <f>SUM(CH136:CH137)</f>
        <v>-11245.679999999998</v>
      </c>
      <c r="CI138" s="7">
        <f t="shared" si="994"/>
        <v>-3.0327983661171236E-4</v>
      </c>
      <c r="CJ138" s="389">
        <f>SUM(CJ136:CJ137)</f>
        <v>-354925.93</v>
      </c>
      <c r="CK138" s="7">
        <f t="shared" si="994"/>
        <v>-1.2602880344083878E-2</v>
      </c>
      <c r="CL138" s="389">
        <f>SUM(CL136:CL137)</f>
        <v>-377417.06</v>
      </c>
      <c r="CM138" s="7">
        <f t="shared" si="994"/>
        <v>-5.3691684944058267E-3</v>
      </c>
      <c r="CN138" s="389">
        <f>SUM(CN136:CN137)</f>
        <v>-1087448.48</v>
      </c>
      <c r="CO138" s="7">
        <f t="shared" si="639"/>
        <v>-6.8499888364521727E-3</v>
      </c>
      <c r="CP138" s="389">
        <f>SUM(CP136:CP137)</f>
        <v>-10161.129999999999</v>
      </c>
      <c r="CQ138" s="7">
        <f t="shared" si="967"/>
        <v>-5.1868711668196117E-4</v>
      </c>
      <c r="CR138" s="389">
        <f>SUM(CR136:CR137)</f>
        <v>-1097609.6099999999</v>
      </c>
      <c r="CS138" s="7">
        <f t="shared" si="641"/>
        <v>-6.1545226338588308E-3</v>
      </c>
      <c r="CT138" s="389">
        <f t="shared" ref="CT138" si="995">SUM(CT136:CT137)</f>
        <v>-10161.129999999999</v>
      </c>
      <c r="CU138" s="7">
        <f t="shared" si="611"/>
        <v>-6.4866786000150947E-4</v>
      </c>
      <c r="CV138" s="389">
        <f t="shared" ref="CV138" si="996">SUM(CV136:CV137)</f>
        <v>-224092.54</v>
      </c>
      <c r="CW138" s="7">
        <f t="shared" si="968"/>
        <v>-3.5814142546940395E-3</v>
      </c>
      <c r="CX138" s="389">
        <f>SUM(CX136:CX137)</f>
        <v>-244414.8</v>
      </c>
      <c r="CY138" s="7">
        <f t="shared" si="969"/>
        <v>-2.4984730487919507E-3</v>
      </c>
      <c r="CZ138" s="389">
        <f>SUM(CZ136:CZ137)</f>
        <v>-1331863.28</v>
      </c>
      <c r="DA138" s="7">
        <f t="shared" ref="DA138:DA176" si="997">+CZ138/CZ$8</f>
        <v>-5.1908803995230892E-3</v>
      </c>
      <c r="DB138" s="389">
        <f>SUM(DB136:DB137)</f>
        <v>-7458.15</v>
      </c>
      <c r="DC138" s="7">
        <f t="shared" si="642"/>
        <v>-3.8852001215002355E-4</v>
      </c>
      <c r="DD138" s="389">
        <f>SUM(DD136:DD137)</f>
        <v>-6532.4500000000007</v>
      </c>
      <c r="DE138" s="7">
        <f t="shared" si="642"/>
        <v>-2.5156533767788634E-4</v>
      </c>
      <c r="DF138" s="389">
        <f>SUM(DF136:DF137)</f>
        <v>-350212.68</v>
      </c>
      <c r="DG138" s="7">
        <f t="shared" si="642"/>
        <v>-1.128982739703599E-2</v>
      </c>
      <c r="DH138" s="389">
        <f>SUM(DH136:DH137)</f>
        <v>-364203.27999999997</v>
      </c>
      <c r="DI138" s="7">
        <f t="shared" si="970"/>
        <v>-4.7805921854832375E-3</v>
      </c>
      <c r="DJ138" s="389">
        <f>SUM(DJ136:DJ137)</f>
        <v>-165000</v>
      </c>
      <c r="DK138" s="7">
        <f t="shared" si="643"/>
        <v>-3.1372346812933638E-3</v>
      </c>
      <c r="DL138" s="389">
        <f>SUM(DL136:DL137)</f>
        <v>-6532.34</v>
      </c>
      <c r="DM138" s="7">
        <f t="shared" si="644"/>
        <v>-7.5309579034689563E-4</v>
      </c>
      <c r="DN138" s="389">
        <f>SUM(DN136:DN137)</f>
        <v>-6107.08</v>
      </c>
      <c r="DO138" s="7">
        <f t="shared" si="645"/>
        <v>-3.5587674827203063E-4</v>
      </c>
      <c r="DP138" s="389">
        <f>SUM(DP136:DP137)</f>
        <v>-349787.36</v>
      </c>
      <c r="DQ138" s="7">
        <f t="shared" si="646"/>
        <v>-4.1688250059256568E-3</v>
      </c>
      <c r="DR138" s="389">
        <f>SUM(DR136:DR137)</f>
        <v>-362426.78</v>
      </c>
      <c r="DS138" s="7">
        <f t="shared" si="971"/>
        <v>-3.3025906351610676E-3</v>
      </c>
      <c r="DT138" s="389">
        <f>SUM(DT136:DT137)</f>
        <v>-726630.06</v>
      </c>
      <c r="DU138" s="7">
        <f t="shared" ref="DU138:DU177" si="998">+DT138/DT$8</f>
        <v>-3.9082130084663628E-3</v>
      </c>
      <c r="DV138" s="389">
        <f>SUM(DV136:DV137)</f>
        <v>-6106.9</v>
      </c>
      <c r="DW138" s="7">
        <f t="shared" si="647"/>
        <v>-1.3416656173440898E-4</v>
      </c>
      <c r="DX138" s="389">
        <f>SUM(DX136:DX137)</f>
        <v>-7753.63</v>
      </c>
      <c r="DY138" s="7">
        <f t="shared" si="856"/>
        <v>-2.9991842185505131E-4</v>
      </c>
      <c r="DZ138" s="389">
        <f>SUM(DZ136:DZ137)</f>
        <v>-351697.19</v>
      </c>
      <c r="EA138" s="7">
        <f t="shared" si="649"/>
        <v>-2.8746726043174316E-3</v>
      </c>
      <c r="EB138" s="389">
        <f>SUM(EB136:EB137)</f>
        <v>-365557.72</v>
      </c>
      <c r="EC138" s="7">
        <f t="shared" si="972"/>
        <v>-1.8871083852406935E-3</v>
      </c>
      <c r="ED138" s="389">
        <f>SUM(ED136:ED137)</f>
        <v>-1092187.78</v>
      </c>
      <c r="EE138" s="7">
        <f t="shared" ref="EE138:EE177" si="999">+ED138/ED$8</f>
        <v>-2.876926450433357E-3</v>
      </c>
      <c r="EF138" s="389">
        <f>SUM(EF136:EF137)</f>
        <v>-7716.3700000000008</v>
      </c>
      <c r="EG138" s="7">
        <f t="shared" si="650"/>
        <v>-5.2219905055121674E-4</v>
      </c>
      <c r="EH138" s="389">
        <f>SUM(EH136:EH137)</f>
        <v>-14686.27</v>
      </c>
      <c r="EI138" s="7">
        <f t="shared" si="857"/>
        <v>-1.1519856553109981E-3</v>
      </c>
      <c r="EJ138" s="389">
        <f>SUM(EJ136:EJ137)</f>
        <v>-171565.32</v>
      </c>
      <c r="EK138" s="7">
        <f t="shared" si="652"/>
        <v>-1.0986295074964861E-3</v>
      </c>
      <c r="EL138" s="389">
        <f>SUM(EL136:EL137)</f>
        <v>-193967.96</v>
      </c>
      <c r="EM138" s="7">
        <f t="shared" si="973"/>
        <v>-1.0559620768131547E-3</v>
      </c>
      <c r="EN138" s="389">
        <f>SUM(EN136:EN137)</f>
        <v>-1286155.74</v>
      </c>
      <c r="EO138" s="7">
        <f t="shared" ref="EO138:EO177" si="1000">+EN138/EN$8</f>
        <v>-2.2831488700485601E-3</v>
      </c>
      <c r="EP138" s="373"/>
      <c r="EQ138" s="373"/>
      <c r="ER138" s="373"/>
      <c r="ES138" s="373"/>
      <c r="ET138" s="389">
        <f>SUM(ET136:ET137)</f>
        <v>-14858.16</v>
      </c>
      <c r="EU138" s="7">
        <f t="shared" si="653"/>
        <v>-2.0144146560236308E-3</v>
      </c>
      <c r="EV138" s="389">
        <f>SUM(EV136:EV137)</f>
        <v>-14160.93</v>
      </c>
      <c r="EW138" s="7">
        <f t="shared" si="858"/>
        <v>-2.3235895122112058E-3</v>
      </c>
      <c r="EX138" s="389">
        <f>SUM(EX136:EX137)</f>
        <v>-359259.51</v>
      </c>
      <c r="EY138" s="7">
        <f t="shared" si="655"/>
        <v>-1.5737180139133527E-3</v>
      </c>
      <c r="EZ138" s="389">
        <f>SUM(EZ136:EZ137)</f>
        <v>-388278.6</v>
      </c>
      <c r="FA138" s="7">
        <f t="shared" si="974"/>
        <v>-1.6060668627276562E-3</v>
      </c>
      <c r="FB138" s="389">
        <f>SUM(FB136:FB137)</f>
        <v>-15579.170000000002</v>
      </c>
      <c r="FC138" s="7">
        <f t="shared" si="656"/>
        <v>-1.7191844718826167E-3</v>
      </c>
      <c r="FD138" s="389">
        <f t="shared" ref="FD138" si="1001">SUM(FD136:FD137)</f>
        <v>-15580.07</v>
      </c>
      <c r="FE138" s="7">
        <f t="shared" si="612"/>
        <v>-1.480239249565533E-4</v>
      </c>
      <c r="FF138" s="389">
        <f t="shared" ref="FF138" si="1002">SUM(FF136:FF137)</f>
        <v>-357632</v>
      </c>
      <c r="FG138" s="7">
        <f t="shared" si="975"/>
        <v>-2.2257152981566318E-3</v>
      </c>
      <c r="FH138" s="389">
        <f>SUM(FH136:FH137)</f>
        <v>-388791.24</v>
      </c>
      <c r="FI138" s="7">
        <f t="shared" si="976"/>
        <v>-1.4137991343906823E-3</v>
      </c>
      <c r="FJ138" s="389">
        <f>SUM(FJ136:FJ137)</f>
        <v>-777069.84</v>
      </c>
      <c r="FK138" s="7">
        <f t="shared" ref="FK138:FK177" si="1003">+FJ138/FJ$8</f>
        <v>-1.5037492220636786E-3</v>
      </c>
      <c r="FL138" s="389">
        <f>SUM(FL136:FL137)</f>
        <v>-15803.119999999999</v>
      </c>
      <c r="FM138" s="7">
        <f t="shared" si="658"/>
        <v>-1.4452777355864386E-3</v>
      </c>
      <c r="FN138" s="389">
        <f t="shared" ref="FN138" si="1004">SUM(FN136:FN137)</f>
        <v>-17790.63</v>
      </c>
      <c r="FO138" s="7">
        <f t="shared" si="977"/>
        <v>-3.723427574622208E-3</v>
      </c>
      <c r="FP138" s="389">
        <f t="shared" ref="FP138" si="1005">SUM(FP136:FP137)</f>
        <v>-20144.86</v>
      </c>
      <c r="FQ138" s="7">
        <f t="shared" si="978"/>
        <v>-7.2819092926245551E-5</v>
      </c>
      <c r="FR138" s="389">
        <f>SUM(FR136:FR137)</f>
        <v>-53738.61</v>
      </c>
      <c r="FS138" s="7">
        <f t="shared" si="979"/>
        <v>-1.8381293070869229E-4</v>
      </c>
      <c r="FT138" s="389">
        <f>SUM(FT136:FT137)</f>
        <v>-830808.45</v>
      </c>
      <c r="FU138" s="7">
        <f t="shared" ref="FU138:FU177" si="1006">+FT138/FT$8</f>
        <v>-1.0268178851773342E-3</v>
      </c>
      <c r="FV138" s="389">
        <f>SUM(FV136:FV137)</f>
        <v>-22580.870000000003</v>
      </c>
      <c r="FW138" s="7">
        <f t="shared" si="660"/>
        <v>-8.1372680592052972E-4</v>
      </c>
      <c r="FX138" s="389">
        <f t="shared" ref="FX138" si="1007">SUM(FX136:FX137)</f>
        <v>-23442.46</v>
      </c>
      <c r="FY138" s="7">
        <f t="shared" si="980"/>
        <v>-9.1317689125656023E-4</v>
      </c>
      <c r="FZ138" s="389">
        <f t="shared" ref="FZ138" si="1008">SUM(FZ136:FZ137)</f>
        <v>-833713.79999999993</v>
      </c>
      <c r="GA138" s="7">
        <f t="shared" si="981"/>
        <v>-2.8837314070977401E-3</v>
      </c>
      <c r="GB138" s="389">
        <f>SUM(GB136:GB137)</f>
        <v>-879737.13</v>
      </c>
      <c r="GC138" s="7">
        <f t="shared" si="982"/>
        <v>-2.5683457652117742E-3</v>
      </c>
      <c r="GD138" s="389">
        <f>SUM(GD136:GD137)</f>
        <v>-1710545.5799999998</v>
      </c>
      <c r="GE138" s="7">
        <f t="shared" ref="GE138:GE177" si="1009">+GD138/GD$8</f>
        <v>-1.4853121352474353E-3</v>
      </c>
      <c r="GF138" s="567">
        <f t="shared" ref="GF138:GH138" si="1010">SUM(GF136:GF137)</f>
        <v>0</v>
      </c>
      <c r="GG138" s="525">
        <f t="shared" si="983"/>
        <v>0</v>
      </c>
      <c r="GH138" s="530">
        <f t="shared" si="1010"/>
        <v>0</v>
      </c>
      <c r="GI138" s="525">
        <f t="shared" si="984"/>
        <v>0</v>
      </c>
      <c r="GJ138" s="530">
        <f t="shared" ref="GJ138" si="1011">SUM(GJ136:GJ137)</f>
        <v>0</v>
      </c>
      <c r="GK138" s="525">
        <f t="shared" si="985"/>
        <v>0</v>
      </c>
      <c r="GL138" s="530">
        <f>SUM(GL136:GL137)</f>
        <v>-1710545.5799999998</v>
      </c>
      <c r="GM138" s="565">
        <f t="shared" ref="GM138:GM177" si="1012">+GL138/GL$8</f>
        <v>-1.4760899579813393E-3</v>
      </c>
      <c r="GO138" s="587">
        <f t="shared" ref="GO138" si="1013">SUM(GO136:GO137)</f>
        <v>0</v>
      </c>
      <c r="GQ138" s="587">
        <f t="shared" ref="GQ138" si="1014">SUM(GQ136:GQ137)</f>
        <v>0</v>
      </c>
      <c r="GT138" s="551">
        <f t="shared" si="558"/>
        <v>-357356.42355115182</v>
      </c>
      <c r="GU138" s="551">
        <f t="shared" ref="GU138:GU177" si="1015">+GV138*GU$8</f>
        <v>-418688.13644884818</v>
      </c>
      <c r="GV138" s="550">
        <f t="shared" si="986"/>
        <v>-776044.55999999994</v>
      </c>
      <c r="GW138" s="529">
        <f>SUM(GW136:GW137)</f>
        <v>-1553114.4</v>
      </c>
      <c r="GX138" s="525">
        <f t="shared" si="664"/>
        <v>-1.3116246307872572E-3</v>
      </c>
      <c r="GY138" s="530">
        <f>SUM(GY136:GY137)</f>
        <v>-1553114.4</v>
      </c>
      <c r="GZ138" s="525">
        <f t="shared" si="665"/>
        <v>-1.7252989865491485E-3</v>
      </c>
      <c r="HA138" s="530">
        <f>SUM(HA136:HA137)</f>
        <v>-1553114.4</v>
      </c>
      <c r="HB138" s="526">
        <f t="shared" si="666"/>
        <v>-2.1335868817077097E-3</v>
      </c>
      <c r="HD138" s="529">
        <v>-1553114.4</v>
      </c>
      <c r="HE138" s="525">
        <v>-1.3074059410859717E-3</v>
      </c>
      <c r="HF138" s="530">
        <v>-1553114.4</v>
      </c>
      <c r="HG138" s="525">
        <v>-1.7252989865491485E-3</v>
      </c>
      <c r="HH138" s="530">
        <v>-1553114.4</v>
      </c>
      <c r="HI138" s="526">
        <v>-2.1335868817077097E-3</v>
      </c>
    </row>
    <row r="139" spans="1:217" ht="15" customHeight="1">
      <c r="A139" s="8" t="s">
        <v>128</v>
      </c>
      <c r="B139" s="8" t="s">
        <v>129</v>
      </c>
      <c r="C139" s="9">
        <f>C135+C138</f>
        <v>-64907195.759999998</v>
      </c>
      <c r="D139" s="13"/>
      <c r="E139" s="9">
        <f>E135+E138</f>
        <v>201053.77000000322</v>
      </c>
      <c r="F139" s="13"/>
      <c r="G139" s="9">
        <f>G135+G138</f>
        <v>-4853382.996666668</v>
      </c>
      <c r="H139" s="9">
        <f>H135+H138</f>
        <v>384825.3700000004</v>
      </c>
      <c r="I139" s="13"/>
      <c r="J139" s="9">
        <f>J135+J138</f>
        <v>-7890791.966666664</v>
      </c>
      <c r="K139" s="9">
        <f>K135+K138</f>
        <v>-3898619.419999999</v>
      </c>
      <c r="L139" s="13"/>
      <c r="M139" s="9">
        <f>M135+M138</f>
        <v>780429.66333333519</v>
      </c>
      <c r="N139" s="9">
        <f>N135+N138</f>
        <v>3060594.74</v>
      </c>
      <c r="O139" s="13"/>
      <c r="P139" s="9">
        <f t="shared" si="869"/>
        <v>-11963745.299999995</v>
      </c>
      <c r="Q139" s="9">
        <f>+H139+K139+N139</f>
        <v>-453199.30999999819</v>
      </c>
      <c r="R139" s="11">
        <f t="shared" si="987"/>
        <v>-1.246145910170374E-2</v>
      </c>
      <c r="S139" s="9">
        <f>S135+S138</f>
        <v>-581075.31999999913</v>
      </c>
      <c r="T139" s="9">
        <f>T135+T138</f>
        <v>-581075.31999999913</v>
      </c>
      <c r="U139" s="4"/>
      <c r="V139" s="9">
        <f>V135+V138</f>
        <v>-2963574.0599999996</v>
      </c>
      <c r="W139" s="9">
        <f>W135+W138</f>
        <v>-2954046.4399999985</v>
      </c>
      <c r="X139" s="4"/>
      <c r="Y139" s="9">
        <f>Y135+Y138</f>
        <v>4454785.5</v>
      </c>
      <c r="Z139" s="9">
        <f>Z135+Z138</f>
        <v>4445257.8800000008</v>
      </c>
      <c r="AA139" s="4"/>
      <c r="AB139" s="9">
        <f>AB135+AB138</f>
        <v>910136.12000000244</v>
      </c>
      <c r="AC139" s="9">
        <f>AC135+AC138</f>
        <v>910136.12000000244</v>
      </c>
      <c r="AD139" s="11">
        <f t="shared" si="988"/>
        <v>2.4540347442735637E-2</v>
      </c>
      <c r="AE139" s="9">
        <f>AE135+AE138</f>
        <v>456936.81000000262</v>
      </c>
      <c r="AF139" s="9">
        <f>AF135+AF138</f>
        <v>456936.81000000262</v>
      </c>
      <c r="AG139" s="4"/>
      <c r="AH139" s="9">
        <f>AH135+AH138</f>
        <v>-6827614.9199999999</v>
      </c>
      <c r="AI139" s="9">
        <f>AI135+AI138</f>
        <v>-6827614.9199999999</v>
      </c>
      <c r="AJ139" s="4"/>
      <c r="AK139" s="9">
        <f>AK135+AK138</f>
        <v>-3599566.9200000004</v>
      </c>
      <c r="AL139" s="9">
        <f>AL135+AL138</f>
        <v>-3599566.9200000004</v>
      </c>
      <c r="AM139" s="4"/>
      <c r="AN139" s="9">
        <f>AN135+AN138</f>
        <v>8529485.9499999993</v>
      </c>
      <c r="AO139" s="9">
        <f>AO135+AO138</f>
        <v>8529485.9499999993</v>
      </c>
      <c r="AP139" s="4"/>
      <c r="AQ139" s="9">
        <f>AQ135+AQ138</f>
        <v>-1897695.8900000041</v>
      </c>
      <c r="AR139" s="9">
        <f>AR135+AR138</f>
        <v>-1897695.8900000041</v>
      </c>
      <c r="AS139" s="11">
        <f t="shared" si="989"/>
        <v>-7.1281275406721911E-2</v>
      </c>
      <c r="AT139" s="9">
        <f>AT135+AT138</f>
        <v>-1440759.0800000187</v>
      </c>
      <c r="AU139" s="4"/>
      <c r="AV139" s="9">
        <f>AV135+AV138</f>
        <v>-6452727.0827452336</v>
      </c>
      <c r="AW139" s="9">
        <f>AW135+AW138</f>
        <v>-11954712.789999997</v>
      </c>
      <c r="AX139" s="4"/>
      <c r="AY139" s="9">
        <f>AY135+AY138</f>
        <v>1152096.6027776892</v>
      </c>
      <c r="AZ139" s="9">
        <f>AZ135+AZ138</f>
        <v>-5262309.53</v>
      </c>
      <c r="BA139" s="4"/>
      <c r="BB139" s="9">
        <f>BB135+BB138</f>
        <v>16433807.694293052</v>
      </c>
      <c r="BC139" s="9">
        <f>BC135+BC138</f>
        <v>19450961.499999996</v>
      </c>
      <c r="BD139" s="448"/>
      <c r="BE139" s="9">
        <f>BE135+BE138</f>
        <v>11133177.214325516</v>
      </c>
      <c r="BF139" s="9">
        <f>BF135+BF138</f>
        <v>2233939.179999996</v>
      </c>
      <c r="BG139" s="11">
        <f t="shared" si="990"/>
        <v>7.1145313355858358E-2</v>
      </c>
      <c r="BH139" s="9">
        <f>BH135+BH138</f>
        <v>9692418.1343254875</v>
      </c>
      <c r="BI139" s="9">
        <f>BI135+BI138</f>
        <v>793180.10000001127</v>
      </c>
      <c r="BJ139" s="11">
        <f t="shared" si="991"/>
        <v>6.0328098104086474E-3</v>
      </c>
      <c r="BK139" s="9">
        <f>BK135+BK138</f>
        <v>21341870.490000099</v>
      </c>
      <c r="BL139" s="282"/>
      <c r="BN139" s="9">
        <f>BN135+BN138</f>
        <v>-2872492.4600000009</v>
      </c>
      <c r="BO139" s="4"/>
      <c r="BP139" s="9">
        <f>BP135+BP138</f>
        <v>-8516421.5200000014</v>
      </c>
      <c r="BQ139" s="4"/>
      <c r="BR139" s="9">
        <f>BR135+BR138</f>
        <v>13683107.449999999</v>
      </c>
      <c r="BS139" s="4"/>
      <c r="BT139" s="9">
        <f>BT135+BT138</f>
        <v>2294193.4699999811</v>
      </c>
      <c r="BU139" s="11">
        <f t="shared" si="992"/>
        <v>4.2316190147630439E-2</v>
      </c>
      <c r="BV139" s="9">
        <f>BV135+BV138</f>
        <v>-4200226.9700000007</v>
      </c>
      <c r="BW139" s="7"/>
      <c r="BX139" s="9">
        <f>BX135+BX138</f>
        <v>3619991.7499999986</v>
      </c>
      <c r="BY139" s="7"/>
      <c r="BZ139" s="9">
        <f>BZ135+BZ138</f>
        <v>1272751.1299999997</v>
      </c>
      <c r="CA139" s="7"/>
      <c r="CB139" s="9">
        <f>CB135+CB138</f>
        <v>692515.90999999386</v>
      </c>
      <c r="CC139" s="11">
        <f t="shared" si="534"/>
        <v>2.0223594097609914E-2</v>
      </c>
      <c r="CD139" s="9">
        <f>CD135+CD138</f>
        <v>2986709.3799999985</v>
      </c>
      <c r="CE139" s="11">
        <f t="shared" si="993"/>
        <v>3.3763972589229925E-2</v>
      </c>
      <c r="CF139" s="9">
        <f>CF135+CF138</f>
        <v>-5465358.2699999986</v>
      </c>
      <c r="CG139" s="11">
        <f t="shared" si="994"/>
        <v>-1.0820575417703748</v>
      </c>
      <c r="CH139" s="9">
        <f>CH135+CH138</f>
        <v>3027570.989999996</v>
      </c>
      <c r="CI139" s="11">
        <f t="shared" si="994"/>
        <v>8.1649240879836452E-2</v>
      </c>
      <c r="CJ139" s="9">
        <f>CJ135+CJ138</f>
        <v>5818757.9999999963</v>
      </c>
      <c r="CK139" s="11">
        <f t="shared" si="994"/>
        <v>0.20661525300555181</v>
      </c>
      <c r="CL139" s="9">
        <f>CL135+CL138</f>
        <v>3380970.7199999946</v>
      </c>
      <c r="CM139" s="11">
        <f t="shared" si="994"/>
        <v>4.8097988655660021E-2</v>
      </c>
      <c r="CN139" s="9">
        <f>CN135+CN138</f>
        <v>6367680.1000000034</v>
      </c>
      <c r="CO139" s="11">
        <f t="shared" si="639"/>
        <v>4.0110900333502397E-2</v>
      </c>
      <c r="CP139" s="9">
        <f>CP135+CP138</f>
        <v>-3406002.6</v>
      </c>
      <c r="CQ139" s="11">
        <f t="shared" si="967"/>
        <v>-0.17386350415802804</v>
      </c>
      <c r="CR139" s="9">
        <f>CR135+CR138</f>
        <v>2961677.5</v>
      </c>
      <c r="CS139" s="11">
        <f t="shared" si="641"/>
        <v>1.660673434513792E-2</v>
      </c>
      <c r="CT139" s="9">
        <f t="shared" ref="CT139" si="1016">CT135+CT138</f>
        <v>795669.21999999927</v>
      </c>
      <c r="CU139" s="11">
        <f t="shared" si="611"/>
        <v>5.0794060326604405E-2</v>
      </c>
      <c r="CV139" s="9">
        <f t="shared" ref="CV139" si="1017">CV135+CV138</f>
        <v>2303082.5900000008</v>
      </c>
      <c r="CW139" s="11">
        <f t="shared" si="968"/>
        <v>3.6807529681995084E-2</v>
      </c>
      <c r="CX139" s="9">
        <f>CX135+CX138</f>
        <v>-307250.79000002815</v>
      </c>
      <c r="CY139" s="11">
        <f t="shared" si="969"/>
        <v>-3.1407992397968773E-3</v>
      </c>
      <c r="CZ139" s="9">
        <f>CZ135+CZ138</f>
        <v>6060429.3100000555</v>
      </c>
      <c r="DA139" s="11">
        <f t="shared" si="997"/>
        <v>2.3620265075537276E-2</v>
      </c>
      <c r="DB139" s="9">
        <f>DB135+DB138</f>
        <v>476614.58999999904</v>
      </c>
      <c r="DC139" s="11">
        <f t="shared" si="642"/>
        <v>2.4828450258801194E-2</v>
      </c>
      <c r="DD139" s="9">
        <f>DD135+DD138</f>
        <v>2252442.0800000019</v>
      </c>
      <c r="DE139" s="11">
        <f t="shared" si="642"/>
        <v>8.6741781790152406E-2</v>
      </c>
      <c r="DF139" s="9">
        <f>DF135+DF138</f>
        <v>5160150.62</v>
      </c>
      <c r="DG139" s="11">
        <f t="shared" si="642"/>
        <v>0.16634808837449361</v>
      </c>
      <c r="DH139" s="9">
        <f>DH135+DH138</f>
        <v>7889207.2900000056</v>
      </c>
      <c r="DI139" s="11">
        <f t="shared" si="970"/>
        <v>0.10355503311291271</v>
      </c>
      <c r="DJ139" s="9">
        <f>DJ135+DJ138</f>
        <v>1444573.4735125415</v>
      </c>
      <c r="DK139" s="11">
        <f t="shared" si="643"/>
        <v>2.7466460610787669E-2</v>
      </c>
      <c r="DL139" s="9">
        <f>DL135+DL138</f>
        <v>-3124549.7199999983</v>
      </c>
      <c r="DM139" s="11">
        <f t="shared" si="644"/>
        <v>-0.36022087657127005</v>
      </c>
      <c r="DN139" s="9">
        <f>DN135+DN138</f>
        <v>-1383242.9699999997</v>
      </c>
      <c r="DO139" s="11">
        <f t="shared" si="645"/>
        <v>-8.0605462878126033E-2</v>
      </c>
      <c r="DP139" s="9">
        <f>DP135+DP138</f>
        <v>15774321.33</v>
      </c>
      <c r="DQ139" s="11">
        <f t="shared" si="646"/>
        <v>0.18800103357654338</v>
      </c>
      <c r="DR139" s="9">
        <f>DR135+DR138</f>
        <v>11266528.639999997</v>
      </c>
      <c r="DS139" s="11">
        <f t="shared" si="971"/>
        <v>0.10266551488617355</v>
      </c>
      <c r="DT139" s="9">
        <f>DT135+DT138</f>
        <v>19155735.930000022</v>
      </c>
      <c r="DU139" s="11">
        <f t="shared" si="998"/>
        <v>0.1030300017430776</v>
      </c>
      <c r="DV139" s="9">
        <f>DV135+DV138</f>
        <v>-9144393.8600000087</v>
      </c>
      <c r="DW139" s="11">
        <f t="shared" si="647"/>
        <v>-0.20089929151311495</v>
      </c>
      <c r="DX139" s="9">
        <f>DX135+DX138</f>
        <v>6938602.7800000012</v>
      </c>
      <c r="DY139" s="11">
        <f t="shared" si="856"/>
        <v>0.26839232664657353</v>
      </c>
      <c r="DZ139" s="9">
        <f>DZ135+DZ138</f>
        <v>26568585.980000012</v>
      </c>
      <c r="EA139" s="11">
        <f t="shared" si="649"/>
        <v>0.21716405027904329</v>
      </c>
      <c r="EB139" s="9">
        <f>EB135+EB138</f>
        <v>24362794.899999991</v>
      </c>
      <c r="EC139" s="11">
        <f t="shared" si="972"/>
        <v>0.12576737414734174</v>
      </c>
      <c r="ED139" s="9">
        <f>ED135+ED138</f>
        <v>43518530.830000058</v>
      </c>
      <c r="EE139" s="11">
        <f t="shared" si="999"/>
        <v>0.11463194765723041</v>
      </c>
      <c r="EF139" s="9">
        <f>EF135+EF138</f>
        <v>-10090448.609999996</v>
      </c>
      <c r="EG139" s="11">
        <f t="shared" si="650"/>
        <v>-0.68286288549898999</v>
      </c>
      <c r="EH139" s="9">
        <f>EH135+EH138</f>
        <v>-3536028.5000000009</v>
      </c>
      <c r="EI139" s="11">
        <f t="shared" si="857"/>
        <v>-0.27736478416717564</v>
      </c>
      <c r="EJ139" s="9">
        <f>EJ135+EJ138</f>
        <v>41616815.649999984</v>
      </c>
      <c r="EK139" s="11">
        <f t="shared" si="652"/>
        <v>0.26649594265980753</v>
      </c>
      <c r="EL139" s="9">
        <f>EL135+EL138</f>
        <v>27990338.539999992</v>
      </c>
      <c r="EM139" s="11">
        <f t="shared" si="973"/>
        <v>0.1523794755350403</v>
      </c>
      <c r="EN139" s="9">
        <f>EN135+EN138</f>
        <v>71508869.370000109</v>
      </c>
      <c r="EO139" s="478">
        <f t="shared" si="1000"/>
        <v>0.12694061008549853</v>
      </c>
      <c r="EP139" s="373"/>
      <c r="EQ139" s="373"/>
      <c r="ER139" s="373"/>
      <c r="ES139" s="373"/>
      <c r="ET139" s="9">
        <f>ET135+ET138</f>
        <v>-5536865.9400000004</v>
      </c>
      <c r="EU139" s="11">
        <f t="shared" si="653"/>
        <v>-0.75066790894525692</v>
      </c>
      <c r="EV139" s="9">
        <f>EV135+EV138</f>
        <v>-10211946.430000002</v>
      </c>
      <c r="EW139" s="11">
        <f t="shared" si="858"/>
        <v>-1.6756224078510853</v>
      </c>
      <c r="EX139" s="9">
        <f>EX135+EX138</f>
        <v>42135771.789999977</v>
      </c>
      <c r="EY139" s="11">
        <f t="shared" si="655"/>
        <v>0.1845736055701491</v>
      </c>
      <c r="EZ139" s="9">
        <f>EZ135+EZ138</f>
        <v>26386959.419999979</v>
      </c>
      <c r="FA139" s="11">
        <f t="shared" si="974"/>
        <v>0.10914642509940374</v>
      </c>
      <c r="FB139" s="9">
        <f>FB135+FB138</f>
        <v>-7426889.5800000001</v>
      </c>
      <c r="FC139" s="11">
        <f t="shared" si="656"/>
        <v>-0.8195682594337701</v>
      </c>
      <c r="FD139" s="9">
        <f t="shared" ref="FD139" si="1018">FD135+FD138</f>
        <v>10197368.359999992</v>
      </c>
      <c r="FE139" s="11">
        <f t="shared" si="612"/>
        <v>9.6883678242457819E-2</v>
      </c>
      <c r="FF139" s="9">
        <f t="shared" ref="FF139" si="1019">FF135+FF138</f>
        <v>27465506.200000018</v>
      </c>
      <c r="FG139" s="11">
        <f t="shared" si="975"/>
        <v>0.17093100539368922</v>
      </c>
      <c r="FH139" s="9">
        <f>FH135+FH138</f>
        <v>30235984.980000034</v>
      </c>
      <c r="FI139" s="11">
        <f t="shared" si="976"/>
        <v>0.10995003229026899</v>
      </c>
      <c r="FJ139" s="9">
        <f>FJ135+FJ138</f>
        <v>56622944.40000008</v>
      </c>
      <c r="FK139" s="11">
        <f t="shared" si="1003"/>
        <v>0.10957407456767985</v>
      </c>
      <c r="FL139" s="9">
        <f>FL135+FL138</f>
        <v>-5523669.4500000002</v>
      </c>
      <c r="FM139" s="11">
        <f t="shared" si="658"/>
        <v>-0.5051683765499464</v>
      </c>
      <c r="FN139" s="9">
        <f t="shared" ref="FN139" si="1020">FN135+FN138</f>
        <v>-10069630.73</v>
      </c>
      <c r="FO139" s="11">
        <f t="shared" si="977"/>
        <v>-2.107488083690412</v>
      </c>
      <c r="FP139" s="9">
        <f t="shared" ref="FP139" si="1021">FP135+FP138</f>
        <v>47364423.000000037</v>
      </c>
      <c r="FQ139" s="11">
        <f t="shared" si="978"/>
        <v>0.17121163015454091</v>
      </c>
      <c r="FR139" s="9">
        <f>FR135+FR138</f>
        <v>31771122.820000011</v>
      </c>
      <c r="FS139" s="11">
        <f t="shared" si="979"/>
        <v>0.10867313459447527</v>
      </c>
      <c r="FT139" s="9">
        <f>FT135+FT138</f>
        <v>88394067.220000014</v>
      </c>
      <c r="FU139" s="11">
        <f t="shared" si="1006"/>
        <v>0.10924853877577141</v>
      </c>
      <c r="FV139" s="9">
        <f>FV135+FV138</f>
        <v>6075846.0199999977</v>
      </c>
      <c r="FW139" s="11">
        <f t="shared" si="660"/>
        <v>0.21894987992577611</v>
      </c>
      <c r="FX139" s="9">
        <f t="shared" ref="FX139" si="1022">FX135+FX138</f>
        <v>-15781617.610000001</v>
      </c>
      <c r="FY139" s="11">
        <f t="shared" si="980"/>
        <v>-0.61475666410861263</v>
      </c>
      <c r="FZ139" s="9">
        <f t="shared" ref="FZ139" si="1023">FZ135+FZ138</f>
        <v>59891389.599999972</v>
      </c>
      <c r="GA139" s="11">
        <f t="shared" si="981"/>
        <v>0.20715823728028357</v>
      </c>
      <c r="GB139" s="9">
        <f>GB135+GB138</f>
        <v>50185618.009999968</v>
      </c>
      <c r="GC139" s="11">
        <f t="shared" si="982"/>
        <v>0.14651424282901321</v>
      </c>
      <c r="GD139" s="9">
        <f>GD135+GD138</f>
        <v>138579685.22999966</v>
      </c>
      <c r="GE139" s="478">
        <f t="shared" si="1009"/>
        <v>0.12033241942076064</v>
      </c>
      <c r="GF139" s="568">
        <f>GF135+GF138</f>
        <v>-5373814.3902533334</v>
      </c>
      <c r="GG139" s="533">
        <f t="shared" si="983"/>
        <v>-0.41701813309769692</v>
      </c>
      <c r="GH139" s="534">
        <f>GH135+GH138</f>
        <v>-1003556.3075052744</v>
      </c>
      <c r="GI139" s="533">
        <f t="shared" si="984"/>
        <v>-220134699999.00003</v>
      </c>
      <c r="GJ139" s="534">
        <f>GJ135+GJ138</f>
        <v>0</v>
      </c>
      <c r="GK139" s="533">
        <f t="shared" si="985"/>
        <v>0</v>
      </c>
      <c r="GL139" s="534">
        <f>GL135+GL138</f>
        <v>132202314.53224127</v>
      </c>
      <c r="GM139" s="619">
        <f t="shared" si="1012"/>
        <v>0.11408202808774721</v>
      </c>
      <c r="GO139" s="588">
        <f>GO135+GO138</f>
        <v>-439710.4</v>
      </c>
      <c r="GQ139" s="588">
        <f>GQ135+GQ138</f>
        <v>-22013.4699999</v>
      </c>
      <c r="GT139" s="551">
        <f t="shared" si="558"/>
        <v>38249129.108986869</v>
      </c>
      <c r="GU139" s="551">
        <f t="shared" si="1015"/>
        <v>44813680.493813217</v>
      </c>
      <c r="GV139" s="550">
        <f t="shared" si="986"/>
        <v>83062809.602800086</v>
      </c>
      <c r="GW139" s="532">
        <f>GW135+GW138</f>
        <v>139685754.00280017</v>
      </c>
      <c r="GX139" s="533">
        <f t="shared" si="664"/>
        <v>0.11796637486598696</v>
      </c>
      <c r="GY139" s="534">
        <f>GY135+GY138</f>
        <v>56890672.565258697</v>
      </c>
      <c r="GZ139" s="533">
        <f t="shared" si="665"/>
        <v>6.3197804180387673E-2</v>
      </c>
      <c r="HA139" s="534">
        <f>HA135+HA138</f>
        <v>57339395.855577186</v>
      </c>
      <c r="HB139" s="535">
        <f t="shared" si="666"/>
        <v>7.8769846446922975E-2</v>
      </c>
      <c r="HD139" s="532">
        <v>156039395.58932739</v>
      </c>
      <c r="HE139" s="533">
        <v>0.13135338442354977</v>
      </c>
      <c r="HF139" s="534">
        <v>56890672.565258697</v>
      </c>
      <c r="HG139" s="533">
        <v>6.3197804180387673E-2</v>
      </c>
      <c r="HH139" s="534">
        <v>57339395.855577186</v>
      </c>
      <c r="HI139" s="535">
        <v>7.8769846446922975E-2</v>
      </c>
    </row>
    <row r="140" spans="1:217" ht="15" customHeight="1" outlineLevel="1">
      <c r="A140" s="386" t="s">
        <v>130</v>
      </c>
      <c r="B140" s="386" t="s">
        <v>131</v>
      </c>
      <c r="C140" s="375"/>
      <c r="D140" s="4"/>
      <c r="E140" s="375">
        <v>0</v>
      </c>
      <c r="F140" s="4"/>
      <c r="G140" s="375">
        <v>-166666.67000000001</v>
      </c>
      <c r="H140" s="375">
        <v>-8103.47</v>
      </c>
      <c r="I140" s="4"/>
      <c r="J140" s="375">
        <v>-166666.67000000001</v>
      </c>
      <c r="K140" s="375">
        <v>-10040.58</v>
      </c>
      <c r="L140" s="4"/>
      <c r="M140" s="375">
        <v>-166666.67000000001</v>
      </c>
      <c r="N140" s="375">
        <v>-98573.82</v>
      </c>
      <c r="O140" s="4"/>
      <c r="P140" s="375">
        <f t="shared" si="869"/>
        <v>-500000.01</v>
      </c>
      <c r="Q140" s="375">
        <f t="shared" si="869"/>
        <v>-116717.87000000001</v>
      </c>
      <c r="R140" s="7">
        <f t="shared" si="987"/>
        <v>-3.2093494657857704E-3</v>
      </c>
      <c r="S140" s="375">
        <v>-17442.330000000002</v>
      </c>
      <c r="T140" s="375">
        <v>-17442.330000000002</v>
      </c>
      <c r="U140" s="4"/>
      <c r="V140" s="375">
        <v>-8783.24</v>
      </c>
      <c r="W140" s="375">
        <v>-1193.1400000000001</v>
      </c>
      <c r="X140" s="4"/>
      <c r="Y140" s="375">
        <v>-12162.9</v>
      </c>
      <c r="Z140" s="375">
        <v>-12162.9</v>
      </c>
      <c r="AA140" s="4"/>
      <c r="AB140" s="375">
        <f t="shared" ref="AB140:AB145" si="1024">+T140+V140+Y140</f>
        <v>-38388.47</v>
      </c>
      <c r="AC140" s="375">
        <f t="shared" ref="AC140" si="1025">+T140+W140+Z140</f>
        <v>-30798.370000000003</v>
      </c>
      <c r="AD140" s="7">
        <f t="shared" si="988"/>
        <v>-8.3042820064093716E-4</v>
      </c>
      <c r="AE140" s="375">
        <f t="shared" ref="AE140:AE145" si="1026">+Q140+AB140</f>
        <v>-155106.34000000003</v>
      </c>
      <c r="AF140" s="375">
        <f t="shared" ref="AF140:AF145" si="1027">+AC140+Q140</f>
        <v>-147516.24000000002</v>
      </c>
      <c r="AG140" s="4"/>
      <c r="AH140" s="375">
        <v>-7787.59</v>
      </c>
      <c r="AI140" s="375">
        <v>-7787.59</v>
      </c>
      <c r="AJ140" s="4"/>
      <c r="AK140" s="375">
        <v>-6973.78</v>
      </c>
      <c r="AL140" s="375">
        <v>-6973.78</v>
      </c>
      <c r="AM140" s="4"/>
      <c r="AN140" s="375">
        <v>-5780.64</v>
      </c>
      <c r="AO140" s="375">
        <v>-5780.64</v>
      </c>
      <c r="AP140" s="4"/>
      <c r="AQ140" s="375">
        <f t="shared" ref="AQ140:AQ145" si="1028">AN140+AK140+AH140</f>
        <v>-20542.010000000002</v>
      </c>
      <c r="AR140" s="375">
        <f t="shared" ref="AR140:AR145" si="1029">AO140+AL140+AI140</f>
        <v>-20542.010000000002</v>
      </c>
      <c r="AS140" s="7">
        <f t="shared" si="989"/>
        <v>-7.7159922194784995E-4</v>
      </c>
      <c r="AT140" s="375">
        <f t="shared" ref="AT140:AT145" si="1030">+AF140+AR140</f>
        <v>-168058.25000000003</v>
      </c>
      <c r="AU140" s="4"/>
      <c r="AV140" s="375">
        <v>-49668.29</v>
      </c>
      <c r="AW140" s="375">
        <v>-3711.06</v>
      </c>
      <c r="AX140" s="4"/>
      <c r="AY140" s="375">
        <v>-49668.29</v>
      </c>
      <c r="AZ140" s="375">
        <v>-1979.3</v>
      </c>
      <c r="BA140" s="4"/>
      <c r="BB140" s="375">
        <v>-166666.67000000001</v>
      </c>
      <c r="BC140" s="375">
        <v>-10659.14</v>
      </c>
      <c r="BD140" s="448"/>
      <c r="BE140" s="375">
        <f t="shared" ref="BE140:BE145" si="1031">BB140+AY140+AV140</f>
        <v>-266003.25</v>
      </c>
      <c r="BF140" s="375">
        <f>BC140+AZ140+AW140</f>
        <v>-16349.499999999998</v>
      </c>
      <c r="BG140" s="7">
        <f t="shared" si="990"/>
        <v>-5.2069022788328926E-4</v>
      </c>
      <c r="BH140" s="375">
        <f t="shared" ref="BH140:BH145" si="1032">Q140+AB140+AQ140+BE140</f>
        <v>-441651.60000000003</v>
      </c>
      <c r="BI140" s="388">
        <f t="shared" ref="BI140:BI145" si="1033">Q140+AC140+AR140+BF140</f>
        <v>-184407.75000000003</v>
      </c>
      <c r="BJ140" s="7">
        <f t="shared" si="991"/>
        <v>-1.402577905466072E-3</v>
      </c>
      <c r="BK140" s="375">
        <v>0</v>
      </c>
      <c r="BL140" s="282"/>
      <c r="BN140" s="375">
        <v>-4286.87</v>
      </c>
      <c r="BO140" s="4"/>
      <c r="BP140" s="375">
        <v>-44113.96</v>
      </c>
      <c r="BQ140" s="4"/>
      <c r="BR140" s="375">
        <v>-50446.64</v>
      </c>
      <c r="BS140" s="4"/>
      <c r="BT140" s="375">
        <f t="shared" ref="BT140:BT145" si="1034">SUM(BN140:BS140)</f>
        <v>-98847.47</v>
      </c>
      <c r="BU140" s="7">
        <f t="shared" si="992"/>
        <v>-1.8232326047603255E-3</v>
      </c>
      <c r="BV140" s="375">
        <v>-3866.23</v>
      </c>
      <c r="BW140" s="7"/>
      <c r="BX140" s="375">
        <v>-1540.27</v>
      </c>
      <c r="BY140" s="7"/>
      <c r="BZ140" s="375">
        <v>-7683.61</v>
      </c>
      <c r="CA140" s="7"/>
      <c r="CB140" s="375">
        <f t="shared" ref="CB140:CB145" si="1035">+BV140+BX140+BZ140</f>
        <v>-13090.11</v>
      </c>
      <c r="CC140" s="7">
        <f t="shared" si="534"/>
        <v>-3.8227146482896959E-4</v>
      </c>
      <c r="CD140" s="375">
        <f t="shared" ref="CD140:CD145" si="1036">BT140+CB140</f>
        <v>-111937.58</v>
      </c>
      <c r="CE140" s="7">
        <f t="shared" si="993"/>
        <v>-1.2654252228667571E-3</v>
      </c>
      <c r="CF140" s="375">
        <v>-10367.33</v>
      </c>
      <c r="CG140" s="7">
        <f t="shared" si="994"/>
        <v>-2.0525731453140878E-3</v>
      </c>
      <c r="CH140" s="375">
        <v>-10497.55</v>
      </c>
      <c r="CI140" s="7">
        <f t="shared" si="994"/>
        <v>-2.8310384510525654E-4</v>
      </c>
      <c r="CJ140" s="375">
        <v>-45534.7</v>
      </c>
      <c r="CK140" s="7">
        <f t="shared" si="994"/>
        <v>-1.6168679915940661E-3</v>
      </c>
      <c r="CL140" s="375">
        <f t="shared" ref="CL140:CL145" si="1037">+CF140+CH140+CJ140</f>
        <v>-66399.579999999987</v>
      </c>
      <c r="CM140" s="7">
        <f t="shared" si="994"/>
        <v>-9.4460630099174429E-4</v>
      </c>
      <c r="CN140" s="375">
        <f t="shared" ref="CN140:CN145" si="1038">+CL140+CD140</f>
        <v>-178337.15999999997</v>
      </c>
      <c r="CO140" s="7">
        <f t="shared" si="639"/>
        <v>-1.1233705114237547E-3</v>
      </c>
      <c r="CP140" s="472">
        <v>-5495.1</v>
      </c>
      <c r="CQ140" s="7">
        <f t="shared" si="967"/>
        <v>-2.8050399659083637E-4</v>
      </c>
      <c r="CR140" s="375">
        <f t="shared" ref="CR140:CR143" si="1039">+CN140+CP140</f>
        <v>-183832.25999999998</v>
      </c>
      <c r="CS140" s="7">
        <f t="shared" si="641"/>
        <v>-1.0307852579784004E-3</v>
      </c>
      <c r="CT140" s="375">
        <v>-43603.56</v>
      </c>
      <c r="CU140" s="7">
        <f t="shared" ref="CU140" si="1040">+CT140/CT$8</f>
        <v>-2.7835711140047829E-3</v>
      </c>
      <c r="CV140" s="375">
        <v>-11456.64</v>
      </c>
      <c r="CW140" s="7">
        <f t="shared" si="968"/>
        <v>-1.8309834770447028E-4</v>
      </c>
      <c r="CX140" s="375">
        <f t="shared" ref="CX140:CX145" si="1041">+CV140+CT140+CP140</f>
        <v>-60555.299999999996</v>
      </c>
      <c r="CY140" s="7">
        <f t="shared" si="969"/>
        <v>-6.1901237163834277E-4</v>
      </c>
      <c r="CZ140" s="375">
        <f t="shared" ref="CZ140:CZ145" si="1042">+CD140+CL140+CX140</f>
        <v>-238892.45999999996</v>
      </c>
      <c r="DA140" s="7">
        <f t="shared" si="997"/>
        <v>-9.3107318658702961E-4</v>
      </c>
      <c r="DB140" s="375">
        <v>-10201.209999999999</v>
      </c>
      <c r="DC140" s="7">
        <f t="shared" si="642"/>
        <v>-5.3141519453818193E-4</v>
      </c>
      <c r="DD140" s="375">
        <v>-36073.33</v>
      </c>
      <c r="DE140" s="7">
        <f t="shared" si="642"/>
        <v>-1.3891877385385002E-3</v>
      </c>
      <c r="DF140" s="72">
        <v>-14513.68</v>
      </c>
      <c r="DG140" s="7">
        <f t="shared" si="642"/>
        <v>-4.6787838206147563E-4</v>
      </c>
      <c r="DH140" s="375">
        <f t="shared" ref="DH140:DH145" si="1043">+DB140+DD140+DF140</f>
        <v>-60788.22</v>
      </c>
      <c r="DI140" s="7">
        <f t="shared" si="970"/>
        <v>-7.9791617884780134E-4</v>
      </c>
      <c r="DJ140" s="375"/>
      <c r="DK140" s="7">
        <f t="shared" si="643"/>
        <v>0</v>
      </c>
      <c r="DL140" s="72">
        <v>-144510.19</v>
      </c>
      <c r="DM140" s="7">
        <f t="shared" si="644"/>
        <v>-1.6660188500786863E-2</v>
      </c>
      <c r="DN140" s="72">
        <v>-10715.25</v>
      </c>
      <c r="DO140" s="7">
        <f t="shared" si="645"/>
        <v>-6.2440779012586643E-4</v>
      </c>
      <c r="DP140" s="72">
        <v>-7538.17</v>
      </c>
      <c r="DQ140" s="7">
        <f t="shared" si="646"/>
        <v>-8.9841186928305838E-5</v>
      </c>
      <c r="DR140" s="375">
        <f t="shared" ref="DR140:DR143" si="1044">+DL140+DN140+DP140</f>
        <v>-162763.61000000002</v>
      </c>
      <c r="DS140" s="7">
        <f t="shared" si="971"/>
        <v>-1.4831728884135116E-3</v>
      </c>
      <c r="DT140" s="375">
        <f t="shared" ref="DT140:DT145" si="1045">+DR140+DH140</f>
        <v>-223551.83000000002</v>
      </c>
      <c r="DU140" s="7">
        <f t="shared" si="998"/>
        <v>-1.2023837412843351E-3</v>
      </c>
      <c r="DV140" s="375">
        <v>35736.04</v>
      </c>
      <c r="DW140" s="7">
        <f t="shared" si="647"/>
        <v>7.8510891234559422E-4</v>
      </c>
      <c r="DX140" s="375">
        <v>-19494.53</v>
      </c>
      <c r="DY140" s="7">
        <f t="shared" si="856"/>
        <v>-7.5406856819398816E-4</v>
      </c>
      <c r="DZ140" s="375">
        <v>-5123.9399999999996</v>
      </c>
      <c r="EA140" s="7">
        <f t="shared" si="649"/>
        <v>-4.1881625338451696E-5</v>
      </c>
      <c r="EB140" s="375">
        <f t="shared" ref="EB140:EB143" si="1046">+DV140+DX140+DZ140</f>
        <v>11117.570000000003</v>
      </c>
      <c r="EC140" s="7">
        <f t="shared" si="972"/>
        <v>5.7391920407262592E-5</v>
      </c>
      <c r="ED140" s="375">
        <f t="shared" ref="ED140:ED145" si="1047">+EB140+DT140</f>
        <v>-212434.26</v>
      </c>
      <c r="EE140" s="7">
        <f t="shared" si="999"/>
        <v>-5.59572037669417E-4</v>
      </c>
      <c r="EF140" s="375">
        <v>-155966.51</v>
      </c>
      <c r="EG140" s="7">
        <f t="shared" si="650"/>
        <v>-1.0554906444323799E-2</v>
      </c>
      <c r="EH140" s="375">
        <v>-6085.5</v>
      </c>
      <c r="EI140" s="7">
        <f t="shared" si="857"/>
        <v>-4.7734439754921294E-4</v>
      </c>
      <c r="EJ140" s="375">
        <v>-113120.6</v>
      </c>
      <c r="EK140" s="7">
        <f t="shared" si="652"/>
        <v>-7.2437500227730755E-4</v>
      </c>
      <c r="EL140" s="375">
        <f t="shared" ref="EL140:EL143" si="1048">+EF140+EH140+EJ140</f>
        <v>-275172.61</v>
      </c>
      <c r="EM140" s="7">
        <f t="shared" si="973"/>
        <v>-1.4980404018153115E-3</v>
      </c>
      <c r="EN140" s="375">
        <f t="shared" ref="EN140:EN145" si="1049">+EL140+ED140</f>
        <v>-487606.87</v>
      </c>
      <c r="EO140" s="7">
        <f t="shared" si="1000"/>
        <v>-8.6558652241323052E-4</v>
      </c>
      <c r="EP140" s="373"/>
      <c r="EQ140" s="373"/>
      <c r="ER140" s="373"/>
      <c r="ES140" s="373"/>
      <c r="ET140" s="375">
        <v>-43195.32</v>
      </c>
      <c r="EU140" s="7">
        <f t="shared" si="653"/>
        <v>-5.8562625304634398E-3</v>
      </c>
      <c r="EV140" s="375">
        <v>-12871.94</v>
      </c>
      <c r="EW140" s="7">
        <f t="shared" si="858"/>
        <v>-2.1120861967266211E-3</v>
      </c>
      <c r="EX140" s="375">
        <v>-206228.35</v>
      </c>
      <c r="EY140" s="7">
        <f t="shared" si="655"/>
        <v>-9.0337279971970056E-4</v>
      </c>
      <c r="EZ140" s="375">
        <f t="shared" ref="EZ140:EZ143" si="1050">+ET140+EV140+EX140</f>
        <v>-262295.61</v>
      </c>
      <c r="FA140" s="7">
        <f t="shared" si="974"/>
        <v>-1.0849536581720878E-3</v>
      </c>
      <c r="FB140" s="375">
        <v>-59250.92</v>
      </c>
      <c r="FC140" s="7">
        <f t="shared" si="656"/>
        <v>-6.5384267331802118E-3</v>
      </c>
      <c r="FD140" s="375">
        <v>-206926.67</v>
      </c>
      <c r="FE140" s="7">
        <f t="shared" si="612"/>
        <v>-1.9659794770876815E-3</v>
      </c>
      <c r="FF140" s="375">
        <v>-76823.039999999994</v>
      </c>
      <c r="FG140" s="7">
        <f t="shared" si="975"/>
        <v>-4.781065882776118E-4</v>
      </c>
      <c r="FH140" s="375">
        <f t="shared" ref="FH140:FH143" si="1051">+FB140+FD140+FF140</f>
        <v>-343000.63</v>
      </c>
      <c r="FI140" s="7">
        <f t="shared" si="976"/>
        <v>-1.2472863169176824E-3</v>
      </c>
      <c r="FJ140" s="375">
        <f t="shared" ref="FJ140:FJ145" si="1052">EZ140+FH140</f>
        <v>-605296.24</v>
      </c>
      <c r="FK140" s="7">
        <f t="shared" si="1003"/>
        <v>-1.1713409827076415E-3</v>
      </c>
      <c r="FL140" s="375">
        <v>-81689.77</v>
      </c>
      <c r="FM140" s="7">
        <f t="shared" si="658"/>
        <v>-7.4709554699437198E-3</v>
      </c>
      <c r="FN140" s="375">
        <v>-6144.96</v>
      </c>
      <c r="FO140" s="7">
        <f t="shared" si="977"/>
        <v>-1.2860878737262526E-3</v>
      </c>
      <c r="FP140" s="375">
        <v>-158656.07999999999</v>
      </c>
      <c r="FQ140" s="7">
        <f t="shared" si="978"/>
        <v>-5.7350568992953275E-4</v>
      </c>
      <c r="FR140" s="375">
        <f t="shared" ref="FR140:FR143" si="1053">+FL140+FN140+FP140</f>
        <v>-246490.81</v>
      </c>
      <c r="FS140" s="7">
        <f t="shared" si="979"/>
        <v>-8.4312188534201829E-4</v>
      </c>
      <c r="FT140" s="375">
        <f t="shared" ref="FT140:FT145" si="1054">FJ140+FR140</f>
        <v>-851787.05</v>
      </c>
      <c r="FU140" s="7">
        <f t="shared" si="1006"/>
        <v>-1.0527458854113006E-3</v>
      </c>
      <c r="FV140" s="375">
        <v>-67350.38</v>
      </c>
      <c r="FW140" s="7">
        <f t="shared" si="660"/>
        <v>-2.4270459727607449E-3</v>
      </c>
      <c r="FX140" s="375">
        <v>-20761.400000000001</v>
      </c>
      <c r="FY140" s="7">
        <f t="shared" si="980"/>
        <v>-8.0873895956883165E-4</v>
      </c>
      <c r="FZ140" s="375">
        <v>-123080.69</v>
      </c>
      <c r="GA140" s="7">
        <f t="shared" si="981"/>
        <v>-4.257236132594432E-4</v>
      </c>
      <c r="GB140" s="375">
        <f t="shared" ref="GB140:GB143" si="1055">+FV140+FX140+FZ140</f>
        <v>-211192.47</v>
      </c>
      <c r="GC140" s="7">
        <f t="shared" si="982"/>
        <v>-6.165651846127202E-4</v>
      </c>
      <c r="GD140" s="375">
        <f t="shared" ref="GD140:GD145" si="1056">FT140+GB140</f>
        <v>-1062979.52</v>
      </c>
      <c r="GE140" s="7">
        <f t="shared" si="1009"/>
        <v>-9.23013335064415E-4</v>
      </c>
      <c r="GF140" s="566">
        <f t="shared" ref="GF140:GF145" si="1057">+GO140*$GO$1</f>
        <v>0</v>
      </c>
      <c r="GG140" s="525">
        <f t="shared" si="983"/>
        <v>0</v>
      </c>
      <c r="GH140" s="528">
        <f t="shared" ref="GH140:GH145" si="1058">+GQ140*$GO$2</f>
        <v>0</v>
      </c>
      <c r="GI140" s="525">
        <f t="shared" si="984"/>
        <v>0</v>
      </c>
      <c r="GJ140" s="528"/>
      <c r="GK140" s="525">
        <f t="shared" si="985"/>
        <v>0</v>
      </c>
      <c r="GL140" s="528">
        <f t="shared" ref="GL140:GL145" si="1059">+GD140+GF140+GH140-GJ140</f>
        <v>-1062979.52</v>
      </c>
      <c r="GM140" s="565">
        <f t="shared" si="1012"/>
        <v>-9.1728242343113971E-4</v>
      </c>
      <c r="GO140" s="586"/>
      <c r="GQ140" s="586"/>
      <c r="GT140" s="551">
        <f t="shared" si="558"/>
        <v>-204402.67617585164</v>
      </c>
      <c r="GU140" s="551">
        <f t="shared" si="1015"/>
        <v>-239483.52382414832</v>
      </c>
      <c r="GV140" s="550">
        <f t="shared" si="986"/>
        <v>-443886.19999999995</v>
      </c>
      <c r="GW140" s="527">
        <f>+EZ140*4</f>
        <v>-1049182.44</v>
      </c>
      <c r="GX140" s="525">
        <f t="shared" si="664"/>
        <v>-8.8604775700584174E-4</v>
      </c>
      <c r="GY140" s="528">
        <f>+GW140</f>
        <v>-1049182.44</v>
      </c>
      <c r="GZ140" s="525">
        <f t="shared" si="665"/>
        <v>-1.1654990774904686E-3</v>
      </c>
      <c r="HA140" s="528">
        <f>+GY140</f>
        <v>-1049182.44</v>
      </c>
      <c r="HB140" s="526">
        <f t="shared" si="666"/>
        <v>-1.441311657725977E-3</v>
      </c>
      <c r="HD140" s="527">
        <v>-1049182.44</v>
      </c>
      <c r="HE140" s="525">
        <v>-8.8319788634956715E-4</v>
      </c>
      <c r="HF140" s="528">
        <v>-1049182.44</v>
      </c>
      <c r="HG140" s="525">
        <v>-1.1654990774904686E-3</v>
      </c>
      <c r="HH140" s="528">
        <v>-1049182.44</v>
      </c>
      <c r="HI140" s="526">
        <v>-1.441311657725977E-3</v>
      </c>
    </row>
    <row r="141" spans="1:217" ht="15" customHeight="1" outlineLevel="1">
      <c r="A141" s="386" t="s">
        <v>130</v>
      </c>
      <c r="B141" s="386" t="s">
        <v>132</v>
      </c>
      <c r="C141" s="375"/>
      <c r="D141" s="4"/>
      <c r="E141" s="375">
        <v>0</v>
      </c>
      <c r="F141" s="4"/>
      <c r="G141" s="375"/>
      <c r="H141" s="375"/>
      <c r="I141" s="4"/>
      <c r="J141" s="375"/>
      <c r="K141" s="375"/>
      <c r="L141" s="4"/>
      <c r="M141" s="375"/>
      <c r="N141" s="375"/>
      <c r="O141" s="4"/>
      <c r="P141" s="375">
        <f t="shared" si="869"/>
        <v>0</v>
      </c>
      <c r="Q141" s="375">
        <f t="shared" si="869"/>
        <v>0</v>
      </c>
      <c r="R141" s="7">
        <f t="shared" si="987"/>
        <v>0</v>
      </c>
      <c r="S141" s="375"/>
      <c r="T141" s="375"/>
      <c r="U141" s="4"/>
      <c r="V141" s="375"/>
      <c r="W141" s="375"/>
      <c r="X141" s="4"/>
      <c r="Y141" s="375"/>
      <c r="Z141" s="375"/>
      <c r="AA141" s="4"/>
      <c r="AB141" s="375">
        <f t="shared" si="1024"/>
        <v>0</v>
      </c>
      <c r="AC141" s="375">
        <f t="shared" ref="AC141:AC145" si="1060">+T141+W141+Z141</f>
        <v>0</v>
      </c>
      <c r="AD141" s="7">
        <f t="shared" si="988"/>
        <v>0</v>
      </c>
      <c r="AE141" s="375">
        <f t="shared" si="1026"/>
        <v>0</v>
      </c>
      <c r="AF141" s="375">
        <f t="shared" si="1027"/>
        <v>0</v>
      </c>
      <c r="AG141" s="4"/>
      <c r="AH141" s="375"/>
      <c r="AI141" s="375"/>
      <c r="AJ141" s="4"/>
      <c r="AK141" s="375"/>
      <c r="AL141" s="375"/>
      <c r="AM141" s="4"/>
      <c r="AN141" s="375"/>
      <c r="AO141" s="375"/>
      <c r="AP141" s="4"/>
      <c r="AQ141" s="375">
        <f t="shared" si="1028"/>
        <v>0</v>
      </c>
      <c r="AR141" s="375">
        <f t="shared" si="1029"/>
        <v>0</v>
      </c>
      <c r="AS141" s="7">
        <f t="shared" si="989"/>
        <v>0</v>
      </c>
      <c r="AT141" s="375">
        <f t="shared" si="1030"/>
        <v>0</v>
      </c>
      <c r="AU141" s="4"/>
      <c r="AV141" s="375"/>
      <c r="AW141" s="375"/>
      <c r="AX141" s="4"/>
      <c r="AY141" s="375"/>
      <c r="AZ141" s="375"/>
      <c r="BA141" s="4"/>
      <c r="BB141" s="375"/>
      <c r="BC141" s="375"/>
      <c r="BD141" s="448"/>
      <c r="BE141" s="375">
        <f t="shared" si="1031"/>
        <v>0</v>
      </c>
      <c r="BF141" s="375">
        <f t="shared" ref="BF141:BF145" si="1061">BC141+AZ141+AW141</f>
        <v>0</v>
      </c>
      <c r="BG141" s="7">
        <f t="shared" si="990"/>
        <v>0</v>
      </c>
      <c r="BH141" s="375">
        <f t="shared" si="1032"/>
        <v>0</v>
      </c>
      <c r="BI141" s="388">
        <f t="shared" si="1033"/>
        <v>0</v>
      </c>
      <c r="BJ141" s="7">
        <f t="shared" si="991"/>
        <v>0</v>
      </c>
      <c r="BK141" s="375">
        <v>0</v>
      </c>
      <c r="BL141" s="282"/>
      <c r="BN141" s="375"/>
      <c r="BO141" s="4"/>
      <c r="BP141" s="375"/>
      <c r="BQ141" s="4"/>
      <c r="BR141" s="375"/>
      <c r="BS141" s="4"/>
      <c r="BT141" s="375">
        <f t="shared" si="1034"/>
        <v>0</v>
      </c>
      <c r="BU141" s="7">
        <f t="shared" si="992"/>
        <v>0</v>
      </c>
      <c r="BV141" s="375"/>
      <c r="BW141" s="7"/>
      <c r="BX141" s="375"/>
      <c r="BY141" s="7"/>
      <c r="BZ141" s="375">
        <f t="shared" ref="BZ141:BZ143" si="1062">+BT141+BV141+BX141</f>
        <v>0</v>
      </c>
      <c r="CA141" s="7"/>
      <c r="CB141" s="375">
        <f t="shared" si="1035"/>
        <v>0</v>
      </c>
      <c r="CC141" s="7">
        <f t="shared" si="534"/>
        <v>0</v>
      </c>
      <c r="CD141" s="375">
        <f t="shared" si="1036"/>
        <v>0</v>
      </c>
      <c r="CE141" s="7">
        <f t="shared" si="993"/>
        <v>0</v>
      </c>
      <c r="CF141" s="375">
        <f t="shared" ref="CF141:CF143" si="1063">+BZ141+CB141+CD141</f>
        <v>0</v>
      </c>
      <c r="CG141" s="7">
        <f t="shared" si="994"/>
        <v>0</v>
      </c>
      <c r="CH141" s="375">
        <f t="shared" ref="CH141:CH143" si="1064">+CB141+CD141+CF141</f>
        <v>0</v>
      </c>
      <c r="CI141" s="7">
        <f t="shared" si="994"/>
        <v>0</v>
      </c>
      <c r="CJ141" s="375">
        <f t="shared" ref="CJ141:CJ143" si="1065">+CD141+CF141+CH141</f>
        <v>0</v>
      </c>
      <c r="CK141" s="7">
        <f t="shared" si="994"/>
        <v>0</v>
      </c>
      <c r="CL141" s="375">
        <f t="shared" si="1037"/>
        <v>0</v>
      </c>
      <c r="CM141" s="7">
        <f t="shared" si="994"/>
        <v>0</v>
      </c>
      <c r="CN141" s="375">
        <f t="shared" si="1038"/>
        <v>0</v>
      </c>
      <c r="CO141" s="7">
        <f t="shared" si="639"/>
        <v>0</v>
      </c>
      <c r="CP141" s="375">
        <v>0</v>
      </c>
      <c r="CQ141" s="7">
        <f t="shared" si="967"/>
        <v>0</v>
      </c>
      <c r="CR141" s="375">
        <f t="shared" si="1039"/>
        <v>0</v>
      </c>
      <c r="CS141" s="7">
        <f t="shared" si="641"/>
        <v>0</v>
      </c>
      <c r="CT141" s="375">
        <v>0</v>
      </c>
      <c r="CU141" s="7">
        <f t="shared" si="611"/>
        <v>0</v>
      </c>
      <c r="CV141" s="375">
        <v>0</v>
      </c>
      <c r="CW141" s="7">
        <f t="shared" si="968"/>
        <v>0</v>
      </c>
      <c r="CX141" s="375">
        <f t="shared" si="1041"/>
        <v>0</v>
      </c>
      <c r="CY141" s="7">
        <f t="shared" si="969"/>
        <v>0</v>
      </c>
      <c r="CZ141" s="375">
        <f t="shared" si="1042"/>
        <v>0</v>
      </c>
      <c r="DA141" s="7">
        <f t="shared" si="997"/>
        <v>0</v>
      </c>
      <c r="DB141" s="375">
        <f t="shared" ref="DB141:DB143" si="1066">+CV141+CX141+CZ141</f>
        <v>0</v>
      </c>
      <c r="DC141" s="7">
        <f t="shared" si="642"/>
        <v>0</v>
      </c>
      <c r="DD141" s="375">
        <f t="shared" ref="DD141:DD143" si="1067">+CX141+CZ141+DB141</f>
        <v>0</v>
      </c>
      <c r="DE141" s="7">
        <f t="shared" si="642"/>
        <v>0</v>
      </c>
      <c r="DF141" s="375">
        <f t="shared" ref="DF141:DF143" si="1068">+CZ141+DB141+DD141</f>
        <v>0</v>
      </c>
      <c r="DG141" s="7">
        <f t="shared" si="642"/>
        <v>0</v>
      </c>
      <c r="DH141" s="375">
        <f t="shared" si="1043"/>
        <v>0</v>
      </c>
      <c r="DI141" s="7">
        <f t="shared" si="970"/>
        <v>0</v>
      </c>
      <c r="DJ141" s="375"/>
      <c r="DK141" s="7">
        <f t="shared" si="643"/>
        <v>0</v>
      </c>
      <c r="DL141" s="375">
        <f t="shared" ref="DL141:DL143" si="1069">+DF141+DH141+DJ141</f>
        <v>0</v>
      </c>
      <c r="DM141" s="7">
        <f t="shared" si="644"/>
        <v>0</v>
      </c>
      <c r="DN141" s="375">
        <f t="shared" ref="DN141:DN143" si="1070">+DH141+DJ141+DL141</f>
        <v>0</v>
      </c>
      <c r="DO141" s="7">
        <f t="shared" si="645"/>
        <v>0</v>
      </c>
      <c r="DP141" s="375">
        <f t="shared" ref="DP141:DP143" si="1071">+DJ141+DL141+DN141</f>
        <v>0</v>
      </c>
      <c r="DQ141" s="7">
        <f t="shared" si="646"/>
        <v>0</v>
      </c>
      <c r="DR141" s="375">
        <f t="shared" si="1044"/>
        <v>0</v>
      </c>
      <c r="DS141" s="7">
        <f t="shared" si="971"/>
        <v>0</v>
      </c>
      <c r="DT141" s="375">
        <f t="shared" si="1045"/>
        <v>0</v>
      </c>
      <c r="DU141" s="7">
        <f t="shared" si="998"/>
        <v>0</v>
      </c>
      <c r="DV141" s="375"/>
      <c r="DW141" s="7">
        <f t="shared" si="647"/>
        <v>0</v>
      </c>
      <c r="DX141" s="375"/>
      <c r="DY141" s="7">
        <f t="shared" si="856"/>
        <v>0</v>
      </c>
      <c r="DZ141" s="375"/>
      <c r="EA141" s="7">
        <f t="shared" si="649"/>
        <v>0</v>
      </c>
      <c r="EB141" s="375">
        <f t="shared" si="1046"/>
        <v>0</v>
      </c>
      <c r="EC141" s="7">
        <f t="shared" si="972"/>
        <v>0</v>
      </c>
      <c r="ED141" s="375">
        <f t="shared" si="1047"/>
        <v>0</v>
      </c>
      <c r="EE141" s="7">
        <f t="shared" si="999"/>
        <v>0</v>
      </c>
      <c r="EF141" s="375"/>
      <c r="EG141" s="7">
        <f t="shared" si="650"/>
        <v>0</v>
      </c>
      <c r="EH141" s="375"/>
      <c r="EI141" s="7">
        <f t="shared" si="857"/>
        <v>0</v>
      </c>
      <c r="EJ141" s="375"/>
      <c r="EK141" s="7">
        <f t="shared" si="652"/>
        <v>0</v>
      </c>
      <c r="EL141" s="375">
        <f t="shared" si="1048"/>
        <v>0</v>
      </c>
      <c r="EM141" s="7">
        <f t="shared" si="973"/>
        <v>0</v>
      </c>
      <c r="EN141" s="375">
        <f t="shared" si="1049"/>
        <v>0</v>
      </c>
      <c r="EO141" s="7">
        <f t="shared" si="1000"/>
        <v>0</v>
      </c>
      <c r="EP141" s="373"/>
      <c r="EQ141" s="373"/>
      <c r="ER141" s="373"/>
      <c r="ES141" s="373"/>
      <c r="ET141" s="375">
        <v>0</v>
      </c>
      <c r="EU141" s="7">
        <f t="shared" si="653"/>
        <v>0</v>
      </c>
      <c r="EV141" s="375"/>
      <c r="EW141" s="7">
        <f t="shared" si="858"/>
        <v>0</v>
      </c>
      <c r="EX141" s="375"/>
      <c r="EY141" s="7">
        <f t="shared" si="655"/>
        <v>0</v>
      </c>
      <c r="EZ141" s="375">
        <f t="shared" si="1050"/>
        <v>0</v>
      </c>
      <c r="FA141" s="7">
        <f t="shared" si="974"/>
        <v>0</v>
      </c>
      <c r="FB141" s="375"/>
      <c r="FC141" s="7">
        <f t="shared" si="656"/>
        <v>0</v>
      </c>
      <c r="FD141" s="375"/>
      <c r="FE141" s="7">
        <f t="shared" si="612"/>
        <v>0</v>
      </c>
      <c r="FF141" s="375"/>
      <c r="FG141" s="7">
        <f t="shared" si="975"/>
        <v>0</v>
      </c>
      <c r="FH141" s="375">
        <f t="shared" si="1051"/>
        <v>0</v>
      </c>
      <c r="FI141" s="7">
        <f t="shared" si="976"/>
        <v>0</v>
      </c>
      <c r="FJ141" s="375">
        <f t="shared" si="1052"/>
        <v>0</v>
      </c>
      <c r="FK141" s="7">
        <f t="shared" si="1003"/>
        <v>0</v>
      </c>
      <c r="FL141" s="375"/>
      <c r="FM141" s="7">
        <f t="shared" si="658"/>
        <v>0</v>
      </c>
      <c r="FN141" s="375"/>
      <c r="FO141" s="7">
        <f t="shared" si="977"/>
        <v>0</v>
      </c>
      <c r="FP141" s="375"/>
      <c r="FQ141" s="7">
        <f t="shared" si="978"/>
        <v>0</v>
      </c>
      <c r="FR141" s="375">
        <f t="shared" si="1053"/>
        <v>0</v>
      </c>
      <c r="FS141" s="7">
        <f t="shared" si="979"/>
        <v>0</v>
      </c>
      <c r="FT141" s="375">
        <f t="shared" si="1054"/>
        <v>0</v>
      </c>
      <c r="FU141" s="7">
        <f t="shared" si="1006"/>
        <v>0</v>
      </c>
      <c r="FV141" s="375"/>
      <c r="FW141" s="7">
        <f t="shared" si="660"/>
        <v>0</v>
      </c>
      <c r="FX141" s="375"/>
      <c r="FY141" s="7">
        <f t="shared" si="980"/>
        <v>0</v>
      </c>
      <c r="FZ141" s="375"/>
      <c r="GA141" s="7">
        <f t="shared" si="981"/>
        <v>0</v>
      </c>
      <c r="GB141" s="375">
        <f t="shared" si="1055"/>
        <v>0</v>
      </c>
      <c r="GC141" s="7">
        <f t="shared" si="982"/>
        <v>0</v>
      </c>
      <c r="GD141" s="375">
        <f t="shared" si="1056"/>
        <v>0</v>
      </c>
      <c r="GE141" s="7">
        <f t="shared" si="1009"/>
        <v>0</v>
      </c>
      <c r="GF141" s="566">
        <f t="shared" si="1057"/>
        <v>0</v>
      </c>
      <c r="GG141" s="525">
        <f t="shared" si="983"/>
        <v>0</v>
      </c>
      <c r="GH141" s="528">
        <f t="shared" si="1058"/>
        <v>0</v>
      </c>
      <c r="GI141" s="525">
        <f t="shared" si="984"/>
        <v>0</v>
      </c>
      <c r="GJ141" s="528"/>
      <c r="GK141" s="525">
        <f t="shared" si="985"/>
        <v>0</v>
      </c>
      <c r="GL141" s="528">
        <f t="shared" si="1059"/>
        <v>0</v>
      </c>
      <c r="GM141" s="565">
        <f t="shared" si="1012"/>
        <v>0</v>
      </c>
      <c r="GO141" s="586"/>
      <c r="GQ141" s="586"/>
      <c r="GT141" s="551">
        <f t="shared" si="558"/>
        <v>0</v>
      </c>
      <c r="GU141" s="551">
        <f t="shared" si="1015"/>
        <v>0</v>
      </c>
      <c r="GV141" s="550">
        <f t="shared" si="986"/>
        <v>0</v>
      </c>
      <c r="GW141" s="527"/>
      <c r="GX141" s="525">
        <f t="shared" si="664"/>
        <v>0</v>
      </c>
      <c r="GY141" s="528"/>
      <c r="GZ141" s="525">
        <f t="shared" si="665"/>
        <v>0</v>
      </c>
      <c r="HA141" s="528"/>
      <c r="HB141" s="526">
        <f t="shared" si="666"/>
        <v>0</v>
      </c>
      <c r="HD141" s="527"/>
      <c r="HE141" s="525">
        <v>0</v>
      </c>
      <c r="HF141" s="528"/>
      <c r="HG141" s="525">
        <v>0</v>
      </c>
      <c r="HH141" s="528"/>
      <c r="HI141" s="526">
        <v>0</v>
      </c>
    </row>
    <row r="142" spans="1:217" ht="15" customHeight="1" outlineLevel="1">
      <c r="A142" s="386" t="s">
        <v>130</v>
      </c>
      <c r="B142" s="386" t="s">
        <v>133</v>
      </c>
      <c r="C142" s="375"/>
      <c r="D142" s="4"/>
      <c r="E142" s="375">
        <v>0</v>
      </c>
      <c r="F142" s="4"/>
      <c r="G142" s="375"/>
      <c r="H142" s="375"/>
      <c r="I142" s="4"/>
      <c r="J142" s="375"/>
      <c r="K142" s="375"/>
      <c r="L142" s="4"/>
      <c r="M142" s="375"/>
      <c r="N142" s="375"/>
      <c r="O142" s="4"/>
      <c r="P142" s="375">
        <f t="shared" si="869"/>
        <v>0</v>
      </c>
      <c r="Q142" s="375">
        <f t="shared" si="869"/>
        <v>0</v>
      </c>
      <c r="R142" s="7">
        <f t="shared" si="987"/>
        <v>0</v>
      </c>
      <c r="S142" s="375"/>
      <c r="T142" s="375"/>
      <c r="U142" s="4"/>
      <c r="V142" s="375"/>
      <c r="W142" s="375"/>
      <c r="X142" s="4"/>
      <c r="Y142" s="375"/>
      <c r="Z142" s="375"/>
      <c r="AA142" s="4"/>
      <c r="AB142" s="375">
        <f t="shared" si="1024"/>
        <v>0</v>
      </c>
      <c r="AC142" s="375">
        <f t="shared" si="1060"/>
        <v>0</v>
      </c>
      <c r="AD142" s="7">
        <f t="shared" si="988"/>
        <v>0</v>
      </c>
      <c r="AE142" s="375">
        <f t="shared" si="1026"/>
        <v>0</v>
      </c>
      <c r="AF142" s="375">
        <f t="shared" si="1027"/>
        <v>0</v>
      </c>
      <c r="AG142" s="4"/>
      <c r="AH142" s="375"/>
      <c r="AI142" s="375"/>
      <c r="AJ142" s="4"/>
      <c r="AK142" s="375"/>
      <c r="AL142" s="375"/>
      <c r="AM142" s="4"/>
      <c r="AN142" s="375"/>
      <c r="AO142" s="375"/>
      <c r="AP142" s="4"/>
      <c r="AQ142" s="375">
        <f t="shared" si="1028"/>
        <v>0</v>
      </c>
      <c r="AR142" s="375">
        <f t="shared" si="1029"/>
        <v>0</v>
      </c>
      <c r="AS142" s="7">
        <f t="shared" si="989"/>
        <v>0</v>
      </c>
      <c r="AT142" s="375">
        <f t="shared" si="1030"/>
        <v>0</v>
      </c>
      <c r="AU142" s="4"/>
      <c r="AV142" s="375"/>
      <c r="AW142" s="375"/>
      <c r="AX142" s="4"/>
      <c r="AY142" s="375"/>
      <c r="AZ142" s="375"/>
      <c r="BA142" s="4"/>
      <c r="BB142" s="375"/>
      <c r="BC142" s="375"/>
      <c r="BD142" s="448"/>
      <c r="BE142" s="375">
        <f t="shared" si="1031"/>
        <v>0</v>
      </c>
      <c r="BF142" s="375">
        <f t="shared" si="1061"/>
        <v>0</v>
      </c>
      <c r="BG142" s="7">
        <f t="shared" si="990"/>
        <v>0</v>
      </c>
      <c r="BH142" s="375">
        <f t="shared" si="1032"/>
        <v>0</v>
      </c>
      <c r="BI142" s="388">
        <f t="shared" si="1033"/>
        <v>0</v>
      </c>
      <c r="BJ142" s="7">
        <f t="shared" si="991"/>
        <v>0</v>
      </c>
      <c r="BK142" s="375">
        <v>0</v>
      </c>
      <c r="BL142" s="282"/>
      <c r="BN142" s="375"/>
      <c r="BO142" s="4"/>
      <c r="BP142" s="375"/>
      <c r="BQ142" s="4"/>
      <c r="BR142" s="375"/>
      <c r="BS142" s="4"/>
      <c r="BT142" s="375">
        <f t="shared" si="1034"/>
        <v>0</v>
      </c>
      <c r="BU142" s="7">
        <f t="shared" si="992"/>
        <v>0</v>
      </c>
      <c r="BV142" s="375"/>
      <c r="BW142" s="7"/>
      <c r="BX142" s="375"/>
      <c r="BY142" s="7"/>
      <c r="BZ142" s="375">
        <f t="shared" si="1062"/>
        <v>0</v>
      </c>
      <c r="CA142" s="7"/>
      <c r="CB142" s="375">
        <f t="shared" si="1035"/>
        <v>0</v>
      </c>
      <c r="CC142" s="7">
        <f t="shared" si="534"/>
        <v>0</v>
      </c>
      <c r="CD142" s="375">
        <f t="shared" si="1036"/>
        <v>0</v>
      </c>
      <c r="CE142" s="7">
        <f t="shared" si="993"/>
        <v>0</v>
      </c>
      <c r="CF142" s="375">
        <f t="shared" si="1063"/>
        <v>0</v>
      </c>
      <c r="CG142" s="7">
        <f t="shared" si="994"/>
        <v>0</v>
      </c>
      <c r="CH142" s="375">
        <f t="shared" si="1064"/>
        <v>0</v>
      </c>
      <c r="CI142" s="7">
        <f t="shared" si="994"/>
        <v>0</v>
      </c>
      <c r="CJ142" s="375">
        <f t="shared" si="1065"/>
        <v>0</v>
      </c>
      <c r="CK142" s="7">
        <f t="shared" si="994"/>
        <v>0</v>
      </c>
      <c r="CL142" s="375">
        <f t="shared" si="1037"/>
        <v>0</v>
      </c>
      <c r="CM142" s="7">
        <f t="shared" si="994"/>
        <v>0</v>
      </c>
      <c r="CN142" s="375">
        <f t="shared" si="1038"/>
        <v>0</v>
      </c>
      <c r="CO142" s="7">
        <f t="shared" si="639"/>
        <v>0</v>
      </c>
      <c r="CP142" s="375">
        <v>0</v>
      </c>
      <c r="CQ142" s="7">
        <f t="shared" si="967"/>
        <v>0</v>
      </c>
      <c r="CR142" s="375">
        <f t="shared" si="1039"/>
        <v>0</v>
      </c>
      <c r="CS142" s="7">
        <f t="shared" si="641"/>
        <v>0</v>
      </c>
      <c r="CT142" s="375">
        <v>0</v>
      </c>
      <c r="CU142" s="7">
        <f t="shared" si="611"/>
        <v>0</v>
      </c>
      <c r="CV142" s="375">
        <v>0</v>
      </c>
      <c r="CW142" s="7">
        <f t="shared" si="968"/>
        <v>0</v>
      </c>
      <c r="CX142" s="375">
        <f t="shared" si="1041"/>
        <v>0</v>
      </c>
      <c r="CY142" s="7">
        <f t="shared" si="969"/>
        <v>0</v>
      </c>
      <c r="CZ142" s="375">
        <f t="shared" si="1042"/>
        <v>0</v>
      </c>
      <c r="DA142" s="7">
        <f t="shared" si="997"/>
        <v>0</v>
      </c>
      <c r="DB142" s="375">
        <f t="shared" si="1066"/>
        <v>0</v>
      </c>
      <c r="DC142" s="7">
        <f t="shared" si="642"/>
        <v>0</v>
      </c>
      <c r="DD142" s="375">
        <f t="shared" si="1067"/>
        <v>0</v>
      </c>
      <c r="DE142" s="7">
        <f t="shared" si="642"/>
        <v>0</v>
      </c>
      <c r="DF142" s="375">
        <f t="shared" si="1068"/>
        <v>0</v>
      </c>
      <c r="DG142" s="7">
        <f t="shared" si="642"/>
        <v>0</v>
      </c>
      <c r="DH142" s="375">
        <f t="shared" si="1043"/>
        <v>0</v>
      </c>
      <c r="DI142" s="7">
        <f t="shared" si="970"/>
        <v>0</v>
      </c>
      <c r="DJ142" s="375"/>
      <c r="DK142" s="7">
        <f t="shared" si="643"/>
        <v>0</v>
      </c>
      <c r="DL142" s="375">
        <f t="shared" si="1069"/>
        <v>0</v>
      </c>
      <c r="DM142" s="7">
        <f t="shared" si="644"/>
        <v>0</v>
      </c>
      <c r="DN142" s="375">
        <f t="shared" si="1070"/>
        <v>0</v>
      </c>
      <c r="DO142" s="7">
        <f t="shared" si="645"/>
        <v>0</v>
      </c>
      <c r="DP142" s="375">
        <f t="shared" si="1071"/>
        <v>0</v>
      </c>
      <c r="DQ142" s="7">
        <f t="shared" si="646"/>
        <v>0</v>
      </c>
      <c r="DR142" s="375">
        <f t="shared" si="1044"/>
        <v>0</v>
      </c>
      <c r="DS142" s="7">
        <f t="shared" si="971"/>
        <v>0</v>
      </c>
      <c r="DT142" s="375">
        <f t="shared" si="1045"/>
        <v>0</v>
      </c>
      <c r="DU142" s="7">
        <f t="shared" si="998"/>
        <v>0</v>
      </c>
      <c r="DV142" s="375"/>
      <c r="DW142" s="7">
        <f t="shared" si="647"/>
        <v>0</v>
      </c>
      <c r="DX142" s="375"/>
      <c r="DY142" s="7">
        <f t="shared" si="856"/>
        <v>0</v>
      </c>
      <c r="DZ142" s="375"/>
      <c r="EA142" s="7">
        <f t="shared" si="649"/>
        <v>0</v>
      </c>
      <c r="EB142" s="375">
        <f t="shared" si="1046"/>
        <v>0</v>
      </c>
      <c r="EC142" s="7">
        <f t="shared" si="972"/>
        <v>0</v>
      </c>
      <c r="ED142" s="375">
        <f t="shared" si="1047"/>
        <v>0</v>
      </c>
      <c r="EE142" s="7">
        <f t="shared" si="999"/>
        <v>0</v>
      </c>
      <c r="EF142" s="375"/>
      <c r="EG142" s="7">
        <f t="shared" si="650"/>
        <v>0</v>
      </c>
      <c r="EH142" s="375"/>
      <c r="EI142" s="7">
        <f t="shared" si="857"/>
        <v>0</v>
      </c>
      <c r="EJ142" s="375"/>
      <c r="EK142" s="7">
        <f t="shared" si="652"/>
        <v>0</v>
      </c>
      <c r="EL142" s="375">
        <f t="shared" si="1048"/>
        <v>0</v>
      </c>
      <c r="EM142" s="7">
        <f t="shared" si="973"/>
        <v>0</v>
      </c>
      <c r="EN142" s="375">
        <f t="shared" si="1049"/>
        <v>0</v>
      </c>
      <c r="EO142" s="7">
        <f t="shared" si="1000"/>
        <v>0</v>
      </c>
      <c r="EP142" s="373"/>
      <c r="EQ142" s="373"/>
      <c r="ER142" s="373"/>
      <c r="ES142" s="373"/>
      <c r="ET142" s="375"/>
      <c r="EU142" s="7">
        <f t="shared" si="653"/>
        <v>0</v>
      </c>
      <c r="EV142" s="375"/>
      <c r="EW142" s="7">
        <f t="shared" si="858"/>
        <v>0</v>
      </c>
      <c r="EX142" s="375"/>
      <c r="EY142" s="7">
        <f t="shared" si="655"/>
        <v>0</v>
      </c>
      <c r="EZ142" s="375">
        <f t="shared" si="1050"/>
        <v>0</v>
      </c>
      <c r="FA142" s="7">
        <f t="shared" si="974"/>
        <v>0</v>
      </c>
      <c r="FB142" s="375"/>
      <c r="FC142" s="7">
        <f t="shared" si="656"/>
        <v>0</v>
      </c>
      <c r="FD142" s="375"/>
      <c r="FE142" s="7">
        <f t="shared" si="612"/>
        <v>0</v>
      </c>
      <c r="FF142" s="375"/>
      <c r="FG142" s="7">
        <f t="shared" si="975"/>
        <v>0</v>
      </c>
      <c r="FH142" s="375">
        <f t="shared" si="1051"/>
        <v>0</v>
      </c>
      <c r="FI142" s="7">
        <f t="shared" si="976"/>
        <v>0</v>
      </c>
      <c r="FJ142" s="375">
        <f t="shared" si="1052"/>
        <v>0</v>
      </c>
      <c r="FK142" s="7">
        <f t="shared" si="1003"/>
        <v>0</v>
      </c>
      <c r="FL142" s="375"/>
      <c r="FM142" s="7">
        <f t="shared" si="658"/>
        <v>0</v>
      </c>
      <c r="FN142" s="375"/>
      <c r="FO142" s="7">
        <f t="shared" si="977"/>
        <v>0</v>
      </c>
      <c r="FP142" s="375"/>
      <c r="FQ142" s="7">
        <f t="shared" si="978"/>
        <v>0</v>
      </c>
      <c r="FR142" s="375">
        <f t="shared" si="1053"/>
        <v>0</v>
      </c>
      <c r="FS142" s="7">
        <f t="shared" si="979"/>
        <v>0</v>
      </c>
      <c r="FT142" s="375">
        <f t="shared" si="1054"/>
        <v>0</v>
      </c>
      <c r="FU142" s="7">
        <f t="shared" si="1006"/>
        <v>0</v>
      </c>
      <c r="FV142" s="375"/>
      <c r="FW142" s="7">
        <f t="shared" si="660"/>
        <v>0</v>
      </c>
      <c r="FX142" s="375"/>
      <c r="FY142" s="7">
        <f t="shared" si="980"/>
        <v>0</v>
      </c>
      <c r="FZ142" s="375"/>
      <c r="GA142" s="7">
        <f t="shared" si="981"/>
        <v>0</v>
      </c>
      <c r="GB142" s="375">
        <f t="shared" si="1055"/>
        <v>0</v>
      </c>
      <c r="GC142" s="7">
        <f t="shared" si="982"/>
        <v>0</v>
      </c>
      <c r="GD142" s="375">
        <f t="shared" si="1056"/>
        <v>0</v>
      </c>
      <c r="GE142" s="7">
        <f t="shared" si="1009"/>
        <v>0</v>
      </c>
      <c r="GF142" s="566">
        <f t="shared" si="1057"/>
        <v>0</v>
      </c>
      <c r="GG142" s="525">
        <f t="shared" si="983"/>
        <v>0</v>
      </c>
      <c r="GH142" s="528">
        <f t="shared" si="1058"/>
        <v>0</v>
      </c>
      <c r="GI142" s="525">
        <f t="shared" si="984"/>
        <v>0</v>
      </c>
      <c r="GJ142" s="528"/>
      <c r="GK142" s="525">
        <f t="shared" si="985"/>
        <v>0</v>
      </c>
      <c r="GL142" s="528">
        <f t="shared" si="1059"/>
        <v>0</v>
      </c>
      <c r="GM142" s="565">
        <f t="shared" si="1012"/>
        <v>0</v>
      </c>
      <c r="GO142" s="586"/>
      <c r="GQ142" s="586"/>
      <c r="GT142" s="551">
        <f t="shared" si="558"/>
        <v>0</v>
      </c>
      <c r="GU142" s="551">
        <f t="shared" si="1015"/>
        <v>0</v>
      </c>
      <c r="GV142" s="550">
        <f t="shared" si="986"/>
        <v>0</v>
      </c>
      <c r="GW142" s="527"/>
      <c r="GX142" s="525">
        <f t="shared" si="664"/>
        <v>0</v>
      </c>
      <c r="GY142" s="528"/>
      <c r="GZ142" s="525">
        <f t="shared" si="665"/>
        <v>0</v>
      </c>
      <c r="HA142" s="528"/>
      <c r="HB142" s="526">
        <f t="shared" si="666"/>
        <v>0</v>
      </c>
      <c r="HD142" s="527"/>
      <c r="HE142" s="525">
        <v>0</v>
      </c>
      <c r="HF142" s="528"/>
      <c r="HG142" s="525">
        <v>0</v>
      </c>
      <c r="HH142" s="528"/>
      <c r="HI142" s="526">
        <v>0</v>
      </c>
    </row>
    <row r="143" spans="1:217" ht="15" customHeight="1" outlineLevel="1">
      <c r="A143" s="386" t="s">
        <v>130</v>
      </c>
      <c r="B143" s="386" t="s">
        <v>134</v>
      </c>
      <c r="C143" s="375"/>
      <c r="D143" s="4"/>
      <c r="E143" s="375">
        <v>0</v>
      </c>
      <c r="F143" s="4"/>
      <c r="G143" s="375"/>
      <c r="H143" s="375"/>
      <c r="I143" s="4"/>
      <c r="J143" s="375"/>
      <c r="K143" s="375"/>
      <c r="L143" s="4"/>
      <c r="M143" s="375"/>
      <c r="N143" s="375"/>
      <c r="O143" s="4"/>
      <c r="P143" s="375">
        <f t="shared" si="869"/>
        <v>0</v>
      </c>
      <c r="Q143" s="375">
        <f t="shared" si="869"/>
        <v>0</v>
      </c>
      <c r="R143" s="7">
        <f t="shared" si="987"/>
        <v>0</v>
      </c>
      <c r="S143" s="375"/>
      <c r="T143" s="375"/>
      <c r="U143" s="4"/>
      <c r="V143" s="375"/>
      <c r="W143" s="375"/>
      <c r="X143" s="4"/>
      <c r="Y143" s="375"/>
      <c r="Z143" s="375"/>
      <c r="AA143" s="4"/>
      <c r="AB143" s="375">
        <f t="shared" si="1024"/>
        <v>0</v>
      </c>
      <c r="AC143" s="375">
        <f t="shared" si="1060"/>
        <v>0</v>
      </c>
      <c r="AD143" s="7">
        <f t="shared" si="988"/>
        <v>0</v>
      </c>
      <c r="AE143" s="375">
        <f t="shared" si="1026"/>
        <v>0</v>
      </c>
      <c r="AF143" s="375">
        <f t="shared" si="1027"/>
        <v>0</v>
      </c>
      <c r="AG143" s="4"/>
      <c r="AH143" s="375"/>
      <c r="AI143" s="375"/>
      <c r="AJ143" s="4"/>
      <c r="AK143" s="375"/>
      <c r="AL143" s="375"/>
      <c r="AM143" s="4"/>
      <c r="AN143" s="375"/>
      <c r="AO143" s="375"/>
      <c r="AP143" s="4"/>
      <c r="AQ143" s="375">
        <f t="shared" si="1028"/>
        <v>0</v>
      </c>
      <c r="AR143" s="375">
        <f t="shared" si="1029"/>
        <v>0</v>
      </c>
      <c r="AS143" s="7">
        <f t="shared" si="989"/>
        <v>0</v>
      </c>
      <c r="AT143" s="375">
        <f t="shared" si="1030"/>
        <v>0</v>
      </c>
      <c r="AU143" s="4"/>
      <c r="AV143" s="375"/>
      <c r="AW143" s="375"/>
      <c r="AX143" s="4"/>
      <c r="AY143" s="375"/>
      <c r="AZ143" s="375"/>
      <c r="BA143" s="4"/>
      <c r="BB143" s="375"/>
      <c r="BC143" s="375"/>
      <c r="BD143" s="448"/>
      <c r="BE143" s="375">
        <f t="shared" si="1031"/>
        <v>0</v>
      </c>
      <c r="BF143" s="375">
        <f t="shared" si="1061"/>
        <v>0</v>
      </c>
      <c r="BG143" s="7">
        <f t="shared" si="990"/>
        <v>0</v>
      </c>
      <c r="BH143" s="375">
        <f t="shared" si="1032"/>
        <v>0</v>
      </c>
      <c r="BI143" s="388">
        <f t="shared" si="1033"/>
        <v>0</v>
      </c>
      <c r="BJ143" s="7">
        <f t="shared" si="991"/>
        <v>0</v>
      </c>
      <c r="BK143" s="375">
        <v>0</v>
      </c>
      <c r="BL143" s="282"/>
      <c r="BN143" s="375"/>
      <c r="BO143" s="4"/>
      <c r="BP143" s="375"/>
      <c r="BQ143" s="4"/>
      <c r="BR143" s="375"/>
      <c r="BS143" s="4"/>
      <c r="BT143" s="375">
        <f t="shared" si="1034"/>
        <v>0</v>
      </c>
      <c r="BU143" s="7">
        <f t="shared" si="992"/>
        <v>0</v>
      </c>
      <c r="BV143" s="375"/>
      <c r="BW143" s="7"/>
      <c r="BX143" s="375"/>
      <c r="BY143" s="7"/>
      <c r="BZ143" s="375">
        <f t="shared" si="1062"/>
        <v>0</v>
      </c>
      <c r="CA143" s="7"/>
      <c r="CB143" s="375">
        <f t="shared" si="1035"/>
        <v>0</v>
      </c>
      <c r="CC143" s="7">
        <f t="shared" si="534"/>
        <v>0</v>
      </c>
      <c r="CD143" s="375">
        <f t="shared" si="1036"/>
        <v>0</v>
      </c>
      <c r="CE143" s="7">
        <f t="shared" si="993"/>
        <v>0</v>
      </c>
      <c r="CF143" s="375">
        <f t="shared" si="1063"/>
        <v>0</v>
      </c>
      <c r="CG143" s="7">
        <f t="shared" si="994"/>
        <v>0</v>
      </c>
      <c r="CH143" s="375">
        <f t="shared" si="1064"/>
        <v>0</v>
      </c>
      <c r="CI143" s="7">
        <f t="shared" si="994"/>
        <v>0</v>
      </c>
      <c r="CJ143" s="375">
        <f t="shared" si="1065"/>
        <v>0</v>
      </c>
      <c r="CK143" s="7">
        <f t="shared" si="994"/>
        <v>0</v>
      </c>
      <c r="CL143" s="375">
        <f t="shared" si="1037"/>
        <v>0</v>
      </c>
      <c r="CM143" s="7">
        <f t="shared" si="994"/>
        <v>0</v>
      </c>
      <c r="CN143" s="375">
        <f t="shared" si="1038"/>
        <v>0</v>
      </c>
      <c r="CO143" s="7">
        <f t="shared" si="639"/>
        <v>0</v>
      </c>
      <c r="CP143" s="375">
        <v>0</v>
      </c>
      <c r="CQ143" s="7">
        <f t="shared" si="967"/>
        <v>0</v>
      </c>
      <c r="CR143" s="375">
        <f t="shared" si="1039"/>
        <v>0</v>
      </c>
      <c r="CS143" s="7">
        <f t="shared" si="641"/>
        <v>0</v>
      </c>
      <c r="CT143" s="375">
        <v>0</v>
      </c>
      <c r="CU143" s="7">
        <f t="shared" si="611"/>
        <v>0</v>
      </c>
      <c r="CV143" s="375">
        <v>0</v>
      </c>
      <c r="CW143" s="7">
        <f t="shared" si="968"/>
        <v>0</v>
      </c>
      <c r="CX143" s="375">
        <f t="shared" si="1041"/>
        <v>0</v>
      </c>
      <c r="CY143" s="7">
        <f t="shared" si="969"/>
        <v>0</v>
      </c>
      <c r="CZ143" s="375">
        <f t="shared" si="1042"/>
        <v>0</v>
      </c>
      <c r="DA143" s="7">
        <f t="shared" si="997"/>
        <v>0</v>
      </c>
      <c r="DB143" s="375">
        <f t="shared" si="1066"/>
        <v>0</v>
      </c>
      <c r="DC143" s="7">
        <f t="shared" si="642"/>
        <v>0</v>
      </c>
      <c r="DD143" s="375">
        <f t="shared" si="1067"/>
        <v>0</v>
      </c>
      <c r="DE143" s="7">
        <f t="shared" si="642"/>
        <v>0</v>
      </c>
      <c r="DF143" s="375">
        <f t="shared" si="1068"/>
        <v>0</v>
      </c>
      <c r="DG143" s="7">
        <f t="shared" si="642"/>
        <v>0</v>
      </c>
      <c r="DH143" s="375">
        <f t="shared" si="1043"/>
        <v>0</v>
      </c>
      <c r="DI143" s="7">
        <f t="shared" si="970"/>
        <v>0</v>
      </c>
      <c r="DJ143" s="375"/>
      <c r="DK143" s="7">
        <f t="shared" si="643"/>
        <v>0</v>
      </c>
      <c r="DL143" s="375">
        <f t="shared" si="1069"/>
        <v>0</v>
      </c>
      <c r="DM143" s="7">
        <f t="shared" si="644"/>
        <v>0</v>
      </c>
      <c r="DN143" s="375">
        <f t="shared" si="1070"/>
        <v>0</v>
      </c>
      <c r="DO143" s="7">
        <f t="shared" si="645"/>
        <v>0</v>
      </c>
      <c r="DP143" s="375">
        <f t="shared" si="1071"/>
        <v>0</v>
      </c>
      <c r="DQ143" s="7">
        <f t="shared" si="646"/>
        <v>0</v>
      </c>
      <c r="DR143" s="375">
        <f t="shared" si="1044"/>
        <v>0</v>
      </c>
      <c r="DS143" s="7">
        <f t="shared" si="971"/>
        <v>0</v>
      </c>
      <c r="DT143" s="375">
        <f t="shared" si="1045"/>
        <v>0</v>
      </c>
      <c r="DU143" s="7">
        <f t="shared" si="998"/>
        <v>0</v>
      </c>
      <c r="DV143" s="375"/>
      <c r="DW143" s="7">
        <f t="shared" si="647"/>
        <v>0</v>
      </c>
      <c r="DX143" s="375"/>
      <c r="DY143" s="7">
        <f t="shared" si="856"/>
        <v>0</v>
      </c>
      <c r="DZ143" s="375"/>
      <c r="EA143" s="7">
        <f t="shared" si="649"/>
        <v>0</v>
      </c>
      <c r="EB143" s="375">
        <f t="shared" si="1046"/>
        <v>0</v>
      </c>
      <c r="EC143" s="7">
        <f t="shared" si="972"/>
        <v>0</v>
      </c>
      <c r="ED143" s="375">
        <f t="shared" si="1047"/>
        <v>0</v>
      </c>
      <c r="EE143" s="7">
        <f t="shared" si="999"/>
        <v>0</v>
      </c>
      <c r="EF143" s="375"/>
      <c r="EG143" s="7">
        <f t="shared" si="650"/>
        <v>0</v>
      </c>
      <c r="EH143" s="375"/>
      <c r="EI143" s="7">
        <f t="shared" si="857"/>
        <v>0</v>
      </c>
      <c r="EJ143" s="375"/>
      <c r="EK143" s="7">
        <f t="shared" si="652"/>
        <v>0</v>
      </c>
      <c r="EL143" s="375">
        <f t="shared" si="1048"/>
        <v>0</v>
      </c>
      <c r="EM143" s="7">
        <f t="shared" si="973"/>
        <v>0</v>
      </c>
      <c r="EN143" s="375">
        <f t="shared" si="1049"/>
        <v>0</v>
      </c>
      <c r="EO143" s="7">
        <f t="shared" si="1000"/>
        <v>0</v>
      </c>
      <c r="EP143" s="373"/>
      <c r="EQ143" s="373"/>
      <c r="ER143" s="373"/>
      <c r="ES143" s="373"/>
      <c r="ET143" s="375"/>
      <c r="EU143" s="7">
        <f t="shared" si="653"/>
        <v>0</v>
      </c>
      <c r="EV143" s="375"/>
      <c r="EW143" s="7">
        <f t="shared" si="858"/>
        <v>0</v>
      </c>
      <c r="EX143" s="375"/>
      <c r="EY143" s="7">
        <f t="shared" si="655"/>
        <v>0</v>
      </c>
      <c r="EZ143" s="375">
        <f t="shared" si="1050"/>
        <v>0</v>
      </c>
      <c r="FA143" s="7">
        <f t="shared" si="974"/>
        <v>0</v>
      </c>
      <c r="FB143" s="375"/>
      <c r="FC143" s="7">
        <f t="shared" si="656"/>
        <v>0</v>
      </c>
      <c r="FD143" s="375"/>
      <c r="FE143" s="7">
        <f t="shared" si="612"/>
        <v>0</v>
      </c>
      <c r="FF143" s="375"/>
      <c r="FG143" s="7">
        <f t="shared" si="975"/>
        <v>0</v>
      </c>
      <c r="FH143" s="375">
        <f t="shared" si="1051"/>
        <v>0</v>
      </c>
      <c r="FI143" s="7">
        <f t="shared" si="976"/>
        <v>0</v>
      </c>
      <c r="FJ143" s="375">
        <f t="shared" si="1052"/>
        <v>0</v>
      </c>
      <c r="FK143" s="7">
        <f t="shared" si="1003"/>
        <v>0</v>
      </c>
      <c r="FL143" s="375"/>
      <c r="FM143" s="7">
        <f t="shared" si="658"/>
        <v>0</v>
      </c>
      <c r="FN143" s="375"/>
      <c r="FO143" s="7">
        <f t="shared" si="977"/>
        <v>0</v>
      </c>
      <c r="FP143" s="375"/>
      <c r="FQ143" s="7">
        <f t="shared" si="978"/>
        <v>0</v>
      </c>
      <c r="FR143" s="375">
        <f t="shared" si="1053"/>
        <v>0</v>
      </c>
      <c r="FS143" s="7">
        <f t="shared" si="979"/>
        <v>0</v>
      </c>
      <c r="FT143" s="375">
        <f t="shared" si="1054"/>
        <v>0</v>
      </c>
      <c r="FU143" s="7">
        <f t="shared" si="1006"/>
        <v>0</v>
      </c>
      <c r="FV143" s="375"/>
      <c r="FW143" s="7">
        <f t="shared" si="660"/>
        <v>0</v>
      </c>
      <c r="FX143" s="375"/>
      <c r="FY143" s="7">
        <f t="shared" si="980"/>
        <v>0</v>
      </c>
      <c r="FZ143" s="375"/>
      <c r="GA143" s="7">
        <f t="shared" si="981"/>
        <v>0</v>
      </c>
      <c r="GB143" s="375">
        <f t="shared" si="1055"/>
        <v>0</v>
      </c>
      <c r="GC143" s="7">
        <f t="shared" si="982"/>
        <v>0</v>
      </c>
      <c r="GD143" s="375">
        <f t="shared" si="1056"/>
        <v>0</v>
      </c>
      <c r="GE143" s="7">
        <f t="shared" si="1009"/>
        <v>0</v>
      </c>
      <c r="GF143" s="566">
        <f t="shared" si="1057"/>
        <v>0</v>
      </c>
      <c r="GG143" s="525">
        <f t="shared" si="983"/>
        <v>0</v>
      </c>
      <c r="GH143" s="528">
        <f t="shared" si="1058"/>
        <v>0</v>
      </c>
      <c r="GI143" s="525">
        <f t="shared" si="984"/>
        <v>0</v>
      </c>
      <c r="GJ143" s="528"/>
      <c r="GK143" s="525">
        <f t="shared" si="985"/>
        <v>0</v>
      </c>
      <c r="GL143" s="528">
        <f t="shared" si="1059"/>
        <v>0</v>
      </c>
      <c r="GM143" s="565">
        <f t="shared" si="1012"/>
        <v>0</v>
      </c>
      <c r="GO143" s="586"/>
      <c r="GQ143" s="586"/>
      <c r="GT143" s="551">
        <f t="shared" si="558"/>
        <v>0</v>
      </c>
      <c r="GU143" s="551">
        <f t="shared" si="1015"/>
        <v>0</v>
      </c>
      <c r="GV143" s="550">
        <f t="shared" si="986"/>
        <v>0</v>
      </c>
      <c r="GW143" s="527"/>
      <c r="GX143" s="525">
        <f t="shared" si="664"/>
        <v>0</v>
      </c>
      <c r="GY143" s="528"/>
      <c r="GZ143" s="525">
        <f t="shared" si="665"/>
        <v>0</v>
      </c>
      <c r="HA143" s="528"/>
      <c r="HB143" s="526">
        <f t="shared" si="666"/>
        <v>0</v>
      </c>
      <c r="HD143" s="527"/>
      <c r="HE143" s="525">
        <v>0</v>
      </c>
      <c r="HF143" s="528"/>
      <c r="HG143" s="525">
        <v>0</v>
      </c>
      <c r="HH143" s="528"/>
      <c r="HI143" s="526">
        <v>0</v>
      </c>
    </row>
    <row r="144" spans="1:217" ht="15" customHeight="1" outlineLevel="1">
      <c r="A144" s="386" t="s">
        <v>130</v>
      </c>
      <c r="B144" s="386" t="s">
        <v>174</v>
      </c>
      <c r="C144" s="375"/>
      <c r="D144" s="4"/>
      <c r="E144" s="375">
        <v>0</v>
      </c>
      <c r="F144" s="4"/>
      <c r="G144" s="375"/>
      <c r="H144" s="375">
        <v>-52.48</v>
      </c>
      <c r="I144" s="4"/>
      <c r="J144" s="375"/>
      <c r="K144" s="375">
        <v>-49.84</v>
      </c>
      <c r="L144" s="4"/>
      <c r="M144" s="375"/>
      <c r="N144" s="375">
        <v>-106394.67</v>
      </c>
      <c r="O144" s="4"/>
      <c r="P144" s="375">
        <f t="shared" si="869"/>
        <v>0</v>
      </c>
      <c r="Q144" s="375">
        <f t="shared" si="869"/>
        <v>-106496.99</v>
      </c>
      <c r="R144" s="7">
        <f t="shared" si="987"/>
        <v>-2.9283095893053268E-3</v>
      </c>
      <c r="S144" s="375">
        <v>-46.78</v>
      </c>
      <c r="T144" s="375">
        <v>-46.78</v>
      </c>
      <c r="U144" s="4"/>
      <c r="V144" s="375"/>
      <c r="W144" s="375">
        <v>-82.83</v>
      </c>
      <c r="X144" s="4"/>
      <c r="Y144" s="375"/>
      <c r="Z144" s="375">
        <v>-106370.97</v>
      </c>
      <c r="AA144" s="4"/>
      <c r="AB144" s="375">
        <f t="shared" si="1024"/>
        <v>-46.78</v>
      </c>
      <c r="AC144" s="375">
        <f t="shared" si="1060"/>
        <v>-106500.58</v>
      </c>
      <c r="AD144" s="7">
        <f t="shared" si="988"/>
        <v>-2.871615771114386E-3</v>
      </c>
      <c r="AE144" s="375">
        <f t="shared" si="1026"/>
        <v>-106543.77</v>
      </c>
      <c r="AF144" s="375">
        <f t="shared" si="1027"/>
        <v>-212997.57</v>
      </c>
      <c r="AG144" s="4"/>
      <c r="AH144" s="375">
        <v>-203.41</v>
      </c>
      <c r="AI144" s="375">
        <v>-203.41</v>
      </c>
      <c r="AJ144" s="4"/>
      <c r="AK144" s="375">
        <v>-866049.74</v>
      </c>
      <c r="AL144" s="375">
        <v>-866049.74</v>
      </c>
      <c r="AM144" s="4"/>
      <c r="AN144" s="375">
        <v>111361.38</v>
      </c>
      <c r="AO144" s="375">
        <v>111361.38</v>
      </c>
      <c r="AP144" s="4"/>
      <c r="AQ144" s="375">
        <f t="shared" si="1028"/>
        <v>-754891.77</v>
      </c>
      <c r="AR144" s="375">
        <f t="shared" si="1029"/>
        <v>-754891.77</v>
      </c>
      <c r="AS144" s="7">
        <f t="shared" si="989"/>
        <v>-2.8355253569968823E-2</v>
      </c>
      <c r="AT144" s="375">
        <f t="shared" si="1030"/>
        <v>-967889.34000000008</v>
      </c>
      <c r="AU144" s="4"/>
      <c r="AV144" s="375"/>
      <c r="AW144" s="375">
        <v>-433002.37</v>
      </c>
      <c r="AX144" s="4"/>
      <c r="AY144" s="375"/>
      <c r="AZ144" s="375">
        <v>-433069.38</v>
      </c>
      <c r="BA144" s="4"/>
      <c r="BB144" s="375"/>
      <c r="BC144" s="375">
        <v>-62333</v>
      </c>
      <c r="BD144" s="448"/>
      <c r="BE144" s="375">
        <f t="shared" si="1031"/>
        <v>0</v>
      </c>
      <c r="BF144" s="375">
        <f t="shared" si="1061"/>
        <v>-928404.75</v>
      </c>
      <c r="BG144" s="7">
        <f t="shared" si="990"/>
        <v>-2.9567343395542872E-2</v>
      </c>
      <c r="BH144" s="375">
        <f t="shared" si="1032"/>
        <v>-861435.54</v>
      </c>
      <c r="BI144" s="388">
        <f t="shared" si="1033"/>
        <v>-1896294.09</v>
      </c>
      <c r="BJ144" s="7">
        <f t="shared" si="991"/>
        <v>-1.4422930668043458E-2</v>
      </c>
      <c r="BK144" s="375">
        <v>0</v>
      </c>
      <c r="BL144" s="282"/>
      <c r="BN144" s="375">
        <v>-84.29</v>
      </c>
      <c r="BO144" s="4"/>
      <c r="BP144" s="375">
        <v>-53.32</v>
      </c>
      <c r="BQ144" s="4"/>
      <c r="BR144" s="375">
        <v>-386049.23</v>
      </c>
      <c r="BS144" s="4"/>
      <c r="BT144" s="375">
        <f t="shared" si="1034"/>
        <v>-386186.83999999997</v>
      </c>
      <c r="BU144" s="7">
        <f t="shared" si="992"/>
        <v>-7.1231811822534156E-3</v>
      </c>
      <c r="BV144" s="375">
        <v>-50.08</v>
      </c>
      <c r="BW144" s="7"/>
      <c r="BX144" s="375">
        <v>-5.46</v>
      </c>
      <c r="BY144" s="7"/>
      <c r="BZ144" s="375">
        <v>-85944.17</v>
      </c>
      <c r="CA144" s="7"/>
      <c r="CB144" s="375">
        <f t="shared" si="1035"/>
        <v>-85999.709999999992</v>
      </c>
      <c r="CC144" s="7">
        <f t="shared" si="534"/>
        <v>-2.5114559859746462E-3</v>
      </c>
      <c r="CD144" s="375">
        <f t="shared" si="1036"/>
        <v>-472186.54999999993</v>
      </c>
      <c r="CE144" s="7">
        <f t="shared" si="993"/>
        <v>-5.3379461148654007E-3</v>
      </c>
      <c r="CF144" s="375">
        <v>-150000.82999999999</v>
      </c>
      <c r="CG144" s="7">
        <f t="shared" si="994"/>
        <v>-2.969787548315948E-2</v>
      </c>
      <c r="CH144" s="375">
        <v>-150000.35</v>
      </c>
      <c r="CI144" s="7">
        <f t="shared" si="994"/>
        <v>-4.0452939830850311E-3</v>
      </c>
      <c r="CJ144" s="375">
        <f>-1931895.19+2138087.27</f>
        <v>206192.08000000007</v>
      </c>
      <c r="CK144" s="7">
        <f t="shared" si="994"/>
        <v>7.3215673820669321E-3</v>
      </c>
      <c r="CL144" s="375">
        <f t="shared" si="1037"/>
        <v>-93809.099999999919</v>
      </c>
      <c r="CM144" s="7">
        <f t="shared" si="994"/>
        <v>-1.3345365580680567E-3</v>
      </c>
      <c r="CN144" s="375">
        <f t="shared" si="1038"/>
        <v>-565995.64999999991</v>
      </c>
      <c r="CO144" s="7">
        <f t="shared" si="639"/>
        <v>-3.5652851195125037E-3</v>
      </c>
      <c r="CP144" s="472">
        <v>-1100028.5</v>
      </c>
      <c r="CQ144" s="7">
        <f t="shared" si="967"/>
        <v>-5.6152279415083044E-2</v>
      </c>
      <c r="CR144" s="375">
        <f>+CN144+CP144</f>
        <v>-1666024.15</v>
      </c>
      <c r="CS144" s="7">
        <f t="shared" si="641"/>
        <v>-9.3417397645875391E-3</v>
      </c>
      <c r="CT144" s="375">
        <v>-1100010.1000000001</v>
      </c>
      <c r="CU144" s="7">
        <f t="shared" si="611"/>
        <v>-7.0222622636168089E-2</v>
      </c>
      <c r="CV144" s="375">
        <v>-993633.35</v>
      </c>
      <c r="CW144" s="7">
        <f t="shared" ref="CW144" si="1072">+CV144/CV$8</f>
        <v>-1.588010312002975E-2</v>
      </c>
      <c r="CX144" s="375">
        <f t="shared" si="1041"/>
        <v>-3193671.95</v>
      </c>
      <c r="CY144" s="7">
        <f t="shared" si="969"/>
        <v>-3.2646563521349099E-2</v>
      </c>
      <c r="CZ144" s="375">
        <f t="shared" si="1042"/>
        <v>-3759667.6</v>
      </c>
      <c r="DA144" s="7">
        <f t="shared" si="997"/>
        <v>-1.4653144317907776E-2</v>
      </c>
      <c r="DB144" s="375"/>
      <c r="DC144" s="7">
        <f t="shared" si="642"/>
        <v>0</v>
      </c>
      <c r="DD144" s="375"/>
      <c r="DE144" s="7">
        <f t="shared" si="642"/>
        <v>0</v>
      </c>
      <c r="DF144" s="375">
        <v>-1093536.02</v>
      </c>
      <c r="DG144" s="7">
        <f t="shared" si="642"/>
        <v>-3.5252386973086455E-2</v>
      </c>
      <c r="DH144" s="375">
        <f>+DB144+DD144+DF144</f>
        <v>-1093536.02</v>
      </c>
      <c r="DI144" s="7">
        <f t="shared" si="970"/>
        <v>-1.4353933747539127E-2</v>
      </c>
      <c r="DJ144" s="375"/>
      <c r="DK144" s="7">
        <f t="shared" si="643"/>
        <v>0</v>
      </c>
      <c r="DL144" s="375"/>
      <c r="DM144" s="7">
        <f t="shared" si="644"/>
        <v>0</v>
      </c>
      <c r="DN144" s="375"/>
      <c r="DO144" s="7">
        <f t="shared" si="645"/>
        <v>0</v>
      </c>
      <c r="DP144" s="375">
        <v>-1093690.71</v>
      </c>
      <c r="DQ144" s="7">
        <f t="shared" si="646"/>
        <v>-1.3034791138812408E-2</v>
      </c>
      <c r="DR144" s="375">
        <f>+DL144+DN144+DP144</f>
        <v>-1093690.71</v>
      </c>
      <c r="DS144" s="7">
        <f t="shared" si="971"/>
        <v>-9.9661859882668128E-3</v>
      </c>
      <c r="DT144" s="375">
        <f t="shared" si="1045"/>
        <v>-2187226.73</v>
      </c>
      <c r="DU144" s="7">
        <f t="shared" si="998"/>
        <v>-1.1764098995094346E-2</v>
      </c>
      <c r="DV144" s="375"/>
      <c r="DW144" s="7">
        <f t="shared" si="647"/>
        <v>0</v>
      </c>
      <c r="DX144" s="375"/>
      <c r="DY144" s="7">
        <f t="shared" si="856"/>
        <v>0</v>
      </c>
      <c r="DZ144" s="375">
        <v>-1093533.78</v>
      </c>
      <c r="EA144" s="7">
        <f t="shared" si="649"/>
        <v>-8.9382334822228331E-3</v>
      </c>
      <c r="EB144" s="375">
        <f>+DV144+DX144+DZ144</f>
        <v>-1093533.78</v>
      </c>
      <c r="EC144" s="7">
        <f t="shared" si="972"/>
        <v>-5.6451188222258085E-3</v>
      </c>
      <c r="ED144" s="375">
        <f t="shared" si="1047"/>
        <v>-3280760.51</v>
      </c>
      <c r="EE144" s="7">
        <f t="shared" si="999"/>
        <v>-8.641835096118938E-3</v>
      </c>
      <c r="EF144" s="375"/>
      <c r="EG144" s="7">
        <f t="shared" si="650"/>
        <v>0</v>
      </c>
      <c r="EH144" s="375"/>
      <c r="EI144" s="7">
        <f t="shared" si="857"/>
        <v>0</v>
      </c>
      <c r="EJ144" s="375">
        <v>-3236884.33</v>
      </c>
      <c r="EK144" s="7">
        <f t="shared" si="652"/>
        <v>-2.0727595980883511E-2</v>
      </c>
      <c r="EL144" s="375">
        <f>+EF144+EH144+EJ144</f>
        <v>-3236884.33</v>
      </c>
      <c r="EM144" s="7">
        <f t="shared" si="973"/>
        <v>-1.7621606679323519E-2</v>
      </c>
      <c r="EN144" s="375">
        <f t="shared" si="1049"/>
        <v>-6517644.8399999999</v>
      </c>
      <c r="EO144" s="7">
        <f t="shared" si="1000"/>
        <v>-1.1569946771628006E-2</v>
      </c>
      <c r="EP144" s="373"/>
      <c r="EQ144" s="373"/>
      <c r="ER144" s="373"/>
      <c r="ES144" s="373"/>
      <c r="ET144" s="375"/>
      <c r="EU144" s="7">
        <f t="shared" si="653"/>
        <v>0</v>
      </c>
      <c r="EV144" s="375"/>
      <c r="EW144" s="7">
        <f t="shared" si="858"/>
        <v>0</v>
      </c>
      <c r="EX144" s="375">
        <v>-3093533.27</v>
      </c>
      <c r="EY144" s="7">
        <f t="shared" si="655"/>
        <v>-1.3551065171912301E-2</v>
      </c>
      <c r="EZ144" s="375">
        <f>+ET144+EV144+EX144</f>
        <v>-3093533.27</v>
      </c>
      <c r="FA144" s="7">
        <f t="shared" si="974"/>
        <v>-1.2796021397245503E-2</v>
      </c>
      <c r="FB144" s="375">
        <v>-145.16999999999999</v>
      </c>
      <c r="FC144" s="7">
        <f t="shared" si="656"/>
        <v>-1.6019724400157352E-5</v>
      </c>
      <c r="FD144" s="375">
        <v>-1320.45</v>
      </c>
      <c r="FE144" s="7">
        <f t="shared" si="612"/>
        <v>-1.2545398814567638E-5</v>
      </c>
      <c r="FF144" s="375">
        <v>-2973486.42</v>
      </c>
      <c r="FG144" s="7">
        <f t="shared" si="975"/>
        <v>-1.8505430760823966E-2</v>
      </c>
      <c r="FH144" s="375">
        <f>+FB144+FD144+FF144</f>
        <v>-2974952.04</v>
      </c>
      <c r="FI144" s="7">
        <f t="shared" si="976"/>
        <v>-1.0818105415661614E-2</v>
      </c>
      <c r="FJ144" s="375">
        <f t="shared" si="1052"/>
        <v>-6068485.3100000005</v>
      </c>
      <c r="FK144" s="7">
        <f t="shared" si="1003"/>
        <v>-1.1743449036726689E-2</v>
      </c>
      <c r="FL144" s="375">
        <v>-20.64</v>
      </c>
      <c r="FM144" s="7">
        <f t="shared" si="658"/>
        <v>-1.8876356354001042E-6</v>
      </c>
      <c r="FN144" s="375"/>
      <c r="FO144" s="7">
        <f t="shared" si="977"/>
        <v>0</v>
      </c>
      <c r="FP144" s="375">
        <v>-2000750.24</v>
      </c>
      <c r="FQ144" s="7">
        <f t="shared" si="978"/>
        <v>-7.232257640349354E-3</v>
      </c>
      <c r="FR144" s="375">
        <f>+FL144+FN144+FP144</f>
        <v>-2000770.88</v>
      </c>
      <c r="FS144" s="7">
        <f t="shared" si="979"/>
        <v>-6.8436373610967841E-3</v>
      </c>
      <c r="FT144" s="375">
        <f t="shared" si="1054"/>
        <v>-8069256.1900000004</v>
      </c>
      <c r="FU144" s="7">
        <f t="shared" si="1006"/>
        <v>-9.97300469918176E-3</v>
      </c>
      <c r="FV144" s="375">
        <v>-1151.8599999999999</v>
      </c>
      <c r="FW144" s="7">
        <f t="shared" si="660"/>
        <v>-4.1508558291492805E-5</v>
      </c>
      <c r="FX144" s="375"/>
      <c r="FY144" s="7">
        <f t="shared" si="980"/>
        <v>0</v>
      </c>
      <c r="FZ144" s="375">
        <v>-1832517.32</v>
      </c>
      <c r="GA144" s="7">
        <f t="shared" si="981"/>
        <v>-6.338491398048803E-3</v>
      </c>
      <c r="GB144" s="375">
        <f>+FV144+FX144+FZ144</f>
        <v>-1833669.1800000002</v>
      </c>
      <c r="GC144" s="7">
        <f t="shared" si="982"/>
        <v>-5.3532996535594068E-3</v>
      </c>
      <c r="GD144" s="375">
        <f t="shared" si="1056"/>
        <v>-9902925.370000001</v>
      </c>
      <c r="GE144" s="7">
        <f t="shared" si="1009"/>
        <v>-8.5989729817726943E-3</v>
      </c>
      <c r="GF144" s="566">
        <f t="shared" si="1057"/>
        <v>0</v>
      </c>
      <c r="GG144" s="525">
        <f t="shared" si="983"/>
        <v>0</v>
      </c>
      <c r="GH144" s="528">
        <f t="shared" si="1058"/>
        <v>0</v>
      </c>
      <c r="GI144" s="525">
        <f t="shared" si="984"/>
        <v>0</v>
      </c>
      <c r="GJ144" s="528"/>
      <c r="GK144" s="525">
        <f t="shared" si="985"/>
        <v>0</v>
      </c>
      <c r="GL144" s="528">
        <f t="shared" si="1059"/>
        <v>-9902925.370000001</v>
      </c>
      <c r="GM144" s="565">
        <f t="shared" si="1012"/>
        <v>-8.5455826867212991E-3</v>
      </c>
      <c r="GO144" s="586"/>
      <c r="GQ144" s="586"/>
      <c r="GT144" s="551">
        <f t="shared" si="558"/>
        <v>-2903652.5109595456</v>
      </c>
      <c r="GU144" s="551">
        <f t="shared" si="1015"/>
        <v>-3401995.2590404539</v>
      </c>
      <c r="GV144" s="550">
        <f t="shared" si="986"/>
        <v>-6305647.7699999996</v>
      </c>
      <c r="GW144" s="527">
        <f>+EZ144*4</f>
        <v>-12374133.08</v>
      </c>
      <c r="GX144" s="525">
        <f t="shared" si="664"/>
        <v>-1.0450110907713809E-2</v>
      </c>
      <c r="GY144" s="528">
        <f>+GW144</f>
        <v>-12374133.08</v>
      </c>
      <c r="GZ144" s="525">
        <f t="shared" si="665"/>
        <v>-1.3745979859789011E-2</v>
      </c>
      <c r="HA144" s="528">
        <f>+GY144</f>
        <v>-12374133.08</v>
      </c>
      <c r="HB144" s="526">
        <f t="shared" si="666"/>
        <v>-1.6998933247926503E-2</v>
      </c>
      <c r="HD144" s="527">
        <v>-12374133.08</v>
      </c>
      <c r="HE144" s="525">
        <v>-1.0416499328433537E-2</v>
      </c>
      <c r="HF144" s="528">
        <v>-12374133.08</v>
      </c>
      <c r="HG144" s="525">
        <v>-1.3745979859789011E-2</v>
      </c>
      <c r="HH144" s="528">
        <v>-12374133.08</v>
      </c>
      <c r="HI144" s="526">
        <v>-1.6998933247926503E-2</v>
      </c>
    </row>
    <row r="145" spans="1:217" ht="15" customHeight="1" outlineLevel="1">
      <c r="A145" s="386" t="s">
        <v>130</v>
      </c>
      <c r="B145" s="386" t="s">
        <v>135</v>
      </c>
      <c r="C145" s="375">
        <v>-1826000</v>
      </c>
      <c r="D145" s="4"/>
      <c r="E145" s="375">
        <v>-1336913</v>
      </c>
      <c r="F145" s="4"/>
      <c r="G145" s="375"/>
      <c r="H145" s="375">
        <v>-3853.04</v>
      </c>
      <c r="I145" s="4"/>
      <c r="J145" s="375"/>
      <c r="K145" s="375">
        <v>-5123.83</v>
      </c>
      <c r="L145" s="4"/>
      <c r="M145" s="375"/>
      <c r="N145" s="375">
        <v>-2657.29</v>
      </c>
      <c r="O145" s="4"/>
      <c r="P145" s="375">
        <f t="shared" si="869"/>
        <v>0</v>
      </c>
      <c r="Q145" s="375">
        <f t="shared" si="869"/>
        <v>-11634.16</v>
      </c>
      <c r="R145" s="7">
        <f t="shared" si="987"/>
        <v>-3.1990033043668612E-4</v>
      </c>
      <c r="S145" s="375">
        <f>-15092.81</f>
        <v>-15092.81</v>
      </c>
      <c r="T145" s="375">
        <f>-15092.81</f>
        <v>-15092.81</v>
      </c>
      <c r="U145" s="4"/>
      <c r="V145" s="375"/>
      <c r="W145" s="375">
        <v>-7507.27</v>
      </c>
      <c r="X145" s="4"/>
      <c r="Y145" s="375">
        <v>-125114.48</v>
      </c>
      <c r="Z145" s="375">
        <v>-18743.509999999998</v>
      </c>
      <c r="AA145" s="4"/>
      <c r="AB145" s="375">
        <f t="shared" si="1024"/>
        <v>-140207.29</v>
      </c>
      <c r="AC145" s="375">
        <f t="shared" si="1060"/>
        <v>-41343.589999999997</v>
      </c>
      <c r="AD145" s="7">
        <f t="shared" si="988"/>
        <v>-1.1147629907601161E-3</v>
      </c>
      <c r="AE145" s="375">
        <f t="shared" si="1026"/>
        <v>-151841.45000000001</v>
      </c>
      <c r="AF145" s="375">
        <f t="shared" si="1027"/>
        <v>-52977.75</v>
      </c>
      <c r="AG145" s="4"/>
      <c r="AH145" s="375">
        <v>-3777.84</v>
      </c>
      <c r="AI145" s="375">
        <v>-3777.84</v>
      </c>
      <c r="AJ145" s="4"/>
      <c r="AK145" s="375">
        <v>-3215.36</v>
      </c>
      <c r="AL145" s="375">
        <v>-3215.36</v>
      </c>
      <c r="AM145" s="4"/>
      <c r="AN145" s="375">
        <v>-3047.73</v>
      </c>
      <c r="AO145" s="375">
        <v>-3047.73</v>
      </c>
      <c r="AP145" s="4"/>
      <c r="AQ145" s="375">
        <f t="shared" si="1028"/>
        <v>-10040.93</v>
      </c>
      <c r="AR145" s="375">
        <f t="shared" si="1029"/>
        <v>-10040.93</v>
      </c>
      <c r="AS145" s="7">
        <f t="shared" si="989"/>
        <v>-3.7715753110980011E-4</v>
      </c>
      <c r="AT145" s="375">
        <f t="shared" si="1030"/>
        <v>-63018.68</v>
      </c>
      <c r="AU145" s="4"/>
      <c r="AV145" s="375">
        <v>-475449.92</v>
      </c>
      <c r="AW145" s="375">
        <v>-2417.94</v>
      </c>
      <c r="AX145" s="4"/>
      <c r="AY145" s="375">
        <v>-475449.92</v>
      </c>
      <c r="AZ145" s="375">
        <v>-3658.25</v>
      </c>
      <c r="BA145" s="4"/>
      <c r="BB145" s="375"/>
      <c r="BC145" s="375">
        <v>-3542.67</v>
      </c>
      <c r="BD145" s="448"/>
      <c r="BE145" s="375">
        <f t="shared" si="1031"/>
        <v>-950899.84</v>
      </c>
      <c r="BF145" s="375">
        <f t="shared" si="1061"/>
        <v>-9618.86</v>
      </c>
      <c r="BG145" s="7">
        <f t="shared" si="990"/>
        <v>-3.0633636535535989E-4</v>
      </c>
      <c r="BH145" s="375">
        <f t="shared" si="1032"/>
        <v>-1112782.22</v>
      </c>
      <c r="BI145" s="388">
        <f t="shared" si="1033"/>
        <v>-72637.540000000008</v>
      </c>
      <c r="BJ145" s="7">
        <f t="shared" si="991"/>
        <v>-5.5247032031684152E-4</v>
      </c>
      <c r="BK145" s="375">
        <v>-2799999.9999999995</v>
      </c>
      <c r="BL145" s="282"/>
      <c r="BN145" s="375">
        <v>-5131.6400000000003</v>
      </c>
      <c r="BO145" s="4"/>
      <c r="BP145" s="375">
        <v>-6129.62</v>
      </c>
      <c r="BQ145" s="4"/>
      <c r="BR145" s="375">
        <v>-7844.29</v>
      </c>
      <c r="BS145" s="4"/>
      <c r="BT145" s="375">
        <f t="shared" si="1034"/>
        <v>-19105.55</v>
      </c>
      <c r="BU145" s="7">
        <f t="shared" si="992"/>
        <v>-3.5240013418531233E-4</v>
      </c>
      <c r="BV145" s="375">
        <v>-1481.65</v>
      </c>
      <c r="BW145" s="7"/>
      <c r="BX145" s="375">
        <v>-605.33000000000004</v>
      </c>
      <c r="BY145" s="7"/>
      <c r="BZ145" s="375">
        <v>-3153.5</v>
      </c>
      <c r="CA145" s="7"/>
      <c r="CB145" s="375">
        <f t="shared" si="1035"/>
        <v>-5240.4799999999996</v>
      </c>
      <c r="CC145" s="7">
        <f t="shared" si="534"/>
        <v>-1.5303813077253883E-4</v>
      </c>
      <c r="CD145" s="375">
        <f t="shared" si="1036"/>
        <v>-24346.03</v>
      </c>
      <c r="CE145" s="7">
        <f t="shared" si="993"/>
        <v>-2.752255358626723E-4</v>
      </c>
      <c r="CF145" s="375">
        <v>-3121.82</v>
      </c>
      <c r="CG145" s="7">
        <f t="shared" si="994"/>
        <v>-6.1807272426983866E-4</v>
      </c>
      <c r="CH145" s="375">
        <v>-5550.3</v>
      </c>
      <c r="CI145" s="7">
        <f t="shared" si="994"/>
        <v>-1.4968361870033536E-4</v>
      </c>
      <c r="CJ145" s="375">
        <v>-3295</v>
      </c>
      <c r="CK145" s="7">
        <f t="shared" si="994"/>
        <v>-1.1700044213100005E-4</v>
      </c>
      <c r="CL145" s="375">
        <f t="shared" si="1037"/>
        <v>-11967.12</v>
      </c>
      <c r="CM145" s="7">
        <f t="shared" si="994"/>
        <v>-1.7024530812882139E-4</v>
      </c>
      <c r="CN145" s="375">
        <f t="shared" si="1038"/>
        <v>-36313.15</v>
      </c>
      <c r="CO145" s="7">
        <f t="shared" si="639"/>
        <v>-2.2874156954673681E-4</v>
      </c>
      <c r="CP145" s="472">
        <v>-7228.66</v>
      </c>
      <c r="CQ145" s="7">
        <f t="shared" si="967"/>
        <v>-3.6899565430953304E-4</v>
      </c>
      <c r="CR145" s="375">
        <f>+CN145+CP145</f>
        <v>-43541.81</v>
      </c>
      <c r="CS145" s="7">
        <f t="shared" si="641"/>
        <v>-2.4414787618721811E-4</v>
      </c>
      <c r="CT145" s="375">
        <v>-4008.29</v>
      </c>
      <c r="CU145" s="7">
        <f t="shared" ref="CU145" si="1073">+CT145/CT$8</f>
        <v>-2.5588186516317088E-4</v>
      </c>
      <c r="CV145" s="375">
        <v>-28700.46</v>
      </c>
      <c r="CW145" s="7">
        <f t="shared" ref="CW145" si="1074">+CV145/CV$8</f>
        <v>-4.5868656118707064E-4</v>
      </c>
      <c r="CX145" s="375">
        <f t="shared" si="1041"/>
        <v>-39937.410000000003</v>
      </c>
      <c r="CY145" s="7">
        <f t="shared" si="969"/>
        <v>-4.0825082001398508E-4</v>
      </c>
      <c r="CZ145" s="375">
        <f t="shared" si="1042"/>
        <v>-76250.559999999998</v>
      </c>
      <c r="DA145" s="7">
        <f t="shared" si="997"/>
        <v>-2.9718330950355448E-4</v>
      </c>
      <c r="DB145" s="375">
        <v>-6449.98</v>
      </c>
      <c r="DC145" s="7">
        <f t="shared" si="642"/>
        <v>-3.3600106031219659E-4</v>
      </c>
      <c r="DD145" s="375">
        <v>-10067.620000000001</v>
      </c>
      <c r="DE145" s="7">
        <f t="shared" si="642"/>
        <v>-3.8770510679953798E-4</v>
      </c>
      <c r="DF145" s="72">
        <v>-14318.14</v>
      </c>
      <c r="DG145" s="7">
        <f t="shared" si="642"/>
        <v>-4.6157474722673342E-4</v>
      </c>
      <c r="DH145" s="375">
        <f t="shared" si="1043"/>
        <v>-30835.739999999998</v>
      </c>
      <c r="DI145" s="7">
        <f t="shared" si="970"/>
        <v>-4.0475499747721352E-4</v>
      </c>
      <c r="DJ145" s="375">
        <v>-375000.00000000006</v>
      </c>
      <c r="DK145" s="7">
        <f t="shared" si="643"/>
        <v>-7.1300788211212818E-3</v>
      </c>
      <c r="DL145" s="72">
        <v>-16083.79</v>
      </c>
      <c r="DM145" s="7">
        <f t="shared" si="644"/>
        <v>-1.8542565974556586E-3</v>
      </c>
      <c r="DN145" s="72">
        <v>-17992.14</v>
      </c>
      <c r="DO145" s="7">
        <f t="shared" si="645"/>
        <v>-1.0484526611171188E-3</v>
      </c>
      <c r="DP145" s="72">
        <v>-8062.99</v>
      </c>
      <c r="DQ145" s="7">
        <f t="shared" si="646"/>
        <v>-9.6096080586012347E-5</v>
      </c>
      <c r="DR145" s="375">
        <f t="shared" ref="DR145" si="1075">+DL145+DN145+DP145</f>
        <v>-42138.92</v>
      </c>
      <c r="DS145" s="7">
        <f t="shared" si="971"/>
        <v>-3.8398818809085082E-4</v>
      </c>
      <c r="DT145" s="375">
        <f t="shared" si="1045"/>
        <v>-72974.66</v>
      </c>
      <c r="DU145" s="7">
        <f t="shared" si="998"/>
        <v>-3.9249754613841591E-4</v>
      </c>
      <c r="DV145" s="375">
        <v>-16878.29</v>
      </c>
      <c r="DW145" s="7">
        <f t="shared" si="647"/>
        <v>-3.7081041727492805E-4</v>
      </c>
      <c r="DX145" s="375">
        <v>-19284.349999999999</v>
      </c>
      <c r="DY145" s="7">
        <f t="shared" si="856"/>
        <v>-7.4593858857083175E-4</v>
      </c>
      <c r="DZ145" s="375">
        <v>-5664.01</v>
      </c>
      <c r="EA145" s="7">
        <f t="shared" si="649"/>
        <v>-4.62960036091843E-5</v>
      </c>
      <c r="EB145" s="375">
        <f t="shared" ref="EB145" si="1076">+DV145+DX145+DZ145</f>
        <v>-41826.65</v>
      </c>
      <c r="EC145" s="7">
        <f t="shared" si="972"/>
        <v>-2.1592054448071199E-4</v>
      </c>
      <c r="ED145" s="375">
        <f t="shared" si="1047"/>
        <v>-114801.31</v>
      </c>
      <c r="EE145" s="7">
        <f t="shared" si="999"/>
        <v>-3.0239756508116164E-4</v>
      </c>
      <c r="EF145" s="375">
        <v>-9535.1200000000008</v>
      </c>
      <c r="EG145" s="7">
        <f t="shared" si="650"/>
        <v>-6.4528147443576676E-4</v>
      </c>
      <c r="EH145" s="375">
        <v>-16907.98</v>
      </c>
      <c r="EI145" s="7">
        <f t="shared" si="857"/>
        <v>-1.3262557763329458E-3</v>
      </c>
      <c r="EJ145" s="375">
        <v>-23121.58</v>
      </c>
      <c r="EK145" s="7">
        <f t="shared" si="652"/>
        <v>-1.4806051740491962E-4</v>
      </c>
      <c r="EL145" s="375">
        <f t="shared" ref="EL145" si="1077">+EF145+EH145+EJ145</f>
        <v>-49564.68</v>
      </c>
      <c r="EM145" s="7">
        <f t="shared" si="973"/>
        <v>-2.698302463426405E-4</v>
      </c>
      <c r="EN145" s="375">
        <f t="shared" si="1049"/>
        <v>-164365.99</v>
      </c>
      <c r="EO145" s="7">
        <f t="shared" si="1000"/>
        <v>-2.91778058186727E-4</v>
      </c>
      <c r="EP145" s="373"/>
      <c r="EQ145" s="373"/>
      <c r="ER145" s="373"/>
      <c r="ES145" s="373"/>
      <c r="ET145" s="375">
        <v>-12294.95</v>
      </c>
      <c r="EU145" s="7">
        <f t="shared" si="653"/>
        <v>-1.6669040766203716E-3</v>
      </c>
      <c r="EV145" s="375">
        <v>-17865.37</v>
      </c>
      <c r="EW145" s="7">
        <f t="shared" si="858"/>
        <v>-2.9314308003621729E-3</v>
      </c>
      <c r="EX145" s="375">
        <v>-4291.1099999999997</v>
      </c>
      <c r="EY145" s="7">
        <f t="shared" si="655"/>
        <v>-1.879698913658187E-5</v>
      </c>
      <c r="EZ145" s="375">
        <f t="shared" ref="EZ145" si="1078">+ET145+EV145+EX145</f>
        <v>-34451.43</v>
      </c>
      <c r="FA145" s="7">
        <f t="shared" si="974"/>
        <v>-1.4250411971347755E-4</v>
      </c>
      <c r="FB145" s="375">
        <v>-28512.78</v>
      </c>
      <c r="FC145" s="7">
        <f t="shared" si="656"/>
        <v>-3.1464274814515299E-3</v>
      </c>
      <c r="FD145" s="375">
        <v>-15153.1</v>
      </c>
      <c r="FE145" s="7">
        <f t="shared" si="612"/>
        <v>-1.4396734656899152E-4</v>
      </c>
      <c r="FF145" s="375">
        <v>-3793.58</v>
      </c>
      <c r="FG145" s="7">
        <f t="shared" si="975"/>
        <v>-2.3609266063386486E-5</v>
      </c>
      <c r="FH145" s="375">
        <f t="shared" ref="FH145" si="1079">+FB145+FD145+FF145</f>
        <v>-47459.46</v>
      </c>
      <c r="FI145" s="7">
        <f t="shared" si="976"/>
        <v>-1.7258141790090027E-4</v>
      </c>
      <c r="FJ145" s="375">
        <f t="shared" si="1052"/>
        <v>-81910.89</v>
      </c>
      <c r="FK145" s="7">
        <f t="shared" si="1003"/>
        <v>-1.5851012454175747E-4</v>
      </c>
      <c r="FL145" s="375">
        <v>-35858.01</v>
      </c>
      <c r="FM145" s="7">
        <f t="shared" si="658"/>
        <v>-3.2794020102002563E-3</v>
      </c>
      <c r="FN145" s="375">
        <v>-17662.7</v>
      </c>
      <c r="FO145" s="7">
        <f t="shared" si="977"/>
        <v>-3.6966529134875871E-3</v>
      </c>
      <c r="FP145" s="375">
        <v>-30334.18</v>
      </c>
      <c r="FQ145" s="7">
        <f t="shared" si="978"/>
        <v>-1.0965117018740559E-4</v>
      </c>
      <c r="FR145" s="375">
        <f t="shared" ref="FR145" si="1080">+FL145+FN145+FP145</f>
        <v>-83854.890000000014</v>
      </c>
      <c r="FS145" s="7">
        <f t="shared" si="979"/>
        <v>-2.868256749691705E-4</v>
      </c>
      <c r="FT145" s="375">
        <f t="shared" si="1054"/>
        <v>-165765.78000000003</v>
      </c>
      <c r="FU145" s="7">
        <f t="shared" si="1006"/>
        <v>-2.0487426151524012E-4</v>
      </c>
      <c r="FV145" s="375">
        <v>-11436.91</v>
      </c>
      <c r="FW145" s="7">
        <f t="shared" si="660"/>
        <v>-4.1214179276088849E-4</v>
      </c>
      <c r="FX145" s="375">
        <v>-17682.330000000002</v>
      </c>
      <c r="FY145" s="7">
        <f t="shared" si="980"/>
        <v>-6.887969581508347E-4</v>
      </c>
      <c r="FZ145" s="375">
        <v>-20585.68</v>
      </c>
      <c r="GA145" s="7">
        <f t="shared" si="981"/>
        <v>-7.120377754628005E-5</v>
      </c>
      <c r="GB145" s="375">
        <f t="shared" ref="GB145" si="1081">+FV145+FX145+FZ145</f>
        <v>-49704.92</v>
      </c>
      <c r="GC145" s="7">
        <f t="shared" si="982"/>
        <v>-1.4511087055310489E-4</v>
      </c>
      <c r="GD145" s="375">
        <f t="shared" si="1056"/>
        <v>-215470.7</v>
      </c>
      <c r="GE145" s="7">
        <f t="shared" si="1009"/>
        <v>-1.870989286940016E-4</v>
      </c>
      <c r="GF145" s="566">
        <f t="shared" si="1057"/>
        <v>0</v>
      </c>
      <c r="GG145" s="525">
        <f t="shared" si="983"/>
        <v>0</v>
      </c>
      <c r="GH145" s="528">
        <f t="shared" si="1058"/>
        <v>0</v>
      </c>
      <c r="GI145" s="525">
        <f t="shared" si="984"/>
        <v>0</v>
      </c>
      <c r="GJ145" s="528"/>
      <c r="GK145" s="525">
        <f t="shared" si="985"/>
        <v>0</v>
      </c>
      <c r="GL145" s="528">
        <f t="shared" si="1059"/>
        <v>-215470.7</v>
      </c>
      <c r="GM145" s="565">
        <f t="shared" si="1012"/>
        <v>-1.8593724728996103E-4</v>
      </c>
      <c r="GO145" s="586"/>
      <c r="GQ145" s="586"/>
      <c r="GT145" s="551">
        <f t="shared" si="558"/>
        <v>-25738.697973476716</v>
      </c>
      <c r="GU145" s="551">
        <f t="shared" si="1015"/>
        <v>-30156.13202652329</v>
      </c>
      <c r="GV145" s="550">
        <f t="shared" si="986"/>
        <v>-55894.83</v>
      </c>
      <c r="GW145" s="527">
        <f>+EZ145*4</f>
        <v>-137805.72</v>
      </c>
      <c r="GX145" s="525">
        <f t="shared" si="664"/>
        <v>-1.1637866252181562E-4</v>
      </c>
      <c r="GY145" s="528">
        <f>+GW145</f>
        <v>-137805.72</v>
      </c>
      <c r="GZ145" s="525">
        <f t="shared" si="665"/>
        <v>-1.5308342325373825E-4</v>
      </c>
      <c r="HA145" s="528">
        <f>+GY145</f>
        <v>-137805.72</v>
      </c>
      <c r="HB145" s="526">
        <f t="shared" si="666"/>
        <v>-1.8931025069131148E-4</v>
      </c>
      <c r="HD145" s="527">
        <v>-137805.72</v>
      </c>
      <c r="HE145" s="525">
        <v>-1.1600434394506286E-4</v>
      </c>
      <c r="HF145" s="528">
        <v>-137805.72</v>
      </c>
      <c r="HG145" s="525">
        <v>-1.5308342325373825E-4</v>
      </c>
      <c r="HH145" s="528">
        <v>-137805.72</v>
      </c>
      <c r="HI145" s="526">
        <v>-1.8931025069131148E-4</v>
      </c>
    </row>
    <row r="146" spans="1:217" ht="15" customHeight="1">
      <c r="A146" s="386" t="s">
        <v>130</v>
      </c>
      <c r="B146" s="386"/>
      <c r="C146" s="389">
        <f>SUM(C140:C145)</f>
        <v>-1826000</v>
      </c>
      <c r="D146" s="4"/>
      <c r="E146" s="389">
        <f>SUM(E140:E145)</f>
        <v>-1336913</v>
      </c>
      <c r="F146" s="4"/>
      <c r="G146" s="389">
        <f>SUM(G140:G145)</f>
        <v>-166666.67000000001</v>
      </c>
      <c r="H146" s="389">
        <f>SUM(H140:H145)</f>
        <v>-12008.99</v>
      </c>
      <c r="I146" s="4"/>
      <c r="J146" s="389">
        <f>SUM(J140:J145)</f>
        <v>-166666.67000000001</v>
      </c>
      <c r="K146" s="389">
        <f>SUM(K140:K145)</f>
        <v>-15214.25</v>
      </c>
      <c r="L146" s="4"/>
      <c r="M146" s="389">
        <f>SUM(M140:M145)</f>
        <v>-166666.67000000001</v>
      </c>
      <c r="N146" s="389">
        <f>SUM(N140:N145)</f>
        <v>-207625.78</v>
      </c>
      <c r="O146" s="4"/>
      <c r="P146" s="389">
        <f t="shared" si="869"/>
        <v>-500000.01</v>
      </c>
      <c r="Q146" s="389">
        <f t="shared" si="869"/>
        <v>-234849.02</v>
      </c>
      <c r="R146" s="7">
        <f t="shared" si="987"/>
        <v>-6.4575593855277823E-3</v>
      </c>
      <c r="S146" s="389">
        <f>SUM(S140:S145)</f>
        <v>-32581.919999999998</v>
      </c>
      <c r="T146" s="389">
        <f>SUM(T140:T145)</f>
        <v>-32581.919999999998</v>
      </c>
      <c r="U146" s="4"/>
      <c r="V146" s="389">
        <f>SUM(V140:V145)</f>
        <v>-8783.24</v>
      </c>
      <c r="W146" s="389">
        <f>SUM(W140:W145)</f>
        <v>-8783.24</v>
      </c>
      <c r="X146" s="4"/>
      <c r="Y146" s="389">
        <f>SUM(Y140:Y145)</f>
        <v>-137277.38</v>
      </c>
      <c r="Z146" s="389">
        <f>SUM(Z140:Z145)</f>
        <v>-137277.38</v>
      </c>
      <c r="AA146" s="4"/>
      <c r="AB146" s="389">
        <f>SUM(AB140:AB145)</f>
        <v>-178642.54</v>
      </c>
      <c r="AC146" s="389">
        <f>SUM(AC140:AC145)</f>
        <v>-178642.54</v>
      </c>
      <c r="AD146" s="7">
        <f t="shared" si="988"/>
        <v>-4.8168069625154396E-3</v>
      </c>
      <c r="AE146" s="389">
        <f>SUM(AE140:AE145)</f>
        <v>-413491.56000000006</v>
      </c>
      <c r="AF146" s="389">
        <f>SUM(AF140:AF145)</f>
        <v>-413491.56000000006</v>
      </c>
      <c r="AG146" s="4"/>
      <c r="AH146" s="389">
        <f>SUM(AH140:AH145)</f>
        <v>-11768.84</v>
      </c>
      <c r="AI146" s="389">
        <f>SUM(AI140:AI145)</f>
        <v>-11768.84</v>
      </c>
      <c r="AJ146" s="4"/>
      <c r="AK146" s="389">
        <f>SUM(AK140:AK145)</f>
        <v>-876238.88</v>
      </c>
      <c r="AL146" s="389">
        <f>SUM(AL140:AL145)</f>
        <v>-876238.88</v>
      </c>
      <c r="AM146" s="4"/>
      <c r="AN146" s="389">
        <f>SUM(AN140:AN145)</f>
        <v>102533.01000000001</v>
      </c>
      <c r="AO146" s="389">
        <f>SUM(AO140:AO145)</f>
        <v>102533.01000000001</v>
      </c>
      <c r="AP146" s="4"/>
      <c r="AQ146" s="389">
        <f>SUM(AQ140:AQ145)</f>
        <v>-785474.71000000008</v>
      </c>
      <c r="AR146" s="389">
        <f>SUM(AR140:AR145)</f>
        <v>-785474.71000000008</v>
      </c>
      <c r="AS146" s="7">
        <f t="shared" si="989"/>
        <v>-2.9504010323026474E-2</v>
      </c>
      <c r="AT146" s="389">
        <f>SUM(AT140:AT145)</f>
        <v>-1198966.27</v>
      </c>
      <c r="AU146" s="4"/>
      <c r="AV146" s="389">
        <f>SUM(AV140:AV145)</f>
        <v>-525118.21</v>
      </c>
      <c r="AW146" s="389">
        <f>SUM(AW140:AW145)</f>
        <v>-439131.37</v>
      </c>
      <c r="AX146" s="4"/>
      <c r="AY146" s="389">
        <f>SUM(AY140:AY145)</f>
        <v>-525118.21</v>
      </c>
      <c r="AZ146" s="389">
        <f>SUM(AZ140:AZ145)</f>
        <v>-438706.93</v>
      </c>
      <c r="BA146" s="4"/>
      <c r="BB146" s="389">
        <f>SUM(BB140:BB145)</f>
        <v>-166666.67000000001</v>
      </c>
      <c r="BC146" s="389">
        <f>SUM(BC140:BC145)</f>
        <v>-76534.81</v>
      </c>
      <c r="BD146" s="448"/>
      <c r="BE146" s="389">
        <f>SUM(BE140:BE145)</f>
        <v>-1216903.0899999999</v>
      </c>
      <c r="BF146" s="389">
        <f>SUM(BF140:BF145)</f>
        <v>-954373.11</v>
      </c>
      <c r="BG146" s="7">
        <f t="shared" si="990"/>
        <v>-3.0394369988781523E-2</v>
      </c>
      <c r="BH146" s="389">
        <f>SUM(BH140:BH145)</f>
        <v>-2415869.3600000003</v>
      </c>
      <c r="BI146" s="389">
        <f>SUM(BI140:BI145)</f>
        <v>-2153339.38</v>
      </c>
      <c r="BJ146" s="7">
        <f t="shared" si="991"/>
        <v>-1.6377978893826368E-2</v>
      </c>
      <c r="BK146" s="389">
        <v>-2799999.9999999995</v>
      </c>
      <c r="BL146" s="282"/>
      <c r="BN146" s="389">
        <f>SUM(BN140:BN145)</f>
        <v>-9502.7999999999993</v>
      </c>
      <c r="BO146" s="4"/>
      <c r="BP146" s="389">
        <f>SUM(BP140:BP145)</f>
        <v>-50296.9</v>
      </c>
      <c r="BQ146" s="4"/>
      <c r="BR146" s="389">
        <f>SUM(BR140:BR145)</f>
        <v>-444340.16</v>
      </c>
      <c r="BS146" s="4"/>
      <c r="BT146" s="389">
        <f>SUM(BT140:BT145)</f>
        <v>-504139.85999999993</v>
      </c>
      <c r="BU146" s="7">
        <f t="shared" si="992"/>
        <v>-9.2988139211990523E-3</v>
      </c>
      <c r="BV146" s="389">
        <f>SUM(BV140:BV145)</f>
        <v>-5397.96</v>
      </c>
      <c r="BW146" s="7"/>
      <c r="BX146" s="389">
        <f>SUM(BX140:BX145)</f>
        <v>-2151.06</v>
      </c>
      <c r="BY146" s="7"/>
      <c r="BZ146" s="389">
        <f>SUM(BZ140:BZ145)</f>
        <v>-96781.28</v>
      </c>
      <c r="CA146" s="7"/>
      <c r="CB146" s="389">
        <f>SUM(CB140:CB145)</f>
        <v>-104330.29999999999</v>
      </c>
      <c r="CC146" s="7">
        <f t="shared" si="534"/>
        <v>-3.0467655815761547E-3</v>
      </c>
      <c r="CD146" s="389">
        <f>SUM(CD140:CD145)</f>
        <v>-608470.15999999992</v>
      </c>
      <c r="CE146" s="7">
        <f t="shared" si="993"/>
        <v>-6.87859687359483E-3</v>
      </c>
      <c r="CF146" s="389">
        <f>SUM(CF140:CF145)</f>
        <v>-163489.97999999998</v>
      </c>
      <c r="CG146" s="7">
        <f t="shared" si="994"/>
        <v>-3.2368521352743408E-2</v>
      </c>
      <c r="CH146" s="389">
        <f>SUM(CH140:CH145)</f>
        <v>-166048.19999999998</v>
      </c>
      <c r="CI146" s="7">
        <f t="shared" si="994"/>
        <v>-4.4780814468906227E-3</v>
      </c>
      <c r="CJ146" s="389">
        <f>SUM(CJ140:CJ145)</f>
        <v>157362.38000000006</v>
      </c>
      <c r="CK146" s="7">
        <f t="shared" si="994"/>
        <v>5.5876989483418654E-3</v>
      </c>
      <c r="CL146" s="389">
        <f>SUM(CL140:CL145)</f>
        <v>-172175.7999999999</v>
      </c>
      <c r="CM146" s="7">
        <f>+CL146/CL$8</f>
        <v>-2.4493881671886221E-3</v>
      </c>
      <c r="CN146" s="389">
        <f>SUM(CN140:CN145)</f>
        <v>-780645.95999999985</v>
      </c>
      <c r="CO146" s="7">
        <f t="shared" si="639"/>
        <v>-4.9173972004829952E-3</v>
      </c>
      <c r="CP146" s="389">
        <f>SUM(CP140:CP145)</f>
        <v>-1112752.26</v>
      </c>
      <c r="CQ146" s="7">
        <f t="shared" si="967"/>
        <v>-5.6801779065983417E-2</v>
      </c>
      <c r="CR146" s="389">
        <f>SUM(CR140:CR145)</f>
        <v>-1893398.22</v>
      </c>
      <c r="CS146" s="7">
        <f t="shared" si="641"/>
        <v>-1.0616672898753158E-2</v>
      </c>
      <c r="CT146" s="389">
        <f t="shared" ref="CT146" si="1082">SUM(CT140:CT145)</f>
        <v>-1147621.9500000002</v>
      </c>
      <c r="CU146" s="7">
        <f t="shared" si="611"/>
        <v>-7.3262075615336042E-2</v>
      </c>
      <c r="CV146" s="389">
        <f t="shared" ref="CV146" si="1083">SUM(CV140:CV145)</f>
        <v>-1033790.45</v>
      </c>
      <c r="CW146" s="7">
        <f t="shared" si="968"/>
        <v>-1.6521888028921291E-2</v>
      </c>
      <c r="CX146" s="389">
        <f>SUM(CX140:CX145)</f>
        <v>-3294164.66</v>
      </c>
      <c r="CY146" s="7">
        <f t="shared" si="969"/>
        <v>-3.3673826713001426E-2</v>
      </c>
      <c r="CZ146" s="389">
        <f>SUM(CZ140:CZ145)</f>
        <v>-4074810.62</v>
      </c>
      <c r="DA146" s="7">
        <f t="shared" si="997"/>
        <v>-1.5881400813998359E-2</v>
      </c>
      <c r="DB146" s="389">
        <f>SUM(DB140:DB145)</f>
        <v>-16651.189999999999</v>
      </c>
      <c r="DC146" s="7">
        <f t="shared" si="642"/>
        <v>-8.6741625485037852E-4</v>
      </c>
      <c r="DD146" s="389">
        <f>SUM(DD140:DD145)</f>
        <v>-46140.950000000004</v>
      </c>
      <c r="DE146" s="7">
        <f t="shared" si="642"/>
        <v>-1.7768928453380383E-3</v>
      </c>
      <c r="DF146" s="389">
        <f>SUM(DF140:DF145)</f>
        <v>-1122367.8399999999</v>
      </c>
      <c r="DG146" s="7">
        <f t="shared" si="642"/>
        <v>-3.6181840102374657E-2</v>
      </c>
      <c r="DH146" s="389">
        <f>SUM(DH140:DH145)</f>
        <v>-1185159.98</v>
      </c>
      <c r="DI146" s="7">
        <f t="shared" si="970"/>
        <v>-1.5556604923864141E-2</v>
      </c>
      <c r="DJ146" s="389">
        <f>SUM(DJ140:DJ145)</f>
        <v>-375000.00000000006</v>
      </c>
      <c r="DK146" s="7">
        <f t="shared" si="643"/>
        <v>-7.1300788211212818E-3</v>
      </c>
      <c r="DL146" s="389">
        <f>SUM(DL140:DL145)</f>
        <v>-160593.98000000001</v>
      </c>
      <c r="DM146" s="7">
        <f t="shared" si="644"/>
        <v>-1.8514445098242523E-2</v>
      </c>
      <c r="DN146" s="389">
        <f>SUM(DN140:DN145)</f>
        <v>-28707.39</v>
      </c>
      <c r="DO146" s="7">
        <f t="shared" si="645"/>
        <v>-1.6728604512429852E-3</v>
      </c>
      <c r="DP146" s="389">
        <f>SUM(DP140:DP145)</f>
        <v>-1109291.8699999999</v>
      </c>
      <c r="DQ146" s="7">
        <f t="shared" si="646"/>
        <v>-1.3220728406326725E-2</v>
      </c>
      <c r="DR146" s="389">
        <f>SUM(DR140:DR145)</f>
        <v>-1298593.24</v>
      </c>
      <c r="DS146" s="7">
        <f t="shared" si="971"/>
        <v>-1.1833347064771176E-2</v>
      </c>
      <c r="DT146" s="389">
        <f>SUM(DT140:DT145)</f>
        <v>-2483753.2200000002</v>
      </c>
      <c r="DU146" s="7">
        <f t="shared" si="998"/>
        <v>-1.3358980282517098E-2</v>
      </c>
      <c r="DV146" s="389">
        <f>SUM(DV140:DV145)</f>
        <v>18857.75</v>
      </c>
      <c r="DW146" s="7">
        <f t="shared" si="647"/>
        <v>4.1429849507066617E-4</v>
      </c>
      <c r="DX146" s="389">
        <f>SUM(DX140:DX145)</f>
        <v>-38778.879999999997</v>
      </c>
      <c r="DY146" s="7">
        <f t="shared" si="856"/>
        <v>-1.5000071567648199E-3</v>
      </c>
      <c r="DZ146" s="389">
        <f>SUM(DZ140:DZ145)</f>
        <v>-1104321.73</v>
      </c>
      <c r="EA146" s="7">
        <f t="shared" si="649"/>
        <v>-9.0264111111704685E-3</v>
      </c>
      <c r="EB146" s="389">
        <f>SUM(EB140:EB145)</f>
        <v>-1124242.8599999999</v>
      </c>
      <c r="EC146" s="7">
        <f t="shared" si="972"/>
        <v>-5.8036474462992574E-3</v>
      </c>
      <c r="ED146" s="389">
        <f>SUM(ED140:ED145)</f>
        <v>-3607996.0799999996</v>
      </c>
      <c r="EE146" s="7">
        <f t="shared" si="999"/>
        <v>-9.5038046988695155E-3</v>
      </c>
      <c r="EF146" s="389">
        <f>SUM(EF140:EF145)</f>
        <v>-165501.63</v>
      </c>
      <c r="EG146" s="7">
        <f t="shared" si="650"/>
        <v>-1.1200187918759567E-2</v>
      </c>
      <c r="EH146" s="389">
        <f>SUM(EH140:EH145)</f>
        <v>-22993.48</v>
      </c>
      <c r="EI146" s="7">
        <f t="shared" si="857"/>
        <v>-1.8036001738821585E-3</v>
      </c>
      <c r="EJ146" s="389">
        <f>SUM(EJ140:EJ145)</f>
        <v>-3373126.5100000002</v>
      </c>
      <c r="EK146" s="7">
        <f t="shared" si="652"/>
        <v>-2.1600031500565737E-2</v>
      </c>
      <c r="EL146" s="389">
        <f>SUM(EL140:EL145)</f>
        <v>-3561621.62</v>
      </c>
      <c r="EM146" s="7">
        <f t="shared" si="973"/>
        <v>-1.9389477327481471E-2</v>
      </c>
      <c r="EN146" s="389">
        <f>SUM(EN140:EN145)</f>
        <v>-7169617.7000000002</v>
      </c>
      <c r="EO146" s="7">
        <f t="shared" si="1000"/>
        <v>-1.2727311352227964E-2</v>
      </c>
      <c r="EP146" s="373"/>
      <c r="EQ146" s="373"/>
      <c r="ER146" s="373"/>
      <c r="ES146" s="373"/>
      <c r="ET146" s="389">
        <f>SUM(ET140:ET145)</f>
        <v>-55490.270000000004</v>
      </c>
      <c r="EU146" s="7">
        <f t="shared" si="653"/>
        <v>-7.5231666070838116E-3</v>
      </c>
      <c r="EV146" s="389">
        <f>SUM(EV140:EV145)</f>
        <v>-30737.309999999998</v>
      </c>
      <c r="EW146" s="7">
        <f t="shared" si="858"/>
        <v>-5.043516997088794E-3</v>
      </c>
      <c r="EX146" s="389">
        <f>SUM(EX140:EX145)</f>
        <v>-3304052.73</v>
      </c>
      <c r="EY146" s="7">
        <f t="shared" si="655"/>
        <v>-1.4473234960768584E-2</v>
      </c>
      <c r="EZ146" s="389">
        <f>SUM(EZ140:EZ145)</f>
        <v>-3390280.31</v>
      </c>
      <c r="FA146" s="7">
        <f t="shared" si="974"/>
        <v>-1.402347917513107E-2</v>
      </c>
      <c r="FB146" s="389">
        <f>SUM(FB140:FB145)</f>
        <v>-87908.87</v>
      </c>
      <c r="FC146" s="7">
        <f t="shared" si="656"/>
        <v>-9.7008739390318979E-3</v>
      </c>
      <c r="FD146" s="389">
        <f t="shared" ref="FD146" si="1084">SUM(FD140:FD145)</f>
        <v>-223400.22000000003</v>
      </c>
      <c r="FE146" s="7">
        <f t="shared" si="612"/>
        <v>-2.1224922224712408E-3</v>
      </c>
      <c r="FF146" s="389">
        <f t="shared" ref="FF146" si="1085">SUM(FF140:FF145)</f>
        <v>-3054103.04</v>
      </c>
      <c r="FG146" s="7">
        <f t="shared" si="975"/>
        <v>-1.9007146615164963E-2</v>
      </c>
      <c r="FH146" s="389">
        <f>SUM(FH140:FH145)</f>
        <v>-3365412.13</v>
      </c>
      <c r="FI146" s="7">
        <f t="shared" si="976"/>
        <v>-1.2237973150480197E-2</v>
      </c>
      <c r="FJ146" s="389">
        <f>SUM(FJ140:FJ145)</f>
        <v>-6755692.4400000004</v>
      </c>
      <c r="FK146" s="7">
        <f t="shared" si="1003"/>
        <v>-1.3073300143976088E-2</v>
      </c>
      <c r="FL146" s="389">
        <f>SUM(FL140:FL145)</f>
        <v>-117568.42000000001</v>
      </c>
      <c r="FM146" s="7">
        <f t="shared" si="658"/>
        <v>-1.0752245115779376E-2</v>
      </c>
      <c r="FN146" s="389">
        <f t="shared" ref="FN146" si="1086">SUM(FN140:FN145)</f>
        <v>-23807.66</v>
      </c>
      <c r="FO146" s="7">
        <f t="shared" si="977"/>
        <v>-4.9827407872138395E-3</v>
      </c>
      <c r="FP146" s="389">
        <f t="shared" ref="FP146" si="1087">SUM(FP140:FP145)</f>
        <v>-2189740.5</v>
      </c>
      <c r="FQ146" s="7">
        <f t="shared" si="978"/>
        <v>-7.9154145004662925E-3</v>
      </c>
      <c r="FR146" s="389">
        <f>SUM(FR140:FR145)</f>
        <v>-2331116.58</v>
      </c>
      <c r="FS146" s="7">
        <f t="shared" si="979"/>
        <v>-7.9735849214079731E-3</v>
      </c>
      <c r="FT146" s="389">
        <f>SUM(FT140:FT145)</f>
        <v>-9086809.0199999996</v>
      </c>
      <c r="FU146" s="7">
        <f t="shared" si="1006"/>
        <v>-1.12306248461083E-2</v>
      </c>
      <c r="FV146" s="389">
        <f>SUM(FV140:FV145)</f>
        <v>-79939.150000000009</v>
      </c>
      <c r="FW146" s="7">
        <f t="shared" si="660"/>
        <v>-2.8806963238131264E-3</v>
      </c>
      <c r="FX146" s="389">
        <f t="shared" ref="FX146" si="1088">SUM(FX140:FX145)</f>
        <v>-38443.730000000003</v>
      </c>
      <c r="FY146" s="7">
        <f t="shared" si="980"/>
        <v>-1.4975359177196662E-3</v>
      </c>
      <c r="FZ146" s="389">
        <f t="shared" ref="FZ146" si="1089">SUM(FZ140:FZ145)</f>
        <v>-1976183.69</v>
      </c>
      <c r="GA146" s="7">
        <f t="shared" si="981"/>
        <v>-6.8354187888545262E-3</v>
      </c>
      <c r="GB146" s="389">
        <f>SUM(GB140:GB145)</f>
        <v>-2094566.57</v>
      </c>
      <c r="GC146" s="7">
        <f t="shared" si="982"/>
        <v>-6.1149757087252312E-3</v>
      </c>
      <c r="GD146" s="389">
        <f>SUM(GD140:GD145)</f>
        <v>-11181375.59</v>
      </c>
      <c r="GE146" s="7">
        <f t="shared" si="1009"/>
        <v>-9.7090852455311086E-3</v>
      </c>
      <c r="GF146" s="567">
        <f t="shared" ref="GF146:GL146" si="1090">SUM(GF140:GF145)</f>
        <v>0</v>
      </c>
      <c r="GG146" s="525">
        <f t="shared" si="983"/>
        <v>0</v>
      </c>
      <c r="GH146" s="530">
        <f t="shared" ref="GH146:GJ146" si="1091">SUM(GH140:GH145)</f>
        <v>0</v>
      </c>
      <c r="GI146" s="525">
        <f t="shared" si="984"/>
        <v>0</v>
      </c>
      <c r="GJ146" s="530">
        <f t="shared" si="1091"/>
        <v>0</v>
      </c>
      <c r="GK146" s="525">
        <f t="shared" si="985"/>
        <v>0</v>
      </c>
      <c r="GL146" s="530">
        <f t="shared" si="1090"/>
        <v>-11181375.59</v>
      </c>
      <c r="GM146" s="565">
        <f t="shared" si="1012"/>
        <v>-9.6488023574423983E-3</v>
      </c>
      <c r="GO146" s="587">
        <f t="shared" ref="GO146" si="1092">SUM(GO140:GO145)</f>
        <v>0</v>
      </c>
      <c r="GQ146" s="587">
        <f t="shared" ref="GQ146" si="1093">SUM(GQ140:GQ145)</f>
        <v>0</v>
      </c>
      <c r="GT146" s="551">
        <f t="shared" si="558"/>
        <v>-3133793.8851088742</v>
      </c>
      <c r="GU146" s="551">
        <f t="shared" si="1015"/>
        <v>-3671634.9148911261</v>
      </c>
      <c r="GV146" s="550">
        <f t="shared" si="986"/>
        <v>-6805428.7999999998</v>
      </c>
      <c r="GW146" s="529">
        <f>SUM(GW140:GW145)</f>
        <v>-13561121.24</v>
      </c>
      <c r="GX146" s="525">
        <f t="shared" si="664"/>
        <v>-1.1452537327241465E-2</v>
      </c>
      <c r="GY146" s="530">
        <f>SUM(GY140:GY145)</f>
        <v>-13561121.24</v>
      </c>
      <c r="GZ146" s="525">
        <f t="shared" si="665"/>
        <v>-1.506456236053322E-2</v>
      </c>
      <c r="HA146" s="530">
        <f>SUM(HA140:HA145)</f>
        <v>-13561121.24</v>
      </c>
      <c r="HB146" s="526">
        <f t="shared" si="666"/>
        <v>-1.8629555156343791E-2</v>
      </c>
      <c r="HD146" s="529">
        <v>-13561121.24</v>
      </c>
      <c r="HE146" s="525">
        <v>-1.1415701558728166E-2</v>
      </c>
      <c r="HF146" s="530">
        <v>-13561121.24</v>
      </c>
      <c r="HG146" s="525">
        <v>-1.506456236053322E-2</v>
      </c>
      <c r="HH146" s="530">
        <v>-13561121.24</v>
      </c>
      <c r="HI146" s="526">
        <v>-1.8629555156343791E-2</v>
      </c>
    </row>
    <row r="147" spans="1:217" ht="15" customHeight="1" outlineLevel="1">
      <c r="A147" s="386" t="s">
        <v>136</v>
      </c>
      <c r="B147" s="386" t="s">
        <v>136</v>
      </c>
      <c r="C147" s="375">
        <v>52000</v>
      </c>
      <c r="D147" s="4"/>
      <c r="E147" s="375">
        <v>30347.83</v>
      </c>
      <c r="F147" s="4"/>
      <c r="G147" s="375"/>
      <c r="H147" s="375">
        <v>15967.36</v>
      </c>
      <c r="I147" s="4"/>
      <c r="J147" s="375"/>
      <c r="K147" s="375">
        <v>11111.25</v>
      </c>
      <c r="L147" s="4"/>
      <c r="M147" s="375"/>
      <c r="N147" s="375">
        <v>8342.4599999999991</v>
      </c>
      <c r="O147" s="4"/>
      <c r="P147" s="375">
        <f t="shared" si="869"/>
        <v>0</v>
      </c>
      <c r="Q147" s="375">
        <f t="shared" si="869"/>
        <v>35421.07</v>
      </c>
      <c r="R147" s="7">
        <f t="shared" si="987"/>
        <v>9.7396047479328027E-4</v>
      </c>
      <c r="S147" s="375">
        <v>4931.51</v>
      </c>
      <c r="T147" s="375">
        <v>4931.51</v>
      </c>
      <c r="U147" s="4"/>
      <c r="V147" s="375">
        <v>8609.11</v>
      </c>
      <c r="W147" s="375">
        <v>8609.11</v>
      </c>
      <c r="X147" s="4"/>
      <c r="Y147" s="375">
        <v>5198.62</v>
      </c>
      <c r="Z147" s="375">
        <v>5198.62</v>
      </c>
      <c r="AA147" s="4"/>
      <c r="AB147" s="375">
        <f t="shared" ref="AB147:AB150" si="1094">+T147+V147+Y147</f>
        <v>18739.240000000002</v>
      </c>
      <c r="AC147" s="375">
        <f t="shared" ref="AC147" si="1095">+T147+W147+Z147</f>
        <v>18739.240000000002</v>
      </c>
      <c r="AD147" s="7">
        <f t="shared" si="988"/>
        <v>5.0527327759808957E-4</v>
      </c>
      <c r="AE147" s="375">
        <f t="shared" ref="AE147:AE150" si="1096">+Q147+AB147</f>
        <v>54160.31</v>
      </c>
      <c r="AF147" s="375">
        <f>+AC147+Q147</f>
        <v>54160.31</v>
      </c>
      <c r="AG147" s="4"/>
      <c r="AH147" s="375">
        <v>4726.03</v>
      </c>
      <c r="AI147" s="375">
        <v>4726.03</v>
      </c>
      <c r="AJ147" s="4"/>
      <c r="AK147" s="375">
        <v>9212.59</v>
      </c>
      <c r="AL147" s="375">
        <v>9212.59</v>
      </c>
      <c r="AM147" s="4"/>
      <c r="AN147" s="375">
        <v>4883.66</v>
      </c>
      <c r="AO147" s="375">
        <v>4883.66</v>
      </c>
      <c r="AP147" s="4"/>
      <c r="AQ147" s="375">
        <f t="shared" ref="AQ147" si="1097">AN147+AK147+AH147</f>
        <v>18822.28</v>
      </c>
      <c r="AR147" s="375">
        <f t="shared" ref="AR147" si="1098">AO147+AL147+AI147</f>
        <v>18822.28</v>
      </c>
      <c r="AS147" s="7">
        <f t="shared" si="989"/>
        <v>7.0700270340071764E-4</v>
      </c>
      <c r="AT147" s="375">
        <f>+AF147+AR147</f>
        <v>72982.59</v>
      </c>
      <c r="AU147" s="4"/>
      <c r="AV147" s="375"/>
      <c r="AW147" s="375"/>
      <c r="AX147" s="4"/>
      <c r="AY147" s="375"/>
      <c r="AZ147" s="375"/>
      <c r="BA147" s="4"/>
      <c r="BB147" s="375"/>
      <c r="BC147" s="375">
        <v>3705.21</v>
      </c>
      <c r="BD147" s="448"/>
      <c r="BE147" s="375">
        <f t="shared" ref="BE147" si="1099">BB147+AY147+AV147</f>
        <v>0</v>
      </c>
      <c r="BF147" s="375">
        <f t="shared" ref="BF147" si="1100">BC147+AZ147+AW147</f>
        <v>3705.21</v>
      </c>
      <c r="BG147" s="7">
        <f t="shared" si="990"/>
        <v>1.1800156819813708E-4</v>
      </c>
      <c r="BH147" s="375">
        <f t="shared" ref="BH147" si="1101">Q147+AB147+AQ147+BE147</f>
        <v>72982.59</v>
      </c>
      <c r="BI147" s="388">
        <f t="shared" ref="BI147" si="1102">Q147+AC147+AR147+BF147</f>
        <v>76687.8</v>
      </c>
      <c r="BJ147" s="7">
        <f t="shared" si="991"/>
        <v>5.8327599517265963E-4</v>
      </c>
      <c r="BK147" s="375">
        <v>0</v>
      </c>
      <c r="BL147" s="282"/>
      <c r="BN147" s="375"/>
      <c r="BO147" s="4"/>
      <c r="BP147" s="375"/>
      <c r="BQ147" s="4"/>
      <c r="BR147" s="375">
        <v>3705.21</v>
      </c>
      <c r="BS147" s="4"/>
      <c r="BT147" s="375">
        <f t="shared" ref="BT147:BT150" si="1103">SUM(BN147:BS147)</f>
        <v>3705.21</v>
      </c>
      <c r="BU147" s="7">
        <f t="shared" si="992"/>
        <v>6.8342261865518721E-5</v>
      </c>
      <c r="BV147" s="375"/>
      <c r="BW147" s="7"/>
      <c r="BX147" s="375">
        <v>12710.1</v>
      </c>
      <c r="BY147" s="7"/>
      <c r="BZ147" s="375">
        <v>3584.38</v>
      </c>
      <c r="CA147" s="7"/>
      <c r="CB147" s="375">
        <f t="shared" ref="CB147:CB150" si="1104">+BV147+BX147+BZ147</f>
        <v>16294.48</v>
      </c>
      <c r="CC147" s="7">
        <f t="shared" si="534"/>
        <v>4.7584892244804266E-4</v>
      </c>
      <c r="CD147" s="375">
        <f t="shared" ref="CD147:CD149" si="1105">BT147+CB147</f>
        <v>19999.689999999999</v>
      </c>
      <c r="CE147" s="7">
        <f t="shared" si="993"/>
        <v>2.2609129280368621E-4</v>
      </c>
      <c r="CF147" s="375"/>
      <c r="CG147" s="7">
        <f t="shared" si="994"/>
        <v>0</v>
      </c>
      <c r="CH147" s="375"/>
      <c r="CI147" s="7">
        <f t="shared" si="994"/>
        <v>0</v>
      </c>
      <c r="CJ147" s="375"/>
      <c r="CK147" s="7">
        <f t="shared" si="994"/>
        <v>0</v>
      </c>
      <c r="CL147" s="375">
        <f t="shared" ref="CL147:CL149" si="1106">+CF147+CH147+CJ147</f>
        <v>0</v>
      </c>
      <c r="CM147" s="7">
        <f t="shared" si="994"/>
        <v>0</v>
      </c>
      <c r="CN147" s="375">
        <f t="shared" ref="CN147:CN150" si="1107">+CL147+CD147</f>
        <v>19999.689999999999</v>
      </c>
      <c r="CO147" s="7">
        <f t="shared" si="639"/>
        <v>1.2598082185236411E-4</v>
      </c>
      <c r="CP147" s="375"/>
      <c r="CQ147" s="7">
        <f t="shared" si="967"/>
        <v>0</v>
      </c>
      <c r="CR147" s="375">
        <f>+CN147+CP147</f>
        <v>19999.689999999999</v>
      </c>
      <c r="CS147" s="7">
        <f t="shared" si="641"/>
        <v>1.1214237161713637E-4</v>
      </c>
      <c r="CT147" s="375"/>
      <c r="CU147" s="7">
        <f t="shared" si="611"/>
        <v>0</v>
      </c>
      <c r="CV147" s="375">
        <v>8645.48</v>
      </c>
      <c r="CW147" s="7">
        <f t="shared" si="968"/>
        <v>1.3817079903986193E-4</v>
      </c>
      <c r="CX147" s="375">
        <f>+CV147+CT147+CP147</f>
        <v>8645.48</v>
      </c>
      <c r="CY147" s="7">
        <f t="shared" si="969"/>
        <v>8.8376394448576092E-5</v>
      </c>
      <c r="CZ147" s="375">
        <f>+CD147+CL147+CX147</f>
        <v>28645.17</v>
      </c>
      <c r="DA147" s="7">
        <f t="shared" si="997"/>
        <v>1.1164332985740608E-4</v>
      </c>
      <c r="DB147" s="375"/>
      <c r="DC147" s="7">
        <f t="shared" si="642"/>
        <v>0</v>
      </c>
      <c r="DD147" s="375"/>
      <c r="DE147" s="7">
        <f t="shared" si="642"/>
        <v>0</v>
      </c>
      <c r="DF147" s="375"/>
      <c r="DG147" s="7">
        <f t="shared" si="642"/>
        <v>0</v>
      </c>
      <c r="DH147" s="375">
        <f t="shared" ref="DH147" si="1108">+DB147+DD147+DF147</f>
        <v>0</v>
      </c>
      <c r="DI147" s="7">
        <f t="shared" si="970"/>
        <v>0</v>
      </c>
      <c r="DJ147" s="375"/>
      <c r="DK147" s="7">
        <f t="shared" si="643"/>
        <v>0</v>
      </c>
      <c r="DL147" s="375"/>
      <c r="DM147" s="7">
        <f t="shared" si="644"/>
        <v>0</v>
      </c>
      <c r="DN147" s="375">
        <v>637.5</v>
      </c>
      <c r="DO147" s="7">
        <f t="shared" si="645"/>
        <v>3.714892010967918E-5</v>
      </c>
      <c r="DP147" s="375"/>
      <c r="DQ147" s="7">
        <f t="shared" si="646"/>
        <v>0</v>
      </c>
      <c r="DR147" s="375">
        <f t="shared" ref="DR147" si="1109">+DL147+DN147+DP147</f>
        <v>637.5</v>
      </c>
      <c r="DS147" s="7">
        <f t="shared" si="971"/>
        <v>5.8091775942031118E-6</v>
      </c>
      <c r="DT147" s="375">
        <f t="shared" ref="DT147:DT150" si="1110">+DR147+DH147</f>
        <v>637.5</v>
      </c>
      <c r="DU147" s="7">
        <f t="shared" si="998"/>
        <v>3.4288229045978445E-6</v>
      </c>
      <c r="DV147" s="375"/>
      <c r="DW147" s="7">
        <f t="shared" si="647"/>
        <v>0</v>
      </c>
      <c r="DX147" s="375"/>
      <c r="DY147" s="7">
        <f t="shared" si="856"/>
        <v>0</v>
      </c>
      <c r="DZ147" s="375"/>
      <c r="EA147" s="7">
        <f t="shared" si="649"/>
        <v>0</v>
      </c>
      <c r="EB147" s="375">
        <f t="shared" ref="EB147" si="1111">+DV147+DX147+DZ147</f>
        <v>0</v>
      </c>
      <c r="EC147" s="7">
        <f t="shared" si="972"/>
        <v>0</v>
      </c>
      <c r="ED147" s="375">
        <f>+EB147+DT147</f>
        <v>637.5</v>
      </c>
      <c r="EE147" s="7">
        <f t="shared" si="999"/>
        <v>1.6792356092386101E-6</v>
      </c>
      <c r="EF147" s="375"/>
      <c r="EG147" s="7">
        <f t="shared" si="650"/>
        <v>0</v>
      </c>
      <c r="EH147" s="375">
        <v>26237.599999999999</v>
      </c>
      <c r="EI147" s="7">
        <f t="shared" si="857"/>
        <v>2.0580677619155743E-3</v>
      </c>
      <c r="EJ147" s="375">
        <v>29748.82</v>
      </c>
      <c r="EK147" s="7">
        <f t="shared" si="652"/>
        <v>1.9049847291516497E-4</v>
      </c>
      <c r="EL147" s="375">
        <f t="shared" ref="EL147" si="1112">+EF147+EH147+EJ147</f>
        <v>55986.42</v>
      </c>
      <c r="EM147" s="7">
        <f t="shared" si="973"/>
        <v>3.0479021554144064E-4</v>
      </c>
      <c r="EN147" s="375">
        <f>+EL147+ED147</f>
        <v>56623.92</v>
      </c>
      <c r="EO147" s="7">
        <f t="shared" si="1000"/>
        <v>1.0051725070691676E-4</v>
      </c>
      <c r="EP147" s="373"/>
      <c r="EQ147" s="373"/>
      <c r="ER147" s="373"/>
      <c r="ES147" s="373"/>
      <c r="ET147" s="375">
        <v>11.59</v>
      </c>
      <c r="EU147" s="7">
        <f t="shared" si="653"/>
        <v>1.5713295497769497E-6</v>
      </c>
      <c r="EV147" s="375"/>
      <c r="EW147" s="7">
        <f t="shared" si="858"/>
        <v>0</v>
      </c>
      <c r="EX147" s="375"/>
      <c r="EY147" s="7">
        <f t="shared" si="655"/>
        <v>0</v>
      </c>
      <c r="EZ147" s="375">
        <f t="shared" ref="EZ147" si="1113">+ET147+EV147+EX147</f>
        <v>11.59</v>
      </c>
      <c r="FA147" s="7">
        <f t="shared" si="974"/>
        <v>4.7940615163991877E-8</v>
      </c>
      <c r="FB147" s="375"/>
      <c r="FC147" s="7">
        <f t="shared" si="656"/>
        <v>0</v>
      </c>
      <c r="FD147" s="375">
        <v>1421.38</v>
      </c>
      <c r="FE147" s="7">
        <f t="shared" si="612"/>
        <v>1.3504319714529251E-5</v>
      </c>
      <c r="FF147" s="375">
        <v>12827.26</v>
      </c>
      <c r="FG147" s="7">
        <f t="shared" si="975"/>
        <v>7.9830185261477274E-5</v>
      </c>
      <c r="FH147" s="375">
        <f t="shared" ref="FH147" si="1114">+FB147+FD147+FF147</f>
        <v>14248.64</v>
      </c>
      <c r="FI147" s="7">
        <f t="shared" si="976"/>
        <v>5.1813705726097251E-5</v>
      </c>
      <c r="FJ147" s="375">
        <f t="shared" ref="FJ147" si="1115">EZ147+FH147</f>
        <v>14260.23</v>
      </c>
      <c r="FK147" s="7">
        <f t="shared" si="1003"/>
        <v>2.7595730351533309E-5</v>
      </c>
      <c r="FL147" s="375"/>
      <c r="FM147" s="7">
        <f t="shared" si="658"/>
        <v>0</v>
      </c>
      <c r="FN147" s="375"/>
      <c r="FO147" s="7">
        <f t="shared" si="977"/>
        <v>0</v>
      </c>
      <c r="FP147" s="375">
        <v>13187.77</v>
      </c>
      <c r="FQ147" s="7">
        <f t="shared" si="978"/>
        <v>4.7670792903001228E-5</v>
      </c>
      <c r="FR147" s="375">
        <f t="shared" ref="FR147" si="1116">+FL147+FN147+FP147</f>
        <v>13187.77</v>
      </c>
      <c r="FS147" s="7">
        <f t="shared" si="979"/>
        <v>4.510877101607524E-5</v>
      </c>
      <c r="FT147" s="375">
        <f t="shared" ref="FT147" si="1117">FJ147+FR147</f>
        <v>27448</v>
      </c>
      <c r="FU147" s="7">
        <f t="shared" si="1006"/>
        <v>3.3923700839041146E-5</v>
      </c>
      <c r="FV147" s="375"/>
      <c r="FW147" s="7">
        <f t="shared" si="660"/>
        <v>0</v>
      </c>
      <c r="FX147" s="375"/>
      <c r="FY147" s="7">
        <f t="shared" si="980"/>
        <v>0</v>
      </c>
      <c r="FZ147" s="375">
        <v>8645.48</v>
      </c>
      <c r="GA147" s="7">
        <f t="shared" si="981"/>
        <v>2.990383775035914E-5</v>
      </c>
      <c r="GB147" s="375">
        <f t="shared" ref="GB147" si="1118">+FV147+FX147+FZ147</f>
        <v>8645.48</v>
      </c>
      <c r="GC147" s="7">
        <f t="shared" si="982"/>
        <v>2.524001907958925E-5</v>
      </c>
      <c r="GD147" s="375">
        <f t="shared" ref="GD147" si="1119">FT147+GB147</f>
        <v>36093.479999999996</v>
      </c>
      <c r="GE147" s="7">
        <f t="shared" si="1009"/>
        <v>3.1340926821318959E-5</v>
      </c>
      <c r="GF147" s="566">
        <f t="shared" ref="GF147" si="1120">+GO147*$GO$1</f>
        <v>0</v>
      </c>
      <c r="GG147" s="525">
        <f t="shared" si="983"/>
        <v>0</v>
      </c>
      <c r="GH147" s="528">
        <f>+GQ147*$GO$2</f>
        <v>0</v>
      </c>
      <c r="GI147" s="525">
        <f t="shared" si="984"/>
        <v>0</v>
      </c>
      <c r="GJ147" s="528"/>
      <c r="GK147" s="525">
        <f t="shared" si="985"/>
        <v>0</v>
      </c>
      <c r="GL147" s="528">
        <f>+GD147+GF147+GH147-GJ147</f>
        <v>36093.479999999996</v>
      </c>
      <c r="GM147" s="565">
        <f t="shared" si="1012"/>
        <v>3.1146333660749518E-5</v>
      </c>
      <c r="GO147" s="586"/>
      <c r="GQ147" s="586"/>
      <c r="GT147" s="551">
        <f t="shared" si="558"/>
        <v>-6545.2655811684454</v>
      </c>
      <c r="GU147" s="551">
        <f t="shared" si="1015"/>
        <v>-7668.6044188315545</v>
      </c>
      <c r="GV147" s="550">
        <f t="shared" si="986"/>
        <v>-14213.869999999999</v>
      </c>
      <c r="GW147" s="527">
        <f>+EZ147*4</f>
        <v>46.36</v>
      </c>
      <c r="GX147" s="525">
        <f t="shared" si="664"/>
        <v>3.9151602665777384E-8</v>
      </c>
      <c r="GY147" s="528">
        <f>+GW147</f>
        <v>46.36</v>
      </c>
      <c r="GZ147" s="525">
        <f t="shared" si="665"/>
        <v>5.1499658374436891E-8</v>
      </c>
      <c r="HA147" s="528">
        <f>+GY147</f>
        <v>46.36</v>
      </c>
      <c r="HB147" s="526">
        <f t="shared" si="666"/>
        <v>6.3686929846229894E-8</v>
      </c>
      <c r="HD147" s="527">
        <v>46.36</v>
      </c>
      <c r="HE147" s="525">
        <v>3.9025676040828455E-8</v>
      </c>
      <c r="HF147" s="528">
        <v>46.36</v>
      </c>
      <c r="HG147" s="525">
        <v>5.1499658374436891E-8</v>
      </c>
      <c r="HH147" s="528">
        <v>46.36</v>
      </c>
      <c r="HI147" s="526">
        <v>6.3686929846229894E-8</v>
      </c>
    </row>
    <row r="148" spans="1:217" ht="15" customHeight="1" outlineLevel="1">
      <c r="A148" s="386" t="s">
        <v>136</v>
      </c>
      <c r="B148" s="386"/>
      <c r="C148" s="389">
        <f>SUM(C147)</f>
        <v>52000</v>
      </c>
      <c r="D148" s="4"/>
      <c r="E148" s="389">
        <f>SUM(E147)</f>
        <v>30347.83</v>
      </c>
      <c r="F148" s="4"/>
      <c r="G148" s="389">
        <f>SUM(G147)</f>
        <v>0</v>
      </c>
      <c r="H148" s="389">
        <f>SUM(H147)</f>
        <v>15967.36</v>
      </c>
      <c r="I148" s="4"/>
      <c r="J148" s="389">
        <f>SUM(J147)</f>
        <v>0</v>
      </c>
      <c r="K148" s="389">
        <f>SUM(K147)</f>
        <v>11111.25</v>
      </c>
      <c r="L148" s="4"/>
      <c r="M148" s="389">
        <f>SUM(M147)</f>
        <v>0</v>
      </c>
      <c r="N148" s="389">
        <f>SUM(N147)</f>
        <v>8342.4599999999991</v>
      </c>
      <c r="O148" s="4"/>
      <c r="P148" s="389">
        <f t="shared" si="869"/>
        <v>0</v>
      </c>
      <c r="Q148" s="389">
        <f t="shared" si="869"/>
        <v>35421.07</v>
      </c>
      <c r="R148" s="7">
        <f t="shared" si="987"/>
        <v>9.7396047479328027E-4</v>
      </c>
      <c r="S148" s="389">
        <f>SUM(S147)</f>
        <v>4931.51</v>
      </c>
      <c r="T148" s="389">
        <f>SUM(T147)</f>
        <v>4931.51</v>
      </c>
      <c r="U148" s="4"/>
      <c r="V148" s="389">
        <f>SUM(V147)</f>
        <v>8609.11</v>
      </c>
      <c r="W148" s="389">
        <f>SUM(W147)</f>
        <v>8609.11</v>
      </c>
      <c r="X148" s="4"/>
      <c r="Y148" s="389">
        <f>SUM(Y147)</f>
        <v>5198.62</v>
      </c>
      <c r="Z148" s="389">
        <f>SUM(Z147)</f>
        <v>5198.62</v>
      </c>
      <c r="AA148" s="4"/>
      <c r="AB148" s="375">
        <f t="shared" si="1094"/>
        <v>18739.240000000002</v>
      </c>
      <c r="AC148" s="389">
        <f>SUM(AC147)</f>
        <v>18739.240000000002</v>
      </c>
      <c r="AD148" s="7">
        <f t="shared" si="988"/>
        <v>5.0527327759808957E-4</v>
      </c>
      <c r="AE148" s="375">
        <f t="shared" si="1096"/>
        <v>54160.31</v>
      </c>
      <c r="AF148" s="389">
        <f>SUM(AF147)</f>
        <v>54160.31</v>
      </c>
      <c r="AG148" s="4"/>
      <c r="AH148" s="389">
        <f>SUM(AH147)</f>
        <v>4726.03</v>
      </c>
      <c r="AI148" s="389">
        <f>SUM(AI147)</f>
        <v>4726.03</v>
      </c>
      <c r="AJ148" s="4"/>
      <c r="AK148" s="389">
        <f>SUM(AK147)</f>
        <v>9212.59</v>
      </c>
      <c r="AL148" s="389">
        <f>SUM(AL147)</f>
        <v>9212.59</v>
      </c>
      <c r="AM148" s="4"/>
      <c r="AN148" s="389">
        <f>SUM(AN147)</f>
        <v>4883.66</v>
      </c>
      <c r="AO148" s="389">
        <f>SUM(AO147)</f>
        <v>4883.66</v>
      </c>
      <c r="AP148" s="4"/>
      <c r="AQ148" s="389">
        <f>SUM(AQ147)</f>
        <v>18822.28</v>
      </c>
      <c r="AR148" s="389">
        <f>SUM(AR147)</f>
        <v>18822.28</v>
      </c>
      <c r="AS148" s="7">
        <f t="shared" si="989"/>
        <v>7.0700270340071764E-4</v>
      </c>
      <c r="AT148" s="389">
        <f>SUM(AT147)</f>
        <v>72982.59</v>
      </c>
      <c r="AU148" s="4"/>
      <c r="AV148" s="389">
        <f>SUM(AV147)</f>
        <v>0</v>
      </c>
      <c r="AW148" s="389">
        <f>SUM(AW147)</f>
        <v>0</v>
      </c>
      <c r="AX148" s="4"/>
      <c r="AY148" s="389">
        <f>SUM(AY147)</f>
        <v>0</v>
      </c>
      <c r="AZ148" s="389">
        <f>SUM(AZ147)</f>
        <v>0</v>
      </c>
      <c r="BA148" s="4"/>
      <c r="BB148" s="389">
        <f>SUM(BB147)</f>
        <v>0</v>
      </c>
      <c r="BC148" s="389">
        <f>SUM(BC147)</f>
        <v>3705.21</v>
      </c>
      <c r="BD148" s="448"/>
      <c r="BE148" s="389">
        <f>SUM(BE147)</f>
        <v>0</v>
      </c>
      <c r="BF148" s="389">
        <f>SUM(BF147)</f>
        <v>3705.21</v>
      </c>
      <c r="BG148" s="7">
        <f t="shared" si="990"/>
        <v>1.1800156819813708E-4</v>
      </c>
      <c r="BH148" s="389">
        <f>SUM(BH147)</f>
        <v>72982.59</v>
      </c>
      <c r="BI148" s="389">
        <f>SUM(BI147)</f>
        <v>76687.8</v>
      </c>
      <c r="BJ148" s="7">
        <f t="shared" si="991"/>
        <v>5.8327599517265963E-4</v>
      </c>
      <c r="BK148" s="389">
        <v>0</v>
      </c>
      <c r="BL148" s="282"/>
      <c r="BN148" s="389"/>
      <c r="BO148" s="4"/>
      <c r="BP148" s="389"/>
      <c r="BQ148" s="4"/>
      <c r="BR148" s="389">
        <f>SUM(BR147)</f>
        <v>3705.21</v>
      </c>
      <c r="BS148" s="4"/>
      <c r="BT148" s="375">
        <f>SUM(BN148:BS148)</f>
        <v>3705.21</v>
      </c>
      <c r="BU148" s="7">
        <f t="shared" si="992"/>
        <v>6.8342261865518721E-5</v>
      </c>
      <c r="BV148" s="389">
        <f>SUM(BV147)</f>
        <v>0</v>
      </c>
      <c r="BW148" s="7"/>
      <c r="BX148" s="389">
        <f>SUM(BX147)</f>
        <v>12710.1</v>
      </c>
      <c r="BY148" s="7"/>
      <c r="BZ148" s="375">
        <f>SUM(BZ147)</f>
        <v>3584.38</v>
      </c>
      <c r="CA148" s="7"/>
      <c r="CB148" s="375">
        <f t="shared" si="1104"/>
        <v>16294.48</v>
      </c>
      <c r="CC148" s="7">
        <f t="shared" ref="CC148:CC177" si="1121">+CB148/CB$8</f>
        <v>4.7584892244804266E-4</v>
      </c>
      <c r="CD148" s="375">
        <f>BT148+CB148</f>
        <v>19999.689999999999</v>
      </c>
      <c r="CE148" s="7">
        <f t="shared" si="993"/>
        <v>2.2609129280368621E-4</v>
      </c>
      <c r="CF148" s="375">
        <f>SUM(CF147)</f>
        <v>0</v>
      </c>
      <c r="CG148" s="7">
        <f t="shared" si="994"/>
        <v>0</v>
      </c>
      <c r="CH148" s="375">
        <f>SUM(CH147)</f>
        <v>0</v>
      </c>
      <c r="CI148" s="7">
        <f t="shared" si="994"/>
        <v>0</v>
      </c>
      <c r="CJ148" s="375">
        <f>SUM(CJ147)</f>
        <v>0</v>
      </c>
      <c r="CK148" s="7">
        <f t="shared" si="994"/>
        <v>0</v>
      </c>
      <c r="CL148" s="375">
        <f>SUM(CL147)</f>
        <v>0</v>
      </c>
      <c r="CM148" s="7">
        <f t="shared" si="994"/>
        <v>0</v>
      </c>
      <c r="CN148" s="375">
        <f t="shared" si="1107"/>
        <v>19999.689999999999</v>
      </c>
      <c r="CO148" s="7">
        <f t="shared" si="639"/>
        <v>1.2598082185236411E-4</v>
      </c>
      <c r="CP148" s="375">
        <f>SUM(CP147)</f>
        <v>0</v>
      </c>
      <c r="CQ148" s="7">
        <f t="shared" si="967"/>
        <v>0</v>
      </c>
      <c r="CR148" s="389">
        <f t="shared" ref="CR148:CR150" si="1122">+CN148+CP148</f>
        <v>19999.689999999999</v>
      </c>
      <c r="CS148" s="7">
        <f t="shared" si="641"/>
        <v>1.1214237161713637E-4</v>
      </c>
      <c r="CT148" s="375">
        <f t="shared" ref="CT148" si="1123">SUM(CT147)</f>
        <v>0</v>
      </c>
      <c r="CU148" s="7">
        <f t="shared" si="611"/>
        <v>0</v>
      </c>
      <c r="CV148" s="389">
        <f t="shared" ref="CV148" si="1124">SUM(CV147)</f>
        <v>8645.48</v>
      </c>
      <c r="CW148" s="7">
        <f t="shared" si="968"/>
        <v>1.3817079903986193E-4</v>
      </c>
      <c r="CX148" s="389">
        <f>+CV148+CT148+CP148</f>
        <v>8645.48</v>
      </c>
      <c r="CY148" s="7">
        <f t="shared" si="969"/>
        <v>8.8376394448576092E-5</v>
      </c>
      <c r="CZ148" s="389">
        <f>+CD148+CL148+CX148</f>
        <v>28645.17</v>
      </c>
      <c r="DA148" s="7">
        <f t="shared" si="997"/>
        <v>1.1164332985740608E-4</v>
      </c>
      <c r="DB148" s="389">
        <f>SUM(DB147)</f>
        <v>0</v>
      </c>
      <c r="DC148" s="7">
        <f t="shared" si="642"/>
        <v>0</v>
      </c>
      <c r="DD148" s="389">
        <f>SUM(DD147)</f>
        <v>0</v>
      </c>
      <c r="DE148" s="7">
        <f t="shared" si="642"/>
        <v>0</v>
      </c>
      <c r="DF148" s="389">
        <f>SUM(DF147)</f>
        <v>0</v>
      </c>
      <c r="DG148" s="7">
        <f t="shared" si="642"/>
        <v>0</v>
      </c>
      <c r="DH148" s="375">
        <f>SUM(DH147)</f>
        <v>0</v>
      </c>
      <c r="DI148" s="7">
        <f t="shared" si="970"/>
        <v>0</v>
      </c>
      <c r="DJ148" s="389">
        <f>SUM(DJ147)</f>
        <v>0</v>
      </c>
      <c r="DK148" s="7">
        <f t="shared" si="643"/>
        <v>0</v>
      </c>
      <c r="DL148" s="389">
        <f>SUM(DL147)</f>
        <v>0</v>
      </c>
      <c r="DM148" s="7">
        <f t="shared" si="644"/>
        <v>0</v>
      </c>
      <c r="DN148" s="389">
        <f>SUM(DN147)</f>
        <v>637.5</v>
      </c>
      <c r="DO148" s="7">
        <f t="shared" si="645"/>
        <v>3.714892010967918E-5</v>
      </c>
      <c r="DP148" s="389">
        <f>SUM(DP147)</f>
        <v>0</v>
      </c>
      <c r="DQ148" s="7">
        <f t="shared" si="646"/>
        <v>0</v>
      </c>
      <c r="DR148" s="375">
        <f>SUM(DR147)</f>
        <v>637.5</v>
      </c>
      <c r="DS148" s="7">
        <f t="shared" si="971"/>
        <v>5.8091775942031118E-6</v>
      </c>
      <c r="DT148" s="389">
        <f t="shared" si="1110"/>
        <v>637.5</v>
      </c>
      <c r="DU148" s="7">
        <f t="shared" si="998"/>
        <v>3.4288229045978445E-6</v>
      </c>
      <c r="DV148" s="389">
        <f>SUM(DV147)</f>
        <v>0</v>
      </c>
      <c r="DW148" s="7">
        <f t="shared" si="647"/>
        <v>0</v>
      </c>
      <c r="DX148" s="389">
        <f>SUM(DX147)</f>
        <v>0</v>
      </c>
      <c r="DY148" s="7">
        <f t="shared" si="856"/>
        <v>0</v>
      </c>
      <c r="DZ148" s="389">
        <f>SUM(DZ147)</f>
        <v>0</v>
      </c>
      <c r="EA148" s="7">
        <f t="shared" si="649"/>
        <v>0</v>
      </c>
      <c r="EB148" s="389">
        <f>SUM(EB147)</f>
        <v>0</v>
      </c>
      <c r="EC148" s="7">
        <f t="shared" si="972"/>
        <v>0</v>
      </c>
      <c r="ED148" s="389">
        <f>SUM(ED147)</f>
        <v>637.5</v>
      </c>
      <c r="EE148" s="7">
        <f t="shared" si="999"/>
        <v>1.6792356092386101E-6</v>
      </c>
      <c r="EF148" s="389">
        <f>SUM(EF147)</f>
        <v>0</v>
      </c>
      <c r="EG148" s="7">
        <f t="shared" si="650"/>
        <v>0</v>
      </c>
      <c r="EH148" s="389">
        <f>SUM(EH147)</f>
        <v>26237.599999999999</v>
      </c>
      <c r="EI148" s="7">
        <f t="shared" si="857"/>
        <v>2.0580677619155743E-3</v>
      </c>
      <c r="EJ148" s="389">
        <f>SUM(EJ147)</f>
        <v>29748.82</v>
      </c>
      <c r="EK148" s="7">
        <f t="shared" si="652"/>
        <v>1.9049847291516497E-4</v>
      </c>
      <c r="EL148" s="375">
        <f>SUM(EL147)</f>
        <v>55986.42</v>
      </c>
      <c r="EM148" s="7">
        <f t="shared" si="973"/>
        <v>3.0479021554144064E-4</v>
      </c>
      <c r="EN148" s="389">
        <f>SUM(EN147)</f>
        <v>56623.92</v>
      </c>
      <c r="EO148" s="7">
        <f t="shared" si="1000"/>
        <v>1.0051725070691676E-4</v>
      </c>
      <c r="EP148" s="373"/>
      <c r="EQ148" s="373"/>
      <c r="ER148" s="373"/>
      <c r="ES148" s="373"/>
      <c r="ET148" s="389">
        <f>SUM(ET147)</f>
        <v>11.59</v>
      </c>
      <c r="EU148" s="7">
        <f t="shared" si="653"/>
        <v>1.5713295497769497E-6</v>
      </c>
      <c r="EV148" s="389">
        <f>SUM(EV147)</f>
        <v>0</v>
      </c>
      <c r="EW148" s="7">
        <f t="shared" si="858"/>
        <v>0</v>
      </c>
      <c r="EX148" s="389">
        <f>SUM(EX147)</f>
        <v>0</v>
      </c>
      <c r="EY148" s="7">
        <f t="shared" si="655"/>
        <v>0</v>
      </c>
      <c r="EZ148" s="375">
        <f>SUM(EZ147)</f>
        <v>11.59</v>
      </c>
      <c r="FA148" s="7">
        <f t="shared" si="974"/>
        <v>4.7940615163991877E-8</v>
      </c>
      <c r="FB148" s="389">
        <f>SUM(FB147)</f>
        <v>0</v>
      </c>
      <c r="FC148" s="7">
        <f t="shared" si="656"/>
        <v>0</v>
      </c>
      <c r="FD148" s="389">
        <f t="shared" ref="FD148" si="1125">SUM(FD147)</f>
        <v>1421.38</v>
      </c>
      <c r="FE148" s="7">
        <f t="shared" si="612"/>
        <v>1.3504319714529251E-5</v>
      </c>
      <c r="FF148" s="389">
        <f t="shared" ref="FF148" si="1126">SUM(FF147)</f>
        <v>12827.26</v>
      </c>
      <c r="FG148" s="7">
        <f t="shared" si="975"/>
        <v>7.9830185261477274E-5</v>
      </c>
      <c r="FH148" s="375">
        <f>SUM(FH147)</f>
        <v>14248.64</v>
      </c>
      <c r="FI148" s="7">
        <f t="shared" si="976"/>
        <v>5.1813705726097251E-5</v>
      </c>
      <c r="FJ148" s="375">
        <f>EZ148+FH148</f>
        <v>14260.23</v>
      </c>
      <c r="FK148" s="7">
        <f t="shared" si="1003"/>
        <v>2.7595730351533309E-5</v>
      </c>
      <c r="FL148" s="389">
        <f>SUM(FL147)</f>
        <v>0</v>
      </c>
      <c r="FM148" s="7">
        <f t="shared" si="658"/>
        <v>0</v>
      </c>
      <c r="FN148" s="389">
        <f t="shared" ref="FN148" si="1127">SUM(FN147)</f>
        <v>0</v>
      </c>
      <c r="FO148" s="7">
        <f t="shared" si="977"/>
        <v>0</v>
      </c>
      <c r="FP148" s="389">
        <f t="shared" ref="FP148" si="1128">SUM(FP147)</f>
        <v>13187.77</v>
      </c>
      <c r="FQ148" s="7">
        <f t="shared" si="978"/>
        <v>4.7670792903001228E-5</v>
      </c>
      <c r="FR148" s="375">
        <f>SUM(FR147)</f>
        <v>13187.77</v>
      </c>
      <c r="FS148" s="7">
        <f t="shared" si="979"/>
        <v>4.510877101607524E-5</v>
      </c>
      <c r="FT148" s="375">
        <f>FJ148+FR148</f>
        <v>27448</v>
      </c>
      <c r="FU148" s="7">
        <f t="shared" si="1006"/>
        <v>3.3923700839041146E-5</v>
      </c>
      <c r="FV148" s="389">
        <f>SUM(FV147)</f>
        <v>0</v>
      </c>
      <c r="FW148" s="7">
        <f t="shared" si="660"/>
        <v>0</v>
      </c>
      <c r="FX148" s="389">
        <f t="shared" ref="FX148" si="1129">SUM(FX147)</f>
        <v>0</v>
      </c>
      <c r="FY148" s="7">
        <f t="shared" si="980"/>
        <v>0</v>
      </c>
      <c r="FZ148" s="389">
        <f t="shared" ref="FZ148" si="1130">SUM(FZ147)</f>
        <v>8645.48</v>
      </c>
      <c r="GA148" s="7">
        <f t="shared" si="981"/>
        <v>2.990383775035914E-5</v>
      </c>
      <c r="GB148" s="375">
        <f>SUM(GB147)</f>
        <v>8645.48</v>
      </c>
      <c r="GC148" s="7">
        <f t="shared" si="982"/>
        <v>2.524001907958925E-5</v>
      </c>
      <c r="GD148" s="375">
        <f>FT148+GB148</f>
        <v>36093.479999999996</v>
      </c>
      <c r="GE148" s="7">
        <f t="shared" si="1009"/>
        <v>3.1340926821318959E-5</v>
      </c>
      <c r="GF148" s="567">
        <f t="shared" ref="GF148:GL148" si="1131">SUM(GF147)</f>
        <v>0</v>
      </c>
      <c r="GG148" s="525">
        <f t="shared" si="983"/>
        <v>0</v>
      </c>
      <c r="GH148" s="530">
        <f t="shared" ref="GH148:GJ148" si="1132">SUM(GH147)</f>
        <v>0</v>
      </c>
      <c r="GI148" s="525">
        <f t="shared" si="984"/>
        <v>0</v>
      </c>
      <c r="GJ148" s="530">
        <f t="shared" si="1132"/>
        <v>0</v>
      </c>
      <c r="GK148" s="525">
        <f t="shared" si="985"/>
        <v>0</v>
      </c>
      <c r="GL148" s="530">
        <f t="shared" si="1131"/>
        <v>36093.479999999996</v>
      </c>
      <c r="GM148" s="565">
        <f t="shared" si="1012"/>
        <v>3.1146333660749518E-5</v>
      </c>
      <c r="GO148" s="587">
        <f t="shared" ref="GO148" si="1133">SUM(GO147)</f>
        <v>0</v>
      </c>
      <c r="GQ148" s="587">
        <f t="shared" ref="GQ148" si="1134">SUM(GQ147)</f>
        <v>0</v>
      </c>
      <c r="GT148" s="551">
        <f t="shared" si="558"/>
        <v>-6545.2655811684454</v>
      </c>
      <c r="GU148" s="551">
        <f t="shared" si="1015"/>
        <v>-7668.6044188315545</v>
      </c>
      <c r="GV148" s="550">
        <f t="shared" si="986"/>
        <v>-14213.869999999999</v>
      </c>
      <c r="GW148" s="529">
        <f>SUM(GW147)</f>
        <v>46.36</v>
      </c>
      <c r="GX148" s="525">
        <f t="shared" si="664"/>
        <v>3.9151602665777384E-8</v>
      </c>
      <c r="GY148" s="530">
        <f>SUM(GY147)</f>
        <v>46.36</v>
      </c>
      <c r="GZ148" s="525">
        <f t="shared" si="665"/>
        <v>5.1499658374436891E-8</v>
      </c>
      <c r="HA148" s="530">
        <f>SUM(HA147)</f>
        <v>46.36</v>
      </c>
      <c r="HB148" s="526">
        <f t="shared" si="666"/>
        <v>6.3686929846229894E-8</v>
      </c>
      <c r="HD148" s="529">
        <v>46.36</v>
      </c>
      <c r="HE148" s="525">
        <v>3.9025676040828455E-8</v>
      </c>
      <c r="HF148" s="530">
        <v>46.36</v>
      </c>
      <c r="HG148" s="525">
        <v>5.1499658374436891E-8</v>
      </c>
      <c r="HH148" s="530">
        <v>46.36</v>
      </c>
      <c r="HI148" s="526">
        <v>6.3686929846229894E-8</v>
      </c>
    </row>
    <row r="149" spans="1:217" ht="15" customHeight="1" outlineLevel="1">
      <c r="A149" s="386" t="s">
        <v>137</v>
      </c>
      <c r="B149" s="386" t="s">
        <v>137</v>
      </c>
      <c r="C149" s="375"/>
      <c r="D149" s="4"/>
      <c r="E149" s="375"/>
      <c r="F149" s="4"/>
      <c r="G149" s="375"/>
      <c r="H149" s="375"/>
      <c r="I149" s="4"/>
      <c r="J149" s="375"/>
      <c r="K149" s="375"/>
      <c r="L149" s="4"/>
      <c r="M149" s="375"/>
      <c r="N149" s="375"/>
      <c r="O149" s="4"/>
      <c r="P149" s="375">
        <f t="shared" si="869"/>
        <v>0</v>
      </c>
      <c r="Q149" s="375">
        <f t="shared" si="869"/>
        <v>0</v>
      </c>
      <c r="R149" s="7">
        <f t="shared" si="987"/>
        <v>0</v>
      </c>
      <c r="S149" s="375"/>
      <c r="T149" s="375"/>
      <c r="U149" s="4"/>
      <c r="V149" s="375"/>
      <c r="W149" s="375"/>
      <c r="X149" s="4"/>
      <c r="Y149" s="375"/>
      <c r="Z149" s="375"/>
      <c r="AA149" s="4"/>
      <c r="AB149" s="375">
        <f t="shared" si="1094"/>
        <v>0</v>
      </c>
      <c r="AC149" s="375">
        <f t="shared" ref="AC149:AC150" si="1135">+T149+W149+Z149</f>
        <v>0</v>
      </c>
      <c r="AD149" s="7">
        <f t="shared" si="988"/>
        <v>0</v>
      </c>
      <c r="AE149" s="375">
        <f t="shared" si="1096"/>
        <v>0</v>
      </c>
      <c r="AF149" s="375">
        <f t="shared" ref="AF149:AF150" si="1136">+AC149+Q149</f>
        <v>0</v>
      </c>
      <c r="AG149" s="4"/>
      <c r="AH149" s="375"/>
      <c r="AI149" s="375"/>
      <c r="AJ149" s="4"/>
      <c r="AK149" s="375"/>
      <c r="AL149" s="375"/>
      <c r="AM149" s="4"/>
      <c r="AN149" s="375"/>
      <c r="AO149" s="375"/>
      <c r="AP149" s="4"/>
      <c r="AQ149" s="375">
        <f t="shared" ref="AQ149:AQ150" si="1137">AN149+AK149+AH149</f>
        <v>0</v>
      </c>
      <c r="AR149" s="375">
        <f t="shared" ref="AR149:AR150" si="1138">AO149+AL149+AI149</f>
        <v>0</v>
      </c>
      <c r="AS149" s="7">
        <f t="shared" si="989"/>
        <v>0</v>
      </c>
      <c r="AT149" s="375">
        <f t="shared" ref="AT149:AT150" si="1139">+AF149+AR149</f>
        <v>0</v>
      </c>
      <c r="AU149" s="4"/>
      <c r="AV149" s="375"/>
      <c r="AW149" s="375"/>
      <c r="AX149" s="4"/>
      <c r="AY149" s="375"/>
      <c r="AZ149" s="375"/>
      <c r="BA149" s="4"/>
      <c r="BB149" s="375"/>
      <c r="BC149" s="375"/>
      <c r="BD149" s="448"/>
      <c r="BE149" s="375">
        <f t="shared" ref="BE149:BE150" si="1140">BB149+AY149+AV149</f>
        <v>0</v>
      </c>
      <c r="BF149" s="375">
        <f t="shared" ref="BF149:BF150" si="1141">BC149+AZ149+AW149</f>
        <v>0</v>
      </c>
      <c r="BG149" s="7">
        <f t="shared" si="990"/>
        <v>0</v>
      </c>
      <c r="BH149" s="375">
        <f t="shared" ref="BH149" si="1142">Q149+AB149+AQ149+BE149</f>
        <v>0</v>
      </c>
      <c r="BI149" s="388">
        <f t="shared" ref="BI149" si="1143">Q149+AC149+AR149+BF149</f>
        <v>0</v>
      </c>
      <c r="BJ149" s="7">
        <f t="shared" si="991"/>
        <v>0</v>
      </c>
      <c r="BK149" s="375">
        <v>0</v>
      </c>
      <c r="BL149" s="282"/>
      <c r="BN149" s="375">
        <v>0</v>
      </c>
      <c r="BO149" s="4"/>
      <c r="BP149" s="375">
        <v>0</v>
      </c>
      <c r="BQ149" s="4"/>
      <c r="BR149" s="375"/>
      <c r="BS149" s="4"/>
      <c r="BT149" s="375">
        <f t="shared" si="1103"/>
        <v>0</v>
      </c>
      <c r="BU149" s="7">
        <f t="shared" si="992"/>
        <v>0</v>
      </c>
      <c r="BV149" s="375"/>
      <c r="BW149" s="7"/>
      <c r="BX149" s="375"/>
      <c r="BY149" s="7"/>
      <c r="BZ149" s="375">
        <f t="shared" ref="BZ149:BZ150" si="1144">+BT149+BV149+BX149</f>
        <v>0</v>
      </c>
      <c r="CA149" s="7"/>
      <c r="CB149" s="375">
        <f t="shared" si="1104"/>
        <v>0</v>
      </c>
      <c r="CC149" s="7">
        <f t="shared" si="1121"/>
        <v>0</v>
      </c>
      <c r="CD149" s="375">
        <f t="shared" si="1105"/>
        <v>0</v>
      </c>
      <c r="CE149" s="7">
        <f t="shared" si="993"/>
        <v>0</v>
      </c>
      <c r="CF149" s="375">
        <f t="shared" ref="CF149:CF150" si="1145">+BZ149+CB149+CD149</f>
        <v>0</v>
      </c>
      <c r="CG149" s="7">
        <f t="shared" si="994"/>
        <v>0</v>
      </c>
      <c r="CH149" s="375">
        <f t="shared" ref="CH149:CH150" si="1146">+CB149+CD149+CF149</f>
        <v>0</v>
      </c>
      <c r="CI149" s="7">
        <f t="shared" si="994"/>
        <v>0</v>
      </c>
      <c r="CJ149" s="375">
        <f t="shared" ref="CJ149:CJ150" si="1147">+CD149+CF149+CH149</f>
        <v>0</v>
      </c>
      <c r="CK149" s="7">
        <f t="shared" si="994"/>
        <v>0</v>
      </c>
      <c r="CL149" s="375">
        <f t="shared" si="1106"/>
        <v>0</v>
      </c>
      <c r="CM149" s="7">
        <f t="shared" si="994"/>
        <v>0</v>
      </c>
      <c r="CN149" s="375">
        <f t="shared" si="1107"/>
        <v>0</v>
      </c>
      <c r="CO149" s="7">
        <f t="shared" si="639"/>
        <v>0</v>
      </c>
      <c r="CP149" s="375">
        <v>0</v>
      </c>
      <c r="CQ149" s="7">
        <f t="shared" si="967"/>
        <v>0</v>
      </c>
      <c r="CR149" s="375">
        <f t="shared" si="1122"/>
        <v>0</v>
      </c>
      <c r="CS149" s="7">
        <f t="shared" si="641"/>
        <v>0</v>
      </c>
      <c r="CT149" s="375">
        <v>0</v>
      </c>
      <c r="CU149" s="7">
        <f t="shared" si="611"/>
        <v>0</v>
      </c>
      <c r="CV149" s="375">
        <v>0</v>
      </c>
      <c r="CW149" s="7">
        <f t="shared" si="968"/>
        <v>0</v>
      </c>
      <c r="CX149" s="375">
        <f>+CV149+CT149+CP149</f>
        <v>0</v>
      </c>
      <c r="CY149" s="7">
        <f t="shared" si="969"/>
        <v>0</v>
      </c>
      <c r="CZ149" s="375">
        <f>+CD149+CL149+CX149</f>
        <v>0</v>
      </c>
      <c r="DA149" s="7">
        <f t="shared" si="997"/>
        <v>0</v>
      </c>
      <c r="DB149" s="375">
        <f t="shared" ref="DB149:DB150" si="1148">+CV149+CX149+CZ149</f>
        <v>0</v>
      </c>
      <c r="DC149" s="7">
        <f t="shared" si="642"/>
        <v>0</v>
      </c>
      <c r="DD149" s="375">
        <f t="shared" ref="DD149:DD150" si="1149">+CX149+CZ149+DB149</f>
        <v>0</v>
      </c>
      <c r="DE149" s="7">
        <f t="shared" si="642"/>
        <v>0</v>
      </c>
      <c r="DF149" s="375">
        <f t="shared" ref="DF149:DF150" si="1150">+CZ149+DB149+DD149</f>
        <v>0</v>
      </c>
      <c r="DG149" s="7">
        <f t="shared" si="642"/>
        <v>0</v>
      </c>
      <c r="DH149" s="375">
        <f t="shared" ref="DH149" si="1151">+DB149+DD149+DF149</f>
        <v>0</v>
      </c>
      <c r="DI149" s="7">
        <f t="shared" si="970"/>
        <v>0</v>
      </c>
      <c r="DJ149" s="375"/>
      <c r="DK149" s="7">
        <f t="shared" si="643"/>
        <v>0</v>
      </c>
      <c r="DL149" s="375">
        <f t="shared" ref="DL149:DL150" si="1152">+DF149+DH149+DJ149</f>
        <v>0</v>
      </c>
      <c r="DM149" s="7">
        <f t="shared" si="644"/>
        <v>0</v>
      </c>
      <c r="DN149" s="375">
        <f t="shared" ref="DN149:DN150" si="1153">+DH149+DJ149+DL149</f>
        <v>0</v>
      </c>
      <c r="DO149" s="7">
        <f t="shared" si="645"/>
        <v>0</v>
      </c>
      <c r="DP149" s="375">
        <f t="shared" ref="DP149:DP150" si="1154">+DJ149+DL149+DN149</f>
        <v>0</v>
      </c>
      <c r="DQ149" s="7">
        <f t="shared" si="646"/>
        <v>0</v>
      </c>
      <c r="DR149" s="375">
        <f t="shared" ref="DR149" si="1155">+DL149+DN149+DP149</f>
        <v>0</v>
      </c>
      <c r="DS149" s="7">
        <f t="shared" si="971"/>
        <v>0</v>
      </c>
      <c r="DT149" s="375">
        <f t="shared" si="1110"/>
        <v>0</v>
      </c>
      <c r="DU149" s="7">
        <f t="shared" si="998"/>
        <v>0</v>
      </c>
      <c r="DV149" s="375"/>
      <c r="DW149" s="7">
        <f t="shared" si="647"/>
        <v>0</v>
      </c>
      <c r="DX149" s="375"/>
      <c r="DY149" s="7">
        <f t="shared" si="856"/>
        <v>0</v>
      </c>
      <c r="DZ149" s="375"/>
      <c r="EA149" s="7">
        <f t="shared" si="649"/>
        <v>0</v>
      </c>
      <c r="EB149" s="375">
        <f t="shared" ref="EB149" si="1156">+DV149+DX149+DZ149</f>
        <v>0</v>
      </c>
      <c r="EC149" s="7">
        <f t="shared" si="972"/>
        <v>0</v>
      </c>
      <c r="ED149" s="375">
        <f>+EB149+DT149</f>
        <v>0</v>
      </c>
      <c r="EE149" s="7">
        <f t="shared" si="999"/>
        <v>0</v>
      </c>
      <c r="EF149" s="375"/>
      <c r="EG149" s="7">
        <f t="shared" si="650"/>
        <v>0</v>
      </c>
      <c r="EH149" s="375"/>
      <c r="EI149" s="7">
        <f t="shared" si="857"/>
        <v>0</v>
      </c>
      <c r="EJ149" s="375"/>
      <c r="EK149" s="7">
        <f t="shared" si="652"/>
        <v>0</v>
      </c>
      <c r="EL149" s="375">
        <f t="shared" ref="EL149" si="1157">+EF149+EH149+EJ149</f>
        <v>0</v>
      </c>
      <c r="EM149" s="7">
        <f t="shared" si="973"/>
        <v>0</v>
      </c>
      <c r="EN149" s="375">
        <f>+EL149+ED149</f>
        <v>0</v>
      </c>
      <c r="EO149" s="7">
        <f t="shared" si="1000"/>
        <v>0</v>
      </c>
      <c r="EP149" s="373"/>
      <c r="EQ149" s="373"/>
      <c r="ER149" s="373"/>
      <c r="ES149" s="373"/>
      <c r="ET149" s="375"/>
      <c r="EU149" s="7">
        <f t="shared" si="653"/>
        <v>0</v>
      </c>
      <c r="EV149" s="375"/>
      <c r="EW149" s="7">
        <f t="shared" si="858"/>
        <v>0</v>
      </c>
      <c r="EX149" s="375"/>
      <c r="EY149" s="7">
        <f t="shared" si="655"/>
        <v>0</v>
      </c>
      <c r="EZ149" s="375">
        <f t="shared" ref="EZ149" si="1158">+ET149+EV149+EX149</f>
        <v>0</v>
      </c>
      <c r="FA149" s="7">
        <f t="shared" si="974"/>
        <v>0</v>
      </c>
      <c r="FB149" s="375"/>
      <c r="FC149" s="7">
        <f t="shared" si="656"/>
        <v>0</v>
      </c>
      <c r="FD149" s="375"/>
      <c r="FE149" s="7">
        <f t="shared" si="612"/>
        <v>0</v>
      </c>
      <c r="FF149" s="375"/>
      <c r="FG149" s="7">
        <f t="shared" si="975"/>
        <v>0</v>
      </c>
      <c r="FH149" s="375">
        <f t="shared" ref="FH149" si="1159">+FB149+FD149+FF149</f>
        <v>0</v>
      </c>
      <c r="FI149" s="7">
        <f t="shared" si="976"/>
        <v>0</v>
      </c>
      <c r="FJ149" s="375">
        <f t="shared" ref="FJ149" si="1160">EZ149+FH149</f>
        <v>0</v>
      </c>
      <c r="FK149" s="7">
        <f t="shared" si="1003"/>
        <v>0</v>
      </c>
      <c r="FL149" s="375"/>
      <c r="FM149" s="7">
        <f t="shared" si="658"/>
        <v>0</v>
      </c>
      <c r="FN149" s="375"/>
      <c r="FO149" s="7">
        <f t="shared" si="977"/>
        <v>0</v>
      </c>
      <c r="FP149" s="375"/>
      <c r="FQ149" s="7">
        <f t="shared" si="978"/>
        <v>0</v>
      </c>
      <c r="FR149" s="375">
        <f t="shared" ref="FR149" si="1161">+FL149+FN149+FP149</f>
        <v>0</v>
      </c>
      <c r="FS149" s="7">
        <f t="shared" si="979"/>
        <v>0</v>
      </c>
      <c r="FT149" s="375">
        <f t="shared" ref="FT149" si="1162">FJ149+FR149</f>
        <v>0</v>
      </c>
      <c r="FU149" s="7">
        <f t="shared" si="1006"/>
        <v>0</v>
      </c>
      <c r="FV149" s="375"/>
      <c r="FW149" s="7">
        <f t="shared" si="660"/>
        <v>0</v>
      </c>
      <c r="FX149" s="375"/>
      <c r="FY149" s="7">
        <f t="shared" si="980"/>
        <v>0</v>
      </c>
      <c r="FZ149" s="375"/>
      <c r="GA149" s="7">
        <f t="shared" si="981"/>
        <v>0</v>
      </c>
      <c r="GB149" s="375">
        <f t="shared" ref="GB149" si="1163">+FV149+FX149+FZ149</f>
        <v>0</v>
      </c>
      <c r="GC149" s="7">
        <f t="shared" si="982"/>
        <v>0</v>
      </c>
      <c r="GD149" s="375">
        <f t="shared" ref="GD149" si="1164">FT149+GB149</f>
        <v>0</v>
      </c>
      <c r="GE149" s="7">
        <f t="shared" si="1009"/>
        <v>0</v>
      </c>
      <c r="GF149" s="566">
        <f t="shared" ref="GF149" si="1165">+GO149*$GO$1</f>
        <v>0</v>
      </c>
      <c r="GG149" s="525">
        <f t="shared" si="983"/>
        <v>0</v>
      </c>
      <c r="GH149" s="528">
        <f>+GQ149*$GO$2</f>
        <v>0</v>
      </c>
      <c r="GI149" s="525">
        <f t="shared" si="984"/>
        <v>0</v>
      </c>
      <c r="GJ149" s="528"/>
      <c r="GK149" s="525">
        <f t="shared" si="985"/>
        <v>0</v>
      </c>
      <c r="GL149" s="528">
        <f>+GD149+GF149+GH149-GJ149</f>
        <v>0</v>
      </c>
      <c r="GM149" s="565">
        <f t="shared" si="1012"/>
        <v>0</v>
      </c>
      <c r="GO149" s="586"/>
      <c r="GQ149" s="586"/>
      <c r="GT149" s="551">
        <f t="shared" ref="GT149:GT177" si="1166">+GV149*GT$8</f>
        <v>0</v>
      </c>
      <c r="GU149" s="551">
        <f t="shared" si="1015"/>
        <v>0</v>
      </c>
      <c r="GV149" s="550">
        <f t="shared" si="986"/>
        <v>0</v>
      </c>
      <c r="GW149" s="527"/>
      <c r="GX149" s="525">
        <f t="shared" si="664"/>
        <v>0</v>
      </c>
      <c r="GY149" s="528"/>
      <c r="GZ149" s="525">
        <f t="shared" si="665"/>
        <v>0</v>
      </c>
      <c r="HA149" s="528"/>
      <c r="HB149" s="526">
        <f t="shared" si="666"/>
        <v>0</v>
      </c>
      <c r="HD149" s="527"/>
      <c r="HE149" s="525">
        <v>0</v>
      </c>
      <c r="HF149" s="528"/>
      <c r="HG149" s="525">
        <v>0</v>
      </c>
      <c r="HH149" s="528"/>
      <c r="HI149" s="526">
        <v>0</v>
      </c>
    </row>
    <row r="150" spans="1:217" ht="15" customHeight="1" outlineLevel="1">
      <c r="A150" s="386" t="s">
        <v>137</v>
      </c>
      <c r="B150" s="386"/>
      <c r="C150" s="389">
        <f>SUM(C149)</f>
        <v>0</v>
      </c>
      <c r="D150" s="4"/>
      <c r="E150" s="389">
        <f>SUM(E149)</f>
        <v>0</v>
      </c>
      <c r="F150" s="4"/>
      <c r="G150" s="389">
        <f>SUM(G149)</f>
        <v>0</v>
      </c>
      <c r="H150" s="389">
        <f>SUM(H149)</f>
        <v>0</v>
      </c>
      <c r="I150" s="4"/>
      <c r="J150" s="389">
        <f>SUM(J149)</f>
        <v>0</v>
      </c>
      <c r="K150" s="389">
        <f>SUM(K149)</f>
        <v>0</v>
      </c>
      <c r="L150" s="4"/>
      <c r="M150" s="389">
        <f>SUM(M149)</f>
        <v>0</v>
      </c>
      <c r="N150" s="389">
        <f>SUM(N149)</f>
        <v>0</v>
      </c>
      <c r="O150" s="4"/>
      <c r="P150" s="389">
        <f t="shared" si="869"/>
        <v>0</v>
      </c>
      <c r="Q150" s="389">
        <f t="shared" si="869"/>
        <v>0</v>
      </c>
      <c r="R150" s="7">
        <f t="shared" si="987"/>
        <v>0</v>
      </c>
      <c r="S150" s="389">
        <f>SUM(S149)</f>
        <v>0</v>
      </c>
      <c r="T150" s="389">
        <f>SUM(T149)</f>
        <v>0</v>
      </c>
      <c r="U150" s="4"/>
      <c r="V150" s="389">
        <f>SUM(V149)</f>
        <v>0</v>
      </c>
      <c r="W150" s="389">
        <f>SUM(W149)</f>
        <v>0</v>
      </c>
      <c r="X150" s="4"/>
      <c r="Y150" s="389">
        <f>SUM(Y149)</f>
        <v>0</v>
      </c>
      <c r="Z150" s="389">
        <f>SUM(Z149)</f>
        <v>0</v>
      </c>
      <c r="AA150" s="4"/>
      <c r="AB150" s="375">
        <f t="shared" si="1094"/>
        <v>0</v>
      </c>
      <c r="AC150" s="375">
        <f t="shared" si="1135"/>
        <v>0</v>
      </c>
      <c r="AD150" s="7">
        <f t="shared" si="988"/>
        <v>0</v>
      </c>
      <c r="AE150" s="375">
        <f t="shared" si="1096"/>
        <v>0</v>
      </c>
      <c r="AF150" s="375">
        <f t="shared" si="1136"/>
        <v>0</v>
      </c>
      <c r="AG150" s="4"/>
      <c r="AH150" s="389">
        <f>SUM(AH149)</f>
        <v>0</v>
      </c>
      <c r="AI150" s="389">
        <f>SUM(AI149)</f>
        <v>0</v>
      </c>
      <c r="AJ150" s="4"/>
      <c r="AK150" s="389"/>
      <c r="AL150" s="389"/>
      <c r="AM150" s="4"/>
      <c r="AN150" s="389">
        <f>SUM(AN149)</f>
        <v>0</v>
      </c>
      <c r="AO150" s="389">
        <f>SUM(AO149)</f>
        <v>0</v>
      </c>
      <c r="AP150" s="4"/>
      <c r="AQ150" s="375">
        <f t="shared" si="1137"/>
        <v>0</v>
      </c>
      <c r="AR150" s="375">
        <f t="shared" si="1138"/>
        <v>0</v>
      </c>
      <c r="AS150" s="7">
        <f t="shared" si="989"/>
        <v>0</v>
      </c>
      <c r="AT150" s="375">
        <f t="shared" si="1139"/>
        <v>0</v>
      </c>
      <c r="AU150" s="4"/>
      <c r="AV150" s="389">
        <f>SUM(AV149)</f>
        <v>0</v>
      </c>
      <c r="AW150" s="389">
        <f>SUM(AW149)</f>
        <v>0</v>
      </c>
      <c r="AX150" s="4"/>
      <c r="AY150" s="389">
        <f>SUM(AY149)</f>
        <v>0</v>
      </c>
      <c r="AZ150" s="389">
        <f>SUM(AZ149)</f>
        <v>0</v>
      </c>
      <c r="BA150" s="4"/>
      <c r="BB150" s="389">
        <f>SUM(BB149)</f>
        <v>0</v>
      </c>
      <c r="BC150" s="389">
        <f>SUM(BC149)</f>
        <v>0</v>
      </c>
      <c r="BD150" s="448"/>
      <c r="BE150" s="375">
        <f t="shared" si="1140"/>
        <v>0</v>
      </c>
      <c r="BF150" s="375">
        <f t="shared" si="1141"/>
        <v>0</v>
      </c>
      <c r="BG150" s="7">
        <f t="shared" si="990"/>
        <v>0</v>
      </c>
      <c r="BH150" s="389">
        <f>SUM(BH149)</f>
        <v>0</v>
      </c>
      <c r="BI150" s="389">
        <f>SUM(BI149)</f>
        <v>0</v>
      </c>
      <c r="BJ150" s="7">
        <f t="shared" si="991"/>
        <v>0</v>
      </c>
      <c r="BK150" s="389">
        <v>0</v>
      </c>
      <c r="BL150" s="282"/>
      <c r="BN150" s="375">
        <f>SUM(BN149)</f>
        <v>0</v>
      </c>
      <c r="BO150" s="4"/>
      <c r="BP150" s="375">
        <f>SUM(BP149)</f>
        <v>0</v>
      </c>
      <c r="BQ150" s="4"/>
      <c r="BR150" s="375"/>
      <c r="BS150" s="4"/>
      <c r="BT150" s="375">
        <f t="shared" si="1103"/>
        <v>0</v>
      </c>
      <c r="BU150" s="7">
        <f t="shared" si="992"/>
        <v>0</v>
      </c>
      <c r="BV150" s="375"/>
      <c r="BW150" s="7"/>
      <c r="BX150" s="375"/>
      <c r="BY150" s="7"/>
      <c r="BZ150" s="375">
        <f t="shared" si="1144"/>
        <v>0</v>
      </c>
      <c r="CA150" s="7"/>
      <c r="CB150" s="375">
        <f t="shared" si="1104"/>
        <v>0</v>
      </c>
      <c r="CC150" s="7">
        <f t="shared" si="1121"/>
        <v>0</v>
      </c>
      <c r="CD150" s="375">
        <f t="shared" ref="CD150" si="1167">+BX150+BZ150+CB150</f>
        <v>0</v>
      </c>
      <c r="CE150" s="7">
        <f t="shared" si="993"/>
        <v>0</v>
      </c>
      <c r="CF150" s="375">
        <f t="shared" si="1145"/>
        <v>0</v>
      </c>
      <c r="CG150" s="7">
        <f t="shared" si="994"/>
        <v>0</v>
      </c>
      <c r="CH150" s="375">
        <f t="shared" si="1146"/>
        <v>0</v>
      </c>
      <c r="CI150" s="7">
        <f t="shared" si="994"/>
        <v>0</v>
      </c>
      <c r="CJ150" s="375">
        <f t="shared" si="1147"/>
        <v>0</v>
      </c>
      <c r="CK150" s="7">
        <f t="shared" si="994"/>
        <v>0</v>
      </c>
      <c r="CL150" s="375">
        <f>SUM(CL149)</f>
        <v>0</v>
      </c>
      <c r="CM150" s="7">
        <f t="shared" si="994"/>
        <v>0</v>
      </c>
      <c r="CN150" s="375">
        <f t="shared" si="1107"/>
        <v>0</v>
      </c>
      <c r="CO150" s="7">
        <f t="shared" si="639"/>
        <v>0</v>
      </c>
      <c r="CP150" s="375">
        <v>0</v>
      </c>
      <c r="CQ150" s="7">
        <f t="shared" si="967"/>
        <v>0</v>
      </c>
      <c r="CR150" s="375">
        <f t="shared" si="1122"/>
        <v>0</v>
      </c>
      <c r="CS150" s="7">
        <f t="shared" si="641"/>
        <v>0</v>
      </c>
      <c r="CT150" s="375">
        <v>0</v>
      </c>
      <c r="CU150" s="7">
        <f t="shared" si="611"/>
        <v>0</v>
      </c>
      <c r="CV150" s="375">
        <v>0</v>
      </c>
      <c r="CW150" s="7">
        <f t="shared" si="968"/>
        <v>0</v>
      </c>
      <c r="CX150" s="375">
        <f>+CV150+CT150+CP150</f>
        <v>0</v>
      </c>
      <c r="CY150" s="7">
        <f t="shared" si="969"/>
        <v>0</v>
      </c>
      <c r="CZ150" s="375">
        <f>+CD150+CL150+CX150</f>
        <v>0</v>
      </c>
      <c r="DA150" s="7">
        <f t="shared" si="997"/>
        <v>0</v>
      </c>
      <c r="DB150" s="375">
        <f t="shared" si="1148"/>
        <v>0</v>
      </c>
      <c r="DC150" s="7">
        <f t="shared" si="642"/>
        <v>0</v>
      </c>
      <c r="DD150" s="375">
        <f t="shared" si="1149"/>
        <v>0</v>
      </c>
      <c r="DE150" s="7">
        <f t="shared" si="642"/>
        <v>0</v>
      </c>
      <c r="DF150" s="375">
        <f t="shared" si="1150"/>
        <v>0</v>
      </c>
      <c r="DG150" s="7">
        <f t="shared" si="642"/>
        <v>0</v>
      </c>
      <c r="DH150" s="375">
        <f>SUM(DH149)</f>
        <v>0</v>
      </c>
      <c r="DI150" s="7">
        <f t="shared" si="970"/>
        <v>0</v>
      </c>
      <c r="DJ150" s="375">
        <f>SUM(DJ149)</f>
        <v>0</v>
      </c>
      <c r="DK150" s="7">
        <f t="shared" si="643"/>
        <v>0</v>
      </c>
      <c r="DL150" s="375">
        <f t="shared" si="1152"/>
        <v>0</v>
      </c>
      <c r="DM150" s="7">
        <f t="shared" si="644"/>
        <v>0</v>
      </c>
      <c r="DN150" s="375">
        <f t="shared" si="1153"/>
        <v>0</v>
      </c>
      <c r="DO150" s="7">
        <f t="shared" si="645"/>
        <v>0</v>
      </c>
      <c r="DP150" s="375">
        <f t="shared" si="1154"/>
        <v>0</v>
      </c>
      <c r="DQ150" s="7">
        <f t="shared" si="646"/>
        <v>0</v>
      </c>
      <c r="DR150" s="375">
        <f>SUM(DR149)</f>
        <v>0</v>
      </c>
      <c r="DS150" s="7">
        <f t="shared" si="971"/>
        <v>0</v>
      </c>
      <c r="DT150" s="389">
        <f t="shared" si="1110"/>
        <v>0</v>
      </c>
      <c r="DU150" s="7">
        <f t="shared" si="998"/>
        <v>0</v>
      </c>
      <c r="DV150" s="389">
        <f>SUM(DV149)</f>
        <v>0</v>
      </c>
      <c r="DW150" s="7">
        <f t="shared" si="647"/>
        <v>0</v>
      </c>
      <c r="DX150" s="389">
        <f>SUM(DX149)</f>
        <v>0</v>
      </c>
      <c r="DY150" s="7">
        <f t="shared" si="856"/>
        <v>0</v>
      </c>
      <c r="DZ150" s="389">
        <f>SUM(DZ149)</f>
        <v>0</v>
      </c>
      <c r="EA150" s="7">
        <f t="shared" si="649"/>
        <v>0</v>
      </c>
      <c r="EB150" s="389">
        <f>SUM(EB149)</f>
        <v>0</v>
      </c>
      <c r="EC150" s="7">
        <f t="shared" si="972"/>
        <v>0</v>
      </c>
      <c r="ED150" s="389">
        <f>SUM(ED149)</f>
        <v>0</v>
      </c>
      <c r="EE150" s="7">
        <f t="shared" si="999"/>
        <v>0</v>
      </c>
      <c r="EF150" s="389">
        <f>SUM(EF149)</f>
        <v>0</v>
      </c>
      <c r="EG150" s="7">
        <f t="shared" si="650"/>
        <v>0</v>
      </c>
      <c r="EH150" s="389">
        <f>SUM(EH149)</f>
        <v>0</v>
      </c>
      <c r="EI150" s="7">
        <f t="shared" si="857"/>
        <v>0</v>
      </c>
      <c r="EJ150" s="389">
        <f>SUM(EJ149)</f>
        <v>0</v>
      </c>
      <c r="EK150" s="7">
        <f t="shared" si="652"/>
        <v>0</v>
      </c>
      <c r="EL150" s="375">
        <f>SUM(EL149)</f>
        <v>0</v>
      </c>
      <c r="EM150" s="7">
        <f t="shared" si="973"/>
        <v>0</v>
      </c>
      <c r="EN150" s="389">
        <f>SUM(EN149)</f>
        <v>0</v>
      </c>
      <c r="EO150" s="7">
        <f t="shared" si="1000"/>
        <v>0</v>
      </c>
      <c r="EP150" s="373"/>
      <c r="EQ150" s="373"/>
      <c r="ER150" s="373"/>
      <c r="ES150" s="373"/>
      <c r="ET150" s="389">
        <f>SUM(ET149)</f>
        <v>0</v>
      </c>
      <c r="EU150" s="7">
        <f t="shared" si="653"/>
        <v>0</v>
      </c>
      <c r="EV150" s="389">
        <f>SUM(EV149)</f>
        <v>0</v>
      </c>
      <c r="EW150" s="7">
        <f t="shared" si="858"/>
        <v>0</v>
      </c>
      <c r="EX150" s="389">
        <f>SUM(EX149)</f>
        <v>0</v>
      </c>
      <c r="EY150" s="7">
        <f t="shared" si="655"/>
        <v>0</v>
      </c>
      <c r="EZ150" s="375">
        <f>SUM(EZ149)</f>
        <v>0</v>
      </c>
      <c r="FA150" s="7">
        <f t="shared" si="974"/>
        <v>0</v>
      </c>
      <c r="FB150" s="389">
        <f>SUM(FB149)</f>
        <v>0</v>
      </c>
      <c r="FC150" s="7">
        <f t="shared" si="656"/>
        <v>0</v>
      </c>
      <c r="FD150" s="389">
        <f t="shared" ref="FD150" si="1168">SUM(FD149)</f>
        <v>0</v>
      </c>
      <c r="FE150" s="7">
        <f t="shared" si="612"/>
        <v>0</v>
      </c>
      <c r="FF150" s="389">
        <f t="shared" ref="FF150" si="1169">SUM(FF149)</f>
        <v>0</v>
      </c>
      <c r="FG150" s="7">
        <f t="shared" si="975"/>
        <v>0</v>
      </c>
      <c r="FH150" s="375">
        <f>SUM(FH149)</f>
        <v>0</v>
      </c>
      <c r="FI150" s="7">
        <f t="shared" si="976"/>
        <v>0</v>
      </c>
      <c r="FJ150" s="375">
        <f t="shared" ref="FJ150" si="1170">+FD150+FF150+FH150</f>
        <v>0</v>
      </c>
      <c r="FK150" s="7">
        <f t="shared" si="1003"/>
        <v>0</v>
      </c>
      <c r="FL150" s="389">
        <f>SUM(FL149)</f>
        <v>0</v>
      </c>
      <c r="FM150" s="7">
        <f t="shared" si="658"/>
        <v>0</v>
      </c>
      <c r="FN150" s="389">
        <f t="shared" ref="FN150" si="1171">SUM(FN149)</f>
        <v>0</v>
      </c>
      <c r="FO150" s="7">
        <f t="shared" si="977"/>
        <v>0</v>
      </c>
      <c r="FP150" s="389">
        <f t="shared" ref="FP150" si="1172">SUM(FP149)</f>
        <v>0</v>
      </c>
      <c r="FQ150" s="7">
        <f t="shared" si="978"/>
        <v>0</v>
      </c>
      <c r="FR150" s="375">
        <f>SUM(FR149)</f>
        <v>0</v>
      </c>
      <c r="FS150" s="7">
        <f t="shared" si="979"/>
        <v>0</v>
      </c>
      <c r="FT150" s="375">
        <f t="shared" ref="FT150" si="1173">+FN150+FP150+FR150</f>
        <v>0</v>
      </c>
      <c r="FU150" s="7">
        <f t="shared" si="1006"/>
        <v>0</v>
      </c>
      <c r="FV150" s="389">
        <f>SUM(FV149)</f>
        <v>0</v>
      </c>
      <c r="FW150" s="7">
        <f t="shared" si="660"/>
        <v>0</v>
      </c>
      <c r="FX150" s="389">
        <f t="shared" ref="FX150" si="1174">SUM(FX149)</f>
        <v>0</v>
      </c>
      <c r="FY150" s="7">
        <f t="shared" si="980"/>
        <v>0</v>
      </c>
      <c r="FZ150" s="389">
        <f t="shared" ref="FZ150" si="1175">SUM(FZ149)</f>
        <v>0</v>
      </c>
      <c r="GA150" s="7">
        <f t="shared" si="981"/>
        <v>0</v>
      </c>
      <c r="GB150" s="375">
        <f>SUM(GB149)</f>
        <v>0</v>
      </c>
      <c r="GC150" s="7">
        <f t="shared" si="982"/>
        <v>0</v>
      </c>
      <c r="GD150" s="375">
        <f t="shared" ref="GD150" si="1176">+FX150+FZ150+GB150</f>
        <v>0</v>
      </c>
      <c r="GE150" s="7">
        <f t="shared" si="1009"/>
        <v>0</v>
      </c>
      <c r="GF150" s="567">
        <f>SUM(GF149)</f>
        <v>0</v>
      </c>
      <c r="GG150" s="525">
        <f t="shared" si="983"/>
        <v>0</v>
      </c>
      <c r="GH150" s="530">
        <f>SUM(GH149)</f>
        <v>0</v>
      </c>
      <c r="GI150" s="525">
        <f t="shared" si="984"/>
        <v>0</v>
      </c>
      <c r="GJ150" s="530">
        <f>SUM(GJ149)</f>
        <v>0</v>
      </c>
      <c r="GK150" s="525">
        <f t="shared" si="985"/>
        <v>0</v>
      </c>
      <c r="GL150" s="530">
        <f>SUM(GL149)</f>
        <v>0</v>
      </c>
      <c r="GM150" s="565">
        <f t="shared" si="1012"/>
        <v>0</v>
      </c>
      <c r="GO150" s="587">
        <f>SUM(GO149)</f>
        <v>0</v>
      </c>
      <c r="GQ150" s="587">
        <f>SUM(GQ149)</f>
        <v>0</v>
      </c>
      <c r="GT150" s="551">
        <f t="shared" si="1166"/>
        <v>0</v>
      </c>
      <c r="GU150" s="551">
        <f t="shared" si="1015"/>
        <v>0</v>
      </c>
      <c r="GV150" s="550">
        <f t="shared" si="986"/>
        <v>0</v>
      </c>
      <c r="GW150" s="527"/>
      <c r="GX150" s="525">
        <f t="shared" si="664"/>
        <v>0</v>
      </c>
      <c r="GY150" s="528"/>
      <c r="GZ150" s="525">
        <f t="shared" si="665"/>
        <v>0</v>
      </c>
      <c r="HA150" s="528"/>
      <c r="HB150" s="526">
        <f t="shared" si="666"/>
        <v>0</v>
      </c>
      <c r="HD150" s="527"/>
      <c r="HE150" s="525">
        <v>0</v>
      </c>
      <c r="HF150" s="528"/>
      <c r="HG150" s="525">
        <v>0</v>
      </c>
      <c r="HH150" s="528"/>
      <c r="HI150" s="526">
        <v>0</v>
      </c>
    </row>
    <row r="151" spans="1:217" ht="15" customHeight="1">
      <c r="A151" s="8" t="s">
        <v>138</v>
      </c>
      <c r="B151" s="8" t="s">
        <v>139</v>
      </c>
      <c r="C151" s="9">
        <f>C139+C146+C148+C150</f>
        <v>-66681195.759999998</v>
      </c>
      <c r="D151" s="10"/>
      <c r="E151" s="9">
        <f>E139+E146+E148+E150</f>
        <v>-1105511.3999999966</v>
      </c>
      <c r="F151" s="10"/>
      <c r="G151" s="9">
        <f>G139+G146+G148+G150</f>
        <v>-5020049.6666666679</v>
      </c>
      <c r="H151" s="9">
        <f>H139+H146+H148+H150</f>
        <v>388783.7400000004</v>
      </c>
      <c r="I151" s="10"/>
      <c r="J151" s="9">
        <f>J139+J146+J148+J150</f>
        <v>-8057458.6366666639</v>
      </c>
      <c r="K151" s="9">
        <f>K139+K146+K148+K150</f>
        <v>-3902722.419999999</v>
      </c>
      <c r="L151" s="10"/>
      <c r="M151" s="9">
        <f>M139+M146+M148+M150</f>
        <v>613762.99333333515</v>
      </c>
      <c r="N151" s="9">
        <f>N139+N146+N148+N150</f>
        <v>2861311.4200000004</v>
      </c>
      <c r="O151" s="10"/>
      <c r="P151" s="9">
        <f t="shared" si="869"/>
        <v>-12463745.309999995</v>
      </c>
      <c r="Q151" s="9">
        <f t="shared" si="869"/>
        <v>-652627.25999999838</v>
      </c>
      <c r="R151" s="7">
        <f t="shared" si="987"/>
        <v>-1.7945058012438248E-2</v>
      </c>
      <c r="S151" s="9">
        <f>S139+S146+S148+S150</f>
        <v>-608725.72999999917</v>
      </c>
      <c r="T151" s="9">
        <f>T139+T146+T148+T150</f>
        <v>-608725.72999999917</v>
      </c>
      <c r="U151" s="4"/>
      <c r="V151" s="9">
        <f>V139+V146+V148+V150</f>
        <v>-2963748.19</v>
      </c>
      <c r="W151" s="9">
        <f>W139+W146+W148+W150</f>
        <v>-2954220.5699999989</v>
      </c>
      <c r="X151" s="4"/>
      <c r="Y151" s="9">
        <f>Y139+Y146+Y148+Y150</f>
        <v>4322706.74</v>
      </c>
      <c r="Z151" s="9">
        <f>Z139+Z146+Z148+Z150</f>
        <v>4313179.120000001</v>
      </c>
      <c r="AA151" s="4"/>
      <c r="AB151" s="9">
        <f>AB139+AB146+AB148+AB150</f>
        <v>750232.82000000239</v>
      </c>
      <c r="AC151" s="9">
        <f>AC139+AC146+AC148+AC150</f>
        <v>750232.82000000239</v>
      </c>
      <c r="AD151" s="7">
        <f t="shared" si="988"/>
        <v>2.0228813757818289E-2</v>
      </c>
      <c r="AE151" s="9">
        <f>AE139+AE146+AE148+AE150</f>
        <v>97605.560000002559</v>
      </c>
      <c r="AF151" s="9">
        <f>AF139+AF146+AF148+AF150</f>
        <v>97605.560000002559</v>
      </c>
      <c r="AG151" s="4"/>
      <c r="AH151" s="9">
        <f>AH139+AH146+AH148+AH150</f>
        <v>-6834657.7299999995</v>
      </c>
      <c r="AI151" s="9">
        <f>AI139+AI146+AI148+AI150</f>
        <v>-6834657.7299999995</v>
      </c>
      <c r="AJ151" s="4"/>
      <c r="AK151" s="9">
        <f>AK139+AK146+AK148+AK150</f>
        <v>-4466593.2100000009</v>
      </c>
      <c r="AL151" s="9">
        <f>AL139+AL146+AL148+AL150</f>
        <v>-4466593.2100000009</v>
      </c>
      <c r="AM151" s="4"/>
      <c r="AN151" s="9">
        <f>AN139+AN146+AN148+AN150</f>
        <v>8636902.6199999992</v>
      </c>
      <c r="AO151" s="9">
        <f>AO139+AO146+AO148+AO150</f>
        <v>8636902.6199999992</v>
      </c>
      <c r="AP151" s="4"/>
      <c r="AQ151" s="9">
        <f>AQ139+AQ146+AQ148+AQ150</f>
        <v>-2664348.3200000045</v>
      </c>
      <c r="AR151" s="9">
        <f>AR139+AR146+AR148+AR150</f>
        <v>-2664348.3200000045</v>
      </c>
      <c r="AS151" s="7">
        <f t="shared" si="989"/>
        <v>-0.10007828302634768</v>
      </c>
      <c r="AT151" s="9">
        <f>AT139+AT146+AT148+AT150</f>
        <v>-2566742.7600000189</v>
      </c>
      <c r="AU151" s="4"/>
      <c r="AV151" s="9">
        <f>AV139+AV146+AV148+AV150</f>
        <v>-6977845.2927452335</v>
      </c>
      <c r="AW151" s="9">
        <f>AW139+AW146+AW148+AW150</f>
        <v>-12393844.159999996</v>
      </c>
      <c r="AX151" s="4"/>
      <c r="AY151" s="9">
        <f>AY139+AY146+AY148+AY150</f>
        <v>626978.39277768927</v>
      </c>
      <c r="AZ151" s="9">
        <f>AZ139+AZ146+AZ148+AZ150</f>
        <v>-5701016.46</v>
      </c>
      <c r="BA151" s="4"/>
      <c r="BB151" s="9">
        <f>BB139+BB146+BB148+BB150</f>
        <v>16267141.024293052</v>
      </c>
      <c r="BC151" s="9">
        <f>BC139+BC146+BC148+BC150</f>
        <v>19378131.899999999</v>
      </c>
      <c r="BD151" s="448"/>
      <c r="BE151" s="9">
        <f>BE139+BE146+BE148+BE150</f>
        <v>9916274.1243255157</v>
      </c>
      <c r="BF151" s="9">
        <f>BF139+BF146+BF148+BF150</f>
        <v>1283271.2799999961</v>
      </c>
      <c r="BG151" s="7">
        <f t="shared" si="990"/>
        <v>4.086894493527498E-2</v>
      </c>
      <c r="BH151" s="9">
        <f>BH139+BH146+BH148+BH150</f>
        <v>7349531.3643254871</v>
      </c>
      <c r="BI151" s="9">
        <f>BI139+BI146+BI148+BI150</f>
        <v>-1283471.4799999886</v>
      </c>
      <c r="BJ151" s="7">
        <f t="shared" si="991"/>
        <v>-9.761893088245063E-3</v>
      </c>
      <c r="BK151" s="9">
        <f>BK139+BK146+BK148+BK150</f>
        <v>18541870.490000099</v>
      </c>
      <c r="BL151" s="282"/>
      <c r="BN151" s="9">
        <f>BN139+BN146+BN148+BN150</f>
        <v>-2881995.2600000007</v>
      </c>
      <c r="BO151" s="445">
        <f>BN151/BN8</f>
        <v>-0.21349668558073615</v>
      </c>
      <c r="BP151" s="9">
        <f>BP139+BP146+BP148+BP150</f>
        <v>-8566718.4200000018</v>
      </c>
      <c r="BQ151" s="445">
        <f>BP151/BP8</f>
        <v>-0.92580574037597518</v>
      </c>
      <c r="BR151" s="9">
        <f>BR139+BR146+BR148+BR150</f>
        <v>13242472.5</v>
      </c>
      <c r="BS151" s="445">
        <f>BR151/BR8</f>
        <v>0.42088727989046532</v>
      </c>
      <c r="BT151" s="9">
        <f>BT139+BT146+BT148+BT150</f>
        <v>1793758.8199999812</v>
      </c>
      <c r="BU151" s="7">
        <f t="shared" si="992"/>
        <v>3.3085718488296903E-2</v>
      </c>
      <c r="BV151" s="9">
        <f>BV139+BV146+BV148+BV150</f>
        <v>-4205624.9300000006</v>
      </c>
      <c r="BW151" s="445">
        <f>BV151/BV8</f>
        <v>-1.1398954190640376</v>
      </c>
      <c r="BX151" s="9">
        <f>BX139+BX146+BX148+BX150</f>
        <v>3630550.7899999986</v>
      </c>
      <c r="BY151" s="445">
        <f>BX151/BX8</f>
        <v>0.2175612413967245</v>
      </c>
      <c r="BZ151" s="9">
        <f>BZ139+BZ146+BZ148+BZ150</f>
        <v>1179554.2299999995</v>
      </c>
      <c r="CA151" s="445">
        <f>BZ151/BZ8</f>
        <v>8.506811383884004E-2</v>
      </c>
      <c r="CB151" s="9">
        <f>CB139+CB146+CB148+CB150</f>
        <v>604480.0899999938</v>
      </c>
      <c r="CC151" s="7">
        <f t="shared" si="1121"/>
        <v>1.7652677438481798E-2</v>
      </c>
      <c r="CD151" s="9">
        <f>CD139+CD146+CD148+CD150</f>
        <v>2398238.9099999988</v>
      </c>
      <c r="CE151" s="7">
        <f t="shared" si="993"/>
        <v>2.7111467008438781E-2</v>
      </c>
      <c r="CF151" s="9">
        <f>CF139+CF146+CF148+CF150</f>
        <v>-5628848.2499999981</v>
      </c>
      <c r="CG151" s="7">
        <f t="shared" si="994"/>
        <v>-1.114426063123118</v>
      </c>
      <c r="CH151" s="9">
        <f>CH139+CH146+CH148+CH150</f>
        <v>2861522.7899999958</v>
      </c>
      <c r="CI151" s="7">
        <f t="shared" si="994"/>
        <v>7.7171159432945821E-2</v>
      </c>
      <c r="CJ151" s="9">
        <f>CJ139+CJ146+CJ148+CJ150</f>
        <v>5976120.3799999962</v>
      </c>
      <c r="CK151" s="7">
        <f t="shared" si="994"/>
        <v>0.21220295195389366</v>
      </c>
      <c r="CL151" s="9">
        <f>CL139+CL146+CL148+CL150</f>
        <v>3208794.9199999948</v>
      </c>
      <c r="CM151" s="7">
        <f t="shared" si="994"/>
        <v>4.56486004884714E-2</v>
      </c>
      <c r="CN151" s="9">
        <f>CN139+CN146+CN148+CN150</f>
        <v>5607033.8300000038</v>
      </c>
      <c r="CO151" s="7">
        <f t="shared" si="639"/>
        <v>3.5319483954871771E-2</v>
      </c>
      <c r="CP151" s="9">
        <f>CP139+CP146+CP148+CP150</f>
        <v>-4518754.8600000003</v>
      </c>
      <c r="CQ151" s="7">
        <f t="shared" si="967"/>
        <v>-0.23066528322401145</v>
      </c>
      <c r="CR151" s="9">
        <f>CR139+CR146+CR148+CR150</f>
        <v>1088278.97</v>
      </c>
      <c r="CS151" s="7">
        <f t="shared" si="641"/>
        <v>6.1022038180018993E-3</v>
      </c>
      <c r="CT151" s="9">
        <f t="shared" ref="CT151" si="1177">CT139+CT146+CT148+CT150</f>
        <v>-351952.73000000091</v>
      </c>
      <c r="CU151" s="7">
        <f t="shared" si="611"/>
        <v>-2.2468015288731637E-2</v>
      </c>
      <c r="CV151" s="9">
        <f t="shared" ref="CV151" si="1178">CV139+CV146+CV148+CV150</f>
        <v>1277937.6200000008</v>
      </c>
      <c r="CW151" s="7">
        <f t="shared" si="968"/>
        <v>2.0423812452113655E-2</v>
      </c>
      <c r="CX151" s="9">
        <f>CX139+CX146+CX148+CX150</f>
        <v>-3592769.9700000281</v>
      </c>
      <c r="CY151" s="7">
        <f t="shared" si="969"/>
        <v>-3.6726249558349723E-2</v>
      </c>
      <c r="CZ151" s="9">
        <f>CZ139+CZ146+CZ148+CZ150</f>
        <v>2014263.8600000553</v>
      </c>
      <c r="DA151" s="7">
        <f t="shared" si="997"/>
        <v>7.8505075913963222E-3</v>
      </c>
      <c r="DB151" s="9">
        <f>DB139+DB146+DB148+DB150</f>
        <v>459963.39999999903</v>
      </c>
      <c r="DC151" s="7">
        <f t="shared" si="642"/>
        <v>2.3961034003950814E-2</v>
      </c>
      <c r="DD151" s="9">
        <f>DD139+DD146+DD148+DD150</f>
        <v>2206301.1300000018</v>
      </c>
      <c r="DE151" s="7">
        <f t="shared" si="642"/>
        <v>8.4964888944814354E-2</v>
      </c>
      <c r="DF151" s="9">
        <f>DF139+DF146+DF148+DF150</f>
        <v>4037782.7800000003</v>
      </c>
      <c r="DG151" s="7">
        <f t="shared" si="642"/>
        <v>0.13016624827211895</v>
      </c>
      <c r="DH151" s="9">
        <f>DH139+DH146+DH148+DH150</f>
        <v>6704047.3100000061</v>
      </c>
      <c r="DI151" s="7">
        <f t="shared" si="970"/>
        <v>8.7998428189048572E-2</v>
      </c>
      <c r="DJ151" s="9">
        <f>DJ139+DJ146+DJ148+DJ150</f>
        <v>1069573.4735125415</v>
      </c>
      <c r="DK151" s="7">
        <f t="shared" si="643"/>
        <v>2.0336381789666388E-2</v>
      </c>
      <c r="DL151" s="9">
        <f>DL139+DL146+DL148+DL150</f>
        <v>-3285143.6999999983</v>
      </c>
      <c r="DM151" s="7">
        <f t="shared" si="644"/>
        <v>-0.37873532166951257</v>
      </c>
      <c r="DN151" s="9">
        <f>DN139+DN146+DN148+DN150</f>
        <v>-1411312.8599999996</v>
      </c>
      <c r="DO151" s="7">
        <f t="shared" si="645"/>
        <v>-8.2241174409259335E-2</v>
      </c>
      <c r="DP151" s="9">
        <f>DP139+DP146+DP148+DP150</f>
        <v>14665029.460000001</v>
      </c>
      <c r="DQ151" s="7">
        <f t="shared" si="646"/>
        <v>0.17478030517021667</v>
      </c>
      <c r="DR151" s="9">
        <f>DR139+DR146+DR148+DR150</f>
        <v>9968572.8999999966</v>
      </c>
      <c r="DS151" s="7">
        <f t="shared" si="971"/>
        <v>9.0837976998996581E-2</v>
      </c>
      <c r="DT151" s="9">
        <f>DT139+DT146+DT148+DT150</f>
        <v>16672620.210000021</v>
      </c>
      <c r="DU151" s="7">
        <f t="shared" si="998"/>
        <v>8.9674450283465088E-2</v>
      </c>
      <c r="DV151" s="9">
        <f>DV139+DV146+DV148+DV150</f>
        <v>-9125536.1100000087</v>
      </c>
      <c r="DW151" s="7">
        <f t="shared" si="647"/>
        <v>-0.20048499301804429</v>
      </c>
      <c r="DX151" s="9">
        <f>DX139+DX146+DX148+DX150</f>
        <v>6899823.9000000013</v>
      </c>
      <c r="DY151" s="7">
        <f t="shared" si="856"/>
        <v>0.26689231948980874</v>
      </c>
      <c r="DZ151" s="9">
        <f>DZ139+DZ146+DZ148+DZ150</f>
        <v>25464264.250000011</v>
      </c>
      <c r="EA151" s="7">
        <f t="shared" si="649"/>
        <v>0.20813763916787281</v>
      </c>
      <c r="EB151" s="9">
        <f>EB139+EB146+EB148+EB150</f>
        <v>23238552.039999992</v>
      </c>
      <c r="EC151" s="7">
        <f t="shared" si="972"/>
        <v>0.11996372670104248</v>
      </c>
      <c r="ED151" s="9">
        <f>ED139+ED146+ED148+ED150</f>
        <v>39911172.25000006</v>
      </c>
      <c r="EE151" s="7">
        <f t="shared" si="999"/>
        <v>0.10512982219397014</v>
      </c>
      <c r="EF151" s="9">
        <f>EF139+EF146+EF148+EF150</f>
        <v>-10255950.239999996</v>
      </c>
      <c r="EG151" s="7">
        <f t="shared" si="650"/>
        <v>-0.69406307341774964</v>
      </c>
      <c r="EH151" s="9">
        <f>EH139+EH146+EH148+EH150</f>
        <v>-3532784.3800000008</v>
      </c>
      <c r="EI151" s="7">
        <f t="shared" si="857"/>
        <v>-0.27711031657914226</v>
      </c>
      <c r="EJ151" s="9">
        <f>EJ139+EJ146+EJ148+EJ150</f>
        <v>38273437.959999986</v>
      </c>
      <c r="EK151" s="7">
        <f t="shared" si="652"/>
        <v>0.245086409632157</v>
      </c>
      <c r="EL151" s="9">
        <f>EL139+EL146+EL148+EL150</f>
        <v>24484703.339999992</v>
      </c>
      <c r="EM151" s="7">
        <f t="shared" si="973"/>
        <v>0.13329478842310027</v>
      </c>
      <c r="EN151" s="9">
        <f>EN139+EN146+EN148+EN150</f>
        <v>64395875.590000108</v>
      </c>
      <c r="EO151" s="7">
        <f t="shared" si="1000"/>
        <v>0.1143138159839775</v>
      </c>
      <c r="EP151" s="455">
        <v>-5000000</v>
      </c>
      <c r="EQ151" s="373" t="s">
        <v>710</v>
      </c>
      <c r="ER151" s="373"/>
      <c r="ES151" s="373"/>
      <c r="ET151" s="9">
        <f>ET139+ET146+ET148+ET150</f>
        <v>-5592344.6200000001</v>
      </c>
      <c r="EU151" s="7">
        <f t="shared" si="653"/>
        <v>-0.75818950422279086</v>
      </c>
      <c r="EV151" s="9">
        <f>EV139+EV146+EV148+EV150</f>
        <v>-10242683.740000002</v>
      </c>
      <c r="EW151" s="7">
        <f t="shared" si="858"/>
        <v>-1.6806659248481741</v>
      </c>
      <c r="EX151" s="9">
        <f>EX139+EX146+EX148+EX150</f>
        <v>38831719.05999998</v>
      </c>
      <c r="EY151" s="7">
        <f t="shared" si="655"/>
        <v>0.17010037060938052</v>
      </c>
      <c r="EZ151" s="9">
        <f>EZ139+EZ146+EZ148+EZ150</f>
        <v>22996690.699999981</v>
      </c>
      <c r="FA151" s="7">
        <f t="shared" si="974"/>
        <v>9.5122993864887845E-2</v>
      </c>
      <c r="FB151" s="9">
        <f>FB139+FB146+FB148+FB150</f>
        <v>-7514798.4500000002</v>
      </c>
      <c r="FC151" s="7">
        <f t="shared" si="656"/>
        <v>-0.82926913337280195</v>
      </c>
      <c r="FD151" s="9">
        <f t="shared" ref="FD151" si="1179">FD139+FD146+FD148+FD150</f>
        <v>9975389.5199999921</v>
      </c>
      <c r="FE151" s="7">
        <f t="shared" si="612"/>
        <v>9.4774690339701109E-2</v>
      </c>
      <c r="FF151" s="9">
        <f t="shared" ref="FF151" si="1180">FF139+FF146+FF148+FF150</f>
        <v>24424230.42000002</v>
      </c>
      <c r="FG151" s="7">
        <f t="shared" si="975"/>
        <v>0.15200368896378574</v>
      </c>
      <c r="FH151" s="9">
        <f>FH139+FH146+FH148+FH150</f>
        <v>26884821.490000036</v>
      </c>
      <c r="FI151" s="7">
        <f t="shared" si="976"/>
        <v>9.7763872845514896E-2</v>
      </c>
      <c r="FJ151" s="9">
        <f>FJ139+FJ146+FJ148+FJ150</f>
        <v>49881512.19000008</v>
      </c>
      <c r="FK151" s="7">
        <f t="shared" si="1003"/>
        <v>9.6528370154055299E-2</v>
      </c>
      <c r="FL151" s="9">
        <f>FL139+FL146+FL148+FL150</f>
        <v>-5641237.8700000001</v>
      </c>
      <c r="FM151" s="7">
        <f t="shared" si="658"/>
        <v>-0.51592062166572583</v>
      </c>
      <c r="FN151" s="9">
        <f t="shared" ref="FN151" si="1181">FN139+FN146+FN148+FN150</f>
        <v>-10093438.390000001</v>
      </c>
      <c r="FO151" s="7">
        <f t="shared" si="977"/>
        <v>-2.1124708244776258</v>
      </c>
      <c r="FP151" s="9">
        <f t="shared" ref="FP151" si="1182">FP139+FP146+FP148+FP150</f>
        <v>45187870.270000041</v>
      </c>
      <c r="FQ151" s="7">
        <f t="shared" si="978"/>
        <v>0.16334388644697762</v>
      </c>
      <c r="FR151" s="9">
        <f>FR139+FR146+FR148+FR150</f>
        <v>29453194.010000009</v>
      </c>
      <c r="FS151" s="7">
        <f t="shared" si="979"/>
        <v>0.10074465844408335</v>
      </c>
      <c r="FT151" s="9">
        <f>FT139+FT146+FT148+FT150</f>
        <v>79334706.200000018</v>
      </c>
      <c r="FU151" s="7">
        <f t="shared" si="1006"/>
        <v>9.8051837630502153E-2</v>
      </c>
      <c r="FV151" s="9">
        <f>FV139+FV146+FV148+FV150</f>
        <v>5995906.8699999973</v>
      </c>
      <c r="FW151" s="7">
        <f t="shared" si="660"/>
        <v>0.21606918360196298</v>
      </c>
      <c r="FX151" s="9">
        <f t="shared" ref="FX151" si="1183">FX139+FX146+FX148+FX150</f>
        <v>-15820061.340000002</v>
      </c>
      <c r="FY151" s="7">
        <f t="shared" si="980"/>
        <v>-0.61625420002633235</v>
      </c>
      <c r="FZ151" s="9">
        <f t="shared" ref="FZ151" si="1184">FZ139+FZ146+FZ148+FZ150</f>
        <v>57923851.389999971</v>
      </c>
      <c r="GA151" s="7">
        <f t="shared" si="981"/>
        <v>0.20035272232917942</v>
      </c>
      <c r="GB151" s="9">
        <f>GB139+GB146+GB148+GB150</f>
        <v>48099696.919999965</v>
      </c>
      <c r="GC151" s="7">
        <f t="shared" si="982"/>
        <v>0.14042450713936755</v>
      </c>
      <c r="GD151" s="9">
        <f>GD139+GD146+GD148+GD150</f>
        <v>127434403.11999966</v>
      </c>
      <c r="GE151" s="7">
        <f t="shared" si="1009"/>
        <v>0.11065467510205086</v>
      </c>
      <c r="GF151" s="568">
        <f>GF139+GF146+GF148+GF150</f>
        <v>-5373814.3902533334</v>
      </c>
      <c r="GG151" s="525">
        <f t="shared" si="983"/>
        <v>-0.41701813309769692</v>
      </c>
      <c r="GH151" s="534">
        <f>GH139+GH146+GH148+GH150</f>
        <v>-1003556.3075052744</v>
      </c>
      <c r="GI151" s="525">
        <f t="shared" si="984"/>
        <v>-220134699999.00003</v>
      </c>
      <c r="GJ151" s="534">
        <f>GJ139+GJ146+GJ148+GJ150</f>
        <v>0</v>
      </c>
      <c r="GK151" s="525">
        <f t="shared" si="985"/>
        <v>0</v>
      </c>
      <c r="GL151" s="534">
        <f>GL139+GL146+GL148+GL150</f>
        <v>121057032.42224127</v>
      </c>
      <c r="GM151" s="565">
        <f t="shared" si="1012"/>
        <v>0.10446437206396557</v>
      </c>
      <c r="GO151" s="588">
        <f>GO139+GO146+GO148+GO150</f>
        <v>-439710.4</v>
      </c>
      <c r="GQ151" s="588">
        <f>GQ139+GQ146+GQ148+GQ150</f>
        <v>-22013.4699999</v>
      </c>
      <c r="GT151" s="551">
        <f t="shared" si="1166"/>
        <v>35108789.958296828</v>
      </c>
      <c r="GU151" s="551">
        <f t="shared" si="1015"/>
        <v>41134376.974503256</v>
      </c>
      <c r="GV151" s="550">
        <f t="shared" si="986"/>
        <v>76243166.932800084</v>
      </c>
      <c r="GW151" s="532">
        <f>GW139+GW146+GW148+GW150</f>
        <v>126124679.12280017</v>
      </c>
      <c r="GX151" s="525">
        <f t="shared" si="664"/>
        <v>0.10651387669034816</v>
      </c>
      <c r="GY151" s="534">
        <f>GY139+GY146+GY148+GY150</f>
        <v>43329597.685258694</v>
      </c>
      <c r="GZ151" s="525">
        <f t="shared" si="665"/>
        <v>4.813329331951282E-2</v>
      </c>
      <c r="HA151" s="534">
        <f>HA139+HA146+HA148+HA150</f>
        <v>43778320.975577183</v>
      </c>
      <c r="HB151" s="526">
        <f t="shared" si="666"/>
        <v>6.0140354977509025E-2</v>
      </c>
      <c r="HD151" s="532">
        <v>142478320.7093274</v>
      </c>
      <c r="HE151" s="525">
        <v>0.11993772189049764</v>
      </c>
      <c r="HF151" s="534">
        <v>43329597.685258694</v>
      </c>
      <c r="HG151" s="525">
        <v>4.813329331951282E-2</v>
      </c>
      <c r="HH151" s="534">
        <v>43778320.975577183</v>
      </c>
      <c r="HI151" s="526">
        <v>6.0140354977509025E-2</v>
      </c>
    </row>
    <row r="152" spans="1:217" ht="15" customHeight="1" outlineLevel="1">
      <c r="A152" s="386" t="s">
        <v>784</v>
      </c>
      <c r="B152" s="386" t="s">
        <v>141</v>
      </c>
      <c r="C152" s="375"/>
      <c r="D152" s="4"/>
      <c r="E152" s="375"/>
      <c r="F152" s="4"/>
      <c r="G152" s="375"/>
      <c r="H152" s="375"/>
      <c r="I152" s="4"/>
      <c r="J152" s="375"/>
      <c r="K152" s="375"/>
      <c r="L152" s="4"/>
      <c r="M152" s="375"/>
      <c r="N152" s="375"/>
      <c r="O152" s="4"/>
      <c r="P152" s="375">
        <f t="shared" si="869"/>
        <v>0</v>
      </c>
      <c r="Q152" s="375">
        <f t="shared" si="869"/>
        <v>0</v>
      </c>
      <c r="R152" s="7">
        <f t="shared" si="987"/>
        <v>0</v>
      </c>
      <c r="S152" s="375"/>
      <c r="T152" s="375"/>
      <c r="U152" s="4"/>
      <c r="V152" s="375"/>
      <c r="W152" s="375"/>
      <c r="X152" s="4"/>
      <c r="Y152" s="375"/>
      <c r="Z152" s="375"/>
      <c r="AA152" s="4"/>
      <c r="AB152" s="375">
        <f t="shared" ref="AB152:AB160" si="1185">+T152+V152+Y152</f>
        <v>0</v>
      </c>
      <c r="AC152" s="375">
        <f t="shared" ref="AC152:AC169" si="1186">+T152+W152+Z152</f>
        <v>0</v>
      </c>
      <c r="AD152" s="7">
        <f t="shared" si="988"/>
        <v>0</v>
      </c>
      <c r="AE152" s="375">
        <f t="shared" ref="AE152:AE161" si="1187">+Q152+AB152</f>
        <v>0</v>
      </c>
      <c r="AF152" s="375">
        <f t="shared" ref="AF152:AF161" si="1188">+AC152+Q152</f>
        <v>0</v>
      </c>
      <c r="AG152" s="4"/>
      <c r="AH152" s="375"/>
      <c r="AI152" s="375"/>
      <c r="AJ152" s="4"/>
      <c r="AK152" s="375"/>
      <c r="AL152" s="375"/>
      <c r="AM152" s="4"/>
      <c r="AN152" s="375"/>
      <c r="AO152" s="375"/>
      <c r="AP152" s="4"/>
      <c r="AQ152" s="375">
        <f t="shared" ref="AQ152:AQ161" si="1189">AN152+AK152+AH152</f>
        <v>0</v>
      </c>
      <c r="AR152" s="375">
        <f t="shared" ref="AR152:AR161" si="1190">AO152+AL152+AI152</f>
        <v>0</v>
      </c>
      <c r="AS152" s="7">
        <f t="shared" si="989"/>
        <v>0</v>
      </c>
      <c r="AT152" s="375">
        <f t="shared" ref="AT152:AT161" si="1191">+AF152+AR152</f>
        <v>0</v>
      </c>
      <c r="AU152" s="4"/>
      <c r="AV152" s="375"/>
      <c r="AW152" s="375"/>
      <c r="AX152" s="4"/>
      <c r="AY152" s="375"/>
      <c r="AZ152" s="375"/>
      <c r="BA152" s="4"/>
      <c r="BB152" s="375"/>
      <c r="BC152" s="375"/>
      <c r="BD152" s="448"/>
      <c r="BE152" s="375">
        <f t="shared" ref="BE152:BE161" si="1192">BB152+AY152+AV152</f>
        <v>0</v>
      </c>
      <c r="BF152" s="375">
        <f t="shared" ref="BF152:BF161" si="1193">BC152+AZ152+AW152</f>
        <v>0</v>
      </c>
      <c r="BG152" s="7">
        <f t="shared" si="990"/>
        <v>0</v>
      </c>
      <c r="BH152" s="375">
        <f t="shared" ref="BH152:BH161" si="1194">Q152+AB152+AQ152+BE152</f>
        <v>0</v>
      </c>
      <c r="BI152" s="388">
        <f t="shared" ref="BI152:BI161" si="1195">Q152+AC152+AR152+BF152</f>
        <v>0</v>
      </c>
      <c r="BJ152" s="7">
        <f t="shared" si="991"/>
        <v>0</v>
      </c>
      <c r="BK152" s="375">
        <v>0</v>
      </c>
      <c r="BL152" s="282"/>
      <c r="BN152" s="375"/>
      <c r="BO152" s="4"/>
      <c r="BP152" s="375"/>
      <c r="BQ152" s="4"/>
      <c r="BR152" s="375"/>
      <c r="BS152" s="4"/>
      <c r="BT152" s="375"/>
      <c r="BU152" s="7">
        <f t="shared" si="992"/>
        <v>0</v>
      </c>
      <c r="BV152" s="375"/>
      <c r="BW152" s="7"/>
      <c r="BX152" s="375"/>
      <c r="BY152" s="7"/>
      <c r="BZ152" s="375">
        <f t="shared" ref="BZ152:BZ168" si="1196">+BT152+BV152+BX152</f>
        <v>0</v>
      </c>
      <c r="CA152" s="7"/>
      <c r="CB152" s="375">
        <f t="shared" ref="CB152:CB161" si="1197">+BV152+BX152+BZ152</f>
        <v>0</v>
      </c>
      <c r="CC152" s="7">
        <f t="shared" si="1121"/>
        <v>0</v>
      </c>
      <c r="CD152" s="375">
        <f t="shared" ref="CD152:CD161" si="1198">BT152+CB152</f>
        <v>0</v>
      </c>
      <c r="CE152" s="7">
        <f t="shared" si="993"/>
        <v>0</v>
      </c>
      <c r="CF152" s="375">
        <v>0</v>
      </c>
      <c r="CG152" s="7">
        <f t="shared" si="994"/>
        <v>0</v>
      </c>
      <c r="CH152" s="375">
        <v>0</v>
      </c>
      <c r="CI152" s="7">
        <f t="shared" si="994"/>
        <v>0</v>
      </c>
      <c r="CJ152" s="375">
        <v>0</v>
      </c>
      <c r="CK152" s="7">
        <f t="shared" si="994"/>
        <v>0</v>
      </c>
      <c r="CL152" s="375">
        <f t="shared" ref="CL152:CL160" si="1199">+CF152+CH152+CJ152</f>
        <v>0</v>
      </c>
      <c r="CM152" s="7">
        <f t="shared" si="994"/>
        <v>0</v>
      </c>
      <c r="CN152" s="375">
        <f t="shared" ref="CN152:CN169" si="1200">+CL152+CD152</f>
        <v>0</v>
      </c>
      <c r="CO152" s="7">
        <f t="shared" si="639"/>
        <v>0</v>
      </c>
      <c r="CP152" s="375">
        <v>0</v>
      </c>
      <c r="CQ152" s="7">
        <f t="shared" si="967"/>
        <v>0</v>
      </c>
      <c r="CR152" s="375">
        <f t="shared" ref="CR152:CR168" si="1201">+CN152+CP152</f>
        <v>0</v>
      </c>
      <c r="CS152" s="7">
        <f t="shared" si="641"/>
        <v>0</v>
      </c>
      <c r="CT152" s="375">
        <v>0</v>
      </c>
      <c r="CU152" s="7">
        <f t="shared" si="611"/>
        <v>0</v>
      </c>
      <c r="CV152" s="375">
        <v>0</v>
      </c>
      <c r="CW152" s="7">
        <f t="shared" si="968"/>
        <v>0</v>
      </c>
      <c r="CX152" s="375">
        <f t="shared" ref="CX152:CX161" si="1202">+CV152+CT152+CP152</f>
        <v>0</v>
      </c>
      <c r="CY152" s="7">
        <f t="shared" si="969"/>
        <v>0</v>
      </c>
      <c r="CZ152" s="375">
        <f t="shared" ref="CZ152:CZ169" si="1203">+CD152+CL152+CX152</f>
        <v>0</v>
      </c>
      <c r="DA152" s="7">
        <f t="shared" si="997"/>
        <v>0</v>
      </c>
      <c r="DB152" s="375">
        <v>0</v>
      </c>
      <c r="DC152" s="7">
        <f t="shared" si="642"/>
        <v>0</v>
      </c>
      <c r="DD152" s="375">
        <v>0</v>
      </c>
      <c r="DE152" s="7">
        <f t="shared" si="642"/>
        <v>0</v>
      </c>
      <c r="DF152" s="375">
        <v>0</v>
      </c>
      <c r="DG152" s="7">
        <f t="shared" si="642"/>
        <v>0</v>
      </c>
      <c r="DH152" s="375">
        <f t="shared" ref="DH152:DH160" si="1204">+DB152+DD152+DF152</f>
        <v>0</v>
      </c>
      <c r="DI152" s="7">
        <f t="shared" si="970"/>
        <v>0</v>
      </c>
      <c r="DJ152" s="375"/>
      <c r="DK152" s="7">
        <f t="shared" si="643"/>
        <v>0</v>
      </c>
      <c r="DL152" s="375">
        <v>0</v>
      </c>
      <c r="DM152" s="7">
        <f t="shared" si="644"/>
        <v>0</v>
      </c>
      <c r="DN152" s="375">
        <v>0</v>
      </c>
      <c r="DO152" s="7">
        <f t="shared" si="645"/>
        <v>0</v>
      </c>
      <c r="DP152" s="375">
        <v>0</v>
      </c>
      <c r="DQ152" s="7">
        <f t="shared" si="646"/>
        <v>0</v>
      </c>
      <c r="DR152" s="375">
        <f t="shared" ref="DR152:DR160" si="1205">+DL152+DN152+DP152</f>
        <v>0</v>
      </c>
      <c r="DS152" s="7">
        <f t="shared" si="971"/>
        <v>0</v>
      </c>
      <c r="DT152" s="375">
        <f t="shared" ref="DT152:DT161" si="1206">+DR152+DH152</f>
        <v>0</v>
      </c>
      <c r="DU152" s="7">
        <f t="shared" si="998"/>
        <v>0</v>
      </c>
      <c r="DV152" s="375"/>
      <c r="DW152" s="7">
        <f t="shared" si="647"/>
        <v>0</v>
      </c>
      <c r="DX152" s="375"/>
      <c r="DY152" s="7">
        <f t="shared" si="856"/>
        <v>0</v>
      </c>
      <c r="DZ152" s="375"/>
      <c r="EA152" s="7">
        <f t="shared" si="649"/>
        <v>0</v>
      </c>
      <c r="EB152" s="375">
        <f t="shared" ref="EB152:EB160" si="1207">+DV152+DX152+DZ152</f>
        <v>0</v>
      </c>
      <c r="EC152" s="7">
        <f t="shared" si="972"/>
        <v>0</v>
      </c>
      <c r="ED152" s="375">
        <f t="shared" ref="ED152:ED161" si="1208">+EB152+DT152</f>
        <v>0</v>
      </c>
      <c r="EE152" s="7">
        <f t="shared" si="999"/>
        <v>0</v>
      </c>
      <c r="EF152" s="375"/>
      <c r="EG152" s="7">
        <f t="shared" si="650"/>
        <v>0</v>
      </c>
      <c r="EH152" s="375"/>
      <c r="EI152" s="7">
        <f t="shared" si="857"/>
        <v>0</v>
      </c>
      <c r="EJ152" s="375"/>
      <c r="EK152" s="7">
        <f t="shared" si="652"/>
        <v>0</v>
      </c>
      <c r="EL152" s="375">
        <f t="shared" ref="EL152:EL160" si="1209">+EF152+EH152+EJ152</f>
        <v>0</v>
      </c>
      <c r="EM152" s="7">
        <f t="shared" si="973"/>
        <v>0</v>
      </c>
      <c r="EN152" s="375">
        <f t="shared" ref="EN152:EN161" si="1210">+EL152+ED152</f>
        <v>0</v>
      </c>
      <c r="EO152" s="7">
        <f t="shared" si="1000"/>
        <v>0</v>
      </c>
      <c r="EP152" s="373"/>
      <c r="EQ152" s="373"/>
      <c r="ER152" s="373"/>
      <c r="ES152" s="373"/>
      <c r="ET152" s="375"/>
      <c r="EU152" s="7">
        <f t="shared" si="653"/>
        <v>0</v>
      </c>
      <c r="EV152" s="375"/>
      <c r="EW152" s="7">
        <f t="shared" si="858"/>
        <v>0</v>
      </c>
      <c r="EX152" s="375"/>
      <c r="EY152" s="7">
        <f t="shared" si="655"/>
        <v>0</v>
      </c>
      <c r="EZ152" s="375">
        <f t="shared" ref="EZ152:EZ160" si="1211">+ET152+EV152+EX152</f>
        <v>0</v>
      </c>
      <c r="FA152" s="7">
        <f t="shared" si="974"/>
        <v>0</v>
      </c>
      <c r="FB152" s="375"/>
      <c r="FC152" s="7">
        <f t="shared" si="656"/>
        <v>0</v>
      </c>
      <c r="FD152" s="375"/>
      <c r="FE152" s="7">
        <f t="shared" si="612"/>
        <v>0</v>
      </c>
      <c r="FF152" s="375"/>
      <c r="FG152" s="7">
        <f t="shared" si="975"/>
        <v>0</v>
      </c>
      <c r="FH152" s="375">
        <f t="shared" ref="FH152:FH160" si="1212">+FB152+FD152+FF152</f>
        <v>0</v>
      </c>
      <c r="FI152" s="7">
        <f t="shared" si="976"/>
        <v>0</v>
      </c>
      <c r="FJ152" s="375">
        <f t="shared" ref="FJ152:FJ161" si="1213">EZ152+FH152</f>
        <v>0</v>
      </c>
      <c r="FK152" s="7">
        <f t="shared" si="1003"/>
        <v>0</v>
      </c>
      <c r="FL152" s="375"/>
      <c r="FM152" s="7">
        <f t="shared" si="658"/>
        <v>0</v>
      </c>
      <c r="FN152" s="375"/>
      <c r="FO152" s="7">
        <f t="shared" si="977"/>
        <v>0</v>
      </c>
      <c r="FP152" s="375"/>
      <c r="FQ152" s="7">
        <f t="shared" si="978"/>
        <v>0</v>
      </c>
      <c r="FR152" s="375">
        <f t="shared" ref="FR152:FR160" si="1214">+FL152+FN152+FP152</f>
        <v>0</v>
      </c>
      <c r="FS152" s="7">
        <f t="shared" si="979"/>
        <v>0</v>
      </c>
      <c r="FT152" s="375">
        <f t="shared" ref="FT152:FT161" si="1215">FJ152+FR152</f>
        <v>0</v>
      </c>
      <c r="FU152" s="7">
        <f t="shared" si="1006"/>
        <v>0</v>
      </c>
      <c r="FV152" s="375"/>
      <c r="FW152" s="7">
        <f t="shared" si="660"/>
        <v>0</v>
      </c>
      <c r="FX152" s="375"/>
      <c r="FY152" s="7">
        <f t="shared" si="980"/>
        <v>0</v>
      </c>
      <c r="FZ152" s="375"/>
      <c r="GA152" s="7">
        <f t="shared" si="981"/>
        <v>0</v>
      </c>
      <c r="GB152" s="375">
        <f t="shared" ref="GB152:GB160" si="1216">+FV152+FX152+FZ152</f>
        <v>0</v>
      </c>
      <c r="GC152" s="7">
        <f t="shared" si="982"/>
        <v>0</v>
      </c>
      <c r="GD152" s="375">
        <f t="shared" ref="GD152:GD161" si="1217">FT152+GB152</f>
        <v>0</v>
      </c>
      <c r="GE152" s="7">
        <f t="shared" si="1009"/>
        <v>0</v>
      </c>
      <c r="GF152" s="566">
        <f t="shared" ref="GF152:GF161" si="1218">+GO152*$GO$1</f>
        <v>0</v>
      </c>
      <c r="GG152" s="525">
        <f t="shared" si="983"/>
        <v>0</v>
      </c>
      <c r="GH152" s="528">
        <f t="shared" ref="GH152:GH161" si="1219">+GQ152*$GO$2</f>
        <v>0</v>
      </c>
      <c r="GI152" s="525">
        <f t="shared" si="984"/>
        <v>0</v>
      </c>
      <c r="GJ152" s="528"/>
      <c r="GK152" s="525">
        <f t="shared" si="985"/>
        <v>0</v>
      </c>
      <c r="GL152" s="528">
        <f t="shared" ref="GL152:GL161" si="1220">+GD152+GF152+GH152-GJ152</f>
        <v>0</v>
      </c>
      <c r="GM152" s="565">
        <f t="shared" si="1012"/>
        <v>0</v>
      </c>
      <c r="GO152" s="586"/>
      <c r="GQ152" s="586"/>
      <c r="GT152" s="551">
        <f t="shared" si="1166"/>
        <v>0</v>
      </c>
      <c r="GU152" s="551">
        <f t="shared" si="1015"/>
        <v>0</v>
      </c>
      <c r="GV152" s="550">
        <f t="shared" si="986"/>
        <v>0</v>
      </c>
      <c r="GW152" s="527"/>
      <c r="GX152" s="525">
        <f t="shared" si="664"/>
        <v>0</v>
      </c>
      <c r="GY152" s="528"/>
      <c r="GZ152" s="525">
        <f t="shared" si="665"/>
        <v>0</v>
      </c>
      <c r="HA152" s="528"/>
      <c r="HB152" s="526">
        <f t="shared" si="666"/>
        <v>0</v>
      </c>
      <c r="HD152" s="527"/>
      <c r="HE152" s="525">
        <v>0</v>
      </c>
      <c r="HF152" s="528"/>
      <c r="HG152" s="525">
        <v>0</v>
      </c>
      <c r="HH152" s="528"/>
      <c r="HI152" s="526">
        <v>0</v>
      </c>
    </row>
    <row r="153" spans="1:217" ht="15" customHeight="1" outlineLevel="1">
      <c r="A153" s="386" t="s">
        <v>784</v>
      </c>
      <c r="B153" s="386" t="s">
        <v>142</v>
      </c>
      <c r="C153" s="375"/>
      <c r="D153" s="4"/>
      <c r="E153" s="375"/>
      <c r="F153" s="4"/>
      <c r="G153" s="375"/>
      <c r="H153" s="375"/>
      <c r="I153" s="4"/>
      <c r="J153" s="375"/>
      <c r="K153" s="375"/>
      <c r="L153" s="4"/>
      <c r="M153" s="375"/>
      <c r="N153" s="375"/>
      <c r="O153" s="4"/>
      <c r="P153" s="375">
        <f t="shared" si="869"/>
        <v>0</v>
      </c>
      <c r="Q153" s="375">
        <f t="shared" si="869"/>
        <v>0</v>
      </c>
      <c r="R153" s="7">
        <f t="shared" si="987"/>
        <v>0</v>
      </c>
      <c r="S153" s="375"/>
      <c r="T153" s="375"/>
      <c r="U153" s="4"/>
      <c r="V153" s="375"/>
      <c r="W153" s="375"/>
      <c r="X153" s="4"/>
      <c r="Y153" s="375"/>
      <c r="Z153" s="375"/>
      <c r="AA153" s="4"/>
      <c r="AB153" s="375">
        <f t="shared" si="1185"/>
        <v>0</v>
      </c>
      <c r="AC153" s="375">
        <f t="shared" si="1186"/>
        <v>0</v>
      </c>
      <c r="AD153" s="7">
        <f t="shared" si="988"/>
        <v>0</v>
      </c>
      <c r="AE153" s="375">
        <f t="shared" si="1187"/>
        <v>0</v>
      </c>
      <c r="AF153" s="375">
        <f t="shared" si="1188"/>
        <v>0</v>
      </c>
      <c r="AG153" s="4"/>
      <c r="AH153" s="375"/>
      <c r="AI153" s="375"/>
      <c r="AJ153" s="4"/>
      <c r="AK153" s="375"/>
      <c r="AL153" s="375"/>
      <c r="AM153" s="4"/>
      <c r="AN153" s="375"/>
      <c r="AO153" s="375"/>
      <c r="AP153" s="4"/>
      <c r="AQ153" s="375">
        <f t="shared" si="1189"/>
        <v>0</v>
      </c>
      <c r="AR153" s="375">
        <f t="shared" si="1190"/>
        <v>0</v>
      </c>
      <c r="AS153" s="7">
        <f t="shared" si="989"/>
        <v>0</v>
      </c>
      <c r="AT153" s="375">
        <f t="shared" si="1191"/>
        <v>0</v>
      </c>
      <c r="AU153" s="4"/>
      <c r="AV153" s="375"/>
      <c r="AW153" s="375"/>
      <c r="AX153" s="4"/>
      <c r="AY153" s="375"/>
      <c r="AZ153" s="375"/>
      <c r="BA153" s="4"/>
      <c r="BB153" s="375"/>
      <c r="BC153" s="375"/>
      <c r="BD153" s="448"/>
      <c r="BE153" s="375">
        <f t="shared" si="1192"/>
        <v>0</v>
      </c>
      <c r="BF153" s="375">
        <f t="shared" si="1193"/>
        <v>0</v>
      </c>
      <c r="BG153" s="7">
        <f t="shared" si="990"/>
        <v>0</v>
      </c>
      <c r="BH153" s="375">
        <f t="shared" si="1194"/>
        <v>0</v>
      </c>
      <c r="BI153" s="388">
        <f t="shared" si="1195"/>
        <v>0</v>
      </c>
      <c r="BJ153" s="7">
        <f t="shared" si="991"/>
        <v>0</v>
      </c>
      <c r="BK153" s="375">
        <v>0</v>
      </c>
      <c r="BL153" s="282"/>
      <c r="BN153" s="375"/>
      <c r="BO153" s="4"/>
      <c r="BP153" s="375"/>
      <c r="BQ153" s="4"/>
      <c r="BR153" s="375"/>
      <c r="BS153" s="4"/>
      <c r="BT153" s="375"/>
      <c r="BU153" s="7">
        <f t="shared" si="992"/>
        <v>0</v>
      </c>
      <c r="BV153" s="375"/>
      <c r="BW153" s="7"/>
      <c r="BX153" s="375"/>
      <c r="BY153" s="7"/>
      <c r="BZ153" s="375">
        <f t="shared" si="1196"/>
        <v>0</v>
      </c>
      <c r="CA153" s="7"/>
      <c r="CB153" s="375">
        <f t="shared" si="1197"/>
        <v>0</v>
      </c>
      <c r="CC153" s="7">
        <f t="shared" si="1121"/>
        <v>0</v>
      </c>
      <c r="CD153" s="375">
        <f t="shared" si="1198"/>
        <v>0</v>
      </c>
      <c r="CE153" s="7">
        <f t="shared" si="993"/>
        <v>0</v>
      </c>
      <c r="CF153" s="375">
        <v>0</v>
      </c>
      <c r="CG153" s="7">
        <f t="shared" si="994"/>
        <v>0</v>
      </c>
      <c r="CH153" s="375">
        <v>0</v>
      </c>
      <c r="CI153" s="7">
        <f t="shared" si="994"/>
        <v>0</v>
      </c>
      <c r="CJ153" s="375">
        <v>0</v>
      </c>
      <c r="CK153" s="7">
        <f t="shared" si="994"/>
        <v>0</v>
      </c>
      <c r="CL153" s="375">
        <f t="shared" si="1199"/>
        <v>0</v>
      </c>
      <c r="CM153" s="7">
        <f t="shared" si="994"/>
        <v>0</v>
      </c>
      <c r="CN153" s="375">
        <f t="shared" si="1200"/>
        <v>0</v>
      </c>
      <c r="CO153" s="7">
        <f t="shared" si="639"/>
        <v>0</v>
      </c>
      <c r="CP153" s="375">
        <v>0</v>
      </c>
      <c r="CQ153" s="7">
        <f t="shared" si="967"/>
        <v>0</v>
      </c>
      <c r="CR153" s="375">
        <f t="shared" si="1201"/>
        <v>0</v>
      </c>
      <c r="CS153" s="7">
        <f t="shared" si="641"/>
        <v>0</v>
      </c>
      <c r="CT153" s="375">
        <v>0</v>
      </c>
      <c r="CU153" s="7">
        <f t="shared" si="611"/>
        <v>0</v>
      </c>
      <c r="CV153" s="375">
        <v>0</v>
      </c>
      <c r="CW153" s="7">
        <f t="shared" si="968"/>
        <v>0</v>
      </c>
      <c r="CX153" s="375">
        <f t="shared" si="1202"/>
        <v>0</v>
      </c>
      <c r="CY153" s="7">
        <f t="shared" si="969"/>
        <v>0</v>
      </c>
      <c r="CZ153" s="375">
        <f t="shared" si="1203"/>
        <v>0</v>
      </c>
      <c r="DA153" s="7">
        <f t="shared" si="997"/>
        <v>0</v>
      </c>
      <c r="DB153" s="375">
        <v>0</v>
      </c>
      <c r="DC153" s="7">
        <f t="shared" si="642"/>
        <v>0</v>
      </c>
      <c r="DD153" s="375">
        <v>0</v>
      </c>
      <c r="DE153" s="7">
        <f t="shared" si="642"/>
        <v>0</v>
      </c>
      <c r="DF153" s="375">
        <v>0</v>
      </c>
      <c r="DG153" s="7">
        <f t="shared" si="642"/>
        <v>0</v>
      </c>
      <c r="DH153" s="375">
        <f t="shared" si="1204"/>
        <v>0</v>
      </c>
      <c r="DI153" s="7">
        <f t="shared" si="970"/>
        <v>0</v>
      </c>
      <c r="DJ153" s="375"/>
      <c r="DK153" s="7">
        <f t="shared" si="643"/>
        <v>0</v>
      </c>
      <c r="DL153" s="375">
        <v>0</v>
      </c>
      <c r="DM153" s="7">
        <f t="shared" si="644"/>
        <v>0</v>
      </c>
      <c r="DN153" s="375">
        <v>0</v>
      </c>
      <c r="DO153" s="7">
        <f t="shared" si="645"/>
        <v>0</v>
      </c>
      <c r="DP153" s="375">
        <v>0</v>
      </c>
      <c r="DQ153" s="7">
        <f t="shared" si="646"/>
        <v>0</v>
      </c>
      <c r="DR153" s="375">
        <f t="shared" si="1205"/>
        <v>0</v>
      </c>
      <c r="DS153" s="7">
        <f t="shared" si="971"/>
        <v>0</v>
      </c>
      <c r="DT153" s="375">
        <f t="shared" si="1206"/>
        <v>0</v>
      </c>
      <c r="DU153" s="7">
        <f t="shared" si="998"/>
        <v>0</v>
      </c>
      <c r="DV153" s="375"/>
      <c r="DW153" s="7">
        <f t="shared" si="647"/>
        <v>0</v>
      </c>
      <c r="DX153" s="375"/>
      <c r="DY153" s="7">
        <f t="shared" si="856"/>
        <v>0</v>
      </c>
      <c r="DZ153" s="375"/>
      <c r="EA153" s="7">
        <f t="shared" si="649"/>
        <v>0</v>
      </c>
      <c r="EB153" s="375">
        <f t="shared" si="1207"/>
        <v>0</v>
      </c>
      <c r="EC153" s="7">
        <f t="shared" si="972"/>
        <v>0</v>
      </c>
      <c r="ED153" s="375">
        <f t="shared" si="1208"/>
        <v>0</v>
      </c>
      <c r="EE153" s="7">
        <f t="shared" si="999"/>
        <v>0</v>
      </c>
      <c r="EF153" s="375"/>
      <c r="EG153" s="7">
        <f t="shared" si="650"/>
        <v>0</v>
      </c>
      <c r="EH153" s="375"/>
      <c r="EI153" s="7">
        <f t="shared" si="857"/>
        <v>0</v>
      </c>
      <c r="EJ153" s="375"/>
      <c r="EK153" s="7">
        <f t="shared" si="652"/>
        <v>0</v>
      </c>
      <c r="EL153" s="375">
        <f t="shared" si="1209"/>
        <v>0</v>
      </c>
      <c r="EM153" s="7">
        <f t="shared" si="973"/>
        <v>0</v>
      </c>
      <c r="EN153" s="375">
        <f t="shared" si="1210"/>
        <v>0</v>
      </c>
      <c r="EO153" s="7">
        <f t="shared" si="1000"/>
        <v>0</v>
      </c>
      <c r="EP153" s="373"/>
      <c r="EQ153" s="373"/>
      <c r="ER153" s="373"/>
      <c r="ES153" s="373"/>
      <c r="ET153" s="375"/>
      <c r="EU153" s="7">
        <f t="shared" si="653"/>
        <v>0</v>
      </c>
      <c r="EV153" s="375"/>
      <c r="EW153" s="7">
        <f t="shared" si="858"/>
        <v>0</v>
      </c>
      <c r="EX153" s="375"/>
      <c r="EY153" s="7">
        <f t="shared" si="655"/>
        <v>0</v>
      </c>
      <c r="EZ153" s="375">
        <f t="shared" si="1211"/>
        <v>0</v>
      </c>
      <c r="FA153" s="7">
        <f t="shared" si="974"/>
        <v>0</v>
      </c>
      <c r="FB153" s="375"/>
      <c r="FC153" s="7">
        <f t="shared" si="656"/>
        <v>0</v>
      </c>
      <c r="FD153" s="375"/>
      <c r="FE153" s="7">
        <f t="shared" si="612"/>
        <v>0</v>
      </c>
      <c r="FF153" s="375"/>
      <c r="FG153" s="7">
        <f t="shared" si="975"/>
        <v>0</v>
      </c>
      <c r="FH153" s="375">
        <f t="shared" si="1212"/>
        <v>0</v>
      </c>
      <c r="FI153" s="7">
        <f t="shared" si="976"/>
        <v>0</v>
      </c>
      <c r="FJ153" s="375">
        <f t="shared" si="1213"/>
        <v>0</v>
      </c>
      <c r="FK153" s="7">
        <f t="shared" si="1003"/>
        <v>0</v>
      </c>
      <c r="FL153" s="375"/>
      <c r="FM153" s="7">
        <f t="shared" si="658"/>
        <v>0</v>
      </c>
      <c r="FN153" s="375"/>
      <c r="FO153" s="7">
        <f t="shared" si="977"/>
        <v>0</v>
      </c>
      <c r="FP153" s="375"/>
      <c r="FQ153" s="7">
        <f t="shared" si="978"/>
        <v>0</v>
      </c>
      <c r="FR153" s="375">
        <f t="shared" si="1214"/>
        <v>0</v>
      </c>
      <c r="FS153" s="7">
        <f t="shared" si="979"/>
        <v>0</v>
      </c>
      <c r="FT153" s="375">
        <f t="shared" si="1215"/>
        <v>0</v>
      </c>
      <c r="FU153" s="7">
        <f t="shared" si="1006"/>
        <v>0</v>
      </c>
      <c r="FV153" s="375"/>
      <c r="FW153" s="7">
        <f t="shared" si="660"/>
        <v>0</v>
      </c>
      <c r="FX153" s="375"/>
      <c r="FY153" s="7">
        <f t="shared" si="980"/>
        <v>0</v>
      </c>
      <c r="FZ153" s="375"/>
      <c r="GA153" s="7">
        <f t="shared" si="981"/>
        <v>0</v>
      </c>
      <c r="GB153" s="375">
        <f t="shared" si="1216"/>
        <v>0</v>
      </c>
      <c r="GC153" s="7">
        <f t="shared" si="982"/>
        <v>0</v>
      </c>
      <c r="GD153" s="375">
        <f t="shared" si="1217"/>
        <v>0</v>
      </c>
      <c r="GE153" s="7">
        <f t="shared" si="1009"/>
        <v>0</v>
      </c>
      <c r="GF153" s="566">
        <f t="shared" si="1218"/>
        <v>0</v>
      </c>
      <c r="GG153" s="525">
        <f t="shared" si="983"/>
        <v>0</v>
      </c>
      <c r="GH153" s="528">
        <f t="shared" si="1219"/>
        <v>0</v>
      </c>
      <c r="GI153" s="525">
        <f t="shared" si="984"/>
        <v>0</v>
      </c>
      <c r="GJ153" s="528"/>
      <c r="GK153" s="525">
        <f t="shared" si="985"/>
        <v>0</v>
      </c>
      <c r="GL153" s="528">
        <f t="shared" si="1220"/>
        <v>0</v>
      </c>
      <c r="GM153" s="565">
        <f t="shared" si="1012"/>
        <v>0</v>
      </c>
      <c r="GO153" s="586"/>
      <c r="GQ153" s="586"/>
      <c r="GT153" s="551">
        <f t="shared" si="1166"/>
        <v>0</v>
      </c>
      <c r="GU153" s="551">
        <f t="shared" si="1015"/>
        <v>0</v>
      </c>
      <c r="GV153" s="550">
        <f t="shared" si="986"/>
        <v>0</v>
      </c>
      <c r="GW153" s="527"/>
      <c r="GX153" s="525">
        <f t="shared" si="664"/>
        <v>0</v>
      </c>
      <c r="GY153" s="528"/>
      <c r="GZ153" s="525">
        <f t="shared" si="665"/>
        <v>0</v>
      </c>
      <c r="HA153" s="528"/>
      <c r="HB153" s="526">
        <f t="shared" si="666"/>
        <v>0</v>
      </c>
      <c r="HD153" s="527"/>
      <c r="HE153" s="525">
        <v>0</v>
      </c>
      <c r="HF153" s="528"/>
      <c r="HG153" s="525">
        <v>0</v>
      </c>
      <c r="HH153" s="528"/>
      <c r="HI153" s="526">
        <v>0</v>
      </c>
    </row>
    <row r="154" spans="1:217" ht="15" customHeight="1" outlineLevel="1">
      <c r="A154" s="386" t="s">
        <v>784</v>
      </c>
      <c r="B154" s="386" t="s">
        <v>143</v>
      </c>
      <c r="C154" s="375"/>
      <c r="D154" s="4"/>
      <c r="E154" s="375"/>
      <c r="F154" s="4"/>
      <c r="G154" s="375"/>
      <c r="H154" s="375"/>
      <c r="I154" s="4"/>
      <c r="J154" s="375"/>
      <c r="K154" s="375"/>
      <c r="L154" s="4"/>
      <c r="M154" s="375"/>
      <c r="N154" s="375"/>
      <c r="O154" s="4"/>
      <c r="P154" s="375">
        <f t="shared" si="869"/>
        <v>0</v>
      </c>
      <c r="Q154" s="375">
        <f t="shared" si="869"/>
        <v>0</v>
      </c>
      <c r="R154" s="7">
        <f t="shared" si="987"/>
        <v>0</v>
      </c>
      <c r="S154" s="375"/>
      <c r="T154" s="375"/>
      <c r="U154" s="4"/>
      <c r="V154" s="375"/>
      <c r="W154" s="375"/>
      <c r="X154" s="4"/>
      <c r="Y154" s="375"/>
      <c r="Z154" s="375"/>
      <c r="AA154" s="4"/>
      <c r="AB154" s="375">
        <f t="shared" si="1185"/>
        <v>0</v>
      </c>
      <c r="AC154" s="375">
        <f t="shared" si="1186"/>
        <v>0</v>
      </c>
      <c r="AD154" s="7">
        <f t="shared" si="988"/>
        <v>0</v>
      </c>
      <c r="AE154" s="375">
        <f t="shared" si="1187"/>
        <v>0</v>
      </c>
      <c r="AF154" s="375">
        <f t="shared" si="1188"/>
        <v>0</v>
      </c>
      <c r="AG154" s="4"/>
      <c r="AH154" s="375"/>
      <c r="AI154" s="375"/>
      <c r="AJ154" s="4"/>
      <c r="AK154" s="375"/>
      <c r="AL154" s="375"/>
      <c r="AM154" s="4"/>
      <c r="AN154" s="375"/>
      <c r="AO154" s="375"/>
      <c r="AP154" s="4"/>
      <c r="AQ154" s="375">
        <f t="shared" si="1189"/>
        <v>0</v>
      </c>
      <c r="AR154" s="375">
        <f t="shared" si="1190"/>
        <v>0</v>
      </c>
      <c r="AS154" s="7">
        <f t="shared" si="989"/>
        <v>0</v>
      </c>
      <c r="AT154" s="375">
        <f t="shared" si="1191"/>
        <v>0</v>
      </c>
      <c r="AU154" s="4"/>
      <c r="AV154" s="375"/>
      <c r="AW154" s="375"/>
      <c r="AX154" s="4"/>
      <c r="AY154" s="375"/>
      <c r="AZ154" s="375"/>
      <c r="BA154" s="4"/>
      <c r="BB154" s="375"/>
      <c r="BC154" s="375"/>
      <c r="BD154" s="448"/>
      <c r="BE154" s="375">
        <f t="shared" si="1192"/>
        <v>0</v>
      </c>
      <c r="BF154" s="375">
        <f t="shared" si="1193"/>
        <v>0</v>
      </c>
      <c r="BG154" s="7">
        <f t="shared" si="990"/>
        <v>0</v>
      </c>
      <c r="BH154" s="375">
        <f t="shared" si="1194"/>
        <v>0</v>
      </c>
      <c r="BI154" s="388">
        <f t="shared" si="1195"/>
        <v>0</v>
      </c>
      <c r="BJ154" s="7">
        <f t="shared" si="991"/>
        <v>0</v>
      </c>
      <c r="BK154" s="375">
        <v>0</v>
      </c>
      <c r="BL154" s="282"/>
      <c r="BN154" s="375"/>
      <c r="BO154" s="4"/>
      <c r="BP154" s="375"/>
      <c r="BQ154" s="4"/>
      <c r="BR154" s="375"/>
      <c r="BS154" s="4"/>
      <c r="BT154" s="375"/>
      <c r="BU154" s="7">
        <f t="shared" si="992"/>
        <v>0</v>
      </c>
      <c r="BV154" s="375"/>
      <c r="BW154" s="7"/>
      <c r="BX154" s="375"/>
      <c r="BY154" s="7"/>
      <c r="BZ154" s="375">
        <f t="shared" si="1196"/>
        <v>0</v>
      </c>
      <c r="CA154" s="7"/>
      <c r="CB154" s="375">
        <f t="shared" si="1197"/>
        <v>0</v>
      </c>
      <c r="CC154" s="7">
        <f t="shared" si="1121"/>
        <v>0</v>
      </c>
      <c r="CD154" s="375">
        <f t="shared" si="1198"/>
        <v>0</v>
      </c>
      <c r="CE154" s="7">
        <f t="shared" si="993"/>
        <v>0</v>
      </c>
      <c r="CF154" s="375">
        <v>0</v>
      </c>
      <c r="CG154" s="7">
        <f t="shared" si="994"/>
        <v>0</v>
      </c>
      <c r="CH154" s="375">
        <v>0</v>
      </c>
      <c r="CI154" s="7">
        <f t="shared" si="994"/>
        <v>0</v>
      </c>
      <c r="CJ154" s="375">
        <v>0</v>
      </c>
      <c r="CK154" s="7">
        <f t="shared" si="994"/>
        <v>0</v>
      </c>
      <c r="CL154" s="375">
        <f t="shared" si="1199"/>
        <v>0</v>
      </c>
      <c r="CM154" s="7">
        <f t="shared" si="994"/>
        <v>0</v>
      </c>
      <c r="CN154" s="375">
        <f t="shared" si="1200"/>
        <v>0</v>
      </c>
      <c r="CO154" s="7">
        <f t="shared" si="639"/>
        <v>0</v>
      </c>
      <c r="CP154" s="375">
        <v>0</v>
      </c>
      <c r="CQ154" s="7">
        <f t="shared" si="967"/>
        <v>0</v>
      </c>
      <c r="CR154" s="375">
        <f t="shared" si="1201"/>
        <v>0</v>
      </c>
      <c r="CS154" s="7">
        <f t="shared" si="641"/>
        <v>0</v>
      </c>
      <c r="CT154" s="375">
        <v>0</v>
      </c>
      <c r="CU154" s="7">
        <f t="shared" ref="CU154:CU177" si="1221">+CT154/CT$8</f>
        <v>0</v>
      </c>
      <c r="CV154" s="375">
        <v>0</v>
      </c>
      <c r="CW154" s="7">
        <f t="shared" si="968"/>
        <v>0</v>
      </c>
      <c r="CX154" s="375">
        <f t="shared" si="1202"/>
        <v>0</v>
      </c>
      <c r="CY154" s="7">
        <f t="shared" si="969"/>
        <v>0</v>
      </c>
      <c r="CZ154" s="375">
        <f t="shared" si="1203"/>
        <v>0</v>
      </c>
      <c r="DA154" s="7">
        <f t="shared" si="997"/>
        <v>0</v>
      </c>
      <c r="DB154" s="375">
        <v>0</v>
      </c>
      <c r="DC154" s="7">
        <f t="shared" si="642"/>
        <v>0</v>
      </c>
      <c r="DD154" s="375">
        <v>0</v>
      </c>
      <c r="DE154" s="7">
        <f t="shared" si="642"/>
        <v>0</v>
      </c>
      <c r="DF154" s="375">
        <v>0</v>
      </c>
      <c r="DG154" s="7">
        <f t="shared" si="642"/>
        <v>0</v>
      </c>
      <c r="DH154" s="375">
        <f t="shared" si="1204"/>
        <v>0</v>
      </c>
      <c r="DI154" s="7">
        <f t="shared" si="970"/>
        <v>0</v>
      </c>
      <c r="DJ154" s="375"/>
      <c r="DK154" s="7">
        <f t="shared" si="643"/>
        <v>0</v>
      </c>
      <c r="DL154" s="375">
        <v>0</v>
      </c>
      <c r="DM154" s="7">
        <f t="shared" si="644"/>
        <v>0</v>
      </c>
      <c r="DN154" s="375">
        <v>0</v>
      </c>
      <c r="DO154" s="7">
        <f t="shared" si="645"/>
        <v>0</v>
      </c>
      <c r="DP154" s="375">
        <v>0</v>
      </c>
      <c r="DQ154" s="7">
        <f t="shared" si="646"/>
        <v>0</v>
      </c>
      <c r="DR154" s="375">
        <f t="shared" si="1205"/>
        <v>0</v>
      </c>
      <c r="DS154" s="7">
        <f t="shared" si="971"/>
        <v>0</v>
      </c>
      <c r="DT154" s="375">
        <f t="shared" si="1206"/>
        <v>0</v>
      </c>
      <c r="DU154" s="7">
        <f t="shared" si="998"/>
        <v>0</v>
      </c>
      <c r="DV154" s="375"/>
      <c r="DW154" s="7">
        <f t="shared" si="647"/>
        <v>0</v>
      </c>
      <c r="DX154" s="375"/>
      <c r="DY154" s="7">
        <f t="shared" si="856"/>
        <v>0</v>
      </c>
      <c r="DZ154" s="375"/>
      <c r="EA154" s="7">
        <f t="shared" si="649"/>
        <v>0</v>
      </c>
      <c r="EB154" s="375">
        <f t="shared" si="1207"/>
        <v>0</v>
      </c>
      <c r="EC154" s="7">
        <f t="shared" si="972"/>
        <v>0</v>
      </c>
      <c r="ED154" s="375">
        <f t="shared" si="1208"/>
        <v>0</v>
      </c>
      <c r="EE154" s="7">
        <f t="shared" si="999"/>
        <v>0</v>
      </c>
      <c r="EF154" s="375"/>
      <c r="EG154" s="7">
        <f t="shared" si="650"/>
        <v>0</v>
      </c>
      <c r="EH154" s="375"/>
      <c r="EI154" s="7">
        <f t="shared" si="857"/>
        <v>0</v>
      </c>
      <c r="EJ154" s="375"/>
      <c r="EK154" s="7">
        <f t="shared" si="652"/>
        <v>0</v>
      </c>
      <c r="EL154" s="375">
        <f t="shared" si="1209"/>
        <v>0</v>
      </c>
      <c r="EM154" s="7">
        <f t="shared" si="973"/>
        <v>0</v>
      </c>
      <c r="EN154" s="375">
        <f t="shared" si="1210"/>
        <v>0</v>
      </c>
      <c r="EO154" s="7">
        <f t="shared" si="1000"/>
        <v>0</v>
      </c>
      <c r="EP154" s="373"/>
      <c r="EQ154" s="373"/>
      <c r="ER154" s="373"/>
      <c r="ES154" s="373"/>
      <c r="ET154" s="375"/>
      <c r="EU154" s="7">
        <f t="shared" si="653"/>
        <v>0</v>
      </c>
      <c r="EV154" s="375"/>
      <c r="EW154" s="7">
        <f t="shared" si="858"/>
        <v>0</v>
      </c>
      <c r="EX154" s="375"/>
      <c r="EY154" s="7">
        <f t="shared" si="655"/>
        <v>0</v>
      </c>
      <c r="EZ154" s="375">
        <f t="shared" si="1211"/>
        <v>0</v>
      </c>
      <c r="FA154" s="7">
        <f t="shared" si="974"/>
        <v>0</v>
      </c>
      <c r="FB154" s="375"/>
      <c r="FC154" s="7">
        <f t="shared" si="656"/>
        <v>0</v>
      </c>
      <c r="FD154" s="375"/>
      <c r="FE154" s="7">
        <f t="shared" ref="FE154:FE177" si="1222">+FD154/FD$8</f>
        <v>0</v>
      </c>
      <c r="FF154" s="375"/>
      <c r="FG154" s="7">
        <f t="shared" si="975"/>
        <v>0</v>
      </c>
      <c r="FH154" s="375">
        <f t="shared" si="1212"/>
        <v>0</v>
      </c>
      <c r="FI154" s="7">
        <f t="shared" si="976"/>
        <v>0</v>
      </c>
      <c r="FJ154" s="375">
        <f t="shared" si="1213"/>
        <v>0</v>
      </c>
      <c r="FK154" s="7">
        <f t="shared" si="1003"/>
        <v>0</v>
      </c>
      <c r="FL154" s="375"/>
      <c r="FM154" s="7">
        <f t="shared" si="658"/>
        <v>0</v>
      </c>
      <c r="FN154" s="375"/>
      <c r="FO154" s="7">
        <f t="shared" si="977"/>
        <v>0</v>
      </c>
      <c r="FP154" s="375"/>
      <c r="FQ154" s="7">
        <f t="shared" si="978"/>
        <v>0</v>
      </c>
      <c r="FR154" s="375">
        <f t="shared" si="1214"/>
        <v>0</v>
      </c>
      <c r="FS154" s="7">
        <f t="shared" si="979"/>
        <v>0</v>
      </c>
      <c r="FT154" s="375">
        <f t="shared" si="1215"/>
        <v>0</v>
      </c>
      <c r="FU154" s="7">
        <f t="shared" si="1006"/>
        <v>0</v>
      </c>
      <c r="FV154" s="375"/>
      <c r="FW154" s="7">
        <f t="shared" si="660"/>
        <v>0</v>
      </c>
      <c r="FX154" s="375"/>
      <c r="FY154" s="7">
        <f t="shared" si="980"/>
        <v>0</v>
      </c>
      <c r="FZ154" s="375"/>
      <c r="GA154" s="7">
        <f t="shared" si="981"/>
        <v>0</v>
      </c>
      <c r="GB154" s="375">
        <f t="shared" si="1216"/>
        <v>0</v>
      </c>
      <c r="GC154" s="7">
        <f t="shared" si="982"/>
        <v>0</v>
      </c>
      <c r="GD154" s="375">
        <f t="shared" si="1217"/>
        <v>0</v>
      </c>
      <c r="GE154" s="7">
        <f t="shared" si="1009"/>
        <v>0</v>
      </c>
      <c r="GF154" s="566">
        <f t="shared" si="1218"/>
        <v>0</v>
      </c>
      <c r="GG154" s="525">
        <f t="shared" si="983"/>
        <v>0</v>
      </c>
      <c r="GH154" s="528">
        <f t="shared" si="1219"/>
        <v>0</v>
      </c>
      <c r="GI154" s="525">
        <f t="shared" si="984"/>
        <v>0</v>
      </c>
      <c r="GJ154" s="528"/>
      <c r="GK154" s="525">
        <f t="shared" si="985"/>
        <v>0</v>
      </c>
      <c r="GL154" s="528">
        <f t="shared" si="1220"/>
        <v>0</v>
      </c>
      <c r="GM154" s="565">
        <f t="shared" si="1012"/>
        <v>0</v>
      </c>
      <c r="GO154" s="586"/>
      <c r="GQ154" s="586"/>
      <c r="GT154" s="551">
        <f t="shared" si="1166"/>
        <v>0</v>
      </c>
      <c r="GU154" s="551">
        <f t="shared" si="1015"/>
        <v>0</v>
      </c>
      <c r="GV154" s="550">
        <f t="shared" si="986"/>
        <v>0</v>
      </c>
      <c r="GW154" s="527"/>
      <c r="GX154" s="525">
        <f t="shared" si="664"/>
        <v>0</v>
      </c>
      <c r="GY154" s="528"/>
      <c r="GZ154" s="525">
        <f t="shared" si="665"/>
        <v>0</v>
      </c>
      <c r="HA154" s="528"/>
      <c r="HB154" s="526">
        <f t="shared" si="666"/>
        <v>0</v>
      </c>
      <c r="HD154" s="527"/>
      <c r="HE154" s="525">
        <v>0</v>
      </c>
      <c r="HF154" s="528"/>
      <c r="HG154" s="525">
        <v>0</v>
      </c>
      <c r="HH154" s="528"/>
      <c r="HI154" s="526">
        <v>0</v>
      </c>
    </row>
    <row r="155" spans="1:217" ht="15" customHeight="1" outlineLevel="1">
      <c r="A155" s="386" t="s">
        <v>784</v>
      </c>
      <c r="B155" s="386" t="s">
        <v>144</v>
      </c>
      <c r="C155" s="375"/>
      <c r="D155" s="4"/>
      <c r="E155" s="375"/>
      <c r="F155" s="4"/>
      <c r="G155" s="375"/>
      <c r="H155" s="375"/>
      <c r="I155" s="4"/>
      <c r="J155" s="375"/>
      <c r="K155" s="375"/>
      <c r="L155" s="4"/>
      <c r="M155" s="375"/>
      <c r="N155" s="375"/>
      <c r="O155" s="4"/>
      <c r="P155" s="375">
        <f t="shared" si="869"/>
        <v>0</v>
      </c>
      <c r="Q155" s="375">
        <f t="shared" si="869"/>
        <v>0</v>
      </c>
      <c r="R155" s="7">
        <f t="shared" si="987"/>
        <v>0</v>
      </c>
      <c r="S155" s="375"/>
      <c r="T155" s="375"/>
      <c r="U155" s="4"/>
      <c r="V155" s="375"/>
      <c r="W155" s="375"/>
      <c r="X155" s="4"/>
      <c r="Y155" s="375"/>
      <c r="Z155" s="375"/>
      <c r="AA155" s="4"/>
      <c r="AB155" s="375">
        <f t="shared" si="1185"/>
        <v>0</v>
      </c>
      <c r="AC155" s="375">
        <f t="shared" si="1186"/>
        <v>0</v>
      </c>
      <c r="AD155" s="7">
        <f t="shared" si="988"/>
        <v>0</v>
      </c>
      <c r="AE155" s="375">
        <f t="shared" si="1187"/>
        <v>0</v>
      </c>
      <c r="AF155" s="375">
        <f t="shared" si="1188"/>
        <v>0</v>
      </c>
      <c r="AG155" s="4"/>
      <c r="AH155" s="375"/>
      <c r="AI155" s="375"/>
      <c r="AJ155" s="4"/>
      <c r="AK155" s="375"/>
      <c r="AL155" s="375"/>
      <c r="AM155" s="4"/>
      <c r="AN155" s="375"/>
      <c r="AO155" s="375"/>
      <c r="AP155" s="4"/>
      <c r="AQ155" s="375">
        <f t="shared" si="1189"/>
        <v>0</v>
      </c>
      <c r="AR155" s="375">
        <f t="shared" si="1190"/>
        <v>0</v>
      </c>
      <c r="AS155" s="7">
        <f t="shared" si="989"/>
        <v>0</v>
      </c>
      <c r="AT155" s="375">
        <f t="shared" si="1191"/>
        <v>0</v>
      </c>
      <c r="AU155" s="4"/>
      <c r="AV155" s="375"/>
      <c r="AW155" s="375"/>
      <c r="AX155" s="4"/>
      <c r="AY155" s="375"/>
      <c r="AZ155" s="375"/>
      <c r="BA155" s="4"/>
      <c r="BB155" s="375"/>
      <c r="BC155" s="375"/>
      <c r="BD155" s="448"/>
      <c r="BE155" s="375">
        <f t="shared" si="1192"/>
        <v>0</v>
      </c>
      <c r="BF155" s="375">
        <f t="shared" si="1193"/>
        <v>0</v>
      </c>
      <c r="BG155" s="7">
        <f t="shared" si="990"/>
        <v>0</v>
      </c>
      <c r="BH155" s="375">
        <f t="shared" si="1194"/>
        <v>0</v>
      </c>
      <c r="BI155" s="388">
        <f t="shared" si="1195"/>
        <v>0</v>
      </c>
      <c r="BJ155" s="7">
        <f t="shared" si="991"/>
        <v>0</v>
      </c>
      <c r="BK155" s="375">
        <v>0</v>
      </c>
      <c r="BL155" s="282"/>
      <c r="BN155" s="375"/>
      <c r="BO155" s="4"/>
      <c r="BP155" s="375"/>
      <c r="BQ155" s="4"/>
      <c r="BR155" s="375"/>
      <c r="BS155" s="4"/>
      <c r="BT155" s="375"/>
      <c r="BU155" s="7">
        <f t="shared" si="992"/>
        <v>0</v>
      </c>
      <c r="BV155" s="375"/>
      <c r="BW155" s="7"/>
      <c r="BX155" s="375"/>
      <c r="BY155" s="7"/>
      <c r="BZ155" s="375">
        <f t="shared" si="1196"/>
        <v>0</v>
      </c>
      <c r="CA155" s="7"/>
      <c r="CB155" s="375">
        <f t="shared" si="1197"/>
        <v>0</v>
      </c>
      <c r="CC155" s="7">
        <f t="shared" si="1121"/>
        <v>0</v>
      </c>
      <c r="CD155" s="375">
        <f t="shared" si="1198"/>
        <v>0</v>
      </c>
      <c r="CE155" s="7">
        <f t="shared" si="993"/>
        <v>0</v>
      </c>
      <c r="CF155" s="375">
        <v>0</v>
      </c>
      <c r="CG155" s="7">
        <f t="shared" si="994"/>
        <v>0</v>
      </c>
      <c r="CH155" s="375">
        <v>0</v>
      </c>
      <c r="CI155" s="7">
        <f t="shared" si="994"/>
        <v>0</v>
      </c>
      <c r="CJ155" s="375">
        <v>0</v>
      </c>
      <c r="CK155" s="7">
        <f t="shared" si="994"/>
        <v>0</v>
      </c>
      <c r="CL155" s="375">
        <f t="shared" si="1199"/>
        <v>0</v>
      </c>
      <c r="CM155" s="7">
        <f t="shared" si="994"/>
        <v>0</v>
      </c>
      <c r="CN155" s="375">
        <f t="shared" si="1200"/>
        <v>0</v>
      </c>
      <c r="CO155" s="7">
        <f t="shared" si="639"/>
        <v>0</v>
      </c>
      <c r="CP155" s="375">
        <v>0</v>
      </c>
      <c r="CQ155" s="7">
        <f t="shared" si="967"/>
        <v>0</v>
      </c>
      <c r="CR155" s="375">
        <f t="shared" si="1201"/>
        <v>0</v>
      </c>
      <c r="CS155" s="7">
        <f t="shared" si="641"/>
        <v>0</v>
      </c>
      <c r="CT155" s="375">
        <v>0</v>
      </c>
      <c r="CU155" s="7">
        <f t="shared" si="1221"/>
        <v>0</v>
      </c>
      <c r="CV155" s="375">
        <v>0</v>
      </c>
      <c r="CW155" s="7">
        <f t="shared" si="968"/>
        <v>0</v>
      </c>
      <c r="CX155" s="375">
        <f t="shared" si="1202"/>
        <v>0</v>
      </c>
      <c r="CY155" s="7">
        <f t="shared" si="969"/>
        <v>0</v>
      </c>
      <c r="CZ155" s="375">
        <f t="shared" si="1203"/>
        <v>0</v>
      </c>
      <c r="DA155" s="7">
        <f t="shared" si="997"/>
        <v>0</v>
      </c>
      <c r="DB155" s="375">
        <v>0</v>
      </c>
      <c r="DC155" s="7">
        <f t="shared" si="642"/>
        <v>0</v>
      </c>
      <c r="DD155" s="375">
        <v>0</v>
      </c>
      <c r="DE155" s="7">
        <f t="shared" si="642"/>
        <v>0</v>
      </c>
      <c r="DF155" s="375">
        <v>0</v>
      </c>
      <c r="DG155" s="7">
        <f t="shared" si="642"/>
        <v>0</v>
      </c>
      <c r="DH155" s="375">
        <f t="shared" si="1204"/>
        <v>0</v>
      </c>
      <c r="DI155" s="7">
        <f t="shared" si="970"/>
        <v>0</v>
      </c>
      <c r="DJ155" s="375"/>
      <c r="DK155" s="7">
        <f t="shared" si="643"/>
        <v>0</v>
      </c>
      <c r="DL155" s="375">
        <v>0</v>
      </c>
      <c r="DM155" s="7">
        <f t="shared" si="644"/>
        <v>0</v>
      </c>
      <c r="DN155" s="375">
        <v>0</v>
      </c>
      <c r="DO155" s="7">
        <f t="shared" si="645"/>
        <v>0</v>
      </c>
      <c r="DP155" s="375">
        <v>0</v>
      </c>
      <c r="DQ155" s="7">
        <f t="shared" si="646"/>
        <v>0</v>
      </c>
      <c r="DR155" s="375">
        <f t="shared" si="1205"/>
        <v>0</v>
      </c>
      <c r="DS155" s="7">
        <f t="shared" si="971"/>
        <v>0</v>
      </c>
      <c r="DT155" s="375">
        <f t="shared" si="1206"/>
        <v>0</v>
      </c>
      <c r="DU155" s="7">
        <f t="shared" si="998"/>
        <v>0</v>
      </c>
      <c r="DV155" s="375"/>
      <c r="DW155" s="7">
        <f t="shared" si="647"/>
        <v>0</v>
      </c>
      <c r="DX155" s="375"/>
      <c r="DY155" s="7">
        <f t="shared" si="856"/>
        <v>0</v>
      </c>
      <c r="DZ155" s="375"/>
      <c r="EA155" s="7">
        <f t="shared" si="649"/>
        <v>0</v>
      </c>
      <c r="EB155" s="375">
        <f t="shared" si="1207"/>
        <v>0</v>
      </c>
      <c r="EC155" s="7">
        <f t="shared" si="972"/>
        <v>0</v>
      </c>
      <c r="ED155" s="375">
        <f t="shared" si="1208"/>
        <v>0</v>
      </c>
      <c r="EE155" s="7">
        <f t="shared" si="999"/>
        <v>0</v>
      </c>
      <c r="EF155" s="375"/>
      <c r="EG155" s="7">
        <f t="shared" si="650"/>
        <v>0</v>
      </c>
      <c r="EH155" s="375"/>
      <c r="EI155" s="7">
        <f t="shared" si="857"/>
        <v>0</v>
      </c>
      <c r="EJ155" s="375"/>
      <c r="EK155" s="7">
        <f t="shared" si="652"/>
        <v>0</v>
      </c>
      <c r="EL155" s="375">
        <f t="shared" si="1209"/>
        <v>0</v>
      </c>
      <c r="EM155" s="7">
        <f t="shared" si="973"/>
        <v>0</v>
      </c>
      <c r="EN155" s="375">
        <f t="shared" si="1210"/>
        <v>0</v>
      </c>
      <c r="EO155" s="7">
        <f t="shared" si="1000"/>
        <v>0</v>
      </c>
      <c r="EP155" s="373"/>
      <c r="EQ155" s="373"/>
      <c r="ER155" s="373"/>
      <c r="ES155" s="373"/>
      <c r="ET155" s="375"/>
      <c r="EU155" s="7">
        <f t="shared" si="653"/>
        <v>0</v>
      </c>
      <c r="EV155" s="375"/>
      <c r="EW155" s="7">
        <f t="shared" si="858"/>
        <v>0</v>
      </c>
      <c r="EX155" s="375"/>
      <c r="EY155" s="7">
        <f t="shared" si="655"/>
        <v>0</v>
      </c>
      <c r="EZ155" s="375">
        <f t="shared" si="1211"/>
        <v>0</v>
      </c>
      <c r="FA155" s="7">
        <f t="shared" si="974"/>
        <v>0</v>
      </c>
      <c r="FB155" s="375"/>
      <c r="FC155" s="7">
        <f t="shared" si="656"/>
        <v>0</v>
      </c>
      <c r="FD155" s="375"/>
      <c r="FE155" s="7">
        <f t="shared" si="1222"/>
        <v>0</v>
      </c>
      <c r="FF155" s="375"/>
      <c r="FG155" s="7">
        <f t="shared" si="975"/>
        <v>0</v>
      </c>
      <c r="FH155" s="375">
        <f t="shared" si="1212"/>
        <v>0</v>
      </c>
      <c r="FI155" s="7">
        <f t="shared" si="976"/>
        <v>0</v>
      </c>
      <c r="FJ155" s="375">
        <f t="shared" si="1213"/>
        <v>0</v>
      </c>
      <c r="FK155" s="7">
        <f t="shared" si="1003"/>
        <v>0</v>
      </c>
      <c r="FL155" s="375"/>
      <c r="FM155" s="7">
        <f t="shared" si="658"/>
        <v>0</v>
      </c>
      <c r="FN155" s="375"/>
      <c r="FO155" s="7">
        <f t="shared" si="977"/>
        <v>0</v>
      </c>
      <c r="FP155" s="375"/>
      <c r="FQ155" s="7">
        <f t="shared" si="978"/>
        <v>0</v>
      </c>
      <c r="FR155" s="375">
        <f t="shared" si="1214"/>
        <v>0</v>
      </c>
      <c r="FS155" s="7">
        <f t="shared" si="979"/>
        <v>0</v>
      </c>
      <c r="FT155" s="375">
        <f t="shared" si="1215"/>
        <v>0</v>
      </c>
      <c r="FU155" s="7">
        <f t="shared" si="1006"/>
        <v>0</v>
      </c>
      <c r="FV155" s="375"/>
      <c r="FW155" s="7">
        <f t="shared" si="660"/>
        <v>0</v>
      </c>
      <c r="FX155" s="375"/>
      <c r="FY155" s="7">
        <f t="shared" si="980"/>
        <v>0</v>
      </c>
      <c r="FZ155" s="375"/>
      <c r="GA155" s="7">
        <f t="shared" si="981"/>
        <v>0</v>
      </c>
      <c r="GB155" s="375">
        <f t="shared" si="1216"/>
        <v>0</v>
      </c>
      <c r="GC155" s="7">
        <f t="shared" si="982"/>
        <v>0</v>
      </c>
      <c r="GD155" s="375">
        <f t="shared" si="1217"/>
        <v>0</v>
      </c>
      <c r="GE155" s="7">
        <f t="shared" si="1009"/>
        <v>0</v>
      </c>
      <c r="GF155" s="566">
        <f t="shared" si="1218"/>
        <v>0</v>
      </c>
      <c r="GG155" s="525">
        <f t="shared" si="983"/>
        <v>0</v>
      </c>
      <c r="GH155" s="528">
        <f t="shared" si="1219"/>
        <v>0</v>
      </c>
      <c r="GI155" s="525">
        <f t="shared" si="984"/>
        <v>0</v>
      </c>
      <c r="GJ155" s="528"/>
      <c r="GK155" s="525">
        <f t="shared" si="985"/>
        <v>0</v>
      </c>
      <c r="GL155" s="528">
        <f t="shared" si="1220"/>
        <v>0</v>
      </c>
      <c r="GM155" s="565">
        <f t="shared" si="1012"/>
        <v>0</v>
      </c>
      <c r="GO155" s="586"/>
      <c r="GQ155" s="586"/>
      <c r="GT155" s="551">
        <f t="shared" si="1166"/>
        <v>0</v>
      </c>
      <c r="GU155" s="551">
        <f t="shared" si="1015"/>
        <v>0</v>
      </c>
      <c r="GV155" s="550">
        <f t="shared" si="986"/>
        <v>0</v>
      </c>
      <c r="GW155" s="527"/>
      <c r="GX155" s="525">
        <f t="shared" si="664"/>
        <v>0</v>
      </c>
      <c r="GY155" s="528"/>
      <c r="GZ155" s="525">
        <f t="shared" si="665"/>
        <v>0</v>
      </c>
      <c r="HA155" s="528"/>
      <c r="HB155" s="526">
        <f t="shared" si="666"/>
        <v>0</v>
      </c>
      <c r="HD155" s="527"/>
      <c r="HE155" s="525">
        <v>0</v>
      </c>
      <c r="HF155" s="528"/>
      <c r="HG155" s="525">
        <v>0</v>
      </c>
      <c r="HH155" s="528"/>
      <c r="HI155" s="526">
        <v>0</v>
      </c>
    </row>
    <row r="156" spans="1:217" ht="15" customHeight="1" outlineLevel="1">
      <c r="A156" s="386" t="s">
        <v>784</v>
      </c>
      <c r="B156" s="386" t="s">
        <v>145</v>
      </c>
      <c r="C156" s="375"/>
      <c r="D156" s="4"/>
      <c r="E156" s="375"/>
      <c r="F156" s="4"/>
      <c r="G156" s="375"/>
      <c r="H156" s="375"/>
      <c r="I156" s="4"/>
      <c r="J156" s="375"/>
      <c r="K156" s="375"/>
      <c r="L156" s="4"/>
      <c r="M156" s="375"/>
      <c r="N156" s="375"/>
      <c r="O156" s="4"/>
      <c r="P156" s="375">
        <f t="shared" si="869"/>
        <v>0</v>
      </c>
      <c r="Q156" s="375">
        <f t="shared" si="869"/>
        <v>0</v>
      </c>
      <c r="R156" s="7">
        <f t="shared" si="987"/>
        <v>0</v>
      </c>
      <c r="S156" s="375"/>
      <c r="T156" s="375"/>
      <c r="U156" s="4"/>
      <c r="V156" s="375"/>
      <c r="W156" s="375"/>
      <c r="X156" s="4"/>
      <c r="Y156" s="375"/>
      <c r="Z156" s="375"/>
      <c r="AA156" s="4"/>
      <c r="AB156" s="375">
        <f t="shared" si="1185"/>
        <v>0</v>
      </c>
      <c r="AC156" s="375">
        <f t="shared" si="1186"/>
        <v>0</v>
      </c>
      <c r="AD156" s="7">
        <f t="shared" si="988"/>
        <v>0</v>
      </c>
      <c r="AE156" s="375">
        <f t="shared" si="1187"/>
        <v>0</v>
      </c>
      <c r="AF156" s="375">
        <f t="shared" si="1188"/>
        <v>0</v>
      </c>
      <c r="AG156" s="4"/>
      <c r="AH156" s="375"/>
      <c r="AI156" s="375"/>
      <c r="AJ156" s="4"/>
      <c r="AK156" s="375"/>
      <c r="AL156" s="375"/>
      <c r="AM156" s="4"/>
      <c r="AN156" s="375"/>
      <c r="AO156" s="375"/>
      <c r="AP156" s="4"/>
      <c r="AQ156" s="375">
        <f t="shared" si="1189"/>
        <v>0</v>
      </c>
      <c r="AR156" s="375">
        <f t="shared" si="1190"/>
        <v>0</v>
      </c>
      <c r="AS156" s="7">
        <f t="shared" si="989"/>
        <v>0</v>
      </c>
      <c r="AT156" s="375">
        <f t="shared" si="1191"/>
        <v>0</v>
      </c>
      <c r="AU156" s="4"/>
      <c r="AV156" s="375"/>
      <c r="AW156" s="375"/>
      <c r="AX156" s="4"/>
      <c r="AY156" s="375"/>
      <c r="AZ156" s="375"/>
      <c r="BA156" s="4"/>
      <c r="BB156" s="375"/>
      <c r="BC156" s="375"/>
      <c r="BD156" s="448"/>
      <c r="BE156" s="375">
        <f t="shared" si="1192"/>
        <v>0</v>
      </c>
      <c r="BF156" s="375">
        <f t="shared" si="1193"/>
        <v>0</v>
      </c>
      <c r="BG156" s="7">
        <f t="shared" si="990"/>
        <v>0</v>
      </c>
      <c r="BH156" s="375">
        <f t="shared" si="1194"/>
        <v>0</v>
      </c>
      <c r="BI156" s="388">
        <f t="shared" si="1195"/>
        <v>0</v>
      </c>
      <c r="BJ156" s="7">
        <f t="shared" si="991"/>
        <v>0</v>
      </c>
      <c r="BK156" s="375">
        <v>0</v>
      </c>
      <c r="BL156" s="282"/>
      <c r="BN156" s="375"/>
      <c r="BO156" s="4"/>
      <c r="BP156" s="375"/>
      <c r="BQ156" s="4"/>
      <c r="BR156" s="375"/>
      <c r="BS156" s="4"/>
      <c r="BT156" s="375"/>
      <c r="BU156" s="7">
        <f t="shared" si="992"/>
        <v>0</v>
      </c>
      <c r="BV156" s="375"/>
      <c r="BW156" s="7"/>
      <c r="BX156" s="375"/>
      <c r="BY156" s="7"/>
      <c r="BZ156" s="375">
        <f t="shared" si="1196"/>
        <v>0</v>
      </c>
      <c r="CA156" s="7"/>
      <c r="CB156" s="375">
        <f t="shared" si="1197"/>
        <v>0</v>
      </c>
      <c r="CC156" s="7">
        <f t="shared" si="1121"/>
        <v>0</v>
      </c>
      <c r="CD156" s="375">
        <f t="shared" si="1198"/>
        <v>0</v>
      </c>
      <c r="CE156" s="7">
        <f t="shared" si="993"/>
        <v>0</v>
      </c>
      <c r="CF156" s="375">
        <v>0</v>
      </c>
      <c r="CG156" s="7">
        <f t="shared" si="994"/>
        <v>0</v>
      </c>
      <c r="CH156" s="375">
        <v>0</v>
      </c>
      <c r="CI156" s="7">
        <f t="shared" si="994"/>
        <v>0</v>
      </c>
      <c r="CJ156" s="375">
        <v>0</v>
      </c>
      <c r="CK156" s="7">
        <f t="shared" si="994"/>
        <v>0</v>
      </c>
      <c r="CL156" s="375">
        <f t="shared" si="1199"/>
        <v>0</v>
      </c>
      <c r="CM156" s="7">
        <f t="shared" si="994"/>
        <v>0</v>
      </c>
      <c r="CN156" s="375">
        <f t="shared" si="1200"/>
        <v>0</v>
      </c>
      <c r="CO156" s="7">
        <f t="shared" si="639"/>
        <v>0</v>
      </c>
      <c r="CP156" s="375">
        <v>0</v>
      </c>
      <c r="CQ156" s="7">
        <f t="shared" si="967"/>
        <v>0</v>
      </c>
      <c r="CR156" s="375">
        <f t="shared" si="1201"/>
        <v>0</v>
      </c>
      <c r="CS156" s="7">
        <f t="shared" si="641"/>
        <v>0</v>
      </c>
      <c r="CT156" s="375">
        <v>0</v>
      </c>
      <c r="CU156" s="7">
        <f t="shared" si="1221"/>
        <v>0</v>
      </c>
      <c r="CV156" s="375">
        <v>0</v>
      </c>
      <c r="CW156" s="7">
        <f t="shared" si="968"/>
        <v>0</v>
      </c>
      <c r="CX156" s="375">
        <f t="shared" si="1202"/>
        <v>0</v>
      </c>
      <c r="CY156" s="7">
        <f t="shared" si="969"/>
        <v>0</v>
      </c>
      <c r="CZ156" s="375">
        <f t="shared" si="1203"/>
        <v>0</v>
      </c>
      <c r="DA156" s="7">
        <f t="shared" si="997"/>
        <v>0</v>
      </c>
      <c r="DB156" s="375">
        <v>0</v>
      </c>
      <c r="DC156" s="7">
        <f t="shared" si="642"/>
        <v>0</v>
      </c>
      <c r="DD156" s="375">
        <v>0</v>
      </c>
      <c r="DE156" s="7">
        <f t="shared" si="642"/>
        <v>0</v>
      </c>
      <c r="DF156" s="375">
        <v>0</v>
      </c>
      <c r="DG156" s="7">
        <f t="shared" si="642"/>
        <v>0</v>
      </c>
      <c r="DH156" s="375">
        <f t="shared" si="1204"/>
        <v>0</v>
      </c>
      <c r="DI156" s="7">
        <f t="shared" si="970"/>
        <v>0</v>
      </c>
      <c r="DJ156" s="375"/>
      <c r="DK156" s="7">
        <f t="shared" si="643"/>
        <v>0</v>
      </c>
      <c r="DL156" s="375">
        <v>0</v>
      </c>
      <c r="DM156" s="7">
        <f t="shared" si="644"/>
        <v>0</v>
      </c>
      <c r="DN156" s="375">
        <v>0</v>
      </c>
      <c r="DO156" s="7">
        <f t="shared" si="645"/>
        <v>0</v>
      </c>
      <c r="DP156" s="375">
        <v>0</v>
      </c>
      <c r="DQ156" s="7">
        <f t="shared" si="646"/>
        <v>0</v>
      </c>
      <c r="DR156" s="375">
        <f t="shared" si="1205"/>
        <v>0</v>
      </c>
      <c r="DS156" s="7">
        <f t="shared" si="971"/>
        <v>0</v>
      </c>
      <c r="DT156" s="375">
        <f t="shared" si="1206"/>
        <v>0</v>
      </c>
      <c r="DU156" s="7">
        <f t="shared" si="998"/>
        <v>0</v>
      </c>
      <c r="DV156" s="375"/>
      <c r="DW156" s="7">
        <f t="shared" si="647"/>
        <v>0</v>
      </c>
      <c r="DX156" s="375"/>
      <c r="DY156" s="7">
        <f t="shared" si="856"/>
        <v>0</v>
      </c>
      <c r="DZ156" s="375"/>
      <c r="EA156" s="7">
        <f t="shared" si="649"/>
        <v>0</v>
      </c>
      <c r="EB156" s="375">
        <f t="shared" si="1207"/>
        <v>0</v>
      </c>
      <c r="EC156" s="7">
        <f t="shared" si="972"/>
        <v>0</v>
      </c>
      <c r="ED156" s="375">
        <f t="shared" si="1208"/>
        <v>0</v>
      </c>
      <c r="EE156" s="7">
        <f t="shared" si="999"/>
        <v>0</v>
      </c>
      <c r="EF156" s="375"/>
      <c r="EG156" s="7">
        <f t="shared" si="650"/>
        <v>0</v>
      </c>
      <c r="EH156" s="375"/>
      <c r="EI156" s="7">
        <f t="shared" si="857"/>
        <v>0</v>
      </c>
      <c r="EJ156" s="375"/>
      <c r="EK156" s="7">
        <f t="shared" si="652"/>
        <v>0</v>
      </c>
      <c r="EL156" s="375">
        <f t="shared" si="1209"/>
        <v>0</v>
      </c>
      <c r="EM156" s="7">
        <f t="shared" si="973"/>
        <v>0</v>
      </c>
      <c r="EN156" s="375">
        <f t="shared" si="1210"/>
        <v>0</v>
      </c>
      <c r="EO156" s="7">
        <f t="shared" si="1000"/>
        <v>0</v>
      </c>
      <c r="EP156" s="373"/>
      <c r="EQ156" s="373"/>
      <c r="ER156" s="373"/>
      <c r="ES156" s="373"/>
      <c r="ET156" s="375"/>
      <c r="EU156" s="7">
        <f t="shared" si="653"/>
        <v>0</v>
      </c>
      <c r="EV156" s="375"/>
      <c r="EW156" s="7">
        <f t="shared" si="858"/>
        <v>0</v>
      </c>
      <c r="EX156" s="375"/>
      <c r="EY156" s="7">
        <f t="shared" si="655"/>
        <v>0</v>
      </c>
      <c r="EZ156" s="375">
        <f t="shared" si="1211"/>
        <v>0</v>
      </c>
      <c r="FA156" s="7">
        <f t="shared" si="974"/>
        <v>0</v>
      </c>
      <c r="FB156" s="375"/>
      <c r="FC156" s="7">
        <f t="shared" si="656"/>
        <v>0</v>
      </c>
      <c r="FD156" s="375"/>
      <c r="FE156" s="7">
        <f t="shared" si="1222"/>
        <v>0</v>
      </c>
      <c r="FF156" s="375"/>
      <c r="FG156" s="7">
        <f t="shared" si="975"/>
        <v>0</v>
      </c>
      <c r="FH156" s="375">
        <f t="shared" si="1212"/>
        <v>0</v>
      </c>
      <c r="FI156" s="7">
        <f t="shared" si="976"/>
        <v>0</v>
      </c>
      <c r="FJ156" s="375">
        <f t="shared" si="1213"/>
        <v>0</v>
      </c>
      <c r="FK156" s="7">
        <f t="shared" si="1003"/>
        <v>0</v>
      </c>
      <c r="FL156" s="375"/>
      <c r="FM156" s="7">
        <f t="shared" si="658"/>
        <v>0</v>
      </c>
      <c r="FN156" s="375"/>
      <c r="FO156" s="7">
        <f t="shared" si="977"/>
        <v>0</v>
      </c>
      <c r="FP156" s="375"/>
      <c r="FQ156" s="7">
        <f t="shared" si="978"/>
        <v>0</v>
      </c>
      <c r="FR156" s="375">
        <f t="shared" si="1214"/>
        <v>0</v>
      </c>
      <c r="FS156" s="7">
        <f t="shared" si="979"/>
        <v>0</v>
      </c>
      <c r="FT156" s="375">
        <f t="shared" si="1215"/>
        <v>0</v>
      </c>
      <c r="FU156" s="7">
        <f t="shared" si="1006"/>
        <v>0</v>
      </c>
      <c r="FV156" s="375"/>
      <c r="FW156" s="7">
        <f t="shared" si="660"/>
        <v>0</v>
      </c>
      <c r="FX156" s="375"/>
      <c r="FY156" s="7">
        <f t="shared" si="980"/>
        <v>0</v>
      </c>
      <c r="FZ156" s="375"/>
      <c r="GA156" s="7">
        <f t="shared" si="981"/>
        <v>0</v>
      </c>
      <c r="GB156" s="375">
        <f t="shared" si="1216"/>
        <v>0</v>
      </c>
      <c r="GC156" s="7">
        <f t="shared" si="982"/>
        <v>0</v>
      </c>
      <c r="GD156" s="375">
        <f t="shared" si="1217"/>
        <v>0</v>
      </c>
      <c r="GE156" s="7">
        <f t="shared" si="1009"/>
        <v>0</v>
      </c>
      <c r="GF156" s="566">
        <f t="shared" si="1218"/>
        <v>0</v>
      </c>
      <c r="GG156" s="525">
        <f t="shared" si="983"/>
        <v>0</v>
      </c>
      <c r="GH156" s="528">
        <f t="shared" si="1219"/>
        <v>0</v>
      </c>
      <c r="GI156" s="525">
        <f t="shared" si="984"/>
        <v>0</v>
      </c>
      <c r="GJ156" s="528"/>
      <c r="GK156" s="525">
        <f t="shared" si="985"/>
        <v>0</v>
      </c>
      <c r="GL156" s="528">
        <f t="shared" si="1220"/>
        <v>0</v>
      </c>
      <c r="GM156" s="565">
        <f t="shared" si="1012"/>
        <v>0</v>
      </c>
      <c r="GO156" s="586"/>
      <c r="GQ156" s="586"/>
      <c r="GT156" s="551">
        <f t="shared" si="1166"/>
        <v>0</v>
      </c>
      <c r="GU156" s="551">
        <f t="shared" si="1015"/>
        <v>0</v>
      </c>
      <c r="GV156" s="550">
        <f t="shared" si="986"/>
        <v>0</v>
      </c>
      <c r="GW156" s="527"/>
      <c r="GX156" s="525">
        <f t="shared" si="664"/>
        <v>0</v>
      </c>
      <c r="GY156" s="528"/>
      <c r="GZ156" s="525">
        <f t="shared" si="665"/>
        <v>0</v>
      </c>
      <c r="HA156" s="528"/>
      <c r="HB156" s="526">
        <f t="shared" si="666"/>
        <v>0</v>
      </c>
      <c r="HD156" s="527"/>
      <c r="HE156" s="525">
        <v>0</v>
      </c>
      <c r="HF156" s="528"/>
      <c r="HG156" s="525">
        <v>0</v>
      </c>
      <c r="HH156" s="528"/>
      <c r="HI156" s="526">
        <v>0</v>
      </c>
    </row>
    <row r="157" spans="1:217" ht="15" customHeight="1" outlineLevel="1">
      <c r="A157" s="386" t="s">
        <v>784</v>
      </c>
      <c r="B157" s="386" t="s">
        <v>146</v>
      </c>
      <c r="C157" s="375"/>
      <c r="D157" s="4"/>
      <c r="E157" s="375"/>
      <c r="F157" s="4"/>
      <c r="G157" s="375"/>
      <c r="H157" s="375"/>
      <c r="I157" s="4"/>
      <c r="J157" s="375"/>
      <c r="K157" s="375"/>
      <c r="L157" s="4"/>
      <c r="M157" s="375"/>
      <c r="N157" s="375"/>
      <c r="O157" s="4"/>
      <c r="P157" s="375">
        <f t="shared" si="869"/>
        <v>0</v>
      </c>
      <c r="Q157" s="375">
        <f t="shared" si="869"/>
        <v>0</v>
      </c>
      <c r="R157" s="7">
        <f t="shared" si="987"/>
        <v>0</v>
      </c>
      <c r="S157" s="375"/>
      <c r="T157" s="375"/>
      <c r="U157" s="4"/>
      <c r="V157" s="375"/>
      <c r="W157" s="375"/>
      <c r="X157" s="4"/>
      <c r="Y157" s="375"/>
      <c r="Z157" s="375"/>
      <c r="AA157" s="4"/>
      <c r="AB157" s="375">
        <f t="shared" si="1185"/>
        <v>0</v>
      </c>
      <c r="AC157" s="375">
        <f t="shared" si="1186"/>
        <v>0</v>
      </c>
      <c r="AD157" s="7">
        <f t="shared" si="988"/>
        <v>0</v>
      </c>
      <c r="AE157" s="375">
        <f t="shared" si="1187"/>
        <v>0</v>
      </c>
      <c r="AF157" s="375">
        <f t="shared" si="1188"/>
        <v>0</v>
      </c>
      <c r="AG157" s="4"/>
      <c r="AH157" s="375"/>
      <c r="AI157" s="375"/>
      <c r="AJ157" s="4"/>
      <c r="AK157" s="375"/>
      <c r="AL157" s="375"/>
      <c r="AM157" s="4"/>
      <c r="AN157" s="375"/>
      <c r="AO157" s="375"/>
      <c r="AP157" s="4"/>
      <c r="AQ157" s="375">
        <f t="shared" si="1189"/>
        <v>0</v>
      </c>
      <c r="AR157" s="375">
        <f t="shared" si="1190"/>
        <v>0</v>
      </c>
      <c r="AS157" s="7">
        <f t="shared" si="989"/>
        <v>0</v>
      </c>
      <c r="AT157" s="375">
        <f t="shared" si="1191"/>
        <v>0</v>
      </c>
      <c r="AU157" s="4"/>
      <c r="AV157" s="375"/>
      <c r="AW157" s="375"/>
      <c r="AX157" s="4"/>
      <c r="AY157" s="375"/>
      <c r="AZ157" s="375"/>
      <c r="BA157" s="4"/>
      <c r="BB157" s="375"/>
      <c r="BC157" s="375"/>
      <c r="BD157" s="448"/>
      <c r="BE157" s="375">
        <f t="shared" si="1192"/>
        <v>0</v>
      </c>
      <c r="BF157" s="375">
        <f t="shared" si="1193"/>
        <v>0</v>
      </c>
      <c r="BG157" s="7">
        <f t="shared" si="990"/>
        <v>0</v>
      </c>
      <c r="BH157" s="375">
        <f t="shared" si="1194"/>
        <v>0</v>
      </c>
      <c r="BI157" s="388">
        <f t="shared" si="1195"/>
        <v>0</v>
      </c>
      <c r="BJ157" s="7">
        <f t="shared" si="991"/>
        <v>0</v>
      </c>
      <c r="BK157" s="375">
        <v>0</v>
      </c>
      <c r="BL157" s="282"/>
      <c r="BN157" s="375"/>
      <c r="BO157" s="4"/>
      <c r="BP157" s="375"/>
      <c r="BQ157" s="4"/>
      <c r="BR157" s="375"/>
      <c r="BS157" s="4"/>
      <c r="BT157" s="375"/>
      <c r="BU157" s="7">
        <f t="shared" si="992"/>
        <v>0</v>
      </c>
      <c r="BV157" s="375"/>
      <c r="BW157" s="7"/>
      <c r="BX157" s="375"/>
      <c r="BY157" s="7"/>
      <c r="BZ157" s="375">
        <f t="shared" si="1196"/>
        <v>0</v>
      </c>
      <c r="CA157" s="7"/>
      <c r="CB157" s="375">
        <f t="shared" si="1197"/>
        <v>0</v>
      </c>
      <c r="CC157" s="7">
        <f t="shared" si="1121"/>
        <v>0</v>
      </c>
      <c r="CD157" s="375">
        <f t="shared" si="1198"/>
        <v>0</v>
      </c>
      <c r="CE157" s="7">
        <f t="shared" si="993"/>
        <v>0</v>
      </c>
      <c r="CF157" s="375">
        <v>0</v>
      </c>
      <c r="CG157" s="7">
        <f t="shared" si="994"/>
        <v>0</v>
      </c>
      <c r="CH157" s="375">
        <v>0</v>
      </c>
      <c r="CI157" s="7">
        <f t="shared" si="994"/>
        <v>0</v>
      </c>
      <c r="CJ157" s="375">
        <v>0</v>
      </c>
      <c r="CK157" s="7">
        <f t="shared" si="994"/>
        <v>0</v>
      </c>
      <c r="CL157" s="375">
        <f t="shared" si="1199"/>
        <v>0</v>
      </c>
      <c r="CM157" s="7">
        <f t="shared" si="994"/>
        <v>0</v>
      </c>
      <c r="CN157" s="375">
        <f t="shared" si="1200"/>
        <v>0</v>
      </c>
      <c r="CO157" s="7">
        <f t="shared" si="639"/>
        <v>0</v>
      </c>
      <c r="CP157" s="375">
        <v>0</v>
      </c>
      <c r="CQ157" s="7">
        <f t="shared" si="967"/>
        <v>0</v>
      </c>
      <c r="CR157" s="375">
        <f t="shared" si="1201"/>
        <v>0</v>
      </c>
      <c r="CS157" s="7">
        <f t="shared" si="641"/>
        <v>0</v>
      </c>
      <c r="CT157" s="375">
        <v>0</v>
      </c>
      <c r="CU157" s="7">
        <f t="shared" si="1221"/>
        <v>0</v>
      </c>
      <c r="CV157" s="375">
        <v>0</v>
      </c>
      <c r="CW157" s="7">
        <f t="shared" si="968"/>
        <v>0</v>
      </c>
      <c r="CX157" s="375">
        <f t="shared" si="1202"/>
        <v>0</v>
      </c>
      <c r="CY157" s="7">
        <f t="shared" si="969"/>
        <v>0</v>
      </c>
      <c r="CZ157" s="375">
        <f t="shared" si="1203"/>
        <v>0</v>
      </c>
      <c r="DA157" s="7">
        <f t="shared" si="997"/>
        <v>0</v>
      </c>
      <c r="DB157" s="375">
        <v>0</v>
      </c>
      <c r="DC157" s="7">
        <f t="shared" si="642"/>
        <v>0</v>
      </c>
      <c r="DD157" s="375">
        <v>0</v>
      </c>
      <c r="DE157" s="7">
        <f t="shared" si="642"/>
        <v>0</v>
      </c>
      <c r="DF157" s="375">
        <v>0</v>
      </c>
      <c r="DG157" s="7">
        <f t="shared" si="642"/>
        <v>0</v>
      </c>
      <c r="DH157" s="375">
        <f t="shared" si="1204"/>
        <v>0</v>
      </c>
      <c r="DI157" s="7">
        <f t="shared" si="970"/>
        <v>0</v>
      </c>
      <c r="DJ157" s="375"/>
      <c r="DK157" s="7">
        <f t="shared" si="643"/>
        <v>0</v>
      </c>
      <c r="DL157" s="375">
        <v>0</v>
      </c>
      <c r="DM157" s="7">
        <f t="shared" si="644"/>
        <v>0</v>
      </c>
      <c r="DN157" s="375">
        <v>0</v>
      </c>
      <c r="DO157" s="7">
        <f t="shared" si="645"/>
        <v>0</v>
      </c>
      <c r="DP157" s="375">
        <v>0</v>
      </c>
      <c r="DQ157" s="7">
        <f t="shared" si="646"/>
        <v>0</v>
      </c>
      <c r="DR157" s="375">
        <f t="shared" si="1205"/>
        <v>0</v>
      </c>
      <c r="DS157" s="7">
        <f t="shared" si="971"/>
        <v>0</v>
      </c>
      <c r="DT157" s="375">
        <f t="shared" si="1206"/>
        <v>0</v>
      </c>
      <c r="DU157" s="7">
        <f t="shared" si="998"/>
        <v>0</v>
      </c>
      <c r="DV157" s="375"/>
      <c r="DW157" s="7">
        <f t="shared" si="647"/>
        <v>0</v>
      </c>
      <c r="DX157" s="375"/>
      <c r="DY157" s="7">
        <f t="shared" si="856"/>
        <v>0</v>
      </c>
      <c r="DZ157" s="375"/>
      <c r="EA157" s="7">
        <f t="shared" si="649"/>
        <v>0</v>
      </c>
      <c r="EB157" s="375">
        <f t="shared" si="1207"/>
        <v>0</v>
      </c>
      <c r="EC157" s="7">
        <f t="shared" si="972"/>
        <v>0</v>
      </c>
      <c r="ED157" s="375">
        <f t="shared" si="1208"/>
        <v>0</v>
      </c>
      <c r="EE157" s="7">
        <f t="shared" si="999"/>
        <v>0</v>
      </c>
      <c r="EF157" s="375"/>
      <c r="EG157" s="7">
        <f t="shared" si="650"/>
        <v>0</v>
      </c>
      <c r="EH157" s="375"/>
      <c r="EI157" s="7">
        <f t="shared" si="857"/>
        <v>0</v>
      </c>
      <c r="EJ157" s="375"/>
      <c r="EK157" s="7">
        <f t="shared" si="652"/>
        <v>0</v>
      </c>
      <c r="EL157" s="375">
        <f t="shared" si="1209"/>
        <v>0</v>
      </c>
      <c r="EM157" s="7">
        <f t="shared" si="973"/>
        <v>0</v>
      </c>
      <c r="EN157" s="375">
        <f t="shared" si="1210"/>
        <v>0</v>
      </c>
      <c r="EO157" s="7">
        <f t="shared" si="1000"/>
        <v>0</v>
      </c>
      <c r="EP157" s="373"/>
      <c r="EQ157" s="373"/>
      <c r="ER157" s="373"/>
      <c r="ES157" s="373"/>
      <c r="ET157" s="375"/>
      <c r="EU157" s="7">
        <f t="shared" si="653"/>
        <v>0</v>
      </c>
      <c r="EV157" s="375"/>
      <c r="EW157" s="7">
        <f t="shared" si="858"/>
        <v>0</v>
      </c>
      <c r="EX157" s="375"/>
      <c r="EY157" s="7">
        <f t="shared" si="655"/>
        <v>0</v>
      </c>
      <c r="EZ157" s="375">
        <f t="shared" si="1211"/>
        <v>0</v>
      </c>
      <c r="FA157" s="7">
        <f t="shared" si="974"/>
        <v>0</v>
      </c>
      <c r="FB157" s="375"/>
      <c r="FC157" s="7">
        <f t="shared" si="656"/>
        <v>0</v>
      </c>
      <c r="FD157" s="375"/>
      <c r="FE157" s="7">
        <f t="shared" si="1222"/>
        <v>0</v>
      </c>
      <c r="FF157" s="375"/>
      <c r="FG157" s="7">
        <f t="shared" si="975"/>
        <v>0</v>
      </c>
      <c r="FH157" s="375">
        <f t="shared" si="1212"/>
        <v>0</v>
      </c>
      <c r="FI157" s="7">
        <f t="shared" si="976"/>
        <v>0</v>
      </c>
      <c r="FJ157" s="375">
        <f t="shared" si="1213"/>
        <v>0</v>
      </c>
      <c r="FK157" s="7">
        <f t="shared" si="1003"/>
        <v>0</v>
      </c>
      <c r="FL157" s="375"/>
      <c r="FM157" s="7">
        <f t="shared" si="658"/>
        <v>0</v>
      </c>
      <c r="FN157" s="375"/>
      <c r="FO157" s="7">
        <f t="shared" si="977"/>
        <v>0</v>
      </c>
      <c r="FP157" s="375"/>
      <c r="FQ157" s="7">
        <f t="shared" si="978"/>
        <v>0</v>
      </c>
      <c r="FR157" s="375">
        <f t="shared" si="1214"/>
        <v>0</v>
      </c>
      <c r="FS157" s="7">
        <f t="shared" si="979"/>
        <v>0</v>
      </c>
      <c r="FT157" s="375">
        <f t="shared" si="1215"/>
        <v>0</v>
      </c>
      <c r="FU157" s="7">
        <f t="shared" si="1006"/>
        <v>0</v>
      </c>
      <c r="FV157" s="375"/>
      <c r="FW157" s="7">
        <f t="shared" si="660"/>
        <v>0</v>
      </c>
      <c r="FX157" s="375"/>
      <c r="FY157" s="7">
        <f t="shared" si="980"/>
        <v>0</v>
      </c>
      <c r="FZ157" s="375"/>
      <c r="GA157" s="7">
        <f t="shared" si="981"/>
        <v>0</v>
      </c>
      <c r="GB157" s="375">
        <f t="shared" si="1216"/>
        <v>0</v>
      </c>
      <c r="GC157" s="7">
        <f t="shared" si="982"/>
        <v>0</v>
      </c>
      <c r="GD157" s="375">
        <f t="shared" si="1217"/>
        <v>0</v>
      </c>
      <c r="GE157" s="7">
        <f t="shared" si="1009"/>
        <v>0</v>
      </c>
      <c r="GF157" s="566">
        <f t="shared" si="1218"/>
        <v>0</v>
      </c>
      <c r="GG157" s="525">
        <f t="shared" si="983"/>
        <v>0</v>
      </c>
      <c r="GH157" s="528">
        <f t="shared" si="1219"/>
        <v>0</v>
      </c>
      <c r="GI157" s="525">
        <f t="shared" si="984"/>
        <v>0</v>
      </c>
      <c r="GJ157" s="528"/>
      <c r="GK157" s="525">
        <f t="shared" si="985"/>
        <v>0</v>
      </c>
      <c r="GL157" s="528">
        <f t="shared" si="1220"/>
        <v>0</v>
      </c>
      <c r="GM157" s="565">
        <f t="shared" si="1012"/>
        <v>0</v>
      </c>
      <c r="GO157" s="586"/>
      <c r="GQ157" s="586"/>
      <c r="GT157" s="551">
        <f t="shared" si="1166"/>
        <v>0</v>
      </c>
      <c r="GU157" s="551">
        <f t="shared" si="1015"/>
        <v>0</v>
      </c>
      <c r="GV157" s="550">
        <f t="shared" si="986"/>
        <v>0</v>
      </c>
      <c r="GW157" s="527"/>
      <c r="GX157" s="525">
        <f t="shared" si="664"/>
        <v>0</v>
      </c>
      <c r="GY157" s="528"/>
      <c r="GZ157" s="525">
        <f t="shared" si="665"/>
        <v>0</v>
      </c>
      <c r="HA157" s="528"/>
      <c r="HB157" s="526">
        <f t="shared" si="666"/>
        <v>0</v>
      </c>
      <c r="HD157" s="527"/>
      <c r="HE157" s="525">
        <v>0</v>
      </c>
      <c r="HF157" s="528"/>
      <c r="HG157" s="525">
        <v>0</v>
      </c>
      <c r="HH157" s="528"/>
      <c r="HI157" s="526">
        <v>0</v>
      </c>
    </row>
    <row r="158" spans="1:217" ht="15" customHeight="1" outlineLevel="1">
      <c r="A158" s="386" t="s">
        <v>784</v>
      </c>
      <c r="B158" s="386" t="s">
        <v>147</v>
      </c>
      <c r="C158" s="375"/>
      <c r="D158" s="4"/>
      <c r="E158" s="375"/>
      <c r="F158" s="4"/>
      <c r="G158" s="375"/>
      <c r="H158" s="375"/>
      <c r="I158" s="4"/>
      <c r="J158" s="375"/>
      <c r="K158" s="375"/>
      <c r="L158" s="4"/>
      <c r="M158" s="375"/>
      <c r="N158" s="375"/>
      <c r="O158" s="4"/>
      <c r="P158" s="375">
        <f t="shared" si="869"/>
        <v>0</v>
      </c>
      <c r="Q158" s="375">
        <f t="shared" si="869"/>
        <v>0</v>
      </c>
      <c r="R158" s="7">
        <f t="shared" si="987"/>
        <v>0</v>
      </c>
      <c r="S158" s="375"/>
      <c r="T158" s="375"/>
      <c r="U158" s="4"/>
      <c r="V158" s="375"/>
      <c r="W158" s="375"/>
      <c r="X158" s="4"/>
      <c r="Y158" s="375"/>
      <c r="Z158" s="375"/>
      <c r="AA158" s="4"/>
      <c r="AB158" s="375">
        <f t="shared" si="1185"/>
        <v>0</v>
      </c>
      <c r="AC158" s="375">
        <f t="shared" si="1186"/>
        <v>0</v>
      </c>
      <c r="AD158" s="7">
        <f t="shared" si="988"/>
        <v>0</v>
      </c>
      <c r="AE158" s="375">
        <f t="shared" si="1187"/>
        <v>0</v>
      </c>
      <c r="AF158" s="375">
        <f t="shared" si="1188"/>
        <v>0</v>
      </c>
      <c r="AG158" s="4"/>
      <c r="AH158" s="375"/>
      <c r="AI158" s="375"/>
      <c r="AJ158" s="4"/>
      <c r="AK158" s="375"/>
      <c r="AL158" s="375"/>
      <c r="AM158" s="4"/>
      <c r="AN158" s="375"/>
      <c r="AO158" s="375"/>
      <c r="AP158" s="4"/>
      <c r="AQ158" s="375">
        <f t="shared" si="1189"/>
        <v>0</v>
      </c>
      <c r="AR158" s="375">
        <f t="shared" si="1190"/>
        <v>0</v>
      </c>
      <c r="AS158" s="7">
        <f t="shared" si="989"/>
        <v>0</v>
      </c>
      <c r="AT158" s="375">
        <f t="shared" si="1191"/>
        <v>0</v>
      </c>
      <c r="AU158" s="4"/>
      <c r="AV158" s="375"/>
      <c r="AW158" s="375"/>
      <c r="AX158" s="4"/>
      <c r="AY158" s="375"/>
      <c r="AZ158" s="375"/>
      <c r="BA158" s="4"/>
      <c r="BB158" s="375"/>
      <c r="BC158" s="375"/>
      <c r="BD158" s="448"/>
      <c r="BE158" s="375">
        <f t="shared" si="1192"/>
        <v>0</v>
      </c>
      <c r="BF158" s="375">
        <f t="shared" si="1193"/>
        <v>0</v>
      </c>
      <c r="BG158" s="7">
        <f t="shared" si="990"/>
        <v>0</v>
      </c>
      <c r="BH158" s="375">
        <f t="shared" si="1194"/>
        <v>0</v>
      </c>
      <c r="BI158" s="388">
        <f t="shared" si="1195"/>
        <v>0</v>
      </c>
      <c r="BJ158" s="7">
        <f t="shared" si="991"/>
        <v>0</v>
      </c>
      <c r="BK158" s="375">
        <v>0</v>
      </c>
      <c r="BL158" s="282"/>
      <c r="BN158" s="375"/>
      <c r="BO158" s="4"/>
      <c r="BP158" s="375"/>
      <c r="BQ158" s="4"/>
      <c r="BR158" s="375"/>
      <c r="BS158" s="4"/>
      <c r="BT158" s="375"/>
      <c r="BU158" s="7">
        <f t="shared" si="992"/>
        <v>0</v>
      </c>
      <c r="BV158" s="375"/>
      <c r="BW158" s="7"/>
      <c r="BX158" s="375"/>
      <c r="BY158" s="7"/>
      <c r="BZ158" s="375">
        <f t="shared" si="1196"/>
        <v>0</v>
      </c>
      <c r="CA158" s="7"/>
      <c r="CB158" s="375">
        <f t="shared" si="1197"/>
        <v>0</v>
      </c>
      <c r="CC158" s="7">
        <f t="shared" si="1121"/>
        <v>0</v>
      </c>
      <c r="CD158" s="375">
        <f t="shared" si="1198"/>
        <v>0</v>
      </c>
      <c r="CE158" s="7">
        <f t="shared" si="993"/>
        <v>0</v>
      </c>
      <c r="CF158" s="375">
        <v>0</v>
      </c>
      <c r="CG158" s="7">
        <f t="shared" si="994"/>
        <v>0</v>
      </c>
      <c r="CH158" s="375">
        <v>0</v>
      </c>
      <c r="CI158" s="7">
        <f t="shared" si="994"/>
        <v>0</v>
      </c>
      <c r="CJ158" s="375">
        <v>0</v>
      </c>
      <c r="CK158" s="7">
        <f t="shared" si="994"/>
        <v>0</v>
      </c>
      <c r="CL158" s="375">
        <f t="shared" si="1199"/>
        <v>0</v>
      </c>
      <c r="CM158" s="7">
        <f t="shared" si="994"/>
        <v>0</v>
      </c>
      <c r="CN158" s="375">
        <f t="shared" si="1200"/>
        <v>0</v>
      </c>
      <c r="CO158" s="7">
        <f t="shared" ref="CO158:CO177" si="1223">+CN158/CN$8</f>
        <v>0</v>
      </c>
      <c r="CP158" s="375">
        <v>0</v>
      </c>
      <c r="CQ158" s="7">
        <f t="shared" si="967"/>
        <v>0</v>
      </c>
      <c r="CR158" s="375">
        <f t="shared" si="1201"/>
        <v>0</v>
      </c>
      <c r="CS158" s="7">
        <f t="shared" ref="CS158:CS177" si="1224">+CR158/CR$8</f>
        <v>0</v>
      </c>
      <c r="CT158" s="375">
        <v>0</v>
      </c>
      <c r="CU158" s="7">
        <f t="shared" si="1221"/>
        <v>0</v>
      </c>
      <c r="CV158" s="375">
        <v>0</v>
      </c>
      <c r="CW158" s="7">
        <f t="shared" si="968"/>
        <v>0</v>
      </c>
      <c r="CX158" s="375">
        <f t="shared" si="1202"/>
        <v>0</v>
      </c>
      <c r="CY158" s="7">
        <f t="shared" si="969"/>
        <v>0</v>
      </c>
      <c r="CZ158" s="375">
        <f t="shared" si="1203"/>
        <v>0</v>
      </c>
      <c r="DA158" s="7">
        <f t="shared" si="997"/>
        <v>0</v>
      </c>
      <c r="DB158" s="375">
        <v>0</v>
      </c>
      <c r="DC158" s="7">
        <f t="shared" ref="DC158:DC177" si="1225">+DB158/DB$8</f>
        <v>0</v>
      </c>
      <c r="DD158" s="375">
        <v>0</v>
      </c>
      <c r="DE158" s="7">
        <f t="shared" ref="DE158:DE177" si="1226">+DD158/DD$8</f>
        <v>0</v>
      </c>
      <c r="DF158" s="375">
        <v>0</v>
      </c>
      <c r="DG158" s="7">
        <f t="shared" ref="DG158:DG177" si="1227">+DF158/DF$8</f>
        <v>0</v>
      </c>
      <c r="DH158" s="375">
        <f t="shared" si="1204"/>
        <v>0</v>
      </c>
      <c r="DI158" s="7">
        <f t="shared" si="970"/>
        <v>0</v>
      </c>
      <c r="DJ158" s="375"/>
      <c r="DK158" s="7">
        <f t="shared" ref="DK158:DK177" si="1228">+DJ158/DJ$8</f>
        <v>0</v>
      </c>
      <c r="DL158" s="375">
        <v>0</v>
      </c>
      <c r="DM158" s="7">
        <f t="shared" ref="DM158:DM177" si="1229">+DL158/DL$8</f>
        <v>0</v>
      </c>
      <c r="DN158" s="375">
        <v>0</v>
      </c>
      <c r="DO158" s="7">
        <f t="shared" ref="DO158:DO177" si="1230">+DN158/DN$8</f>
        <v>0</v>
      </c>
      <c r="DP158" s="375">
        <v>0</v>
      </c>
      <c r="DQ158" s="7">
        <f t="shared" ref="DQ158:DQ177" si="1231">+DP158/DP$8</f>
        <v>0</v>
      </c>
      <c r="DR158" s="375">
        <f t="shared" si="1205"/>
        <v>0</v>
      </c>
      <c r="DS158" s="7">
        <f t="shared" si="971"/>
        <v>0</v>
      </c>
      <c r="DT158" s="375">
        <f t="shared" si="1206"/>
        <v>0</v>
      </c>
      <c r="DU158" s="7">
        <f t="shared" si="998"/>
        <v>0</v>
      </c>
      <c r="DV158" s="375"/>
      <c r="DW158" s="7">
        <f t="shared" ref="DW158:DW177" si="1232">+DV158/DV$8</f>
        <v>0</v>
      </c>
      <c r="DX158" s="375"/>
      <c r="DY158" s="7">
        <f t="shared" si="856"/>
        <v>0</v>
      </c>
      <c r="DZ158" s="375"/>
      <c r="EA158" s="7">
        <f t="shared" ref="EA158:EA177" si="1233">+DZ158/DZ$8</f>
        <v>0</v>
      </c>
      <c r="EB158" s="375">
        <f t="shared" si="1207"/>
        <v>0</v>
      </c>
      <c r="EC158" s="7">
        <f t="shared" si="972"/>
        <v>0</v>
      </c>
      <c r="ED158" s="375">
        <f t="shared" si="1208"/>
        <v>0</v>
      </c>
      <c r="EE158" s="7">
        <f t="shared" si="999"/>
        <v>0</v>
      </c>
      <c r="EF158" s="375"/>
      <c r="EG158" s="7">
        <f t="shared" ref="EG158:EG177" si="1234">+EF158/EF$8</f>
        <v>0</v>
      </c>
      <c r="EH158" s="375"/>
      <c r="EI158" s="7">
        <f t="shared" si="857"/>
        <v>0</v>
      </c>
      <c r="EJ158" s="375"/>
      <c r="EK158" s="7">
        <f t="shared" ref="EK158:EK177" si="1235">+EJ158/EJ$8</f>
        <v>0</v>
      </c>
      <c r="EL158" s="375">
        <f t="shared" si="1209"/>
        <v>0</v>
      </c>
      <c r="EM158" s="7">
        <f t="shared" si="973"/>
        <v>0</v>
      </c>
      <c r="EN158" s="375">
        <f t="shared" si="1210"/>
        <v>0</v>
      </c>
      <c r="EO158" s="7">
        <f t="shared" si="1000"/>
        <v>0</v>
      </c>
      <c r="EP158" s="373"/>
      <c r="EQ158" s="373"/>
      <c r="ER158" s="373"/>
      <c r="ES158" s="373"/>
      <c r="ET158" s="375"/>
      <c r="EU158" s="7">
        <f t="shared" ref="EU158:EU177" si="1236">+ET158/ET$8</f>
        <v>0</v>
      </c>
      <c r="EV158" s="375"/>
      <c r="EW158" s="7">
        <f t="shared" si="858"/>
        <v>0</v>
      </c>
      <c r="EX158" s="375"/>
      <c r="EY158" s="7">
        <f t="shared" ref="EY158:EY177" si="1237">+EX158/EX$8</f>
        <v>0</v>
      </c>
      <c r="EZ158" s="375">
        <f t="shared" si="1211"/>
        <v>0</v>
      </c>
      <c r="FA158" s="7">
        <f t="shared" si="974"/>
        <v>0</v>
      </c>
      <c r="FB158" s="375"/>
      <c r="FC158" s="7">
        <f t="shared" ref="FC158:FC177" si="1238">+FB158/FB$8</f>
        <v>0</v>
      </c>
      <c r="FD158" s="375"/>
      <c r="FE158" s="7">
        <f t="shared" si="1222"/>
        <v>0</v>
      </c>
      <c r="FF158" s="375"/>
      <c r="FG158" s="7">
        <f t="shared" si="975"/>
        <v>0</v>
      </c>
      <c r="FH158" s="375">
        <f t="shared" si="1212"/>
        <v>0</v>
      </c>
      <c r="FI158" s="7">
        <f t="shared" si="976"/>
        <v>0</v>
      </c>
      <c r="FJ158" s="375">
        <f t="shared" si="1213"/>
        <v>0</v>
      </c>
      <c r="FK158" s="7">
        <f t="shared" si="1003"/>
        <v>0</v>
      </c>
      <c r="FL158" s="375"/>
      <c r="FM158" s="7">
        <f t="shared" ref="FM158:FM177" si="1239">+FL158/FL$8</f>
        <v>0</v>
      </c>
      <c r="FN158" s="375"/>
      <c r="FO158" s="7">
        <f t="shared" si="977"/>
        <v>0</v>
      </c>
      <c r="FP158" s="375"/>
      <c r="FQ158" s="7">
        <f t="shared" si="978"/>
        <v>0</v>
      </c>
      <c r="FR158" s="375">
        <f t="shared" si="1214"/>
        <v>0</v>
      </c>
      <c r="FS158" s="7">
        <f t="shared" si="979"/>
        <v>0</v>
      </c>
      <c r="FT158" s="375">
        <f t="shared" si="1215"/>
        <v>0</v>
      </c>
      <c r="FU158" s="7">
        <f t="shared" si="1006"/>
        <v>0</v>
      </c>
      <c r="FV158" s="375"/>
      <c r="FW158" s="7">
        <f t="shared" ref="FW158:FW177" si="1240">+FV158/FV$8</f>
        <v>0</v>
      </c>
      <c r="FX158" s="375"/>
      <c r="FY158" s="7">
        <f t="shared" si="980"/>
        <v>0</v>
      </c>
      <c r="FZ158" s="375"/>
      <c r="GA158" s="7">
        <f t="shared" si="981"/>
        <v>0</v>
      </c>
      <c r="GB158" s="375">
        <f t="shared" si="1216"/>
        <v>0</v>
      </c>
      <c r="GC158" s="7">
        <f t="shared" si="982"/>
        <v>0</v>
      </c>
      <c r="GD158" s="375">
        <f t="shared" si="1217"/>
        <v>0</v>
      </c>
      <c r="GE158" s="7">
        <f t="shared" si="1009"/>
        <v>0</v>
      </c>
      <c r="GF158" s="566">
        <f t="shared" si="1218"/>
        <v>0</v>
      </c>
      <c r="GG158" s="525">
        <f t="shared" si="983"/>
        <v>0</v>
      </c>
      <c r="GH158" s="528">
        <f t="shared" si="1219"/>
        <v>0</v>
      </c>
      <c r="GI158" s="525">
        <f t="shared" si="984"/>
        <v>0</v>
      </c>
      <c r="GJ158" s="528"/>
      <c r="GK158" s="525">
        <f t="shared" si="985"/>
        <v>0</v>
      </c>
      <c r="GL158" s="528">
        <f t="shared" si="1220"/>
        <v>0</v>
      </c>
      <c r="GM158" s="565">
        <f t="shared" si="1012"/>
        <v>0</v>
      </c>
      <c r="GO158" s="586"/>
      <c r="GQ158" s="586"/>
      <c r="GT158" s="551">
        <f t="shared" si="1166"/>
        <v>0</v>
      </c>
      <c r="GU158" s="551">
        <f t="shared" si="1015"/>
        <v>0</v>
      </c>
      <c r="GV158" s="550">
        <f t="shared" si="986"/>
        <v>0</v>
      </c>
      <c r="GW158" s="527"/>
      <c r="GX158" s="525">
        <f t="shared" ref="GX158:GX178" si="1241">+GW158/GW$8</f>
        <v>0</v>
      </c>
      <c r="GY158" s="528"/>
      <c r="GZ158" s="525">
        <f t="shared" ref="GZ158:GZ178" si="1242">+GY158/GY$8</f>
        <v>0</v>
      </c>
      <c r="HA158" s="528"/>
      <c r="HB158" s="526">
        <f t="shared" ref="HB158:HB178" si="1243">+HA158/HA$8</f>
        <v>0</v>
      </c>
      <c r="HD158" s="527"/>
      <c r="HE158" s="525">
        <v>0</v>
      </c>
      <c r="HF158" s="528"/>
      <c r="HG158" s="525">
        <v>0</v>
      </c>
      <c r="HH158" s="528"/>
      <c r="HI158" s="526">
        <v>0</v>
      </c>
    </row>
    <row r="159" spans="1:217" ht="15" customHeight="1" outlineLevel="1">
      <c r="A159" s="386" t="s">
        <v>784</v>
      </c>
      <c r="B159" s="386" t="s">
        <v>148</v>
      </c>
      <c r="C159" s="375"/>
      <c r="D159" s="4"/>
      <c r="E159" s="375"/>
      <c r="F159" s="4"/>
      <c r="G159" s="375"/>
      <c r="H159" s="375"/>
      <c r="I159" s="4"/>
      <c r="J159" s="375"/>
      <c r="K159" s="375"/>
      <c r="L159" s="4"/>
      <c r="M159" s="375"/>
      <c r="N159" s="375"/>
      <c r="O159" s="4"/>
      <c r="P159" s="375">
        <f t="shared" si="869"/>
        <v>0</v>
      </c>
      <c r="Q159" s="375">
        <f t="shared" si="869"/>
        <v>0</v>
      </c>
      <c r="R159" s="7">
        <f t="shared" si="987"/>
        <v>0</v>
      </c>
      <c r="S159" s="375"/>
      <c r="T159" s="375"/>
      <c r="U159" s="4"/>
      <c r="V159" s="375"/>
      <c r="W159" s="375"/>
      <c r="X159" s="4"/>
      <c r="Y159" s="375"/>
      <c r="Z159" s="375"/>
      <c r="AA159" s="4"/>
      <c r="AB159" s="375">
        <f t="shared" si="1185"/>
        <v>0</v>
      </c>
      <c r="AC159" s="375">
        <f t="shared" si="1186"/>
        <v>0</v>
      </c>
      <c r="AD159" s="7">
        <f t="shared" si="988"/>
        <v>0</v>
      </c>
      <c r="AE159" s="375">
        <f t="shared" si="1187"/>
        <v>0</v>
      </c>
      <c r="AF159" s="375">
        <f t="shared" si="1188"/>
        <v>0</v>
      </c>
      <c r="AG159" s="4"/>
      <c r="AH159" s="375"/>
      <c r="AI159" s="375"/>
      <c r="AJ159" s="4"/>
      <c r="AK159" s="375"/>
      <c r="AL159" s="375"/>
      <c r="AM159" s="4"/>
      <c r="AN159" s="375"/>
      <c r="AO159" s="375"/>
      <c r="AP159" s="4"/>
      <c r="AQ159" s="375">
        <f t="shared" si="1189"/>
        <v>0</v>
      </c>
      <c r="AR159" s="375">
        <f t="shared" si="1190"/>
        <v>0</v>
      </c>
      <c r="AS159" s="7">
        <f t="shared" si="989"/>
        <v>0</v>
      </c>
      <c r="AT159" s="375">
        <f t="shared" si="1191"/>
        <v>0</v>
      </c>
      <c r="AU159" s="4"/>
      <c r="AV159" s="375"/>
      <c r="AW159" s="375"/>
      <c r="AX159" s="4"/>
      <c r="AY159" s="375"/>
      <c r="AZ159" s="375"/>
      <c r="BA159" s="4"/>
      <c r="BB159" s="375"/>
      <c r="BC159" s="375"/>
      <c r="BD159" s="448"/>
      <c r="BE159" s="375">
        <f t="shared" si="1192"/>
        <v>0</v>
      </c>
      <c r="BF159" s="375">
        <f t="shared" si="1193"/>
        <v>0</v>
      </c>
      <c r="BG159" s="7">
        <f t="shared" si="990"/>
        <v>0</v>
      </c>
      <c r="BH159" s="375">
        <f t="shared" si="1194"/>
        <v>0</v>
      </c>
      <c r="BI159" s="388">
        <f t="shared" si="1195"/>
        <v>0</v>
      </c>
      <c r="BJ159" s="7">
        <f t="shared" si="991"/>
        <v>0</v>
      </c>
      <c r="BK159" s="375">
        <v>0</v>
      </c>
      <c r="BL159" s="282"/>
      <c r="BN159" s="375"/>
      <c r="BO159" s="4"/>
      <c r="BP159" s="375"/>
      <c r="BQ159" s="4"/>
      <c r="BR159" s="375"/>
      <c r="BS159" s="4"/>
      <c r="BT159" s="375"/>
      <c r="BU159" s="7">
        <f t="shared" si="992"/>
        <v>0</v>
      </c>
      <c r="BV159" s="375"/>
      <c r="BW159" s="7"/>
      <c r="BX159" s="375"/>
      <c r="BY159" s="7"/>
      <c r="BZ159" s="375">
        <f t="shared" si="1196"/>
        <v>0</v>
      </c>
      <c r="CA159" s="7"/>
      <c r="CB159" s="375">
        <f t="shared" si="1197"/>
        <v>0</v>
      </c>
      <c r="CC159" s="7">
        <f t="shared" si="1121"/>
        <v>0</v>
      </c>
      <c r="CD159" s="375">
        <f t="shared" si="1198"/>
        <v>0</v>
      </c>
      <c r="CE159" s="7">
        <f t="shared" si="993"/>
        <v>0</v>
      </c>
      <c r="CF159" s="375">
        <v>0</v>
      </c>
      <c r="CG159" s="7">
        <f t="shared" si="994"/>
        <v>0</v>
      </c>
      <c r="CH159" s="375">
        <v>0</v>
      </c>
      <c r="CI159" s="7">
        <f t="shared" si="994"/>
        <v>0</v>
      </c>
      <c r="CJ159" s="375">
        <v>0</v>
      </c>
      <c r="CK159" s="7">
        <f t="shared" si="994"/>
        <v>0</v>
      </c>
      <c r="CL159" s="375">
        <f t="shared" si="1199"/>
        <v>0</v>
      </c>
      <c r="CM159" s="7">
        <f t="shared" si="994"/>
        <v>0</v>
      </c>
      <c r="CN159" s="375">
        <f t="shared" si="1200"/>
        <v>0</v>
      </c>
      <c r="CO159" s="7">
        <f t="shared" si="1223"/>
        <v>0</v>
      </c>
      <c r="CP159" s="375">
        <v>0</v>
      </c>
      <c r="CQ159" s="7">
        <f t="shared" si="967"/>
        <v>0</v>
      </c>
      <c r="CR159" s="375">
        <f t="shared" si="1201"/>
        <v>0</v>
      </c>
      <c r="CS159" s="7">
        <f t="shared" si="1224"/>
        <v>0</v>
      </c>
      <c r="CT159" s="375">
        <v>0</v>
      </c>
      <c r="CU159" s="7">
        <f t="shared" si="1221"/>
        <v>0</v>
      </c>
      <c r="CV159" s="375">
        <v>0</v>
      </c>
      <c r="CW159" s="7">
        <f t="shared" si="968"/>
        <v>0</v>
      </c>
      <c r="CX159" s="375">
        <f t="shared" si="1202"/>
        <v>0</v>
      </c>
      <c r="CY159" s="7">
        <f t="shared" si="969"/>
        <v>0</v>
      </c>
      <c r="CZ159" s="375">
        <f t="shared" si="1203"/>
        <v>0</v>
      </c>
      <c r="DA159" s="7">
        <f t="shared" si="997"/>
        <v>0</v>
      </c>
      <c r="DB159" s="375">
        <v>0</v>
      </c>
      <c r="DC159" s="7">
        <f t="shared" si="1225"/>
        <v>0</v>
      </c>
      <c r="DD159" s="375">
        <v>0</v>
      </c>
      <c r="DE159" s="7">
        <f t="shared" si="1226"/>
        <v>0</v>
      </c>
      <c r="DF159" s="375">
        <v>0</v>
      </c>
      <c r="DG159" s="7">
        <f t="shared" si="1227"/>
        <v>0</v>
      </c>
      <c r="DH159" s="375">
        <f t="shared" si="1204"/>
        <v>0</v>
      </c>
      <c r="DI159" s="7">
        <f t="shared" si="970"/>
        <v>0</v>
      </c>
      <c r="DJ159" s="375"/>
      <c r="DK159" s="7">
        <f t="shared" si="1228"/>
        <v>0</v>
      </c>
      <c r="DL159" s="375">
        <v>0</v>
      </c>
      <c r="DM159" s="7">
        <f t="shared" si="1229"/>
        <v>0</v>
      </c>
      <c r="DN159" s="375">
        <v>0</v>
      </c>
      <c r="DO159" s="7">
        <f t="shared" si="1230"/>
        <v>0</v>
      </c>
      <c r="DP159" s="375">
        <v>0</v>
      </c>
      <c r="DQ159" s="7">
        <f t="shared" si="1231"/>
        <v>0</v>
      </c>
      <c r="DR159" s="375">
        <f t="shared" si="1205"/>
        <v>0</v>
      </c>
      <c r="DS159" s="7">
        <f t="shared" si="971"/>
        <v>0</v>
      </c>
      <c r="DT159" s="375">
        <f t="shared" si="1206"/>
        <v>0</v>
      </c>
      <c r="DU159" s="7">
        <f t="shared" si="998"/>
        <v>0</v>
      </c>
      <c r="DV159" s="375"/>
      <c r="DW159" s="7">
        <f t="shared" si="1232"/>
        <v>0</v>
      </c>
      <c r="DX159" s="375"/>
      <c r="DY159" s="7">
        <f t="shared" si="856"/>
        <v>0</v>
      </c>
      <c r="DZ159" s="375"/>
      <c r="EA159" s="7">
        <f t="shared" si="1233"/>
        <v>0</v>
      </c>
      <c r="EB159" s="375">
        <f t="shared" si="1207"/>
        <v>0</v>
      </c>
      <c r="EC159" s="7">
        <f t="shared" si="972"/>
        <v>0</v>
      </c>
      <c r="ED159" s="375">
        <f t="shared" si="1208"/>
        <v>0</v>
      </c>
      <c r="EE159" s="7">
        <f t="shared" si="999"/>
        <v>0</v>
      </c>
      <c r="EF159" s="375"/>
      <c r="EG159" s="7">
        <f t="shared" si="1234"/>
        <v>0</v>
      </c>
      <c r="EH159" s="375"/>
      <c r="EI159" s="7">
        <f t="shared" si="857"/>
        <v>0</v>
      </c>
      <c r="EJ159" s="375"/>
      <c r="EK159" s="7">
        <f t="shared" si="1235"/>
        <v>0</v>
      </c>
      <c r="EL159" s="375">
        <f t="shared" si="1209"/>
        <v>0</v>
      </c>
      <c r="EM159" s="7">
        <f t="shared" si="973"/>
        <v>0</v>
      </c>
      <c r="EN159" s="375">
        <f t="shared" si="1210"/>
        <v>0</v>
      </c>
      <c r="EO159" s="7">
        <f t="shared" si="1000"/>
        <v>0</v>
      </c>
      <c r="EP159" s="373"/>
      <c r="EQ159" s="373"/>
      <c r="ER159" s="373"/>
      <c r="ES159" s="373"/>
      <c r="ET159" s="375"/>
      <c r="EU159" s="7">
        <f t="shared" si="1236"/>
        <v>0</v>
      </c>
      <c r="EV159" s="375"/>
      <c r="EW159" s="7">
        <f t="shared" si="858"/>
        <v>0</v>
      </c>
      <c r="EX159" s="375"/>
      <c r="EY159" s="7">
        <f t="shared" si="1237"/>
        <v>0</v>
      </c>
      <c r="EZ159" s="375">
        <f t="shared" si="1211"/>
        <v>0</v>
      </c>
      <c r="FA159" s="7">
        <f t="shared" si="974"/>
        <v>0</v>
      </c>
      <c r="FB159" s="375"/>
      <c r="FC159" s="7">
        <f t="shared" si="1238"/>
        <v>0</v>
      </c>
      <c r="FD159" s="375"/>
      <c r="FE159" s="7">
        <f t="shared" si="1222"/>
        <v>0</v>
      </c>
      <c r="FF159" s="375"/>
      <c r="FG159" s="7">
        <f t="shared" si="975"/>
        <v>0</v>
      </c>
      <c r="FH159" s="375">
        <f t="shared" si="1212"/>
        <v>0</v>
      </c>
      <c r="FI159" s="7">
        <f t="shared" si="976"/>
        <v>0</v>
      </c>
      <c r="FJ159" s="375">
        <f t="shared" si="1213"/>
        <v>0</v>
      </c>
      <c r="FK159" s="7">
        <f t="shared" si="1003"/>
        <v>0</v>
      </c>
      <c r="FL159" s="375"/>
      <c r="FM159" s="7">
        <f t="shared" si="1239"/>
        <v>0</v>
      </c>
      <c r="FN159" s="375"/>
      <c r="FO159" s="7">
        <f t="shared" si="977"/>
        <v>0</v>
      </c>
      <c r="FP159" s="375"/>
      <c r="FQ159" s="7">
        <f t="shared" si="978"/>
        <v>0</v>
      </c>
      <c r="FR159" s="375">
        <f t="shared" si="1214"/>
        <v>0</v>
      </c>
      <c r="FS159" s="7">
        <f t="shared" si="979"/>
        <v>0</v>
      </c>
      <c r="FT159" s="375">
        <f t="shared" si="1215"/>
        <v>0</v>
      </c>
      <c r="FU159" s="7">
        <f t="shared" si="1006"/>
        <v>0</v>
      </c>
      <c r="FV159" s="375"/>
      <c r="FW159" s="7">
        <f t="shared" si="1240"/>
        <v>0</v>
      </c>
      <c r="FX159" s="375"/>
      <c r="FY159" s="7">
        <f t="shared" si="980"/>
        <v>0</v>
      </c>
      <c r="FZ159" s="375"/>
      <c r="GA159" s="7">
        <f t="shared" si="981"/>
        <v>0</v>
      </c>
      <c r="GB159" s="375">
        <f t="shared" si="1216"/>
        <v>0</v>
      </c>
      <c r="GC159" s="7">
        <f t="shared" si="982"/>
        <v>0</v>
      </c>
      <c r="GD159" s="375">
        <f t="shared" si="1217"/>
        <v>0</v>
      </c>
      <c r="GE159" s="7">
        <f t="shared" si="1009"/>
        <v>0</v>
      </c>
      <c r="GF159" s="566">
        <f t="shared" si="1218"/>
        <v>0</v>
      </c>
      <c r="GG159" s="525">
        <f t="shared" si="983"/>
        <v>0</v>
      </c>
      <c r="GH159" s="528">
        <f t="shared" si="1219"/>
        <v>0</v>
      </c>
      <c r="GI159" s="525">
        <f t="shared" si="984"/>
        <v>0</v>
      </c>
      <c r="GJ159" s="528"/>
      <c r="GK159" s="525">
        <f t="shared" si="985"/>
        <v>0</v>
      </c>
      <c r="GL159" s="528">
        <f t="shared" si="1220"/>
        <v>0</v>
      </c>
      <c r="GM159" s="565">
        <f t="shared" si="1012"/>
        <v>0</v>
      </c>
      <c r="GO159" s="586"/>
      <c r="GQ159" s="586"/>
      <c r="GT159" s="551">
        <f t="shared" si="1166"/>
        <v>0</v>
      </c>
      <c r="GU159" s="551">
        <f t="shared" si="1015"/>
        <v>0</v>
      </c>
      <c r="GV159" s="550">
        <f t="shared" si="986"/>
        <v>0</v>
      </c>
      <c r="GW159" s="527"/>
      <c r="GX159" s="525">
        <f t="shared" si="1241"/>
        <v>0</v>
      </c>
      <c r="GY159" s="528"/>
      <c r="GZ159" s="525">
        <f t="shared" si="1242"/>
        <v>0</v>
      </c>
      <c r="HA159" s="528"/>
      <c r="HB159" s="526">
        <f t="shared" si="1243"/>
        <v>0</v>
      </c>
      <c r="HD159" s="527"/>
      <c r="HE159" s="525">
        <v>0</v>
      </c>
      <c r="HF159" s="528"/>
      <c r="HG159" s="525">
        <v>0</v>
      </c>
      <c r="HH159" s="528"/>
      <c r="HI159" s="526">
        <v>0</v>
      </c>
    </row>
    <row r="160" spans="1:217" ht="15" customHeight="1" outlineLevel="1">
      <c r="A160" s="386" t="s">
        <v>784</v>
      </c>
      <c r="B160" s="386" t="s">
        <v>149</v>
      </c>
      <c r="C160" s="375"/>
      <c r="D160" s="4"/>
      <c r="E160" s="375"/>
      <c r="F160" s="4"/>
      <c r="G160" s="375"/>
      <c r="H160" s="375"/>
      <c r="I160" s="4"/>
      <c r="J160" s="375"/>
      <c r="K160" s="375"/>
      <c r="L160" s="4"/>
      <c r="M160" s="375"/>
      <c r="N160" s="375"/>
      <c r="O160" s="4"/>
      <c r="P160" s="375">
        <f t="shared" si="869"/>
        <v>0</v>
      </c>
      <c r="Q160" s="375">
        <f t="shared" si="869"/>
        <v>0</v>
      </c>
      <c r="R160" s="7">
        <f t="shared" si="987"/>
        <v>0</v>
      </c>
      <c r="S160" s="375"/>
      <c r="T160" s="375"/>
      <c r="U160" s="4"/>
      <c r="V160" s="375"/>
      <c r="W160" s="375"/>
      <c r="X160" s="4"/>
      <c r="Y160" s="375"/>
      <c r="Z160" s="375"/>
      <c r="AA160" s="4"/>
      <c r="AB160" s="375">
        <f t="shared" si="1185"/>
        <v>0</v>
      </c>
      <c r="AC160" s="375">
        <f t="shared" si="1186"/>
        <v>0</v>
      </c>
      <c r="AD160" s="7">
        <f t="shared" si="988"/>
        <v>0</v>
      </c>
      <c r="AE160" s="375">
        <f t="shared" si="1187"/>
        <v>0</v>
      </c>
      <c r="AF160" s="375">
        <f t="shared" si="1188"/>
        <v>0</v>
      </c>
      <c r="AG160" s="4"/>
      <c r="AH160" s="375"/>
      <c r="AI160" s="375"/>
      <c r="AJ160" s="4"/>
      <c r="AK160" s="375"/>
      <c r="AL160" s="375"/>
      <c r="AM160" s="4"/>
      <c r="AN160" s="375"/>
      <c r="AO160" s="375"/>
      <c r="AP160" s="4"/>
      <c r="AQ160" s="375">
        <f t="shared" si="1189"/>
        <v>0</v>
      </c>
      <c r="AR160" s="375">
        <f t="shared" si="1190"/>
        <v>0</v>
      </c>
      <c r="AS160" s="7">
        <f t="shared" si="989"/>
        <v>0</v>
      </c>
      <c r="AT160" s="375">
        <f t="shared" si="1191"/>
        <v>0</v>
      </c>
      <c r="AU160" s="4"/>
      <c r="AV160" s="375"/>
      <c r="AW160" s="375"/>
      <c r="AX160" s="4"/>
      <c r="AY160" s="375"/>
      <c r="AZ160" s="375"/>
      <c r="BA160" s="4"/>
      <c r="BB160" s="375"/>
      <c r="BC160" s="375"/>
      <c r="BD160" s="448"/>
      <c r="BE160" s="375">
        <f t="shared" si="1192"/>
        <v>0</v>
      </c>
      <c r="BF160" s="375">
        <f t="shared" si="1193"/>
        <v>0</v>
      </c>
      <c r="BG160" s="7">
        <f t="shared" si="990"/>
        <v>0</v>
      </c>
      <c r="BH160" s="375">
        <f t="shared" si="1194"/>
        <v>0</v>
      </c>
      <c r="BI160" s="388">
        <f t="shared" si="1195"/>
        <v>0</v>
      </c>
      <c r="BJ160" s="7">
        <f t="shared" si="991"/>
        <v>0</v>
      </c>
      <c r="BK160" s="375">
        <v>0</v>
      </c>
      <c r="BL160" s="282"/>
      <c r="BN160" s="375"/>
      <c r="BO160" s="4"/>
      <c r="BP160" s="375"/>
      <c r="BQ160" s="4"/>
      <c r="BR160" s="375"/>
      <c r="BS160" s="4"/>
      <c r="BT160" s="375"/>
      <c r="BU160" s="7">
        <f t="shared" si="992"/>
        <v>0</v>
      </c>
      <c r="BV160" s="375"/>
      <c r="BW160" s="7"/>
      <c r="BX160" s="375"/>
      <c r="BY160" s="7"/>
      <c r="BZ160" s="375">
        <f t="shared" si="1196"/>
        <v>0</v>
      </c>
      <c r="CA160" s="7"/>
      <c r="CB160" s="375">
        <f t="shared" si="1197"/>
        <v>0</v>
      </c>
      <c r="CC160" s="7">
        <f t="shared" si="1121"/>
        <v>0</v>
      </c>
      <c r="CD160" s="375">
        <f t="shared" si="1198"/>
        <v>0</v>
      </c>
      <c r="CE160" s="7">
        <f t="shared" si="993"/>
        <v>0</v>
      </c>
      <c r="CF160" s="375">
        <v>0</v>
      </c>
      <c r="CG160" s="7">
        <f t="shared" si="994"/>
        <v>0</v>
      </c>
      <c r="CH160" s="375">
        <v>0</v>
      </c>
      <c r="CI160" s="7">
        <f t="shared" si="994"/>
        <v>0</v>
      </c>
      <c r="CJ160" s="375">
        <v>0</v>
      </c>
      <c r="CK160" s="7">
        <f t="shared" si="994"/>
        <v>0</v>
      </c>
      <c r="CL160" s="375">
        <f t="shared" si="1199"/>
        <v>0</v>
      </c>
      <c r="CM160" s="7">
        <f t="shared" si="994"/>
        <v>0</v>
      </c>
      <c r="CN160" s="375">
        <f t="shared" si="1200"/>
        <v>0</v>
      </c>
      <c r="CO160" s="7">
        <f t="shared" si="1223"/>
        <v>0</v>
      </c>
      <c r="CP160" s="375">
        <v>0</v>
      </c>
      <c r="CQ160" s="7">
        <f t="shared" si="967"/>
        <v>0</v>
      </c>
      <c r="CR160" s="375">
        <f t="shared" si="1201"/>
        <v>0</v>
      </c>
      <c r="CS160" s="7">
        <f t="shared" si="1224"/>
        <v>0</v>
      </c>
      <c r="CT160" s="375">
        <v>0</v>
      </c>
      <c r="CU160" s="7">
        <f t="shared" si="1221"/>
        <v>0</v>
      </c>
      <c r="CV160" s="375">
        <v>0</v>
      </c>
      <c r="CW160" s="7">
        <f t="shared" si="968"/>
        <v>0</v>
      </c>
      <c r="CX160" s="375">
        <f t="shared" si="1202"/>
        <v>0</v>
      </c>
      <c r="CY160" s="7">
        <f t="shared" si="969"/>
        <v>0</v>
      </c>
      <c r="CZ160" s="375">
        <f t="shared" si="1203"/>
        <v>0</v>
      </c>
      <c r="DA160" s="7">
        <f t="shared" si="997"/>
        <v>0</v>
      </c>
      <c r="DB160" s="375">
        <v>0</v>
      </c>
      <c r="DC160" s="7">
        <f t="shared" si="1225"/>
        <v>0</v>
      </c>
      <c r="DD160" s="375">
        <v>0</v>
      </c>
      <c r="DE160" s="7">
        <f t="shared" si="1226"/>
        <v>0</v>
      </c>
      <c r="DF160" s="375">
        <v>0</v>
      </c>
      <c r="DG160" s="7">
        <f t="shared" si="1227"/>
        <v>0</v>
      </c>
      <c r="DH160" s="375">
        <f t="shared" si="1204"/>
        <v>0</v>
      </c>
      <c r="DI160" s="7">
        <f t="shared" si="970"/>
        <v>0</v>
      </c>
      <c r="DJ160" s="375"/>
      <c r="DK160" s="7">
        <f t="shared" si="1228"/>
        <v>0</v>
      </c>
      <c r="DL160" s="375">
        <v>0</v>
      </c>
      <c r="DM160" s="7">
        <f t="shared" si="1229"/>
        <v>0</v>
      </c>
      <c r="DN160" s="375">
        <v>0</v>
      </c>
      <c r="DO160" s="7">
        <f t="shared" si="1230"/>
        <v>0</v>
      </c>
      <c r="DP160" s="375">
        <v>0</v>
      </c>
      <c r="DQ160" s="7">
        <f t="shared" si="1231"/>
        <v>0</v>
      </c>
      <c r="DR160" s="375">
        <f t="shared" si="1205"/>
        <v>0</v>
      </c>
      <c r="DS160" s="7">
        <f t="shared" si="971"/>
        <v>0</v>
      </c>
      <c r="DT160" s="375">
        <f t="shared" si="1206"/>
        <v>0</v>
      </c>
      <c r="DU160" s="7">
        <f t="shared" si="998"/>
        <v>0</v>
      </c>
      <c r="DV160" s="375"/>
      <c r="DW160" s="7">
        <f t="shared" si="1232"/>
        <v>0</v>
      </c>
      <c r="DX160" s="375"/>
      <c r="DY160" s="7">
        <f t="shared" si="856"/>
        <v>0</v>
      </c>
      <c r="DZ160" s="375"/>
      <c r="EA160" s="7">
        <f t="shared" si="1233"/>
        <v>0</v>
      </c>
      <c r="EB160" s="375">
        <f t="shared" si="1207"/>
        <v>0</v>
      </c>
      <c r="EC160" s="7">
        <f t="shared" si="972"/>
        <v>0</v>
      </c>
      <c r="ED160" s="375">
        <f t="shared" si="1208"/>
        <v>0</v>
      </c>
      <c r="EE160" s="7">
        <f t="shared" si="999"/>
        <v>0</v>
      </c>
      <c r="EF160" s="375"/>
      <c r="EG160" s="7">
        <f t="shared" si="1234"/>
        <v>0</v>
      </c>
      <c r="EH160" s="375"/>
      <c r="EI160" s="7">
        <f t="shared" si="857"/>
        <v>0</v>
      </c>
      <c r="EJ160" s="375"/>
      <c r="EK160" s="7">
        <f t="shared" si="1235"/>
        <v>0</v>
      </c>
      <c r="EL160" s="375">
        <f t="shared" si="1209"/>
        <v>0</v>
      </c>
      <c r="EM160" s="7">
        <f t="shared" si="973"/>
        <v>0</v>
      </c>
      <c r="EN160" s="375">
        <f t="shared" si="1210"/>
        <v>0</v>
      </c>
      <c r="EO160" s="7">
        <f t="shared" si="1000"/>
        <v>0</v>
      </c>
      <c r="EP160" s="373"/>
      <c r="EQ160" s="373"/>
      <c r="ER160" s="373"/>
      <c r="ES160" s="373"/>
      <c r="ET160" s="375"/>
      <c r="EU160" s="7">
        <f t="shared" si="1236"/>
        <v>0</v>
      </c>
      <c r="EV160" s="375"/>
      <c r="EW160" s="7">
        <f t="shared" si="858"/>
        <v>0</v>
      </c>
      <c r="EX160" s="375"/>
      <c r="EY160" s="7">
        <f t="shared" si="1237"/>
        <v>0</v>
      </c>
      <c r="EZ160" s="375">
        <f t="shared" si="1211"/>
        <v>0</v>
      </c>
      <c r="FA160" s="7">
        <f t="shared" si="974"/>
        <v>0</v>
      </c>
      <c r="FB160" s="375"/>
      <c r="FC160" s="7">
        <f t="shared" si="1238"/>
        <v>0</v>
      </c>
      <c r="FD160" s="375"/>
      <c r="FE160" s="7">
        <f t="shared" si="1222"/>
        <v>0</v>
      </c>
      <c r="FF160" s="375"/>
      <c r="FG160" s="7">
        <f t="shared" si="975"/>
        <v>0</v>
      </c>
      <c r="FH160" s="375">
        <f t="shared" si="1212"/>
        <v>0</v>
      </c>
      <c r="FI160" s="7">
        <f t="shared" si="976"/>
        <v>0</v>
      </c>
      <c r="FJ160" s="375">
        <f t="shared" si="1213"/>
        <v>0</v>
      </c>
      <c r="FK160" s="7">
        <f t="shared" si="1003"/>
        <v>0</v>
      </c>
      <c r="FL160" s="375"/>
      <c r="FM160" s="7">
        <f t="shared" si="1239"/>
        <v>0</v>
      </c>
      <c r="FN160" s="375"/>
      <c r="FO160" s="7">
        <f t="shared" si="977"/>
        <v>0</v>
      </c>
      <c r="FP160" s="375"/>
      <c r="FQ160" s="7">
        <f t="shared" si="978"/>
        <v>0</v>
      </c>
      <c r="FR160" s="375">
        <f t="shared" si="1214"/>
        <v>0</v>
      </c>
      <c r="FS160" s="7">
        <f t="shared" si="979"/>
        <v>0</v>
      </c>
      <c r="FT160" s="375">
        <f t="shared" si="1215"/>
        <v>0</v>
      </c>
      <c r="FU160" s="7">
        <f t="shared" si="1006"/>
        <v>0</v>
      </c>
      <c r="FV160" s="375"/>
      <c r="FW160" s="7">
        <f t="shared" si="1240"/>
        <v>0</v>
      </c>
      <c r="FX160" s="375"/>
      <c r="FY160" s="7">
        <f t="shared" si="980"/>
        <v>0</v>
      </c>
      <c r="FZ160" s="375"/>
      <c r="GA160" s="7">
        <f t="shared" si="981"/>
        <v>0</v>
      </c>
      <c r="GB160" s="375">
        <f t="shared" si="1216"/>
        <v>0</v>
      </c>
      <c r="GC160" s="7">
        <f t="shared" si="982"/>
        <v>0</v>
      </c>
      <c r="GD160" s="375">
        <f t="shared" si="1217"/>
        <v>0</v>
      </c>
      <c r="GE160" s="7">
        <f t="shared" si="1009"/>
        <v>0</v>
      </c>
      <c r="GF160" s="566">
        <f t="shared" si="1218"/>
        <v>0</v>
      </c>
      <c r="GG160" s="525">
        <f t="shared" si="983"/>
        <v>0</v>
      </c>
      <c r="GH160" s="528">
        <f t="shared" si="1219"/>
        <v>0</v>
      </c>
      <c r="GI160" s="525">
        <f t="shared" si="984"/>
        <v>0</v>
      </c>
      <c r="GJ160" s="528"/>
      <c r="GK160" s="525">
        <f t="shared" si="985"/>
        <v>0</v>
      </c>
      <c r="GL160" s="528">
        <f t="shared" si="1220"/>
        <v>0</v>
      </c>
      <c r="GM160" s="565">
        <f t="shared" si="1012"/>
        <v>0</v>
      </c>
      <c r="GO160" s="586"/>
      <c r="GQ160" s="586"/>
      <c r="GT160" s="551">
        <f t="shared" si="1166"/>
        <v>0</v>
      </c>
      <c r="GU160" s="551">
        <f t="shared" si="1015"/>
        <v>0</v>
      </c>
      <c r="GV160" s="550">
        <f t="shared" si="986"/>
        <v>0</v>
      </c>
      <c r="GW160" s="527"/>
      <c r="GX160" s="525">
        <f t="shared" si="1241"/>
        <v>0</v>
      </c>
      <c r="GY160" s="528"/>
      <c r="GZ160" s="525">
        <f t="shared" si="1242"/>
        <v>0</v>
      </c>
      <c r="HA160" s="528"/>
      <c r="HB160" s="526">
        <f t="shared" si="1243"/>
        <v>0</v>
      </c>
      <c r="HD160" s="527"/>
      <c r="HE160" s="525">
        <v>0</v>
      </c>
      <c r="HF160" s="528"/>
      <c r="HG160" s="525">
        <v>0</v>
      </c>
      <c r="HH160" s="528"/>
      <c r="HI160" s="526">
        <v>0</v>
      </c>
    </row>
    <row r="161" spans="1:217" ht="15" customHeight="1" outlineLevel="1">
      <c r="A161" s="386" t="s">
        <v>784</v>
      </c>
      <c r="B161" s="386" t="s">
        <v>150</v>
      </c>
      <c r="C161" s="375">
        <v>2094000</v>
      </c>
      <c r="D161" s="4"/>
      <c r="E161" s="375">
        <v>-2416174.36</v>
      </c>
      <c r="F161" s="4"/>
      <c r="G161" s="375">
        <v>-833333.33333333337</v>
      </c>
      <c r="H161" s="375"/>
      <c r="I161" s="4"/>
      <c r="J161" s="375">
        <v>-833333.33333333337</v>
      </c>
      <c r="K161" s="375"/>
      <c r="L161" s="4"/>
      <c r="M161" s="375">
        <v>-833333.33333333337</v>
      </c>
      <c r="N161" s="375">
        <v>1110633</v>
      </c>
      <c r="O161" s="4"/>
      <c r="P161" s="375">
        <f t="shared" si="869"/>
        <v>-2500000</v>
      </c>
      <c r="Q161" s="375">
        <f t="shared" si="869"/>
        <v>1110633</v>
      </c>
      <c r="R161" s="7">
        <f t="shared" si="987"/>
        <v>3.0538677798301557E-2</v>
      </c>
      <c r="S161" s="375"/>
      <c r="T161" s="375"/>
      <c r="U161" s="4"/>
      <c r="V161" s="375"/>
      <c r="W161" s="375"/>
      <c r="X161" s="4"/>
      <c r="Y161" s="375">
        <v>212144</v>
      </c>
      <c r="Z161" s="375">
        <v>212144</v>
      </c>
      <c r="AA161" s="4"/>
      <c r="AB161" s="375">
        <f>+T161+V161+Y161</f>
        <v>212144</v>
      </c>
      <c r="AC161" s="375">
        <f t="shared" si="1186"/>
        <v>212144</v>
      </c>
      <c r="AD161" s="7">
        <f t="shared" si="988"/>
        <v>5.7201196101212808E-3</v>
      </c>
      <c r="AE161" s="375">
        <f t="shared" si="1187"/>
        <v>1322777</v>
      </c>
      <c r="AF161" s="375">
        <f t="shared" si="1188"/>
        <v>1322777</v>
      </c>
      <c r="AG161" s="4"/>
      <c r="AH161" s="375"/>
      <c r="AI161" s="375"/>
      <c r="AJ161" s="4"/>
      <c r="AK161" s="375"/>
      <c r="AL161" s="375"/>
      <c r="AM161" s="4"/>
      <c r="AN161" s="375">
        <v>3246953</v>
      </c>
      <c r="AO161" s="375">
        <v>3246953</v>
      </c>
      <c r="AP161" s="4"/>
      <c r="AQ161" s="375">
        <f t="shared" si="1189"/>
        <v>3246953</v>
      </c>
      <c r="AR161" s="375">
        <f t="shared" si="1190"/>
        <v>3246953</v>
      </c>
      <c r="AS161" s="7">
        <f t="shared" si="989"/>
        <v>0.12196208688931789</v>
      </c>
      <c r="AT161" s="375">
        <f t="shared" si="1191"/>
        <v>4569730</v>
      </c>
      <c r="AU161" s="4"/>
      <c r="AV161" s="375">
        <v>-1333333.33</v>
      </c>
      <c r="AW161" s="375"/>
      <c r="AX161" s="4"/>
      <c r="AY161" s="375">
        <v>-1333333.33</v>
      </c>
      <c r="AZ161" s="375"/>
      <c r="BA161" s="4"/>
      <c r="BB161" s="375">
        <v>-1257004.2083333335</v>
      </c>
      <c r="BC161" s="375">
        <v>-78432623.629999995</v>
      </c>
      <c r="BD161" s="448"/>
      <c r="BE161" s="375">
        <f t="shared" si="1192"/>
        <v>-3923670.8683333336</v>
      </c>
      <c r="BF161" s="375">
        <f t="shared" si="1193"/>
        <v>-78432623.629999995</v>
      </c>
      <c r="BG161" s="7">
        <f t="shared" si="990"/>
        <v>-2.4978807101984133</v>
      </c>
      <c r="BH161" s="375">
        <f t="shared" si="1194"/>
        <v>646059.13166666636</v>
      </c>
      <c r="BI161" s="388">
        <f t="shared" si="1195"/>
        <v>-73862893.629999995</v>
      </c>
      <c r="BJ161" s="7">
        <f t="shared" si="991"/>
        <v>-0.56179017768628847</v>
      </c>
      <c r="BK161" s="375">
        <v>-15510602</v>
      </c>
      <c r="BL161" s="282"/>
      <c r="BN161" s="375"/>
      <c r="BO161" s="4"/>
      <c r="BP161" s="375"/>
      <c r="BQ161" s="4"/>
      <c r="BR161" s="375"/>
      <c r="BS161" s="4"/>
      <c r="BT161" s="375"/>
      <c r="BU161" s="7">
        <f t="shared" si="992"/>
        <v>0</v>
      </c>
      <c r="BV161" s="375"/>
      <c r="BW161" s="7"/>
      <c r="BX161" s="375"/>
      <c r="BY161" s="7"/>
      <c r="BZ161" s="375">
        <f t="shared" si="1196"/>
        <v>0</v>
      </c>
      <c r="CA161" s="7"/>
      <c r="CB161" s="375">
        <f t="shared" si="1197"/>
        <v>0</v>
      </c>
      <c r="CC161" s="7">
        <f t="shared" si="1121"/>
        <v>0</v>
      </c>
      <c r="CD161" s="375">
        <f t="shared" si="1198"/>
        <v>0</v>
      </c>
      <c r="CE161" s="7">
        <f t="shared" si="993"/>
        <v>0</v>
      </c>
      <c r="CF161" s="375">
        <v>0</v>
      </c>
      <c r="CG161" s="7">
        <f t="shared" si="994"/>
        <v>0</v>
      </c>
      <c r="CH161" s="375">
        <v>0</v>
      </c>
      <c r="CI161" s="7">
        <f t="shared" si="994"/>
        <v>0</v>
      </c>
      <c r="CJ161" s="375">
        <v>0</v>
      </c>
      <c r="CK161" s="7">
        <f t="shared" si="994"/>
        <v>0</v>
      </c>
      <c r="CL161" s="375">
        <f>+CF161+CH161+CJ161</f>
        <v>0</v>
      </c>
      <c r="CM161" s="7">
        <f t="shared" si="994"/>
        <v>0</v>
      </c>
      <c r="CN161" s="375">
        <f t="shared" si="1200"/>
        <v>0</v>
      </c>
      <c r="CO161" s="7">
        <f t="shared" si="1223"/>
        <v>0</v>
      </c>
      <c r="CP161" s="375">
        <v>0</v>
      </c>
      <c r="CQ161" s="7">
        <f t="shared" si="967"/>
        <v>0</v>
      </c>
      <c r="CR161" s="375">
        <f t="shared" si="1201"/>
        <v>0</v>
      </c>
      <c r="CS161" s="7">
        <f t="shared" si="1224"/>
        <v>0</v>
      </c>
      <c r="CT161" s="375">
        <v>0</v>
      </c>
      <c r="CU161" s="7">
        <f t="shared" si="1221"/>
        <v>0</v>
      </c>
      <c r="CV161" s="375">
        <v>4887093.08</v>
      </c>
      <c r="CW161" s="7">
        <f t="shared" si="968"/>
        <v>7.8104808043715321E-2</v>
      </c>
      <c r="CX161" s="375">
        <f t="shared" si="1202"/>
        <v>4887093.08</v>
      </c>
      <c r="CY161" s="7">
        <f t="shared" si="969"/>
        <v>4.9957164407874018E-2</v>
      </c>
      <c r="CZ161" s="375">
        <f t="shared" si="1203"/>
        <v>4887093.08</v>
      </c>
      <c r="DA161" s="7">
        <f t="shared" si="997"/>
        <v>1.9047237100505484E-2</v>
      </c>
      <c r="DB161" s="375">
        <v>-9607982</v>
      </c>
      <c r="DC161" s="7">
        <f t="shared" si="1225"/>
        <v>-0.50051196119375552</v>
      </c>
      <c r="DD161" s="375">
        <v>0</v>
      </c>
      <c r="DE161" s="7">
        <f t="shared" si="1226"/>
        <v>0</v>
      </c>
      <c r="DF161" s="375">
        <v>-10000000</v>
      </c>
      <c r="DG161" s="7">
        <f t="shared" si="1227"/>
        <v>-0.32237060625663211</v>
      </c>
      <c r="DH161" s="375">
        <f>+DB161+DD161+DF161</f>
        <v>-19607982</v>
      </c>
      <c r="DI161" s="7">
        <f t="shared" si="970"/>
        <v>-0.25737759836291424</v>
      </c>
      <c r="DJ161" s="375">
        <v>-221943.69324343855</v>
      </c>
      <c r="DK161" s="7">
        <f t="shared" si="1228"/>
        <v>-4.2199360711372789E-3</v>
      </c>
      <c r="DL161" s="375"/>
      <c r="DM161" s="7">
        <f t="shared" si="1229"/>
        <v>0</v>
      </c>
      <c r="DN161" s="375"/>
      <c r="DO161" s="7">
        <f t="shared" si="1230"/>
        <v>0</v>
      </c>
      <c r="DP161" s="375">
        <v>19607982</v>
      </c>
      <c r="DQ161" s="7">
        <f t="shared" si="1231"/>
        <v>0.23369125081403791</v>
      </c>
      <c r="DR161" s="375">
        <f>+DL161+DN161+DP161</f>
        <v>19607982</v>
      </c>
      <c r="DS161" s="7">
        <f t="shared" si="971"/>
        <v>0.17867647012068694</v>
      </c>
      <c r="DT161" s="375">
        <f t="shared" si="1206"/>
        <v>0</v>
      </c>
      <c r="DU161" s="7">
        <f t="shared" si="998"/>
        <v>0</v>
      </c>
      <c r="DV161" s="375"/>
      <c r="DW161" s="7">
        <f t="shared" si="1232"/>
        <v>0</v>
      </c>
      <c r="DX161" s="375"/>
      <c r="DY161" s="7">
        <f t="shared" si="856"/>
        <v>0</v>
      </c>
      <c r="DZ161" s="375"/>
      <c r="EA161" s="7">
        <f t="shared" si="1233"/>
        <v>0</v>
      </c>
      <c r="EB161" s="375">
        <f>+DV161+DX161+DZ161</f>
        <v>0</v>
      </c>
      <c r="EC161" s="7">
        <f t="shared" si="972"/>
        <v>0</v>
      </c>
      <c r="ED161" s="375">
        <f t="shared" si="1208"/>
        <v>0</v>
      </c>
      <c r="EE161" s="7">
        <f t="shared" si="999"/>
        <v>0</v>
      </c>
      <c r="EF161" s="375"/>
      <c r="EG161" s="7">
        <f t="shared" si="1234"/>
        <v>0</v>
      </c>
      <c r="EH161" s="375"/>
      <c r="EI161" s="7">
        <f t="shared" si="857"/>
        <v>0</v>
      </c>
      <c r="EJ161" s="375">
        <v>-29386765.740000002</v>
      </c>
      <c r="EK161" s="7">
        <f t="shared" si="1235"/>
        <v>-0.18818003528831356</v>
      </c>
      <c r="EL161" s="375">
        <f>+EF161+EH161+EJ161</f>
        <v>-29386765.740000002</v>
      </c>
      <c r="EM161" s="7">
        <f t="shared" si="973"/>
        <v>-0.15998162882999886</v>
      </c>
      <c r="EN161" s="375">
        <f t="shared" si="1210"/>
        <v>-29386765.740000002</v>
      </c>
      <c r="EO161" s="7">
        <f t="shared" si="1000"/>
        <v>-5.2166591422017634E-2</v>
      </c>
      <c r="EP161" s="373"/>
      <c r="EQ161" s="373"/>
      <c r="ER161" s="373"/>
      <c r="ES161" s="373"/>
      <c r="ET161" s="375"/>
      <c r="EU161" s="7">
        <f t="shared" si="1236"/>
        <v>0</v>
      </c>
      <c r="EV161" s="375"/>
      <c r="EW161" s="7">
        <f t="shared" si="858"/>
        <v>0</v>
      </c>
      <c r="EX161" s="375">
        <f>-15000000-15000000</f>
        <v>-30000000</v>
      </c>
      <c r="EY161" s="7">
        <f t="shared" si="1237"/>
        <v>-0.13141347439181381</v>
      </c>
      <c r="EZ161" s="375">
        <f>+ET161+EV161+EX161</f>
        <v>-30000000</v>
      </c>
      <c r="FA161" s="7">
        <f t="shared" si="974"/>
        <v>-0.12409132484208424</v>
      </c>
      <c r="FB161" s="375"/>
      <c r="FC161" s="7">
        <f t="shared" si="1238"/>
        <v>0</v>
      </c>
      <c r="FD161" s="375"/>
      <c r="FE161" s="7">
        <f t="shared" si="1222"/>
        <v>0</v>
      </c>
      <c r="FF161" s="375">
        <v>18158525</v>
      </c>
      <c r="FG161" s="7">
        <f t="shared" si="975"/>
        <v>0.11300920187360096</v>
      </c>
      <c r="FH161" s="375">
        <f>+FB161+FD161+FF161</f>
        <v>18158525</v>
      </c>
      <c r="FI161" s="7">
        <f t="shared" si="976"/>
        <v>6.6031598157436797E-2</v>
      </c>
      <c r="FJ161" s="375">
        <f t="shared" si="1213"/>
        <v>-11841475</v>
      </c>
      <c r="FK161" s="7">
        <f t="shared" si="1003"/>
        <v>-2.29150687656807E-2</v>
      </c>
      <c r="FL161" s="375"/>
      <c r="FM161" s="7">
        <f t="shared" si="1239"/>
        <v>0</v>
      </c>
      <c r="FN161" s="375"/>
      <c r="FO161" s="7">
        <f t="shared" si="977"/>
        <v>0</v>
      </c>
      <c r="FP161" s="375">
        <v>-3335122</v>
      </c>
      <c r="FQ161" s="7">
        <f t="shared" si="978"/>
        <v>-1.2055708445646478E-2</v>
      </c>
      <c r="FR161" s="375">
        <f>+FL161+FN161+FP161</f>
        <v>-3335122</v>
      </c>
      <c r="FS161" s="7">
        <f t="shared" si="979"/>
        <v>-1.1407785744570529E-2</v>
      </c>
      <c r="FT161" s="375">
        <f t="shared" si="1215"/>
        <v>-15176597</v>
      </c>
      <c r="FU161" s="7">
        <f t="shared" si="1006"/>
        <v>-1.8757153030555571E-2</v>
      </c>
      <c r="FV161" s="375"/>
      <c r="FW161" s="7">
        <f t="shared" si="1240"/>
        <v>0</v>
      </c>
      <c r="FX161" s="375"/>
      <c r="FY161" s="7">
        <f t="shared" si="980"/>
        <v>0</v>
      </c>
      <c r="FZ161" s="375">
        <v>-5306995.0199999996</v>
      </c>
      <c r="GA161" s="7">
        <f t="shared" si="981"/>
        <v>-1.8356357081393278E-2</v>
      </c>
      <c r="GB161" s="375">
        <f>+FV161+FX161+FZ161</f>
        <v>-5306995.0199999996</v>
      </c>
      <c r="GC161" s="7">
        <f t="shared" si="982"/>
        <v>-1.5493489726433364E-2</v>
      </c>
      <c r="GD161" s="375">
        <f t="shared" si="1217"/>
        <v>-20483592.02</v>
      </c>
      <c r="GE161" s="7">
        <f t="shared" si="1009"/>
        <v>-1.7786446708285629E-2</v>
      </c>
      <c r="GF161" s="566">
        <f t="shared" si="1218"/>
        <v>0</v>
      </c>
      <c r="GG161" s="525">
        <f t="shared" si="983"/>
        <v>0</v>
      </c>
      <c r="GH161" s="528">
        <f t="shared" si="1219"/>
        <v>0</v>
      </c>
      <c r="GI161" s="525">
        <f t="shared" si="984"/>
        <v>0</v>
      </c>
      <c r="GJ161" s="528">
        <v>-1946209.73799074</v>
      </c>
      <c r="GK161" s="525">
        <f t="shared" si="985"/>
        <v>-0.34196989929495564</v>
      </c>
      <c r="GL161" s="528">
        <f t="shared" si="1220"/>
        <v>-18537382.282009259</v>
      </c>
      <c r="GM161" s="565">
        <f t="shared" si="1012"/>
        <v>-1.5996559316317705E-2</v>
      </c>
      <c r="GO161" s="586"/>
      <c r="GQ161" s="586"/>
      <c r="GS161" s="375"/>
      <c r="GT161" s="551">
        <v>-6629674.9749714658</v>
      </c>
      <c r="GU161" s="551">
        <f>+GV161-GT161</f>
        <v>-21464203.025028534</v>
      </c>
      <c r="GV161" s="550">
        <f t="shared" si="986"/>
        <v>-28093878</v>
      </c>
      <c r="GW161" s="527">
        <v>-39935353</v>
      </c>
      <c r="GX161" s="525">
        <f t="shared" si="1241"/>
        <v>-3.3725907527471115E-2</v>
      </c>
      <c r="GY161" s="528">
        <f>+GW161</f>
        <v>-39935353</v>
      </c>
      <c r="GZ161" s="525">
        <f t="shared" si="1242"/>
        <v>-4.4362748847337007E-2</v>
      </c>
      <c r="HA161" s="528">
        <f>+GY161</f>
        <v>-39935353</v>
      </c>
      <c r="HB161" s="526">
        <f t="shared" si="1243"/>
        <v>-5.4861087681092026E-2</v>
      </c>
      <c r="HD161" s="527">
        <v>-40000000</v>
      </c>
      <c r="HE161" s="525">
        <v>-3.3671851631430931E-2</v>
      </c>
      <c r="HF161" s="528">
        <v>-40000000</v>
      </c>
      <c r="HG161" s="525">
        <v>-4.4434562876994731E-2</v>
      </c>
      <c r="HH161" s="528">
        <v>-40000000</v>
      </c>
      <c r="HI161" s="526">
        <v>-5.494989632979283E-2</v>
      </c>
    </row>
    <row r="162" spans="1:217" ht="15" customHeight="1">
      <c r="A162" s="386" t="s">
        <v>784</v>
      </c>
      <c r="B162" s="386"/>
      <c r="C162" s="389">
        <f>SUM(C152:C161)</f>
        <v>2094000</v>
      </c>
      <c r="D162" s="4"/>
      <c r="E162" s="389">
        <f>SUM(E152:E161)</f>
        <v>-2416174.36</v>
      </c>
      <c r="F162" s="4"/>
      <c r="G162" s="389">
        <f>SUM(G152:G161)</f>
        <v>-833333.33333333337</v>
      </c>
      <c r="H162" s="389">
        <f>SUM(H152:H161)</f>
        <v>0</v>
      </c>
      <c r="I162" s="4"/>
      <c r="J162" s="389">
        <f>SUM(J152:J161)</f>
        <v>-833333.33333333337</v>
      </c>
      <c r="K162" s="389">
        <f>SUM(K152:K161)</f>
        <v>0</v>
      </c>
      <c r="L162" s="4"/>
      <c r="M162" s="389">
        <f>SUM(M152:M161)</f>
        <v>-833333.33333333337</v>
      </c>
      <c r="N162" s="389">
        <f>SUM(N152:N161)</f>
        <v>1110633</v>
      </c>
      <c r="O162" s="4"/>
      <c r="P162" s="389">
        <f>+G162+J162+M162</f>
        <v>-2500000</v>
      </c>
      <c r="Q162" s="389">
        <f>+H162+K162+N162</f>
        <v>1110633</v>
      </c>
      <c r="R162" s="7">
        <f t="shared" si="987"/>
        <v>3.0538677798301557E-2</v>
      </c>
      <c r="S162" s="389">
        <f>SUM(S152:S161)</f>
        <v>0</v>
      </c>
      <c r="T162" s="389">
        <f>SUM(T152:T161)</f>
        <v>0</v>
      </c>
      <c r="U162" s="4"/>
      <c r="V162" s="389">
        <f>SUM(V152:V161)</f>
        <v>0</v>
      </c>
      <c r="W162" s="389">
        <f>SUM(W152:W161)</f>
        <v>0</v>
      </c>
      <c r="X162" s="4"/>
      <c r="Y162" s="389">
        <f>SUM(Y152:Y161)</f>
        <v>212144</v>
      </c>
      <c r="Z162" s="389">
        <f>SUM(Z152:Z161)</f>
        <v>212144</v>
      </c>
      <c r="AA162" s="4"/>
      <c r="AB162" s="389">
        <f>SUM(AB152:AB161)</f>
        <v>212144</v>
      </c>
      <c r="AC162" s="389">
        <f>SUM(AC152:AC161)</f>
        <v>212144</v>
      </c>
      <c r="AD162" s="7">
        <f t="shared" si="988"/>
        <v>5.7201196101212808E-3</v>
      </c>
      <c r="AE162" s="389">
        <f>SUM(AE152:AE161)</f>
        <v>1322777</v>
      </c>
      <c r="AF162" s="389">
        <f>SUM(AF152:AF161)</f>
        <v>1322777</v>
      </c>
      <c r="AG162" s="4"/>
      <c r="AH162" s="389">
        <f>SUM(AH152:AH161)</f>
        <v>0</v>
      </c>
      <c r="AI162" s="389">
        <f>SUM(AI152:AI161)</f>
        <v>0</v>
      </c>
      <c r="AJ162" s="4"/>
      <c r="AK162" s="389">
        <f>SUM(AK152:AK161)</f>
        <v>0</v>
      </c>
      <c r="AL162" s="389">
        <f>SUM(AL152:AL161)</f>
        <v>0</v>
      </c>
      <c r="AM162" s="4"/>
      <c r="AN162" s="389">
        <f>SUM(AN152:AN161)</f>
        <v>3246953</v>
      </c>
      <c r="AO162" s="389">
        <f>SUM(AO152:AO161)</f>
        <v>3246953</v>
      </c>
      <c r="AP162" s="4"/>
      <c r="AQ162" s="389">
        <f>SUM(AQ152:AQ161)</f>
        <v>3246953</v>
      </c>
      <c r="AR162" s="389">
        <f>SUM(AR152:AR161)</f>
        <v>3246953</v>
      </c>
      <c r="AS162" s="7">
        <f t="shared" si="989"/>
        <v>0.12196208688931789</v>
      </c>
      <c r="AT162" s="389">
        <f>SUM(AT152:AT161)</f>
        <v>4569730</v>
      </c>
      <c r="AU162" s="4"/>
      <c r="AV162" s="389">
        <f>SUM(AV152:AV161)</f>
        <v>-1333333.33</v>
      </c>
      <c r="AW162" s="389">
        <f>SUM(AW152:AW161)</f>
        <v>0</v>
      </c>
      <c r="AX162" s="4"/>
      <c r="AY162" s="389">
        <f>SUM(AY152:AY161)</f>
        <v>-1333333.33</v>
      </c>
      <c r="AZ162" s="389">
        <f>SUM(AZ152:AZ161)</f>
        <v>0</v>
      </c>
      <c r="BA162" s="4"/>
      <c r="BB162" s="389">
        <f>SUM(BB152:BB161)</f>
        <v>-1257004.2083333335</v>
      </c>
      <c r="BC162" s="389">
        <f>SUM(BC152:BC161)</f>
        <v>-78432623.629999995</v>
      </c>
      <c r="BD162" s="448"/>
      <c r="BE162" s="389">
        <f>SUM(BE152:BE161)</f>
        <v>-3923670.8683333336</v>
      </c>
      <c r="BF162" s="389">
        <f>SUM(BF152:BF161)</f>
        <v>-78432623.629999995</v>
      </c>
      <c r="BG162" s="7">
        <f t="shared" si="990"/>
        <v>-2.4978807101984133</v>
      </c>
      <c r="BH162" s="389">
        <f>SUM(BH152:BH161)</f>
        <v>646059.13166666636</v>
      </c>
      <c r="BI162" s="389">
        <f>SUM(BI152:BI161)</f>
        <v>-73862893.629999995</v>
      </c>
      <c r="BJ162" s="7">
        <f t="shared" si="991"/>
        <v>-0.56179017768628847</v>
      </c>
      <c r="BK162" s="389">
        <f>SUM(BK152:BK161)</f>
        <v>-15510602</v>
      </c>
      <c r="BL162" s="282"/>
      <c r="BN162" s="389">
        <f>SUM(BN152:BN161)</f>
        <v>0</v>
      </c>
      <c r="BO162" s="4"/>
      <c r="BP162" s="389">
        <f>SUM(BP152:BP161)</f>
        <v>0</v>
      </c>
      <c r="BQ162" s="4"/>
      <c r="BR162" s="389">
        <f>SUM(BR152:BR161)</f>
        <v>0</v>
      </c>
      <c r="BS162" s="4"/>
      <c r="BT162" s="389">
        <f>SUM(BT152:BT161)</f>
        <v>0</v>
      </c>
      <c r="BU162" s="7">
        <f t="shared" si="992"/>
        <v>0</v>
      </c>
      <c r="BV162" s="389">
        <f>SUM(BV152:BV161)</f>
        <v>0</v>
      </c>
      <c r="BW162" s="7"/>
      <c r="BX162" s="389">
        <f>SUM(BX152:BX161)</f>
        <v>0</v>
      </c>
      <c r="BY162" s="7"/>
      <c r="BZ162" s="389">
        <f>SUM(BZ152:BZ161)</f>
        <v>0</v>
      </c>
      <c r="CA162" s="7"/>
      <c r="CB162" s="389">
        <f>SUM(CB152:CB161)</f>
        <v>0</v>
      </c>
      <c r="CC162" s="7">
        <f t="shared" si="1121"/>
        <v>0</v>
      </c>
      <c r="CD162" s="389">
        <f>SUM(CD152:CD161)</f>
        <v>0</v>
      </c>
      <c r="CE162" s="7">
        <f t="shared" si="993"/>
        <v>0</v>
      </c>
      <c r="CF162" s="389">
        <f>SUM(CF152:CF161)</f>
        <v>0</v>
      </c>
      <c r="CG162" s="7">
        <f t="shared" si="994"/>
        <v>0</v>
      </c>
      <c r="CH162" s="389">
        <f>SUM(CH152:CH161)</f>
        <v>0</v>
      </c>
      <c r="CI162" s="7">
        <f t="shared" si="994"/>
        <v>0</v>
      </c>
      <c r="CJ162" s="389">
        <f>SUM(CJ152:CJ161)</f>
        <v>0</v>
      </c>
      <c r="CK162" s="7">
        <f t="shared" si="994"/>
        <v>0</v>
      </c>
      <c r="CL162" s="389">
        <f>SUM(CL152:CL161)</f>
        <v>0</v>
      </c>
      <c r="CM162" s="7">
        <f t="shared" si="994"/>
        <v>0</v>
      </c>
      <c r="CN162" s="375">
        <f t="shared" si="1200"/>
        <v>0</v>
      </c>
      <c r="CO162" s="7">
        <f t="shared" si="1223"/>
        <v>0</v>
      </c>
      <c r="CP162" s="389">
        <f>SUM(CP152:CP161)</f>
        <v>0</v>
      </c>
      <c r="CQ162" s="7">
        <f t="shared" si="967"/>
        <v>0</v>
      </c>
      <c r="CR162" s="375">
        <f t="shared" si="1201"/>
        <v>0</v>
      </c>
      <c r="CS162" s="7">
        <f t="shared" si="1224"/>
        <v>0</v>
      </c>
      <c r="CT162" s="389">
        <f t="shared" ref="CT162" si="1244">SUM(CT152:CT161)</f>
        <v>0</v>
      </c>
      <c r="CU162" s="7">
        <f t="shared" si="1221"/>
        <v>0</v>
      </c>
      <c r="CV162" s="389">
        <f t="shared" ref="CV162" si="1245">SUM(CV152:CV161)</f>
        <v>4887093.08</v>
      </c>
      <c r="CW162" s="7">
        <f t="shared" si="968"/>
        <v>7.8104808043715321E-2</v>
      </c>
      <c r="CX162" s="389">
        <f>SUM(CX152:CX161)</f>
        <v>4887093.08</v>
      </c>
      <c r="CY162" s="7">
        <f t="shared" si="969"/>
        <v>4.9957164407874018E-2</v>
      </c>
      <c r="CZ162" s="389">
        <f t="shared" si="1203"/>
        <v>4887093.08</v>
      </c>
      <c r="DA162" s="7">
        <f t="shared" si="997"/>
        <v>1.9047237100505484E-2</v>
      </c>
      <c r="DB162" s="389">
        <f>SUM(DB152:DB161)</f>
        <v>-9607982</v>
      </c>
      <c r="DC162" s="7">
        <f t="shared" si="1225"/>
        <v>-0.50051196119375552</v>
      </c>
      <c r="DD162" s="389">
        <f>SUM(DD152:DD161)</f>
        <v>0</v>
      </c>
      <c r="DE162" s="7">
        <f t="shared" si="1226"/>
        <v>0</v>
      </c>
      <c r="DF162" s="389">
        <f>SUM(DF152:DF161)</f>
        <v>-10000000</v>
      </c>
      <c r="DG162" s="7">
        <f t="shared" si="1227"/>
        <v>-0.32237060625663211</v>
      </c>
      <c r="DH162" s="389">
        <f>SUM(DH152:DH161)</f>
        <v>-19607982</v>
      </c>
      <c r="DI162" s="7">
        <f t="shared" si="970"/>
        <v>-0.25737759836291424</v>
      </c>
      <c r="DJ162" s="389">
        <f>SUM(DJ152:DJ161)</f>
        <v>-221943.69324343855</v>
      </c>
      <c r="DK162" s="7">
        <f t="shared" si="1228"/>
        <v>-4.2199360711372789E-3</v>
      </c>
      <c r="DL162" s="389">
        <f>SUM(DL152:DL161)</f>
        <v>0</v>
      </c>
      <c r="DM162" s="7">
        <f t="shared" si="1229"/>
        <v>0</v>
      </c>
      <c r="DN162" s="389">
        <f>SUM(DN152:DN161)</f>
        <v>0</v>
      </c>
      <c r="DO162" s="7">
        <f t="shared" si="1230"/>
        <v>0</v>
      </c>
      <c r="DP162" s="389">
        <f>SUM(DP152:DP161)</f>
        <v>19607982</v>
      </c>
      <c r="DQ162" s="7">
        <f t="shared" si="1231"/>
        <v>0.23369125081403791</v>
      </c>
      <c r="DR162" s="389">
        <f>SUM(DR152:DR161)</f>
        <v>19607982</v>
      </c>
      <c r="DS162" s="7">
        <f t="shared" si="971"/>
        <v>0.17867647012068694</v>
      </c>
      <c r="DT162" s="389">
        <f>SUM(DT152:DT161)</f>
        <v>0</v>
      </c>
      <c r="DU162" s="7">
        <f t="shared" si="998"/>
        <v>0</v>
      </c>
      <c r="DV162" s="389">
        <f>SUM(DV152:DV161)</f>
        <v>0</v>
      </c>
      <c r="DW162" s="7">
        <f t="shared" si="1232"/>
        <v>0</v>
      </c>
      <c r="DX162" s="389">
        <f>SUM(DX152:DX161)</f>
        <v>0</v>
      </c>
      <c r="DY162" s="7">
        <f t="shared" si="856"/>
        <v>0</v>
      </c>
      <c r="DZ162" s="389">
        <f>SUM(DZ152:DZ161)</f>
        <v>0</v>
      </c>
      <c r="EA162" s="7">
        <f t="shared" si="1233"/>
        <v>0</v>
      </c>
      <c r="EB162" s="389">
        <f>SUM(EB152:EB161)</f>
        <v>0</v>
      </c>
      <c r="EC162" s="7">
        <f t="shared" si="972"/>
        <v>0</v>
      </c>
      <c r="ED162" s="389">
        <f>SUM(ED152:ED161)</f>
        <v>0</v>
      </c>
      <c r="EE162" s="7">
        <f t="shared" si="999"/>
        <v>0</v>
      </c>
      <c r="EF162" s="389">
        <f>SUM(EF152:EF161)</f>
        <v>0</v>
      </c>
      <c r="EG162" s="7">
        <f t="shared" si="1234"/>
        <v>0</v>
      </c>
      <c r="EH162" s="389">
        <f>SUM(EH152:EH161)</f>
        <v>0</v>
      </c>
      <c r="EI162" s="7">
        <f t="shared" si="857"/>
        <v>0</v>
      </c>
      <c r="EJ162" s="389">
        <f>SUM(EJ152:EJ161)</f>
        <v>-29386765.740000002</v>
      </c>
      <c r="EK162" s="7">
        <f t="shared" si="1235"/>
        <v>-0.18818003528831356</v>
      </c>
      <c r="EL162" s="389">
        <f>SUM(EL152:EL161)</f>
        <v>-29386765.740000002</v>
      </c>
      <c r="EM162" s="7">
        <f t="shared" si="973"/>
        <v>-0.15998162882999886</v>
      </c>
      <c r="EN162" s="389">
        <f>SUM(EN152:EN161)</f>
        <v>-29386765.740000002</v>
      </c>
      <c r="EO162" s="7">
        <f t="shared" si="1000"/>
        <v>-5.2166591422017634E-2</v>
      </c>
      <c r="EP162" s="455">
        <v>-11657769</v>
      </c>
      <c r="EQ162" s="373" t="s">
        <v>700</v>
      </c>
      <c r="ER162" s="455">
        <v>-10242791</v>
      </c>
      <c r="ES162" s="455">
        <v>-12945643</v>
      </c>
      <c r="ET162" s="389">
        <f>SUM(ET152:ET161)</f>
        <v>0</v>
      </c>
      <c r="EU162" s="7">
        <f t="shared" si="1236"/>
        <v>0</v>
      </c>
      <c r="EV162" s="389">
        <f>SUM(EV152:EV161)</f>
        <v>0</v>
      </c>
      <c r="EW162" s="7">
        <f t="shared" si="858"/>
        <v>0</v>
      </c>
      <c r="EX162" s="389">
        <f>SUM(EX152:EX161)</f>
        <v>-30000000</v>
      </c>
      <c r="EY162" s="7">
        <f t="shared" si="1237"/>
        <v>-0.13141347439181381</v>
      </c>
      <c r="EZ162" s="389">
        <f>SUM(EZ152:EZ161)</f>
        <v>-30000000</v>
      </c>
      <c r="FA162" s="7">
        <f t="shared" si="974"/>
        <v>-0.12409132484208424</v>
      </c>
      <c r="FB162" s="389">
        <f>SUM(FB152:FB161)</f>
        <v>0</v>
      </c>
      <c r="FC162" s="7">
        <f t="shared" si="1238"/>
        <v>0</v>
      </c>
      <c r="FD162" s="389">
        <f t="shared" ref="FD162" si="1246">SUM(FD152:FD161)</f>
        <v>0</v>
      </c>
      <c r="FE162" s="7">
        <f t="shared" si="1222"/>
        <v>0</v>
      </c>
      <c r="FF162" s="389">
        <f t="shared" ref="FF162" si="1247">SUM(FF152:FF161)</f>
        <v>18158525</v>
      </c>
      <c r="FG162" s="7">
        <f t="shared" si="975"/>
        <v>0.11300920187360096</v>
      </c>
      <c r="FH162" s="389">
        <f>SUM(FH152:FH161)</f>
        <v>18158525</v>
      </c>
      <c r="FI162" s="7">
        <f t="shared" si="976"/>
        <v>6.6031598157436797E-2</v>
      </c>
      <c r="FJ162" s="389">
        <f>SUM(FJ152:FJ161)</f>
        <v>-11841475</v>
      </c>
      <c r="FK162" s="7">
        <f t="shared" si="1003"/>
        <v>-2.29150687656807E-2</v>
      </c>
      <c r="FL162" s="389">
        <f>SUM(FL152:FL161)</f>
        <v>0</v>
      </c>
      <c r="FM162" s="7">
        <f t="shared" si="1239"/>
        <v>0</v>
      </c>
      <c r="FN162" s="389">
        <f t="shared" ref="FN162" si="1248">SUM(FN152:FN161)</f>
        <v>0</v>
      </c>
      <c r="FO162" s="7">
        <f t="shared" si="977"/>
        <v>0</v>
      </c>
      <c r="FP162" s="389">
        <f t="shared" ref="FP162" si="1249">SUM(FP152:FP161)</f>
        <v>-3335122</v>
      </c>
      <c r="FQ162" s="7">
        <f t="shared" si="978"/>
        <v>-1.2055708445646478E-2</v>
      </c>
      <c r="FR162" s="389">
        <f>SUM(FR152:FR161)</f>
        <v>-3335122</v>
      </c>
      <c r="FS162" s="7">
        <f t="shared" si="979"/>
        <v>-1.1407785744570529E-2</v>
      </c>
      <c r="FT162" s="389">
        <f>SUM(FT152:FT161)</f>
        <v>-15176597</v>
      </c>
      <c r="FU162" s="7">
        <f t="shared" si="1006"/>
        <v>-1.8757153030555571E-2</v>
      </c>
      <c r="FV162" s="389">
        <f>SUM(FV152:FV161)</f>
        <v>0</v>
      </c>
      <c r="FW162" s="7">
        <f t="shared" si="1240"/>
        <v>0</v>
      </c>
      <c r="FX162" s="389">
        <f t="shared" ref="FX162" si="1250">SUM(FX152:FX161)</f>
        <v>0</v>
      </c>
      <c r="FY162" s="7">
        <f t="shared" si="980"/>
        <v>0</v>
      </c>
      <c r="FZ162" s="389">
        <f t="shared" ref="FZ162" si="1251">SUM(FZ152:FZ161)</f>
        <v>-5306995.0199999996</v>
      </c>
      <c r="GA162" s="7">
        <f t="shared" si="981"/>
        <v>-1.8356357081393278E-2</v>
      </c>
      <c r="GB162" s="389">
        <f>SUM(GB152:GB161)</f>
        <v>-5306995.0199999996</v>
      </c>
      <c r="GC162" s="7">
        <f t="shared" si="982"/>
        <v>-1.5493489726433364E-2</v>
      </c>
      <c r="GD162" s="389">
        <f>SUM(GD152:GD161)</f>
        <v>-20483592.02</v>
      </c>
      <c r="GE162" s="7">
        <f t="shared" si="1009"/>
        <v>-1.7786446708285629E-2</v>
      </c>
      <c r="GF162" s="567">
        <f t="shared" ref="GF162:GH162" si="1252">SUM(GF152:GF161)</f>
        <v>0</v>
      </c>
      <c r="GG162" s="525">
        <f t="shared" si="983"/>
        <v>0</v>
      </c>
      <c r="GH162" s="530">
        <f t="shared" si="1252"/>
        <v>0</v>
      </c>
      <c r="GI162" s="525">
        <f t="shared" si="984"/>
        <v>0</v>
      </c>
      <c r="GJ162" s="530">
        <f t="shared" ref="GJ162" si="1253">SUM(GJ152:GJ161)</f>
        <v>-1946209.73799074</v>
      </c>
      <c r="GK162" s="525">
        <f t="shared" si="985"/>
        <v>-0.34196989929495564</v>
      </c>
      <c r="GL162" s="530">
        <f>SUM(GL152:GL161)</f>
        <v>-18537382.282009259</v>
      </c>
      <c r="GM162" s="565">
        <f t="shared" si="1012"/>
        <v>-1.5996559316317705E-2</v>
      </c>
      <c r="GO162" s="587">
        <f t="shared" ref="GO162" si="1254">SUM(GO152:GO161)</f>
        <v>0</v>
      </c>
      <c r="GQ162" s="587">
        <f t="shared" ref="GQ162" si="1255">SUM(GQ152:GQ161)</f>
        <v>0</v>
      </c>
      <c r="GT162" s="551">
        <f t="shared" si="1166"/>
        <v>-12936792.915296495</v>
      </c>
      <c r="GU162" s="551">
        <f t="shared" si="1015"/>
        <v>-15157085.084703505</v>
      </c>
      <c r="GV162" s="550">
        <f t="shared" si="986"/>
        <v>-28093878</v>
      </c>
      <c r="GW162" s="529">
        <f>SUM(GW152:GW161)</f>
        <v>-39935353</v>
      </c>
      <c r="GX162" s="525">
        <f t="shared" si="1241"/>
        <v>-3.3725907527471115E-2</v>
      </c>
      <c r="GY162" s="530">
        <f>SUM(GY152:GY161)</f>
        <v>-39935353</v>
      </c>
      <c r="GZ162" s="525">
        <f t="shared" si="1242"/>
        <v>-4.4362748847337007E-2</v>
      </c>
      <c r="HA162" s="530">
        <f>SUM(HA152:HA161)</f>
        <v>-39935353</v>
      </c>
      <c r="HB162" s="526">
        <f t="shared" si="1243"/>
        <v>-5.4861087681092026E-2</v>
      </c>
      <c r="HC162" s="455"/>
      <c r="HD162" s="529">
        <v>-40000000</v>
      </c>
      <c r="HE162" s="525">
        <v>-3.3671851631430931E-2</v>
      </c>
      <c r="HF162" s="530">
        <v>-40000000</v>
      </c>
      <c r="HG162" s="525">
        <v>-4.4434562876994731E-2</v>
      </c>
      <c r="HH162" s="530">
        <v>-40000000</v>
      </c>
      <c r="HI162" s="526">
        <v>-5.494989632979283E-2</v>
      </c>
    </row>
    <row r="163" spans="1:217" ht="15" customHeight="1" outlineLevel="1">
      <c r="A163" s="386" t="s">
        <v>785</v>
      </c>
      <c r="B163" s="386" t="s">
        <v>151</v>
      </c>
      <c r="C163" s="389">
        <v>1900000</v>
      </c>
      <c r="D163" s="4"/>
      <c r="E163" s="389">
        <v>1900000</v>
      </c>
      <c r="F163" s="4"/>
      <c r="G163" s="389"/>
      <c r="H163" s="389"/>
      <c r="I163" s="4"/>
      <c r="J163" s="389"/>
      <c r="K163" s="389"/>
      <c r="L163" s="4"/>
      <c r="M163" s="389"/>
      <c r="N163" s="389"/>
      <c r="O163" s="4"/>
      <c r="P163" s="389">
        <f t="shared" si="869"/>
        <v>0</v>
      </c>
      <c r="Q163" s="389">
        <f t="shared" si="869"/>
        <v>0</v>
      </c>
      <c r="R163" s="7">
        <f t="shared" si="987"/>
        <v>0</v>
      </c>
      <c r="S163" s="389"/>
      <c r="T163" s="389"/>
      <c r="U163" s="4"/>
      <c r="V163" s="389"/>
      <c r="W163" s="389"/>
      <c r="X163" s="4"/>
      <c r="Y163" s="389"/>
      <c r="Z163" s="389"/>
      <c r="AA163" s="4"/>
      <c r="AB163" s="375">
        <f t="shared" ref="AB163:AB168" si="1256">+T163+V163+Y163</f>
        <v>0</v>
      </c>
      <c r="AC163" s="375">
        <f t="shared" si="1186"/>
        <v>0</v>
      </c>
      <c r="AD163" s="7">
        <f t="shared" si="988"/>
        <v>0</v>
      </c>
      <c r="AE163" s="375">
        <f t="shared" ref="AE163:AE175" si="1257">+Q163+AB163</f>
        <v>0</v>
      </c>
      <c r="AF163" s="375">
        <f t="shared" ref="AF163:AF169" si="1258">+AC163+Q163</f>
        <v>0</v>
      </c>
      <c r="AG163" s="4"/>
      <c r="AH163" s="389"/>
      <c r="AI163" s="389"/>
      <c r="AJ163" s="4"/>
      <c r="AK163" s="389"/>
      <c r="AL163" s="389"/>
      <c r="AM163" s="4"/>
      <c r="AN163" s="389"/>
      <c r="AO163" s="389"/>
      <c r="AP163" s="4"/>
      <c r="AQ163" s="375">
        <f t="shared" ref="AQ163" si="1259">AN163+AK163+AH163</f>
        <v>0</v>
      </c>
      <c r="AR163" s="375">
        <f t="shared" ref="AR163" si="1260">AO163+AL163+AI163</f>
        <v>0</v>
      </c>
      <c r="AS163" s="7">
        <f t="shared" si="989"/>
        <v>0</v>
      </c>
      <c r="AT163" s="375">
        <f t="shared" ref="AT163:AT169" si="1261">+AF163+AR163</f>
        <v>0</v>
      </c>
      <c r="AU163" s="4"/>
      <c r="AV163" s="389"/>
      <c r="AW163" s="389"/>
      <c r="AX163" s="4"/>
      <c r="AY163" s="389"/>
      <c r="AZ163" s="389"/>
      <c r="BA163" s="4"/>
      <c r="BB163" s="389"/>
      <c r="BC163" s="389"/>
      <c r="BD163" s="448"/>
      <c r="BE163" s="375">
        <f t="shared" ref="BE163" si="1262">BB163+AY163+AV163</f>
        <v>0</v>
      </c>
      <c r="BF163" s="375">
        <f t="shared" ref="BF163" si="1263">BC163+AZ163+AW163</f>
        <v>0</v>
      </c>
      <c r="BG163" s="7">
        <f t="shared" si="990"/>
        <v>0</v>
      </c>
      <c r="BH163" s="375">
        <f t="shared" ref="BH163" si="1264">Q163+AB163+AQ163+BE163</f>
        <v>0</v>
      </c>
      <c r="BI163" s="388">
        <f t="shared" ref="BI163" si="1265">Q163+AC163+AR163+BF163</f>
        <v>0</v>
      </c>
      <c r="BJ163" s="7">
        <f t="shared" si="991"/>
        <v>0</v>
      </c>
      <c r="BK163" s="375">
        <v>0</v>
      </c>
      <c r="BL163" s="282"/>
      <c r="BN163" s="375"/>
      <c r="BO163" s="4"/>
      <c r="BP163" s="375"/>
      <c r="BQ163" s="4"/>
      <c r="BR163" s="375"/>
      <c r="BS163" s="4"/>
      <c r="BT163" s="375"/>
      <c r="BU163" s="7">
        <f t="shared" si="992"/>
        <v>0</v>
      </c>
      <c r="BV163" s="375"/>
      <c r="BW163" s="7"/>
      <c r="BX163" s="375"/>
      <c r="BY163" s="7"/>
      <c r="BZ163" s="375">
        <f t="shared" si="1196"/>
        <v>0</v>
      </c>
      <c r="CA163" s="7"/>
      <c r="CB163" s="375">
        <f t="shared" ref="CB163" si="1266">+BV163+BX163+BZ163</f>
        <v>0</v>
      </c>
      <c r="CC163" s="7">
        <f t="shared" si="1121"/>
        <v>0</v>
      </c>
      <c r="CD163" s="375">
        <f t="shared" ref="CD163" si="1267">+BX163+BZ163+CB163</f>
        <v>0</v>
      </c>
      <c r="CE163" s="7">
        <f t="shared" si="993"/>
        <v>0</v>
      </c>
      <c r="CF163" s="375">
        <f t="shared" ref="CF163" si="1268">+BZ163+CB163+CD163</f>
        <v>0</v>
      </c>
      <c r="CG163" s="7">
        <f t="shared" si="994"/>
        <v>0</v>
      </c>
      <c r="CH163" s="375">
        <f t="shared" ref="CH163" si="1269">+CB163+CD163+CF163</f>
        <v>0</v>
      </c>
      <c r="CI163" s="7">
        <f t="shared" si="994"/>
        <v>0</v>
      </c>
      <c r="CJ163" s="375">
        <f t="shared" ref="CJ163" si="1270">+CD163+CF163+CH163</f>
        <v>0</v>
      </c>
      <c r="CK163" s="7">
        <f t="shared" si="994"/>
        <v>0</v>
      </c>
      <c r="CL163" s="375">
        <f>+CF163+CH163+CJ163</f>
        <v>0</v>
      </c>
      <c r="CM163" s="7">
        <f t="shared" si="994"/>
        <v>0</v>
      </c>
      <c r="CN163" s="375">
        <f t="shared" si="1200"/>
        <v>0</v>
      </c>
      <c r="CO163" s="7">
        <f t="shared" si="1223"/>
        <v>0</v>
      </c>
      <c r="CP163" s="375">
        <v>0</v>
      </c>
      <c r="CQ163" s="7">
        <f t="shared" si="967"/>
        <v>0</v>
      </c>
      <c r="CR163" s="375">
        <f t="shared" si="1201"/>
        <v>0</v>
      </c>
      <c r="CS163" s="7">
        <f t="shared" si="1224"/>
        <v>0</v>
      </c>
      <c r="CT163" s="375">
        <v>0</v>
      </c>
      <c r="CU163" s="7">
        <f t="shared" si="1221"/>
        <v>0</v>
      </c>
      <c r="CV163" s="375">
        <v>0</v>
      </c>
      <c r="CW163" s="7">
        <f t="shared" si="968"/>
        <v>0</v>
      </c>
      <c r="CX163" s="375">
        <f t="shared" ref="CX163:CX169" si="1271">+CV163+CT163+CP163</f>
        <v>0</v>
      </c>
      <c r="CY163" s="7">
        <f t="shared" si="969"/>
        <v>0</v>
      </c>
      <c r="CZ163" s="375">
        <f t="shared" si="1203"/>
        <v>0</v>
      </c>
      <c r="DA163" s="7">
        <f t="shared" si="997"/>
        <v>0</v>
      </c>
      <c r="DB163" s="375">
        <f t="shared" ref="DB163" si="1272">+CV163+CX163+CZ163</f>
        <v>0</v>
      </c>
      <c r="DC163" s="7">
        <f t="shared" si="1225"/>
        <v>0</v>
      </c>
      <c r="DD163" s="375">
        <f t="shared" ref="DD163" si="1273">+CX163+CZ163+DB163</f>
        <v>0</v>
      </c>
      <c r="DE163" s="7">
        <f t="shared" si="1226"/>
        <v>0</v>
      </c>
      <c r="DF163" s="375">
        <f t="shared" ref="DF163" si="1274">+CZ163+DB163+DD163</f>
        <v>0</v>
      </c>
      <c r="DG163" s="7">
        <f t="shared" si="1227"/>
        <v>0</v>
      </c>
      <c r="DH163" s="375">
        <f>+DB163+DD163+DF163</f>
        <v>0</v>
      </c>
      <c r="DI163" s="7">
        <f t="shared" si="970"/>
        <v>0</v>
      </c>
      <c r="DJ163" s="375"/>
      <c r="DK163" s="7">
        <f t="shared" si="1228"/>
        <v>0</v>
      </c>
      <c r="DL163" s="375">
        <f t="shared" ref="DL163" si="1275">+DF163+DH163+DJ163</f>
        <v>0</v>
      </c>
      <c r="DM163" s="7">
        <f t="shared" si="1229"/>
        <v>0</v>
      </c>
      <c r="DN163" s="375">
        <f t="shared" ref="DN163" si="1276">+DH163+DJ163+DL163</f>
        <v>0</v>
      </c>
      <c r="DO163" s="7">
        <f t="shared" si="1230"/>
        <v>0</v>
      </c>
      <c r="DP163" s="375">
        <f t="shared" ref="DP163" si="1277">+DJ163+DL163+DN163</f>
        <v>0</v>
      </c>
      <c r="DQ163" s="7">
        <f t="shared" si="1231"/>
        <v>0</v>
      </c>
      <c r="DR163" s="375">
        <f>+DL163+DN163+DP163</f>
        <v>0</v>
      </c>
      <c r="DS163" s="7">
        <f t="shared" si="971"/>
        <v>0</v>
      </c>
      <c r="DT163" s="375">
        <f t="shared" ref="DT163:DT168" si="1278">+DR163+DH163</f>
        <v>0</v>
      </c>
      <c r="DU163" s="7">
        <f t="shared" si="998"/>
        <v>0</v>
      </c>
      <c r="DV163" s="375"/>
      <c r="DW163" s="7">
        <f t="shared" si="1232"/>
        <v>0</v>
      </c>
      <c r="DX163" s="375"/>
      <c r="DY163" s="7">
        <f t="shared" si="856"/>
        <v>0</v>
      </c>
      <c r="DZ163" s="375"/>
      <c r="EA163" s="7">
        <f t="shared" si="1233"/>
        <v>0</v>
      </c>
      <c r="EB163" s="375">
        <f>+DV163+DX163+DZ163</f>
        <v>0</v>
      </c>
      <c r="EC163" s="7">
        <f t="shared" si="972"/>
        <v>0</v>
      </c>
      <c r="ED163" s="375">
        <f t="shared" ref="ED163:ED169" si="1279">+EB163+DT163</f>
        <v>0</v>
      </c>
      <c r="EE163" s="7">
        <f t="shared" si="999"/>
        <v>0</v>
      </c>
      <c r="EF163" s="375"/>
      <c r="EG163" s="7">
        <f t="shared" si="1234"/>
        <v>0</v>
      </c>
      <c r="EH163" s="375"/>
      <c r="EI163" s="7">
        <f t="shared" si="857"/>
        <v>0</v>
      </c>
      <c r="EJ163" s="375"/>
      <c r="EK163" s="7">
        <f t="shared" si="1235"/>
        <v>0</v>
      </c>
      <c r="EL163" s="375">
        <f>+EF163+EH163+EJ163</f>
        <v>0</v>
      </c>
      <c r="EM163" s="7">
        <f t="shared" si="973"/>
        <v>0</v>
      </c>
      <c r="EN163" s="375">
        <f t="shared" ref="EN163:EN169" si="1280">+EL163+ED163</f>
        <v>0</v>
      </c>
      <c r="EO163" s="7">
        <f t="shared" si="1000"/>
        <v>0</v>
      </c>
      <c r="EP163" s="455"/>
      <c r="EQ163" s="373"/>
      <c r="ER163" s="373"/>
      <c r="ES163" s="373"/>
      <c r="ET163" s="375"/>
      <c r="EU163" s="7">
        <f t="shared" si="1236"/>
        <v>0</v>
      </c>
      <c r="EV163" s="375"/>
      <c r="EW163" s="7">
        <f t="shared" si="858"/>
        <v>0</v>
      </c>
      <c r="EX163" s="375"/>
      <c r="EY163" s="7">
        <f t="shared" si="1237"/>
        <v>0</v>
      </c>
      <c r="EZ163" s="375">
        <f>+ET163+EV163+EX163</f>
        <v>0</v>
      </c>
      <c r="FA163" s="7">
        <f t="shared" si="974"/>
        <v>0</v>
      </c>
      <c r="FB163" s="375"/>
      <c r="FC163" s="7">
        <f t="shared" si="1238"/>
        <v>0</v>
      </c>
      <c r="FD163" s="375"/>
      <c r="FE163" s="7">
        <f t="shared" si="1222"/>
        <v>0</v>
      </c>
      <c r="FF163" s="375"/>
      <c r="FG163" s="7">
        <f t="shared" si="975"/>
        <v>0</v>
      </c>
      <c r="FH163" s="375">
        <f>+FB163+FD163+FF163</f>
        <v>0</v>
      </c>
      <c r="FI163" s="7">
        <f t="shared" si="976"/>
        <v>0</v>
      </c>
      <c r="FJ163" s="375">
        <f t="shared" ref="FJ163" si="1281">+FD163+FF163+FH163</f>
        <v>0</v>
      </c>
      <c r="FK163" s="7">
        <f t="shared" si="1003"/>
        <v>0</v>
      </c>
      <c r="FL163" s="375"/>
      <c r="FM163" s="7">
        <f t="shared" si="1239"/>
        <v>0</v>
      </c>
      <c r="FN163" s="375"/>
      <c r="FO163" s="7">
        <f t="shared" si="977"/>
        <v>0</v>
      </c>
      <c r="FP163" s="375"/>
      <c r="FQ163" s="7">
        <f t="shared" si="978"/>
        <v>0</v>
      </c>
      <c r="FR163" s="375">
        <f>+FL163+FN163+FP163</f>
        <v>0</v>
      </c>
      <c r="FS163" s="7">
        <f t="shared" si="979"/>
        <v>0</v>
      </c>
      <c r="FT163" s="375">
        <f t="shared" ref="FT163" si="1282">+FN163+FP163+FR163</f>
        <v>0</v>
      </c>
      <c r="FU163" s="7">
        <f t="shared" si="1006"/>
        <v>0</v>
      </c>
      <c r="FV163" s="375"/>
      <c r="FW163" s="7">
        <f t="shared" si="1240"/>
        <v>0</v>
      </c>
      <c r="FX163" s="375"/>
      <c r="FY163" s="7">
        <f t="shared" si="980"/>
        <v>0</v>
      </c>
      <c r="FZ163" s="375"/>
      <c r="GA163" s="7">
        <f t="shared" si="981"/>
        <v>0</v>
      </c>
      <c r="GB163" s="375">
        <f>+FV163+FX163+FZ163</f>
        <v>0</v>
      </c>
      <c r="GC163" s="7">
        <f t="shared" si="982"/>
        <v>0</v>
      </c>
      <c r="GD163" s="375">
        <f t="shared" ref="GD163" si="1283">+FX163+FZ163+GB163</f>
        <v>0</v>
      </c>
      <c r="GE163" s="7">
        <f t="shared" si="1009"/>
        <v>0</v>
      </c>
      <c r="GF163" s="566">
        <f t="shared" ref="GF163" si="1284">+GO163*$GO$1</f>
        <v>0</v>
      </c>
      <c r="GG163" s="525">
        <f t="shared" si="983"/>
        <v>0</v>
      </c>
      <c r="GH163" s="528">
        <f>+GQ163*$GO$2</f>
        <v>0</v>
      </c>
      <c r="GI163" s="525">
        <f t="shared" si="984"/>
        <v>0</v>
      </c>
      <c r="GJ163" s="528"/>
      <c r="GK163" s="525">
        <f t="shared" si="985"/>
        <v>0</v>
      </c>
      <c r="GL163" s="528">
        <f>+GD163+GF163+GH163-GJ163</f>
        <v>0</v>
      </c>
      <c r="GM163" s="565">
        <f t="shared" si="1012"/>
        <v>0</v>
      </c>
      <c r="GO163" s="586"/>
      <c r="GQ163" s="586"/>
      <c r="GT163" s="551">
        <f t="shared" si="1166"/>
        <v>0</v>
      </c>
      <c r="GU163" s="551">
        <f t="shared" si="1015"/>
        <v>0</v>
      </c>
      <c r="GV163" s="550">
        <f t="shared" si="986"/>
        <v>0</v>
      </c>
      <c r="GW163" s="527"/>
      <c r="GX163" s="525">
        <f t="shared" si="1241"/>
        <v>0</v>
      </c>
      <c r="GY163" s="528"/>
      <c r="GZ163" s="525">
        <f t="shared" si="1242"/>
        <v>0</v>
      </c>
      <c r="HA163" s="528"/>
      <c r="HB163" s="526">
        <f t="shared" si="1243"/>
        <v>0</v>
      </c>
      <c r="HD163" s="527"/>
      <c r="HE163" s="525">
        <v>0</v>
      </c>
      <c r="HF163" s="528"/>
      <c r="HG163" s="525">
        <v>0</v>
      </c>
      <c r="HH163" s="528"/>
      <c r="HI163" s="526">
        <v>0</v>
      </c>
    </row>
    <row r="164" spans="1:217" ht="15" customHeight="1">
      <c r="A164" s="386" t="s">
        <v>785</v>
      </c>
      <c r="B164" s="386"/>
      <c r="C164" s="389">
        <f>SUM(C163)</f>
        <v>1900000</v>
      </c>
      <c r="D164" s="4"/>
      <c r="E164" s="389">
        <f>SUM(E163)</f>
        <v>1900000</v>
      </c>
      <c r="F164" s="4"/>
      <c r="G164" s="389">
        <f>SUM(G163)</f>
        <v>0</v>
      </c>
      <c r="H164" s="389">
        <f>SUM(H163)</f>
        <v>0</v>
      </c>
      <c r="I164" s="4"/>
      <c r="J164" s="389">
        <f>SUM(J163)</f>
        <v>0</v>
      </c>
      <c r="K164" s="389">
        <f>SUM(K163)</f>
        <v>0</v>
      </c>
      <c r="L164" s="4"/>
      <c r="M164" s="389">
        <f>SUM(M163)</f>
        <v>0</v>
      </c>
      <c r="N164" s="389">
        <f>SUM(N163)</f>
        <v>0</v>
      </c>
      <c r="O164" s="4"/>
      <c r="P164" s="389">
        <f t="shared" si="869"/>
        <v>0</v>
      </c>
      <c r="Q164" s="389">
        <f t="shared" si="869"/>
        <v>0</v>
      </c>
      <c r="R164" s="7">
        <f t="shared" si="987"/>
        <v>0</v>
      </c>
      <c r="S164" s="389">
        <f>SUM(S163)</f>
        <v>0</v>
      </c>
      <c r="T164" s="389">
        <f>SUM(T163)</f>
        <v>0</v>
      </c>
      <c r="U164" s="4"/>
      <c r="V164" s="389">
        <f>SUM(V163)</f>
        <v>0</v>
      </c>
      <c r="W164" s="389">
        <f>SUM(W163)</f>
        <v>0</v>
      </c>
      <c r="X164" s="4"/>
      <c r="Y164" s="389">
        <f>SUM(Y163)</f>
        <v>0</v>
      </c>
      <c r="Z164" s="389">
        <f>SUM(Z163)</f>
        <v>0</v>
      </c>
      <c r="AA164" s="4"/>
      <c r="AB164" s="375">
        <f t="shared" si="1256"/>
        <v>0</v>
      </c>
      <c r="AC164" s="375">
        <f t="shared" si="1186"/>
        <v>0</v>
      </c>
      <c r="AD164" s="7">
        <f t="shared" si="988"/>
        <v>0</v>
      </c>
      <c r="AE164" s="375">
        <f t="shared" si="1257"/>
        <v>0</v>
      </c>
      <c r="AF164" s="375">
        <f t="shared" si="1258"/>
        <v>0</v>
      </c>
      <c r="AG164" s="4"/>
      <c r="AH164" s="389">
        <f>SUM(AH163)</f>
        <v>0</v>
      </c>
      <c r="AI164" s="389">
        <f>SUM(AI163)</f>
        <v>0</v>
      </c>
      <c r="AJ164" s="4"/>
      <c r="AK164" s="389">
        <f>SUM(AK163)</f>
        <v>0</v>
      </c>
      <c r="AL164" s="389">
        <f>SUM(AL163)</f>
        <v>0</v>
      </c>
      <c r="AM164" s="4"/>
      <c r="AN164" s="389">
        <f>SUM(AN163)</f>
        <v>0</v>
      </c>
      <c r="AO164" s="389">
        <f>SUM(AO163)</f>
        <v>0</v>
      </c>
      <c r="AP164" s="4"/>
      <c r="AQ164" s="389">
        <f>SUM(AQ163)</f>
        <v>0</v>
      </c>
      <c r="AR164" s="389">
        <f>SUM(AR163)</f>
        <v>0</v>
      </c>
      <c r="AS164" s="7">
        <f t="shared" si="989"/>
        <v>0</v>
      </c>
      <c r="AT164" s="375">
        <f t="shared" si="1261"/>
        <v>0</v>
      </c>
      <c r="AU164" s="4"/>
      <c r="AV164" s="389">
        <f>SUM(AV163)</f>
        <v>0</v>
      </c>
      <c r="AW164" s="389">
        <f>SUM(AW163)</f>
        <v>0</v>
      </c>
      <c r="AX164" s="4"/>
      <c r="AY164" s="389">
        <f>SUM(AY163)</f>
        <v>0</v>
      </c>
      <c r="AZ164" s="389">
        <f>SUM(AZ163)</f>
        <v>0</v>
      </c>
      <c r="BA164" s="4"/>
      <c r="BB164" s="389">
        <f>SUM(BB163)</f>
        <v>0</v>
      </c>
      <c r="BC164" s="389">
        <f>SUM(BC163)</f>
        <v>0</v>
      </c>
      <c r="BD164" s="448"/>
      <c r="BE164" s="389">
        <f>SUM(BE163)</f>
        <v>0</v>
      </c>
      <c r="BF164" s="389">
        <f>SUM(BF163)</f>
        <v>0</v>
      </c>
      <c r="BG164" s="7">
        <f t="shared" si="990"/>
        <v>0</v>
      </c>
      <c r="BH164" s="389">
        <f>SUM(BH163)</f>
        <v>0</v>
      </c>
      <c r="BI164" s="389">
        <f>SUM(BI163)</f>
        <v>0</v>
      </c>
      <c r="BJ164" s="7">
        <f t="shared" si="991"/>
        <v>0</v>
      </c>
      <c r="BK164" s="389">
        <v>0</v>
      </c>
      <c r="BL164" s="282"/>
      <c r="BN164" s="389">
        <f>SUM(BN163)</f>
        <v>0</v>
      </c>
      <c r="BO164" s="4"/>
      <c r="BP164" s="389">
        <f>SUM(BP163)</f>
        <v>0</v>
      </c>
      <c r="BQ164" s="4"/>
      <c r="BR164" s="389">
        <f>SUM(BR163)</f>
        <v>0</v>
      </c>
      <c r="BS164" s="4"/>
      <c r="BT164" s="389">
        <f>SUM(BT163)</f>
        <v>0</v>
      </c>
      <c r="BU164" s="7">
        <f t="shared" si="992"/>
        <v>0</v>
      </c>
      <c r="BV164" s="389">
        <f>SUM(BV163)</f>
        <v>0</v>
      </c>
      <c r="BW164" s="7"/>
      <c r="BX164" s="389">
        <f>SUM(BX163)</f>
        <v>0</v>
      </c>
      <c r="BY164" s="7"/>
      <c r="BZ164" s="389">
        <f>SUM(BZ163)</f>
        <v>0</v>
      </c>
      <c r="CA164" s="7"/>
      <c r="CB164" s="389">
        <f>SUM(CB163)</f>
        <v>0</v>
      </c>
      <c r="CC164" s="7">
        <f t="shared" si="1121"/>
        <v>0</v>
      </c>
      <c r="CD164" s="389">
        <f>SUM(CD163)</f>
        <v>0</v>
      </c>
      <c r="CE164" s="7">
        <f t="shared" si="993"/>
        <v>0</v>
      </c>
      <c r="CF164" s="389">
        <f>SUM(CF163)</f>
        <v>0</v>
      </c>
      <c r="CG164" s="7">
        <f t="shared" si="994"/>
        <v>0</v>
      </c>
      <c r="CH164" s="389">
        <f>SUM(CH163)</f>
        <v>0</v>
      </c>
      <c r="CI164" s="7">
        <f t="shared" si="994"/>
        <v>0</v>
      </c>
      <c r="CJ164" s="389">
        <f>SUM(CJ163)</f>
        <v>0</v>
      </c>
      <c r="CK164" s="7">
        <f t="shared" si="994"/>
        <v>0</v>
      </c>
      <c r="CL164" s="375">
        <f t="shared" ref="CL164:CL168" si="1285">+CB164</f>
        <v>0</v>
      </c>
      <c r="CM164" s="7">
        <f t="shared" si="994"/>
        <v>0</v>
      </c>
      <c r="CN164" s="375">
        <f t="shared" si="1200"/>
        <v>0</v>
      </c>
      <c r="CO164" s="7">
        <f t="shared" si="1223"/>
        <v>0</v>
      </c>
      <c r="CP164" s="389">
        <f>SUM(CP163)</f>
        <v>0</v>
      </c>
      <c r="CQ164" s="7">
        <f t="shared" si="967"/>
        <v>0</v>
      </c>
      <c r="CR164" s="375">
        <f t="shared" si="1201"/>
        <v>0</v>
      </c>
      <c r="CS164" s="7">
        <f t="shared" si="1224"/>
        <v>0</v>
      </c>
      <c r="CT164" s="389">
        <f t="shared" ref="CT164" si="1286">SUM(CT163)</f>
        <v>0</v>
      </c>
      <c r="CU164" s="7">
        <f t="shared" si="1221"/>
        <v>0</v>
      </c>
      <c r="CV164" s="389">
        <f t="shared" ref="CV164" si="1287">SUM(CV163)</f>
        <v>0</v>
      </c>
      <c r="CW164" s="7">
        <f t="shared" si="968"/>
        <v>0</v>
      </c>
      <c r="CX164" s="375">
        <f t="shared" si="1271"/>
        <v>0</v>
      </c>
      <c r="CY164" s="7">
        <f t="shared" si="969"/>
        <v>0</v>
      </c>
      <c r="CZ164" s="375">
        <f t="shared" si="1203"/>
        <v>0</v>
      </c>
      <c r="DA164" s="7">
        <f t="shared" si="997"/>
        <v>0</v>
      </c>
      <c r="DB164" s="375">
        <f>SUM(DB163)</f>
        <v>0</v>
      </c>
      <c r="DC164" s="7">
        <f t="shared" si="1225"/>
        <v>0</v>
      </c>
      <c r="DD164" s="375">
        <f>SUM(DD163)</f>
        <v>0</v>
      </c>
      <c r="DE164" s="7">
        <f t="shared" si="1226"/>
        <v>0</v>
      </c>
      <c r="DF164" s="375">
        <f>SUM(DF163)</f>
        <v>0</v>
      </c>
      <c r="DG164" s="7">
        <f t="shared" si="1227"/>
        <v>0</v>
      </c>
      <c r="DH164" s="375">
        <f t="shared" ref="DH164" si="1288">+CX164</f>
        <v>0</v>
      </c>
      <c r="DI164" s="7">
        <f t="shared" si="970"/>
        <v>0</v>
      </c>
      <c r="DJ164" s="375">
        <f>SUM(DJ163)</f>
        <v>0</v>
      </c>
      <c r="DK164" s="7">
        <f t="shared" si="1228"/>
        <v>0</v>
      </c>
      <c r="DL164" s="375">
        <f>SUM(DL163)</f>
        <v>0</v>
      </c>
      <c r="DM164" s="7">
        <f t="shared" si="1229"/>
        <v>0</v>
      </c>
      <c r="DN164" s="375">
        <f>SUM(DN163)</f>
        <v>0</v>
      </c>
      <c r="DO164" s="7">
        <f t="shared" si="1230"/>
        <v>0</v>
      </c>
      <c r="DP164" s="375">
        <f>SUM(DP163)</f>
        <v>0</v>
      </c>
      <c r="DQ164" s="7">
        <f t="shared" si="1231"/>
        <v>0</v>
      </c>
      <c r="DR164" s="375">
        <f t="shared" ref="DR164" si="1289">+DH164</f>
        <v>0</v>
      </c>
      <c r="DS164" s="7">
        <f t="shared" si="971"/>
        <v>0</v>
      </c>
      <c r="DT164" s="389">
        <f t="shared" si="1278"/>
        <v>0</v>
      </c>
      <c r="DU164" s="7">
        <f t="shared" si="998"/>
        <v>0</v>
      </c>
      <c r="DV164" s="375">
        <f>SUM(DV163)</f>
        <v>0</v>
      </c>
      <c r="DW164" s="7">
        <f t="shared" si="1232"/>
        <v>0</v>
      </c>
      <c r="DX164" s="375">
        <f>SUM(DX163)</f>
        <v>0</v>
      </c>
      <c r="DY164" s="7">
        <f t="shared" si="856"/>
        <v>0</v>
      </c>
      <c r="DZ164" s="375">
        <f>SUM(DZ163)</f>
        <v>0</v>
      </c>
      <c r="EA164" s="7">
        <f t="shared" si="1233"/>
        <v>0</v>
      </c>
      <c r="EB164" s="375">
        <f t="shared" ref="EB164" si="1290">+DR164</f>
        <v>0</v>
      </c>
      <c r="EC164" s="7">
        <f t="shared" si="972"/>
        <v>0</v>
      </c>
      <c r="ED164" s="375">
        <f t="shared" si="1279"/>
        <v>0</v>
      </c>
      <c r="EE164" s="7">
        <f t="shared" si="999"/>
        <v>0</v>
      </c>
      <c r="EF164" s="375">
        <f>SUM(EF163)</f>
        <v>0</v>
      </c>
      <c r="EG164" s="7">
        <f t="shared" si="1234"/>
        <v>0</v>
      </c>
      <c r="EH164" s="375">
        <f>SUM(EH163)</f>
        <v>0</v>
      </c>
      <c r="EI164" s="7">
        <f t="shared" si="857"/>
        <v>0</v>
      </c>
      <c r="EJ164" s="375">
        <f>SUM(EJ163)</f>
        <v>0</v>
      </c>
      <c r="EK164" s="7">
        <f t="shared" si="1235"/>
        <v>0</v>
      </c>
      <c r="EL164" s="375">
        <f>SUM(EL163)</f>
        <v>0</v>
      </c>
      <c r="EM164" s="7">
        <f t="shared" si="973"/>
        <v>0</v>
      </c>
      <c r="EN164" s="375">
        <f t="shared" si="1280"/>
        <v>0</v>
      </c>
      <c r="EO164" s="7">
        <f t="shared" si="1000"/>
        <v>0</v>
      </c>
      <c r="EP164" s="455"/>
      <c r="EQ164" s="397" t="s">
        <v>719</v>
      </c>
      <c r="ER164" s="455">
        <v>-5000000</v>
      </c>
      <c r="ES164" s="373"/>
      <c r="ET164" s="375"/>
      <c r="EU164" s="7">
        <f t="shared" si="1236"/>
        <v>0</v>
      </c>
      <c r="EV164" s="375"/>
      <c r="EW164" s="7">
        <f t="shared" si="858"/>
        <v>0</v>
      </c>
      <c r="EX164" s="375"/>
      <c r="EY164" s="7">
        <f t="shared" si="1237"/>
        <v>0</v>
      </c>
      <c r="EZ164" s="375">
        <f>+EL164</f>
        <v>0</v>
      </c>
      <c r="FA164" s="7">
        <f t="shared" si="974"/>
        <v>0</v>
      </c>
      <c r="FB164" s="375"/>
      <c r="FC164" s="7">
        <f t="shared" si="1238"/>
        <v>0</v>
      </c>
      <c r="FD164" s="375"/>
      <c r="FE164" s="7">
        <f t="shared" si="1222"/>
        <v>0</v>
      </c>
      <c r="FF164" s="375"/>
      <c r="FG164" s="7">
        <f t="shared" si="975"/>
        <v>0</v>
      </c>
      <c r="FH164" s="375">
        <f>+ET164</f>
        <v>0</v>
      </c>
      <c r="FI164" s="7">
        <f t="shared" si="976"/>
        <v>0</v>
      </c>
      <c r="FJ164" s="389">
        <f>SUM(FJ163)</f>
        <v>0</v>
      </c>
      <c r="FK164" s="7">
        <f t="shared" si="1003"/>
        <v>0</v>
      </c>
      <c r="FL164" s="375"/>
      <c r="FM164" s="7">
        <f t="shared" si="1239"/>
        <v>0</v>
      </c>
      <c r="FN164" s="375"/>
      <c r="FO164" s="7">
        <f t="shared" si="977"/>
        <v>0</v>
      </c>
      <c r="FP164" s="375"/>
      <c r="FQ164" s="7">
        <f t="shared" si="978"/>
        <v>0</v>
      </c>
      <c r="FR164" s="375">
        <f>+FD164</f>
        <v>0</v>
      </c>
      <c r="FS164" s="7">
        <f t="shared" si="979"/>
        <v>0</v>
      </c>
      <c r="FT164" s="389">
        <f>SUM(FT163)</f>
        <v>0</v>
      </c>
      <c r="FU164" s="7">
        <f t="shared" si="1006"/>
        <v>0</v>
      </c>
      <c r="FV164" s="375"/>
      <c r="FW164" s="7">
        <f t="shared" si="1240"/>
        <v>0</v>
      </c>
      <c r="FX164" s="375"/>
      <c r="FY164" s="7">
        <f t="shared" si="980"/>
        <v>0</v>
      </c>
      <c r="FZ164" s="375"/>
      <c r="GA164" s="7">
        <f t="shared" si="981"/>
        <v>0</v>
      </c>
      <c r="GB164" s="375">
        <f>+FN164</f>
        <v>0</v>
      </c>
      <c r="GC164" s="7">
        <f t="shared" si="982"/>
        <v>0</v>
      </c>
      <c r="GD164" s="389">
        <f>SUM(GD163)</f>
        <v>0</v>
      </c>
      <c r="GE164" s="7">
        <f t="shared" si="1009"/>
        <v>0</v>
      </c>
      <c r="GF164" s="567">
        <f>SUM(GF163)</f>
        <v>0</v>
      </c>
      <c r="GG164" s="525">
        <f t="shared" si="983"/>
        <v>0</v>
      </c>
      <c r="GH164" s="530">
        <f>SUM(GH163)</f>
        <v>0</v>
      </c>
      <c r="GI164" s="525">
        <f t="shared" si="984"/>
        <v>0</v>
      </c>
      <c r="GJ164" s="530">
        <f>SUM(GJ163)</f>
        <v>0</v>
      </c>
      <c r="GK164" s="525">
        <f t="shared" si="985"/>
        <v>0</v>
      </c>
      <c r="GL164" s="530">
        <f>SUM(GL163)</f>
        <v>0</v>
      </c>
      <c r="GM164" s="565">
        <f t="shared" si="1012"/>
        <v>0</v>
      </c>
      <c r="GN164" s="378"/>
      <c r="GO164" s="587">
        <f>SUM(GO163)</f>
        <v>0</v>
      </c>
      <c r="GP164" s="378"/>
      <c r="GQ164" s="587">
        <f>SUM(GQ163)</f>
        <v>0</v>
      </c>
      <c r="GT164" s="551">
        <f t="shared" si="1166"/>
        <v>0</v>
      </c>
      <c r="GU164" s="551">
        <f t="shared" si="1015"/>
        <v>0</v>
      </c>
      <c r="GV164" s="550">
        <f t="shared" si="986"/>
        <v>0</v>
      </c>
      <c r="GW164" s="527"/>
      <c r="GX164" s="525">
        <f t="shared" si="1241"/>
        <v>0</v>
      </c>
      <c r="GY164" s="528"/>
      <c r="GZ164" s="525">
        <f t="shared" si="1242"/>
        <v>0</v>
      </c>
      <c r="HA164" s="528"/>
      <c r="HB164" s="526">
        <f t="shared" si="1243"/>
        <v>0</v>
      </c>
      <c r="HD164" s="527"/>
      <c r="HE164" s="525">
        <v>0</v>
      </c>
      <c r="HF164" s="528"/>
      <c r="HG164" s="525">
        <v>0</v>
      </c>
      <c r="HH164" s="528"/>
      <c r="HI164" s="526">
        <v>0</v>
      </c>
    </row>
    <row r="165" spans="1:217" ht="15" customHeight="1" outlineLevel="1">
      <c r="A165" s="386" t="s">
        <v>786</v>
      </c>
      <c r="B165" s="386" t="s">
        <v>152</v>
      </c>
      <c r="C165" s="375"/>
      <c r="D165" s="4"/>
      <c r="E165" s="375"/>
      <c r="F165" s="4"/>
      <c r="G165" s="375"/>
      <c r="H165" s="375"/>
      <c r="I165" s="4"/>
      <c r="J165" s="375"/>
      <c r="K165" s="375"/>
      <c r="L165" s="4"/>
      <c r="M165" s="375"/>
      <c r="N165" s="375"/>
      <c r="O165" s="4"/>
      <c r="P165" s="375">
        <f t="shared" si="869"/>
        <v>0</v>
      </c>
      <c r="Q165" s="375">
        <f t="shared" si="869"/>
        <v>0</v>
      </c>
      <c r="R165" s="7">
        <f t="shared" si="987"/>
        <v>0</v>
      </c>
      <c r="S165" s="375"/>
      <c r="T165" s="375"/>
      <c r="U165" s="4"/>
      <c r="V165" s="375"/>
      <c r="W165" s="375"/>
      <c r="X165" s="4"/>
      <c r="Y165" s="375"/>
      <c r="Z165" s="375"/>
      <c r="AA165" s="4"/>
      <c r="AB165" s="375">
        <f t="shared" si="1256"/>
        <v>0</v>
      </c>
      <c r="AC165" s="375">
        <f t="shared" si="1186"/>
        <v>0</v>
      </c>
      <c r="AD165" s="7">
        <f t="shared" si="988"/>
        <v>0</v>
      </c>
      <c r="AE165" s="375">
        <f>+Q165+AB165</f>
        <v>0</v>
      </c>
      <c r="AF165" s="375">
        <f t="shared" si="1258"/>
        <v>0</v>
      </c>
      <c r="AG165" s="4"/>
      <c r="AH165" s="375"/>
      <c r="AI165" s="375"/>
      <c r="AJ165" s="4"/>
      <c r="AK165" s="375"/>
      <c r="AL165" s="375"/>
      <c r="AM165" s="4"/>
      <c r="AN165" s="375"/>
      <c r="AO165" s="375"/>
      <c r="AP165" s="4"/>
      <c r="AQ165" s="375">
        <f t="shared" ref="AQ165:AQ169" si="1291">AN165+AK165+AH165</f>
        <v>0</v>
      </c>
      <c r="AR165" s="375">
        <f t="shared" ref="AR165:AR169" si="1292">AO165+AL165+AI165</f>
        <v>0</v>
      </c>
      <c r="AS165" s="7">
        <f t="shared" si="989"/>
        <v>0</v>
      </c>
      <c r="AT165" s="375">
        <f t="shared" si="1261"/>
        <v>0</v>
      </c>
      <c r="AU165" s="4"/>
      <c r="AV165" s="375"/>
      <c r="AW165" s="375"/>
      <c r="AX165" s="4"/>
      <c r="AY165" s="375"/>
      <c r="AZ165" s="375"/>
      <c r="BA165" s="4"/>
      <c r="BB165" s="375"/>
      <c r="BC165" s="375"/>
      <c r="BD165" s="448"/>
      <c r="BE165" s="375">
        <f t="shared" ref="BE165:BE169" si="1293">BB165+AY165+AV165</f>
        <v>0</v>
      </c>
      <c r="BF165" s="375">
        <f t="shared" ref="BF165:BF169" si="1294">BC165+AZ165+AW165</f>
        <v>0</v>
      </c>
      <c r="BG165" s="7">
        <f t="shared" si="990"/>
        <v>0</v>
      </c>
      <c r="BH165" s="375">
        <f t="shared" ref="BH165" si="1295">Q165+AB165+AQ165+BE165</f>
        <v>0</v>
      </c>
      <c r="BI165" s="388">
        <f t="shared" ref="BI165" si="1296">Q165+AC165+AR165+BF165</f>
        <v>0</v>
      </c>
      <c r="BJ165" s="7">
        <f t="shared" si="991"/>
        <v>0</v>
      </c>
      <c r="BK165" s="375">
        <v>0</v>
      </c>
      <c r="BL165" s="282"/>
      <c r="BN165" s="375"/>
      <c r="BO165" s="4"/>
      <c r="BP165" s="375"/>
      <c r="BQ165" s="4"/>
      <c r="BR165" s="375"/>
      <c r="BS165" s="4"/>
      <c r="BT165" s="375"/>
      <c r="BU165" s="7">
        <f t="shared" si="992"/>
        <v>0</v>
      </c>
      <c r="BV165" s="375"/>
      <c r="BW165" s="7"/>
      <c r="BX165" s="375"/>
      <c r="BY165" s="7"/>
      <c r="BZ165" s="375">
        <f t="shared" si="1196"/>
        <v>0</v>
      </c>
      <c r="CA165" s="7"/>
      <c r="CB165" s="375">
        <f t="shared" ref="CB165:CB169" si="1297">+BV165+BX165+BZ165</f>
        <v>0</v>
      </c>
      <c r="CC165" s="7">
        <f t="shared" si="1121"/>
        <v>0</v>
      </c>
      <c r="CD165" s="375">
        <f t="shared" ref="CD165:CD168" si="1298">BT165+CB165</f>
        <v>0</v>
      </c>
      <c r="CE165" s="7">
        <f t="shared" si="993"/>
        <v>0</v>
      </c>
      <c r="CF165" s="375">
        <f t="shared" ref="CF165:CF168" si="1299">+BZ165+CB165+CD165</f>
        <v>0</v>
      </c>
      <c r="CG165" s="7">
        <f t="shared" si="994"/>
        <v>0</v>
      </c>
      <c r="CH165" s="375">
        <f t="shared" ref="CH165:CH168" si="1300">+CB165+CD165+CF165</f>
        <v>0</v>
      </c>
      <c r="CI165" s="7">
        <f t="shared" si="994"/>
        <v>0</v>
      </c>
      <c r="CJ165" s="375">
        <f t="shared" ref="CJ165:CJ168" si="1301">+CD165+CF165+CH165</f>
        <v>0</v>
      </c>
      <c r="CK165" s="7">
        <f t="shared" si="994"/>
        <v>0</v>
      </c>
      <c r="CL165" s="375">
        <f>+CF165+CH165+CJ165</f>
        <v>0</v>
      </c>
      <c r="CM165" s="7">
        <f t="shared" si="994"/>
        <v>0</v>
      </c>
      <c r="CN165" s="375">
        <f t="shared" si="1200"/>
        <v>0</v>
      </c>
      <c r="CO165" s="7">
        <f t="shared" si="1223"/>
        <v>0</v>
      </c>
      <c r="CP165" s="375">
        <v>0</v>
      </c>
      <c r="CQ165" s="7">
        <f t="shared" si="967"/>
        <v>0</v>
      </c>
      <c r="CR165" s="375">
        <f t="shared" si="1201"/>
        <v>0</v>
      </c>
      <c r="CS165" s="7">
        <f t="shared" si="1224"/>
        <v>0</v>
      </c>
      <c r="CT165" s="375">
        <v>0</v>
      </c>
      <c r="CU165" s="7">
        <f t="shared" si="1221"/>
        <v>0</v>
      </c>
      <c r="CV165" s="375">
        <v>0</v>
      </c>
      <c r="CW165" s="7">
        <f t="shared" si="968"/>
        <v>0</v>
      </c>
      <c r="CX165" s="375">
        <f t="shared" si="1271"/>
        <v>0</v>
      </c>
      <c r="CY165" s="7">
        <f t="shared" si="969"/>
        <v>0</v>
      </c>
      <c r="CZ165" s="375">
        <f t="shared" si="1203"/>
        <v>0</v>
      </c>
      <c r="DA165" s="7">
        <f t="shared" si="997"/>
        <v>0</v>
      </c>
      <c r="DB165" s="375">
        <f t="shared" ref="DB165:DB168" si="1302">+CV165+CX165+CZ165</f>
        <v>0</v>
      </c>
      <c r="DC165" s="7">
        <f t="shared" si="1225"/>
        <v>0</v>
      </c>
      <c r="DD165" s="375">
        <f t="shared" ref="DD165:DD168" si="1303">+CX165+CZ165+DB165</f>
        <v>0</v>
      </c>
      <c r="DE165" s="7">
        <f t="shared" si="1226"/>
        <v>0</v>
      </c>
      <c r="DF165" s="375">
        <f t="shared" ref="DF165:DF167" si="1304">+CZ165+DB165+DD165</f>
        <v>0</v>
      </c>
      <c r="DG165" s="7">
        <f t="shared" si="1227"/>
        <v>0</v>
      </c>
      <c r="DH165" s="375">
        <f>+DB165+DD165+DF165</f>
        <v>0</v>
      </c>
      <c r="DI165" s="7">
        <f t="shared" si="970"/>
        <v>0</v>
      </c>
      <c r="DJ165" s="375"/>
      <c r="DK165" s="7">
        <f t="shared" si="1228"/>
        <v>0</v>
      </c>
      <c r="DL165" s="375">
        <f t="shared" ref="DL165:DL167" si="1305">+DF165+DH165+DJ165</f>
        <v>0</v>
      </c>
      <c r="DM165" s="7">
        <f t="shared" si="1229"/>
        <v>0</v>
      </c>
      <c r="DN165" s="375">
        <f t="shared" ref="DN165:DN167" si="1306">+DH165+DJ165+DL165</f>
        <v>0</v>
      </c>
      <c r="DO165" s="7">
        <f t="shared" si="1230"/>
        <v>0</v>
      </c>
      <c r="DP165" s="375">
        <f t="shared" ref="DP165:DP167" si="1307">+DJ165+DL165+DN165</f>
        <v>0</v>
      </c>
      <c r="DQ165" s="7">
        <f t="shared" si="1231"/>
        <v>0</v>
      </c>
      <c r="DR165" s="375">
        <f>+DL165+DN165+DP165</f>
        <v>0</v>
      </c>
      <c r="DS165" s="7">
        <f t="shared" si="971"/>
        <v>0</v>
      </c>
      <c r="DT165" s="375">
        <f t="shared" si="1278"/>
        <v>0</v>
      </c>
      <c r="DU165" s="7">
        <f t="shared" si="998"/>
        <v>0</v>
      </c>
      <c r="DV165" s="375"/>
      <c r="DW165" s="7">
        <f t="shared" si="1232"/>
        <v>0</v>
      </c>
      <c r="DX165" s="375"/>
      <c r="DY165" s="7">
        <f t="shared" si="856"/>
        <v>0</v>
      </c>
      <c r="DZ165" s="375"/>
      <c r="EA165" s="7">
        <f t="shared" si="1233"/>
        <v>0</v>
      </c>
      <c r="EB165" s="375">
        <f>+DV165+DX165+DZ165</f>
        <v>0</v>
      </c>
      <c r="EC165" s="7">
        <f t="shared" si="972"/>
        <v>0</v>
      </c>
      <c r="ED165" s="375">
        <f t="shared" si="1279"/>
        <v>0</v>
      </c>
      <c r="EE165" s="7">
        <f t="shared" si="999"/>
        <v>0</v>
      </c>
      <c r="EF165" s="375"/>
      <c r="EG165" s="7">
        <f t="shared" si="1234"/>
        <v>0</v>
      </c>
      <c r="EH165" s="375"/>
      <c r="EI165" s="7">
        <f t="shared" si="857"/>
        <v>0</v>
      </c>
      <c r="EJ165" s="375"/>
      <c r="EK165" s="7">
        <f t="shared" si="1235"/>
        <v>0</v>
      </c>
      <c r="EL165" s="375">
        <f>+EF165+EH165+EJ165</f>
        <v>0</v>
      </c>
      <c r="EM165" s="7">
        <f t="shared" si="973"/>
        <v>0</v>
      </c>
      <c r="EN165" s="375">
        <f t="shared" si="1280"/>
        <v>0</v>
      </c>
      <c r="EO165" s="7">
        <f t="shared" si="1000"/>
        <v>0</v>
      </c>
      <c r="EP165" s="455"/>
      <c r="EQ165" s="373"/>
      <c r="ER165" s="455"/>
      <c r="ES165" s="373"/>
      <c r="ET165" s="375"/>
      <c r="EU165" s="7">
        <f t="shared" si="1236"/>
        <v>0</v>
      </c>
      <c r="EV165" s="375"/>
      <c r="EW165" s="7">
        <f t="shared" si="858"/>
        <v>0</v>
      </c>
      <c r="EX165" s="375"/>
      <c r="EY165" s="7">
        <f t="shared" si="1237"/>
        <v>0</v>
      </c>
      <c r="EZ165" s="375">
        <f>+ET165+EV165+EX165</f>
        <v>0</v>
      </c>
      <c r="FA165" s="7">
        <f t="shared" si="974"/>
        <v>0</v>
      </c>
      <c r="FB165" s="375"/>
      <c r="FC165" s="7">
        <f t="shared" si="1238"/>
        <v>0</v>
      </c>
      <c r="FD165" s="375"/>
      <c r="FE165" s="7">
        <f t="shared" si="1222"/>
        <v>0</v>
      </c>
      <c r="FF165" s="375"/>
      <c r="FG165" s="7">
        <f t="shared" si="975"/>
        <v>0</v>
      </c>
      <c r="FH165" s="375">
        <f>+FB165+FD165+FF165</f>
        <v>0</v>
      </c>
      <c r="FI165" s="7">
        <f t="shared" si="976"/>
        <v>0</v>
      </c>
      <c r="FJ165" s="375">
        <f t="shared" ref="FJ165:FJ168" si="1308">EZ165+FH165</f>
        <v>0</v>
      </c>
      <c r="FK165" s="7">
        <f t="shared" si="1003"/>
        <v>0</v>
      </c>
      <c r="FL165" s="375"/>
      <c r="FM165" s="7">
        <f t="shared" si="1239"/>
        <v>0</v>
      </c>
      <c r="FN165" s="375"/>
      <c r="FO165" s="7">
        <f t="shared" si="977"/>
        <v>0</v>
      </c>
      <c r="FP165" s="375"/>
      <c r="FQ165" s="7">
        <f t="shared" si="978"/>
        <v>0</v>
      </c>
      <c r="FR165" s="375">
        <f>+FL165+FN165+FP165</f>
        <v>0</v>
      </c>
      <c r="FS165" s="7">
        <f t="shared" si="979"/>
        <v>0</v>
      </c>
      <c r="FT165" s="375">
        <f t="shared" ref="FT165:FT168" si="1309">FJ165+FR165</f>
        <v>0</v>
      </c>
      <c r="FU165" s="7">
        <f t="shared" si="1006"/>
        <v>0</v>
      </c>
      <c r="FV165" s="375"/>
      <c r="FW165" s="7">
        <f t="shared" si="1240"/>
        <v>0</v>
      </c>
      <c r="FX165" s="375"/>
      <c r="FY165" s="7">
        <f t="shared" si="980"/>
        <v>0</v>
      </c>
      <c r="FZ165" s="375"/>
      <c r="GA165" s="7">
        <f t="shared" si="981"/>
        <v>0</v>
      </c>
      <c r="GB165" s="375">
        <f>+FV165+FX165+FZ165</f>
        <v>0</v>
      </c>
      <c r="GC165" s="7">
        <f t="shared" si="982"/>
        <v>0</v>
      </c>
      <c r="GD165" s="375">
        <f t="shared" ref="GD165:GD168" si="1310">FT165+GB165</f>
        <v>0</v>
      </c>
      <c r="GE165" s="7">
        <f t="shared" si="1009"/>
        <v>0</v>
      </c>
      <c r="GF165" s="566">
        <f t="shared" ref="GF165:GF169" si="1311">+GO165*$GO$1</f>
        <v>0</v>
      </c>
      <c r="GG165" s="525">
        <f t="shared" si="983"/>
        <v>0</v>
      </c>
      <c r="GH165" s="528">
        <f t="shared" ref="GH165:GH169" si="1312">+GQ165*$GO$2</f>
        <v>0</v>
      </c>
      <c r="GI165" s="525">
        <f t="shared" si="984"/>
        <v>0</v>
      </c>
      <c r="GJ165" s="528"/>
      <c r="GK165" s="525">
        <f t="shared" si="985"/>
        <v>0</v>
      </c>
      <c r="GL165" s="528">
        <f t="shared" ref="GL165:GL169" si="1313">+GD165+GF165+GH165-GJ165</f>
        <v>0</v>
      </c>
      <c r="GM165" s="565">
        <f t="shared" si="1012"/>
        <v>0</v>
      </c>
      <c r="GO165" s="586"/>
      <c r="GQ165" s="586"/>
      <c r="GT165" s="551">
        <f t="shared" si="1166"/>
        <v>0</v>
      </c>
      <c r="GU165" s="551">
        <f t="shared" si="1015"/>
        <v>0</v>
      </c>
      <c r="GV165" s="550">
        <f t="shared" si="986"/>
        <v>0</v>
      </c>
      <c r="GW165" s="527"/>
      <c r="GX165" s="525">
        <f t="shared" si="1241"/>
        <v>0</v>
      </c>
      <c r="GY165" s="528"/>
      <c r="GZ165" s="525">
        <f t="shared" si="1242"/>
        <v>0</v>
      </c>
      <c r="HA165" s="528"/>
      <c r="HB165" s="526">
        <f t="shared" si="1243"/>
        <v>0</v>
      </c>
      <c r="HD165" s="527"/>
      <c r="HE165" s="525">
        <v>0</v>
      </c>
      <c r="HF165" s="528"/>
      <c r="HG165" s="525">
        <v>0</v>
      </c>
      <c r="HH165" s="528"/>
      <c r="HI165" s="526">
        <v>0</v>
      </c>
    </row>
    <row r="166" spans="1:217" ht="15" customHeight="1" outlineLevel="1">
      <c r="A166" s="386" t="s">
        <v>786</v>
      </c>
      <c r="B166" s="386"/>
      <c r="C166" s="389">
        <f>SUM(C165)</f>
        <v>0</v>
      </c>
      <c r="D166" s="4"/>
      <c r="E166" s="389">
        <f>SUM(E165)</f>
        <v>0</v>
      </c>
      <c r="F166" s="4"/>
      <c r="G166" s="389">
        <f>SUM(G165)</f>
        <v>0</v>
      </c>
      <c r="H166" s="389">
        <f>SUM(H165)</f>
        <v>0</v>
      </c>
      <c r="I166" s="4"/>
      <c r="J166" s="389">
        <f>SUM(J165)</f>
        <v>0</v>
      </c>
      <c r="K166" s="389">
        <f>SUM(K165)</f>
        <v>0</v>
      </c>
      <c r="L166" s="4"/>
      <c r="M166" s="389">
        <f>SUM(M165)</f>
        <v>0</v>
      </c>
      <c r="N166" s="389">
        <f>SUM(N165)</f>
        <v>0</v>
      </c>
      <c r="O166" s="4"/>
      <c r="P166" s="389">
        <f t="shared" si="869"/>
        <v>0</v>
      </c>
      <c r="Q166" s="389">
        <f t="shared" si="869"/>
        <v>0</v>
      </c>
      <c r="R166" s="7">
        <f t="shared" si="987"/>
        <v>0</v>
      </c>
      <c r="S166" s="389">
        <f>SUM(S165)</f>
        <v>0</v>
      </c>
      <c r="T166" s="389">
        <f>SUM(T165)</f>
        <v>0</v>
      </c>
      <c r="U166" s="4"/>
      <c r="V166" s="389">
        <f>SUM(V165)</f>
        <v>0</v>
      </c>
      <c r="W166" s="389">
        <f>SUM(W165)</f>
        <v>0</v>
      </c>
      <c r="X166" s="4"/>
      <c r="Y166" s="389">
        <f>SUM(Y165)</f>
        <v>0</v>
      </c>
      <c r="Z166" s="389">
        <f>SUM(Z165)</f>
        <v>0</v>
      </c>
      <c r="AA166" s="4"/>
      <c r="AB166" s="375">
        <f t="shared" si="1256"/>
        <v>0</v>
      </c>
      <c r="AC166" s="375">
        <f t="shared" si="1186"/>
        <v>0</v>
      </c>
      <c r="AD166" s="7">
        <f t="shared" si="988"/>
        <v>0</v>
      </c>
      <c r="AE166" s="375">
        <f t="shared" si="1257"/>
        <v>0</v>
      </c>
      <c r="AF166" s="375">
        <f t="shared" si="1258"/>
        <v>0</v>
      </c>
      <c r="AG166" s="4"/>
      <c r="AH166" s="389">
        <f>SUM(AH165)</f>
        <v>0</v>
      </c>
      <c r="AI166" s="389">
        <f>SUM(AI165)</f>
        <v>0</v>
      </c>
      <c r="AJ166" s="4"/>
      <c r="AK166" s="389">
        <f>SUM(AK165)</f>
        <v>0</v>
      </c>
      <c r="AL166" s="389">
        <f>SUM(AL165)</f>
        <v>0</v>
      </c>
      <c r="AM166" s="4"/>
      <c r="AN166" s="389">
        <f>SUM(AN165)</f>
        <v>0</v>
      </c>
      <c r="AO166" s="389">
        <f>SUM(AO165)</f>
        <v>0</v>
      </c>
      <c r="AP166" s="4"/>
      <c r="AQ166" s="375">
        <f t="shared" si="1291"/>
        <v>0</v>
      </c>
      <c r="AR166" s="375">
        <f t="shared" si="1292"/>
        <v>0</v>
      </c>
      <c r="AS166" s="7">
        <f t="shared" si="989"/>
        <v>0</v>
      </c>
      <c r="AT166" s="375">
        <f t="shared" si="1261"/>
        <v>0</v>
      </c>
      <c r="AU166" s="4"/>
      <c r="AV166" s="389">
        <f>SUM(AV165)</f>
        <v>0</v>
      </c>
      <c r="AW166" s="389">
        <f>SUM(AW165)</f>
        <v>0</v>
      </c>
      <c r="AX166" s="4"/>
      <c r="AY166" s="389">
        <f>SUM(AY165)</f>
        <v>0</v>
      </c>
      <c r="AZ166" s="389">
        <f>SUM(AZ165)</f>
        <v>0</v>
      </c>
      <c r="BA166" s="4"/>
      <c r="BB166" s="389">
        <f>SUM(BB165)</f>
        <v>0</v>
      </c>
      <c r="BC166" s="389">
        <f>SUM(BC165)</f>
        <v>0</v>
      </c>
      <c r="BD166" s="448"/>
      <c r="BE166" s="375">
        <f t="shared" si="1293"/>
        <v>0</v>
      </c>
      <c r="BF166" s="375">
        <f t="shared" si="1294"/>
        <v>0</v>
      </c>
      <c r="BG166" s="7">
        <f t="shared" si="990"/>
        <v>0</v>
      </c>
      <c r="BH166" s="375">
        <f t="shared" ref="BH166:BH168" si="1314">W166+AH166+AN166+AQ166+AV166+BB166</f>
        <v>0</v>
      </c>
      <c r="BI166" s="388">
        <f t="shared" ref="BI166:BI168" si="1315">AZ166+AI166+W166+BC166</f>
        <v>0</v>
      </c>
      <c r="BJ166" s="7">
        <f t="shared" si="991"/>
        <v>0</v>
      </c>
      <c r="BK166" s="389">
        <v>0</v>
      </c>
      <c r="BL166" s="282"/>
      <c r="BN166" s="375"/>
      <c r="BO166" s="4"/>
      <c r="BP166" s="375"/>
      <c r="BQ166" s="4"/>
      <c r="BR166" s="375"/>
      <c r="BS166" s="4"/>
      <c r="BT166" s="375"/>
      <c r="BU166" s="7">
        <f t="shared" si="992"/>
        <v>0</v>
      </c>
      <c r="BV166" s="375"/>
      <c r="BW166" s="7"/>
      <c r="BX166" s="375"/>
      <c r="BY166" s="7"/>
      <c r="BZ166" s="375">
        <f t="shared" si="1196"/>
        <v>0</v>
      </c>
      <c r="CA166" s="7"/>
      <c r="CB166" s="375">
        <f t="shared" si="1297"/>
        <v>0</v>
      </c>
      <c r="CC166" s="7">
        <f t="shared" si="1121"/>
        <v>0</v>
      </c>
      <c r="CD166" s="375">
        <f t="shared" si="1298"/>
        <v>0</v>
      </c>
      <c r="CE166" s="7">
        <f t="shared" si="993"/>
        <v>0</v>
      </c>
      <c r="CF166" s="375">
        <f t="shared" si="1299"/>
        <v>0</v>
      </c>
      <c r="CG166" s="7">
        <f t="shared" si="994"/>
        <v>0</v>
      </c>
      <c r="CH166" s="375">
        <f t="shared" si="1300"/>
        <v>0</v>
      </c>
      <c r="CI166" s="7">
        <f t="shared" si="994"/>
        <v>0</v>
      </c>
      <c r="CJ166" s="375">
        <f t="shared" si="1301"/>
        <v>0</v>
      </c>
      <c r="CK166" s="7">
        <f t="shared" si="994"/>
        <v>0</v>
      </c>
      <c r="CL166" s="375">
        <f t="shared" si="1285"/>
        <v>0</v>
      </c>
      <c r="CM166" s="7">
        <f t="shared" si="994"/>
        <v>0</v>
      </c>
      <c r="CN166" s="375">
        <f t="shared" si="1200"/>
        <v>0</v>
      </c>
      <c r="CO166" s="7">
        <f t="shared" si="1223"/>
        <v>0</v>
      </c>
      <c r="CP166" s="375">
        <v>0</v>
      </c>
      <c r="CQ166" s="7">
        <f t="shared" si="967"/>
        <v>0</v>
      </c>
      <c r="CR166" s="375">
        <f t="shared" si="1201"/>
        <v>0</v>
      </c>
      <c r="CS166" s="7">
        <f t="shared" si="1224"/>
        <v>0</v>
      </c>
      <c r="CT166" s="375">
        <v>0</v>
      </c>
      <c r="CU166" s="7">
        <f t="shared" si="1221"/>
        <v>0</v>
      </c>
      <c r="CV166" s="375">
        <v>0</v>
      </c>
      <c r="CW166" s="7">
        <f t="shared" si="968"/>
        <v>0</v>
      </c>
      <c r="CX166" s="375">
        <f t="shared" si="1271"/>
        <v>0</v>
      </c>
      <c r="CY166" s="7">
        <f t="shared" si="969"/>
        <v>0</v>
      </c>
      <c r="CZ166" s="375">
        <f t="shared" si="1203"/>
        <v>0</v>
      </c>
      <c r="DA166" s="7">
        <f t="shared" si="997"/>
        <v>0</v>
      </c>
      <c r="DB166" s="375">
        <f t="shared" si="1302"/>
        <v>0</v>
      </c>
      <c r="DC166" s="7">
        <f t="shared" si="1225"/>
        <v>0</v>
      </c>
      <c r="DD166" s="375">
        <f t="shared" si="1303"/>
        <v>0</v>
      </c>
      <c r="DE166" s="7">
        <f t="shared" si="1226"/>
        <v>0</v>
      </c>
      <c r="DF166" s="375">
        <f t="shared" si="1304"/>
        <v>0</v>
      </c>
      <c r="DG166" s="7">
        <f t="shared" si="1227"/>
        <v>0</v>
      </c>
      <c r="DH166" s="375">
        <f t="shared" ref="DH166" si="1316">+CX166</f>
        <v>0</v>
      </c>
      <c r="DI166" s="7">
        <f t="shared" si="970"/>
        <v>0</v>
      </c>
      <c r="DJ166" s="375">
        <f>+CZ166</f>
        <v>0</v>
      </c>
      <c r="DK166" s="7">
        <f t="shared" si="1228"/>
        <v>0</v>
      </c>
      <c r="DL166" s="375">
        <f t="shared" si="1305"/>
        <v>0</v>
      </c>
      <c r="DM166" s="7">
        <f t="shared" si="1229"/>
        <v>0</v>
      </c>
      <c r="DN166" s="375">
        <f t="shared" si="1306"/>
        <v>0</v>
      </c>
      <c r="DO166" s="7">
        <f t="shared" si="1230"/>
        <v>0</v>
      </c>
      <c r="DP166" s="375">
        <f t="shared" si="1307"/>
        <v>0</v>
      </c>
      <c r="DQ166" s="7">
        <f t="shared" si="1231"/>
        <v>0</v>
      </c>
      <c r="DR166" s="375">
        <f t="shared" ref="DR166" si="1317">+DH166</f>
        <v>0</v>
      </c>
      <c r="DS166" s="7">
        <f t="shared" si="971"/>
        <v>0</v>
      </c>
      <c r="DT166" s="375">
        <f t="shared" si="1278"/>
        <v>0</v>
      </c>
      <c r="DU166" s="7">
        <f t="shared" si="998"/>
        <v>0</v>
      </c>
      <c r="DV166" s="375"/>
      <c r="DW166" s="7">
        <f t="shared" si="1232"/>
        <v>0</v>
      </c>
      <c r="DX166" s="375"/>
      <c r="DY166" s="7">
        <f t="shared" si="856"/>
        <v>0</v>
      </c>
      <c r="DZ166" s="375"/>
      <c r="EA166" s="7">
        <f t="shared" si="1233"/>
        <v>0</v>
      </c>
      <c r="EB166" s="375">
        <f t="shared" ref="EB166" si="1318">+DR166</f>
        <v>0</v>
      </c>
      <c r="EC166" s="7">
        <f t="shared" si="972"/>
        <v>0</v>
      </c>
      <c r="ED166" s="375">
        <f t="shared" si="1279"/>
        <v>0</v>
      </c>
      <c r="EE166" s="7">
        <f t="shared" si="999"/>
        <v>0</v>
      </c>
      <c r="EF166" s="375"/>
      <c r="EG166" s="7">
        <f t="shared" si="1234"/>
        <v>0</v>
      </c>
      <c r="EH166" s="375"/>
      <c r="EI166" s="7">
        <f t="shared" si="857"/>
        <v>0</v>
      </c>
      <c r="EJ166" s="375"/>
      <c r="EK166" s="7">
        <f t="shared" si="1235"/>
        <v>0</v>
      </c>
      <c r="EL166" s="375">
        <f>SUM(EL165)</f>
        <v>0</v>
      </c>
      <c r="EM166" s="7">
        <f t="shared" si="973"/>
        <v>0</v>
      </c>
      <c r="EN166" s="375">
        <f t="shared" si="1280"/>
        <v>0</v>
      </c>
      <c r="EO166" s="7">
        <f t="shared" si="1000"/>
        <v>0</v>
      </c>
      <c r="EP166" s="455"/>
      <c r="EQ166" s="373"/>
      <c r="ER166" s="455"/>
      <c r="ES166" s="373"/>
      <c r="ET166" s="375"/>
      <c r="EU166" s="7">
        <f t="shared" si="1236"/>
        <v>0</v>
      </c>
      <c r="EV166" s="375"/>
      <c r="EW166" s="7">
        <f t="shared" si="858"/>
        <v>0</v>
      </c>
      <c r="EX166" s="375"/>
      <c r="EY166" s="7">
        <f t="shared" si="1237"/>
        <v>0</v>
      </c>
      <c r="EZ166" s="375">
        <f t="shared" ref="EZ166" si="1319">+EL166</f>
        <v>0</v>
      </c>
      <c r="FA166" s="7">
        <f t="shared" si="974"/>
        <v>0</v>
      </c>
      <c r="FB166" s="375"/>
      <c r="FC166" s="7">
        <f t="shared" si="1238"/>
        <v>0</v>
      </c>
      <c r="FD166" s="375"/>
      <c r="FE166" s="7">
        <f t="shared" si="1222"/>
        <v>0</v>
      </c>
      <c r="FF166" s="375"/>
      <c r="FG166" s="7">
        <f t="shared" si="975"/>
        <v>0</v>
      </c>
      <c r="FH166" s="375">
        <f t="shared" ref="FH166" si="1320">+ET166</f>
        <v>0</v>
      </c>
      <c r="FI166" s="7">
        <f t="shared" si="976"/>
        <v>0</v>
      </c>
      <c r="FJ166" s="375">
        <f t="shared" si="1308"/>
        <v>0</v>
      </c>
      <c r="FK166" s="7">
        <f t="shared" si="1003"/>
        <v>0</v>
      </c>
      <c r="FL166" s="375"/>
      <c r="FM166" s="7">
        <f t="shared" si="1239"/>
        <v>0</v>
      </c>
      <c r="FN166" s="375"/>
      <c r="FO166" s="7">
        <f t="shared" si="977"/>
        <v>0</v>
      </c>
      <c r="FP166" s="375"/>
      <c r="FQ166" s="7">
        <f t="shared" si="978"/>
        <v>0</v>
      </c>
      <c r="FR166" s="375">
        <f t="shared" ref="FR166" si="1321">+FD166</f>
        <v>0</v>
      </c>
      <c r="FS166" s="7">
        <f t="shared" si="979"/>
        <v>0</v>
      </c>
      <c r="FT166" s="375">
        <f t="shared" si="1309"/>
        <v>0</v>
      </c>
      <c r="FU166" s="7">
        <f t="shared" si="1006"/>
        <v>0</v>
      </c>
      <c r="FV166" s="375"/>
      <c r="FW166" s="7">
        <f t="shared" si="1240"/>
        <v>0</v>
      </c>
      <c r="FX166" s="375"/>
      <c r="FY166" s="7">
        <f t="shared" si="980"/>
        <v>0</v>
      </c>
      <c r="FZ166" s="375"/>
      <c r="GA166" s="7">
        <f t="shared" si="981"/>
        <v>0</v>
      </c>
      <c r="GB166" s="375">
        <f t="shared" ref="GB166" si="1322">+FN166</f>
        <v>0</v>
      </c>
      <c r="GC166" s="7">
        <f t="shared" si="982"/>
        <v>0</v>
      </c>
      <c r="GD166" s="375">
        <f t="shared" si="1310"/>
        <v>0</v>
      </c>
      <c r="GE166" s="7">
        <f t="shared" si="1009"/>
        <v>0</v>
      </c>
      <c r="GF166" s="566">
        <f t="shared" si="1311"/>
        <v>0</v>
      </c>
      <c r="GG166" s="525">
        <f t="shared" si="983"/>
        <v>0</v>
      </c>
      <c r="GH166" s="528">
        <f t="shared" si="1312"/>
        <v>0</v>
      </c>
      <c r="GI166" s="525">
        <f t="shared" si="984"/>
        <v>0</v>
      </c>
      <c r="GJ166" s="528"/>
      <c r="GK166" s="525">
        <f t="shared" si="985"/>
        <v>0</v>
      </c>
      <c r="GL166" s="528">
        <f t="shared" si="1313"/>
        <v>0</v>
      </c>
      <c r="GM166" s="565">
        <f t="shared" si="1012"/>
        <v>0</v>
      </c>
      <c r="GO166" s="586"/>
      <c r="GQ166" s="586"/>
      <c r="GT166" s="551">
        <f t="shared" si="1166"/>
        <v>0</v>
      </c>
      <c r="GU166" s="551">
        <f t="shared" si="1015"/>
        <v>0</v>
      </c>
      <c r="GV166" s="550">
        <f t="shared" si="986"/>
        <v>0</v>
      </c>
      <c r="GW166" s="527"/>
      <c r="GX166" s="525">
        <f t="shared" si="1241"/>
        <v>0</v>
      </c>
      <c r="GY166" s="528"/>
      <c r="GZ166" s="525">
        <f t="shared" si="1242"/>
        <v>0</v>
      </c>
      <c r="HA166" s="528"/>
      <c r="HB166" s="526">
        <f t="shared" si="1243"/>
        <v>0</v>
      </c>
      <c r="HD166" s="527"/>
      <c r="HE166" s="525">
        <v>0</v>
      </c>
      <c r="HF166" s="528"/>
      <c r="HG166" s="525">
        <v>0</v>
      </c>
      <c r="HH166" s="528"/>
      <c r="HI166" s="526">
        <v>0</v>
      </c>
    </row>
    <row r="167" spans="1:217" ht="15" customHeight="1" outlineLevel="1">
      <c r="A167" s="386" t="s">
        <v>787</v>
      </c>
      <c r="B167" s="386" t="s">
        <v>153</v>
      </c>
      <c r="C167" s="389"/>
      <c r="D167" s="4"/>
      <c r="E167" s="389"/>
      <c r="F167" s="4"/>
      <c r="G167" s="389"/>
      <c r="H167" s="389"/>
      <c r="I167" s="4"/>
      <c r="J167" s="389"/>
      <c r="K167" s="389"/>
      <c r="L167" s="4"/>
      <c r="M167" s="389"/>
      <c r="N167" s="389"/>
      <c r="O167" s="4"/>
      <c r="P167" s="389">
        <f t="shared" si="869"/>
        <v>0</v>
      </c>
      <c r="Q167" s="389">
        <f t="shared" si="869"/>
        <v>0</v>
      </c>
      <c r="R167" s="7">
        <f t="shared" si="987"/>
        <v>0</v>
      </c>
      <c r="S167" s="389"/>
      <c r="T167" s="389"/>
      <c r="U167" s="4"/>
      <c r="V167" s="389"/>
      <c r="W167" s="389"/>
      <c r="X167" s="4"/>
      <c r="Y167" s="389"/>
      <c r="Z167" s="389"/>
      <c r="AA167" s="4"/>
      <c r="AB167" s="375">
        <f t="shared" si="1256"/>
        <v>0</v>
      </c>
      <c r="AC167" s="375">
        <f t="shared" si="1186"/>
        <v>0</v>
      </c>
      <c r="AD167" s="7">
        <f t="shared" si="988"/>
        <v>0</v>
      </c>
      <c r="AE167" s="375">
        <f t="shared" si="1257"/>
        <v>0</v>
      </c>
      <c r="AF167" s="375">
        <f t="shared" si="1258"/>
        <v>0</v>
      </c>
      <c r="AG167" s="4"/>
      <c r="AH167" s="389"/>
      <c r="AI167" s="389"/>
      <c r="AJ167" s="4"/>
      <c r="AK167" s="389"/>
      <c r="AL167" s="389"/>
      <c r="AM167" s="4"/>
      <c r="AN167" s="389"/>
      <c r="AO167" s="389"/>
      <c r="AP167" s="4"/>
      <c r="AQ167" s="375">
        <f t="shared" si="1291"/>
        <v>0</v>
      </c>
      <c r="AR167" s="375">
        <f t="shared" si="1292"/>
        <v>0</v>
      </c>
      <c r="AS167" s="7">
        <f t="shared" si="989"/>
        <v>0</v>
      </c>
      <c r="AT167" s="375">
        <f t="shared" si="1261"/>
        <v>0</v>
      </c>
      <c r="AU167" s="4"/>
      <c r="AV167" s="389"/>
      <c r="AW167" s="389"/>
      <c r="AX167" s="4"/>
      <c r="AY167" s="389"/>
      <c r="AZ167" s="389"/>
      <c r="BA167" s="4"/>
      <c r="BB167" s="389"/>
      <c r="BC167" s="389"/>
      <c r="BD167" s="448"/>
      <c r="BE167" s="375">
        <f t="shared" si="1293"/>
        <v>0</v>
      </c>
      <c r="BF167" s="375">
        <f t="shared" si="1294"/>
        <v>0</v>
      </c>
      <c r="BG167" s="7">
        <f t="shared" si="990"/>
        <v>0</v>
      </c>
      <c r="BH167" s="375">
        <f t="shared" ref="BH167" si="1323">Q167+AB167+AQ167+BE167</f>
        <v>0</v>
      </c>
      <c r="BI167" s="388">
        <f t="shared" ref="BI167" si="1324">Q167+AC167+AR167+BF167</f>
        <v>0</v>
      </c>
      <c r="BJ167" s="7">
        <f t="shared" si="991"/>
        <v>0</v>
      </c>
      <c r="BK167" s="375">
        <v>0</v>
      </c>
      <c r="BL167" s="282"/>
      <c r="BN167" s="375"/>
      <c r="BO167" s="4"/>
      <c r="BP167" s="375"/>
      <c r="BQ167" s="4"/>
      <c r="BR167" s="375"/>
      <c r="BS167" s="4"/>
      <c r="BT167" s="375"/>
      <c r="BU167" s="7">
        <f t="shared" si="992"/>
        <v>0</v>
      </c>
      <c r="BV167" s="375"/>
      <c r="BW167" s="7"/>
      <c r="BX167" s="375"/>
      <c r="BY167" s="7"/>
      <c r="BZ167" s="375">
        <f t="shared" si="1196"/>
        <v>0</v>
      </c>
      <c r="CA167" s="7"/>
      <c r="CB167" s="375">
        <f t="shared" si="1297"/>
        <v>0</v>
      </c>
      <c r="CC167" s="7">
        <f t="shared" si="1121"/>
        <v>0</v>
      </c>
      <c r="CD167" s="375">
        <f t="shared" si="1298"/>
        <v>0</v>
      </c>
      <c r="CE167" s="7">
        <f t="shared" si="993"/>
        <v>0</v>
      </c>
      <c r="CF167" s="375">
        <f t="shared" si="1299"/>
        <v>0</v>
      </c>
      <c r="CG167" s="7">
        <f t="shared" si="994"/>
        <v>0</v>
      </c>
      <c r="CH167" s="375">
        <f t="shared" si="1300"/>
        <v>0</v>
      </c>
      <c r="CI167" s="7">
        <f t="shared" si="994"/>
        <v>0</v>
      </c>
      <c r="CJ167" s="375">
        <f t="shared" si="1301"/>
        <v>0</v>
      </c>
      <c r="CK167" s="7">
        <f t="shared" si="994"/>
        <v>0</v>
      </c>
      <c r="CL167" s="375">
        <f>+CF167+CH167+CJ167</f>
        <v>0</v>
      </c>
      <c r="CM167" s="7">
        <f t="shared" si="994"/>
        <v>0</v>
      </c>
      <c r="CN167" s="375">
        <f t="shared" si="1200"/>
        <v>0</v>
      </c>
      <c r="CO167" s="7">
        <f t="shared" si="1223"/>
        <v>0</v>
      </c>
      <c r="CP167" s="375">
        <v>0</v>
      </c>
      <c r="CQ167" s="7">
        <f t="shared" si="967"/>
        <v>0</v>
      </c>
      <c r="CR167" s="375">
        <f t="shared" si="1201"/>
        <v>0</v>
      </c>
      <c r="CS167" s="7">
        <f t="shared" si="1224"/>
        <v>0</v>
      </c>
      <c r="CT167" s="375">
        <v>0</v>
      </c>
      <c r="CU167" s="7">
        <f t="shared" si="1221"/>
        <v>0</v>
      </c>
      <c r="CV167" s="375">
        <v>0</v>
      </c>
      <c r="CW167" s="7">
        <f t="shared" si="968"/>
        <v>0</v>
      </c>
      <c r="CX167" s="375">
        <f t="shared" si="1271"/>
        <v>0</v>
      </c>
      <c r="CY167" s="7">
        <f t="shared" si="969"/>
        <v>0</v>
      </c>
      <c r="CZ167" s="375">
        <f t="shared" si="1203"/>
        <v>0</v>
      </c>
      <c r="DA167" s="7">
        <f t="shared" si="997"/>
        <v>0</v>
      </c>
      <c r="DB167" s="375">
        <f t="shared" si="1302"/>
        <v>0</v>
      </c>
      <c r="DC167" s="7">
        <f t="shared" si="1225"/>
        <v>0</v>
      </c>
      <c r="DD167" s="375">
        <f t="shared" si="1303"/>
        <v>0</v>
      </c>
      <c r="DE167" s="7">
        <f t="shared" si="1226"/>
        <v>0</v>
      </c>
      <c r="DF167" s="375">
        <f t="shared" si="1304"/>
        <v>0</v>
      </c>
      <c r="DG167" s="7">
        <f t="shared" si="1227"/>
        <v>0</v>
      </c>
      <c r="DH167" s="375">
        <f>+DB167+DD167+DF167</f>
        <v>0</v>
      </c>
      <c r="DI167" s="7">
        <f t="shared" si="970"/>
        <v>0</v>
      </c>
      <c r="DJ167" s="375"/>
      <c r="DK167" s="7">
        <f t="shared" si="1228"/>
        <v>0</v>
      </c>
      <c r="DL167" s="375">
        <f t="shared" si="1305"/>
        <v>0</v>
      </c>
      <c r="DM167" s="7">
        <f t="shared" si="1229"/>
        <v>0</v>
      </c>
      <c r="DN167" s="375">
        <f t="shared" si="1306"/>
        <v>0</v>
      </c>
      <c r="DO167" s="7">
        <f t="shared" si="1230"/>
        <v>0</v>
      </c>
      <c r="DP167" s="375">
        <f t="shared" si="1307"/>
        <v>0</v>
      </c>
      <c r="DQ167" s="7">
        <f t="shared" si="1231"/>
        <v>0</v>
      </c>
      <c r="DR167" s="375">
        <f>+DL167+DN167+DP167</f>
        <v>0</v>
      </c>
      <c r="DS167" s="7">
        <f t="shared" si="971"/>
        <v>0</v>
      </c>
      <c r="DT167" s="375">
        <f t="shared" si="1278"/>
        <v>0</v>
      </c>
      <c r="DU167" s="7">
        <f t="shared" si="998"/>
        <v>0</v>
      </c>
      <c r="DV167" s="375"/>
      <c r="DW167" s="7">
        <f t="shared" si="1232"/>
        <v>0</v>
      </c>
      <c r="DX167" s="375"/>
      <c r="DY167" s="7">
        <f t="shared" si="856"/>
        <v>0</v>
      </c>
      <c r="DZ167" s="375"/>
      <c r="EA167" s="7">
        <f t="shared" si="1233"/>
        <v>0</v>
      </c>
      <c r="EB167" s="375">
        <f>+DV167+DX167+DZ167</f>
        <v>0</v>
      </c>
      <c r="EC167" s="7">
        <f t="shared" si="972"/>
        <v>0</v>
      </c>
      <c r="ED167" s="375">
        <f t="shared" si="1279"/>
        <v>0</v>
      </c>
      <c r="EE167" s="7">
        <f t="shared" si="999"/>
        <v>0</v>
      </c>
      <c r="EF167" s="375"/>
      <c r="EG167" s="7">
        <f t="shared" si="1234"/>
        <v>0</v>
      </c>
      <c r="EH167" s="375"/>
      <c r="EI167" s="7">
        <f t="shared" si="857"/>
        <v>0</v>
      </c>
      <c r="EJ167" s="375"/>
      <c r="EK167" s="7">
        <f t="shared" si="1235"/>
        <v>0</v>
      </c>
      <c r="EL167" s="375">
        <f>+EF167+EH167+EJ167</f>
        <v>0</v>
      </c>
      <c r="EM167" s="7">
        <f t="shared" si="973"/>
        <v>0</v>
      </c>
      <c r="EN167" s="375">
        <f t="shared" si="1280"/>
        <v>0</v>
      </c>
      <c r="EO167" s="7">
        <f t="shared" si="1000"/>
        <v>0</v>
      </c>
      <c r="EP167" s="455"/>
      <c r="EQ167" s="373"/>
      <c r="ER167" s="455"/>
      <c r="ES167" s="373"/>
      <c r="ET167" s="375"/>
      <c r="EU167" s="7">
        <f t="shared" si="1236"/>
        <v>0</v>
      </c>
      <c r="EV167" s="375"/>
      <c r="EW167" s="7">
        <f t="shared" si="858"/>
        <v>0</v>
      </c>
      <c r="EX167" s="375"/>
      <c r="EY167" s="7">
        <f t="shared" si="1237"/>
        <v>0</v>
      </c>
      <c r="EZ167" s="375">
        <f>+ET167+EV167+EX167</f>
        <v>0</v>
      </c>
      <c r="FA167" s="7">
        <f t="shared" si="974"/>
        <v>0</v>
      </c>
      <c r="FB167" s="375"/>
      <c r="FC167" s="7">
        <f t="shared" si="1238"/>
        <v>0</v>
      </c>
      <c r="FD167" s="375"/>
      <c r="FE167" s="7">
        <f t="shared" si="1222"/>
        <v>0</v>
      </c>
      <c r="FF167" s="375"/>
      <c r="FG167" s="7">
        <f t="shared" si="975"/>
        <v>0</v>
      </c>
      <c r="FH167" s="375">
        <f>+FB167+FD167+FF167</f>
        <v>0</v>
      </c>
      <c r="FI167" s="7">
        <f t="shared" si="976"/>
        <v>0</v>
      </c>
      <c r="FJ167" s="375">
        <f t="shared" si="1308"/>
        <v>0</v>
      </c>
      <c r="FK167" s="7">
        <f t="shared" si="1003"/>
        <v>0</v>
      </c>
      <c r="FL167" s="375"/>
      <c r="FM167" s="7">
        <f t="shared" si="1239"/>
        <v>0</v>
      </c>
      <c r="FN167" s="375"/>
      <c r="FO167" s="7">
        <f t="shared" si="977"/>
        <v>0</v>
      </c>
      <c r="FP167" s="375"/>
      <c r="FQ167" s="7">
        <f t="shared" si="978"/>
        <v>0</v>
      </c>
      <c r="FR167" s="375">
        <f>+FL167+FN167+FP167</f>
        <v>0</v>
      </c>
      <c r="FS167" s="7">
        <f t="shared" si="979"/>
        <v>0</v>
      </c>
      <c r="FT167" s="375">
        <f t="shared" si="1309"/>
        <v>0</v>
      </c>
      <c r="FU167" s="7">
        <f t="shared" si="1006"/>
        <v>0</v>
      </c>
      <c r="FV167" s="375"/>
      <c r="FW167" s="7">
        <f t="shared" si="1240"/>
        <v>0</v>
      </c>
      <c r="FX167" s="375"/>
      <c r="FY167" s="7">
        <f t="shared" si="980"/>
        <v>0</v>
      </c>
      <c r="FZ167" s="375"/>
      <c r="GA167" s="7">
        <f t="shared" si="981"/>
        <v>0</v>
      </c>
      <c r="GB167" s="375">
        <f>+FV167+FX167+FZ167</f>
        <v>0</v>
      </c>
      <c r="GC167" s="7">
        <f t="shared" si="982"/>
        <v>0</v>
      </c>
      <c r="GD167" s="375">
        <f t="shared" si="1310"/>
        <v>0</v>
      </c>
      <c r="GE167" s="7">
        <f t="shared" si="1009"/>
        <v>0</v>
      </c>
      <c r="GF167" s="566">
        <f t="shared" si="1311"/>
        <v>0</v>
      </c>
      <c r="GG167" s="525">
        <f t="shared" si="983"/>
        <v>0</v>
      </c>
      <c r="GH167" s="528">
        <f t="shared" si="1312"/>
        <v>0</v>
      </c>
      <c r="GI167" s="525">
        <f t="shared" si="984"/>
        <v>0</v>
      </c>
      <c r="GJ167" s="528"/>
      <c r="GK167" s="525">
        <f t="shared" si="985"/>
        <v>0</v>
      </c>
      <c r="GL167" s="528">
        <f t="shared" si="1313"/>
        <v>0</v>
      </c>
      <c r="GM167" s="565">
        <f t="shared" si="1012"/>
        <v>0</v>
      </c>
      <c r="GO167" s="586"/>
      <c r="GQ167" s="586"/>
      <c r="GT167" s="551">
        <f t="shared" si="1166"/>
        <v>0</v>
      </c>
      <c r="GU167" s="551">
        <f t="shared" si="1015"/>
        <v>0</v>
      </c>
      <c r="GV167" s="550">
        <f t="shared" si="986"/>
        <v>0</v>
      </c>
      <c r="GW167" s="527"/>
      <c r="GX167" s="525">
        <f t="shared" si="1241"/>
        <v>0</v>
      </c>
      <c r="GY167" s="528"/>
      <c r="GZ167" s="525">
        <f t="shared" si="1242"/>
        <v>0</v>
      </c>
      <c r="HA167" s="528"/>
      <c r="HB167" s="526">
        <f t="shared" si="1243"/>
        <v>0</v>
      </c>
      <c r="HD167" s="527"/>
      <c r="HE167" s="525">
        <v>0</v>
      </c>
      <c r="HF167" s="528"/>
      <c r="HG167" s="525">
        <v>0</v>
      </c>
      <c r="HH167" s="528"/>
      <c r="HI167" s="526">
        <v>0</v>
      </c>
    </row>
    <row r="168" spans="1:217" ht="15" customHeight="1" outlineLevel="1">
      <c r="A168" s="386" t="s">
        <v>787</v>
      </c>
      <c r="B168" s="386"/>
      <c r="C168" s="389">
        <f>SUM(C167)</f>
        <v>0</v>
      </c>
      <c r="D168" s="4"/>
      <c r="E168" s="389">
        <f>SUM(E167)</f>
        <v>0</v>
      </c>
      <c r="F168" s="4"/>
      <c r="G168" s="389">
        <f>SUM(G167)</f>
        <v>0</v>
      </c>
      <c r="H168" s="389">
        <f>SUM(H167)</f>
        <v>0</v>
      </c>
      <c r="I168" s="4"/>
      <c r="J168" s="389">
        <f>SUM(J167)</f>
        <v>0</v>
      </c>
      <c r="K168" s="389">
        <f>SUM(K167)</f>
        <v>0</v>
      </c>
      <c r="L168" s="4"/>
      <c r="M168" s="389">
        <f>SUM(M167)</f>
        <v>0</v>
      </c>
      <c r="N168" s="389">
        <f>SUM(N167)</f>
        <v>0</v>
      </c>
      <c r="O168" s="4"/>
      <c r="P168" s="389">
        <f t="shared" si="869"/>
        <v>0</v>
      </c>
      <c r="Q168" s="389">
        <f t="shared" si="869"/>
        <v>0</v>
      </c>
      <c r="R168" s="7">
        <f t="shared" si="987"/>
        <v>0</v>
      </c>
      <c r="S168" s="389">
        <f>SUM(S167)</f>
        <v>0</v>
      </c>
      <c r="T168" s="389">
        <f>SUM(T167)</f>
        <v>0</v>
      </c>
      <c r="U168" s="4"/>
      <c r="V168" s="389">
        <f>SUM(V167)</f>
        <v>0</v>
      </c>
      <c r="W168" s="389">
        <f>SUM(W167)</f>
        <v>0</v>
      </c>
      <c r="X168" s="4"/>
      <c r="Y168" s="389">
        <f>SUM(Y167)</f>
        <v>0</v>
      </c>
      <c r="Z168" s="389">
        <f>SUM(Z167)</f>
        <v>0</v>
      </c>
      <c r="AA168" s="4"/>
      <c r="AB168" s="375">
        <f t="shared" si="1256"/>
        <v>0</v>
      </c>
      <c r="AC168" s="375">
        <f t="shared" si="1186"/>
        <v>0</v>
      </c>
      <c r="AD168" s="7">
        <f t="shared" si="988"/>
        <v>0</v>
      </c>
      <c r="AE168" s="375">
        <f t="shared" si="1257"/>
        <v>0</v>
      </c>
      <c r="AF168" s="375">
        <f t="shared" si="1258"/>
        <v>0</v>
      </c>
      <c r="AG168" s="4"/>
      <c r="AH168" s="389">
        <f>SUM(AH167)</f>
        <v>0</v>
      </c>
      <c r="AI168" s="389">
        <f>SUM(AI167)</f>
        <v>0</v>
      </c>
      <c r="AJ168" s="4"/>
      <c r="AK168" s="389">
        <f>SUM(AK167)</f>
        <v>0</v>
      </c>
      <c r="AL168" s="389">
        <f>SUM(AL167)</f>
        <v>0</v>
      </c>
      <c r="AM168" s="4"/>
      <c r="AN168" s="389">
        <f>SUM(AN167)</f>
        <v>0</v>
      </c>
      <c r="AO168" s="389">
        <f>SUM(AO167)</f>
        <v>0</v>
      </c>
      <c r="AP168" s="4"/>
      <c r="AQ168" s="375">
        <f t="shared" si="1291"/>
        <v>0</v>
      </c>
      <c r="AR168" s="375">
        <f t="shared" si="1292"/>
        <v>0</v>
      </c>
      <c r="AS168" s="7">
        <f t="shared" si="989"/>
        <v>0</v>
      </c>
      <c r="AT168" s="375">
        <f t="shared" si="1261"/>
        <v>0</v>
      </c>
      <c r="AU168" s="4"/>
      <c r="AV168" s="389">
        <f>SUM(AV167)</f>
        <v>0</v>
      </c>
      <c r="AW168" s="389">
        <f>SUM(AW167)</f>
        <v>0</v>
      </c>
      <c r="AX168" s="4"/>
      <c r="AY168" s="389">
        <f>SUM(AY167)</f>
        <v>0</v>
      </c>
      <c r="AZ168" s="389">
        <f>SUM(AZ167)</f>
        <v>0</v>
      </c>
      <c r="BA168" s="4"/>
      <c r="BB168" s="389">
        <f>SUM(BB167)</f>
        <v>0</v>
      </c>
      <c r="BC168" s="389">
        <f>SUM(BC167)</f>
        <v>0</v>
      </c>
      <c r="BD168" s="448"/>
      <c r="BE168" s="375">
        <f t="shared" si="1293"/>
        <v>0</v>
      </c>
      <c r="BF168" s="375">
        <f t="shared" si="1294"/>
        <v>0</v>
      </c>
      <c r="BG168" s="7">
        <f t="shared" si="990"/>
        <v>0</v>
      </c>
      <c r="BH168" s="375">
        <f t="shared" si="1314"/>
        <v>0</v>
      </c>
      <c r="BI168" s="388">
        <f t="shared" si="1315"/>
        <v>0</v>
      </c>
      <c r="BJ168" s="7">
        <f t="shared" si="991"/>
        <v>0</v>
      </c>
      <c r="BK168" s="389">
        <v>0</v>
      </c>
      <c r="BL168" s="282"/>
      <c r="BN168" s="375"/>
      <c r="BO168" s="4"/>
      <c r="BP168" s="375"/>
      <c r="BQ168" s="4"/>
      <c r="BR168" s="375"/>
      <c r="BS168" s="4"/>
      <c r="BT168" s="375"/>
      <c r="BU168" s="7">
        <f t="shared" si="992"/>
        <v>0</v>
      </c>
      <c r="BV168" s="375"/>
      <c r="BW168" s="7"/>
      <c r="BX168" s="375"/>
      <c r="BY168" s="7"/>
      <c r="BZ168" s="375">
        <f t="shared" si="1196"/>
        <v>0</v>
      </c>
      <c r="CA168" s="7"/>
      <c r="CB168" s="375">
        <f t="shared" si="1297"/>
        <v>0</v>
      </c>
      <c r="CC168" s="7">
        <f t="shared" si="1121"/>
        <v>0</v>
      </c>
      <c r="CD168" s="375">
        <f t="shared" si="1298"/>
        <v>0</v>
      </c>
      <c r="CE168" s="7">
        <f t="shared" si="993"/>
        <v>0</v>
      </c>
      <c r="CF168" s="375">
        <f t="shared" si="1299"/>
        <v>0</v>
      </c>
      <c r="CG168" s="7">
        <f t="shared" si="994"/>
        <v>0</v>
      </c>
      <c r="CH168" s="375">
        <f t="shared" si="1300"/>
        <v>0</v>
      </c>
      <c r="CI168" s="7">
        <f t="shared" si="994"/>
        <v>0</v>
      </c>
      <c r="CJ168" s="375">
        <f t="shared" si="1301"/>
        <v>0</v>
      </c>
      <c r="CK168" s="7">
        <f t="shared" si="994"/>
        <v>0</v>
      </c>
      <c r="CL168" s="375">
        <f t="shared" si="1285"/>
        <v>0</v>
      </c>
      <c r="CM168" s="7">
        <f t="shared" si="994"/>
        <v>0</v>
      </c>
      <c r="CN168" s="375">
        <f t="shared" si="1200"/>
        <v>0</v>
      </c>
      <c r="CO168" s="7">
        <f t="shared" si="1223"/>
        <v>0</v>
      </c>
      <c r="CP168" s="375">
        <v>0</v>
      </c>
      <c r="CQ168" s="7">
        <f t="shared" si="967"/>
        <v>0</v>
      </c>
      <c r="CR168" s="375">
        <f t="shared" si="1201"/>
        <v>0</v>
      </c>
      <c r="CS168" s="7">
        <f t="shared" si="1224"/>
        <v>0</v>
      </c>
      <c r="CT168" s="375">
        <v>0</v>
      </c>
      <c r="CU168" s="7">
        <f t="shared" si="1221"/>
        <v>0</v>
      </c>
      <c r="CV168" s="375">
        <v>0</v>
      </c>
      <c r="CW168" s="7">
        <f t="shared" si="968"/>
        <v>0</v>
      </c>
      <c r="CX168" s="375">
        <f t="shared" si="1271"/>
        <v>0</v>
      </c>
      <c r="CY168" s="7">
        <f t="shared" si="969"/>
        <v>0</v>
      </c>
      <c r="CZ168" s="375">
        <f t="shared" si="1203"/>
        <v>0</v>
      </c>
      <c r="DA168" s="7">
        <f t="shared" si="997"/>
        <v>0</v>
      </c>
      <c r="DB168" s="375">
        <f t="shared" si="1302"/>
        <v>0</v>
      </c>
      <c r="DC168" s="7">
        <f t="shared" si="1225"/>
        <v>0</v>
      </c>
      <c r="DD168" s="375">
        <f t="shared" si="1303"/>
        <v>0</v>
      </c>
      <c r="DE168" s="7">
        <f t="shared" si="1226"/>
        <v>0</v>
      </c>
      <c r="DF168" s="375">
        <f>+CZ168+DB168+DD168</f>
        <v>0</v>
      </c>
      <c r="DG168" s="7">
        <f t="shared" si="1227"/>
        <v>0</v>
      </c>
      <c r="DH168" s="375">
        <f t="shared" ref="DH168" si="1325">+CX168</f>
        <v>0</v>
      </c>
      <c r="DI168" s="7">
        <f t="shared" si="970"/>
        <v>0</v>
      </c>
      <c r="DJ168" s="375">
        <f>SUM(DJ167)</f>
        <v>0</v>
      </c>
      <c r="DK168" s="7">
        <f t="shared" si="1228"/>
        <v>0</v>
      </c>
      <c r="DL168" s="375">
        <f>+DF168+DH168+DJ168</f>
        <v>0</v>
      </c>
      <c r="DM168" s="7">
        <f t="shared" si="1229"/>
        <v>0</v>
      </c>
      <c r="DN168" s="375">
        <f>+DH168+DJ168+DL168</f>
        <v>0</v>
      </c>
      <c r="DO168" s="7">
        <f t="shared" si="1230"/>
        <v>0</v>
      </c>
      <c r="DP168" s="375">
        <f>+DJ168+DL168+DN168</f>
        <v>0</v>
      </c>
      <c r="DQ168" s="7">
        <f t="shared" si="1231"/>
        <v>0</v>
      </c>
      <c r="DR168" s="375">
        <f t="shared" ref="DR168" si="1326">+DH168</f>
        <v>0</v>
      </c>
      <c r="DS168" s="7">
        <f t="shared" si="971"/>
        <v>0</v>
      </c>
      <c r="DT168" s="375">
        <f t="shared" si="1278"/>
        <v>0</v>
      </c>
      <c r="DU168" s="7">
        <f t="shared" si="998"/>
        <v>0</v>
      </c>
      <c r="DV168" s="375"/>
      <c r="DW168" s="7">
        <f t="shared" si="1232"/>
        <v>0</v>
      </c>
      <c r="DX168" s="375"/>
      <c r="DY168" s="7">
        <f t="shared" si="856"/>
        <v>0</v>
      </c>
      <c r="DZ168" s="375"/>
      <c r="EA168" s="7">
        <f t="shared" si="1233"/>
        <v>0</v>
      </c>
      <c r="EB168" s="375">
        <f t="shared" ref="EB168" si="1327">+DR168</f>
        <v>0</v>
      </c>
      <c r="EC168" s="7">
        <f t="shared" si="972"/>
        <v>0</v>
      </c>
      <c r="ED168" s="375">
        <f t="shared" si="1279"/>
        <v>0</v>
      </c>
      <c r="EE168" s="7">
        <f t="shared" si="999"/>
        <v>0</v>
      </c>
      <c r="EF168" s="375"/>
      <c r="EG168" s="7">
        <f t="shared" si="1234"/>
        <v>0</v>
      </c>
      <c r="EH168" s="375"/>
      <c r="EI168" s="7">
        <f t="shared" si="857"/>
        <v>0</v>
      </c>
      <c r="EJ168" s="375"/>
      <c r="EK168" s="7">
        <f t="shared" si="1235"/>
        <v>0</v>
      </c>
      <c r="EL168" s="375">
        <f>SUM(EL167)</f>
        <v>0</v>
      </c>
      <c r="EM168" s="7">
        <f t="shared" si="973"/>
        <v>0</v>
      </c>
      <c r="EN168" s="375">
        <f t="shared" si="1280"/>
        <v>0</v>
      </c>
      <c r="EO168" s="7">
        <f t="shared" si="1000"/>
        <v>0</v>
      </c>
      <c r="EP168" s="455"/>
      <c r="EQ168" s="373"/>
      <c r="ER168" s="455"/>
      <c r="ES168" s="373"/>
      <c r="ET168" s="375"/>
      <c r="EU168" s="7">
        <f t="shared" si="1236"/>
        <v>0</v>
      </c>
      <c r="EV168" s="375"/>
      <c r="EW168" s="7">
        <f t="shared" si="858"/>
        <v>0</v>
      </c>
      <c r="EX168" s="375"/>
      <c r="EY168" s="7">
        <f t="shared" si="1237"/>
        <v>0</v>
      </c>
      <c r="EZ168" s="375">
        <f t="shared" ref="EZ168" si="1328">+EL168</f>
        <v>0</v>
      </c>
      <c r="FA168" s="7">
        <f t="shared" si="974"/>
        <v>0</v>
      </c>
      <c r="FB168" s="375"/>
      <c r="FC168" s="7">
        <f t="shared" si="1238"/>
        <v>0</v>
      </c>
      <c r="FD168" s="375"/>
      <c r="FE168" s="7">
        <f t="shared" si="1222"/>
        <v>0</v>
      </c>
      <c r="FF168" s="375"/>
      <c r="FG168" s="7">
        <f t="shared" si="975"/>
        <v>0</v>
      </c>
      <c r="FH168" s="375">
        <f t="shared" ref="FH168" si="1329">+ET168</f>
        <v>0</v>
      </c>
      <c r="FI168" s="7">
        <f t="shared" si="976"/>
        <v>0</v>
      </c>
      <c r="FJ168" s="375">
        <f t="shared" si="1308"/>
        <v>0</v>
      </c>
      <c r="FK168" s="7">
        <f t="shared" si="1003"/>
        <v>0</v>
      </c>
      <c r="FL168" s="375"/>
      <c r="FM168" s="7">
        <f t="shared" si="1239"/>
        <v>0</v>
      </c>
      <c r="FN168" s="375"/>
      <c r="FO168" s="7">
        <f t="shared" si="977"/>
        <v>0</v>
      </c>
      <c r="FP168" s="375"/>
      <c r="FQ168" s="7">
        <f t="shared" si="978"/>
        <v>0</v>
      </c>
      <c r="FR168" s="375">
        <f t="shared" ref="FR168" si="1330">+FD168</f>
        <v>0</v>
      </c>
      <c r="FS168" s="7">
        <f t="shared" si="979"/>
        <v>0</v>
      </c>
      <c r="FT168" s="375">
        <f t="shared" si="1309"/>
        <v>0</v>
      </c>
      <c r="FU168" s="7">
        <f t="shared" si="1006"/>
        <v>0</v>
      </c>
      <c r="FV168" s="375"/>
      <c r="FW168" s="7">
        <f t="shared" si="1240"/>
        <v>0</v>
      </c>
      <c r="FX168" s="375"/>
      <c r="FY168" s="7">
        <f t="shared" si="980"/>
        <v>0</v>
      </c>
      <c r="FZ168" s="375"/>
      <c r="GA168" s="7">
        <f t="shared" si="981"/>
        <v>0</v>
      </c>
      <c r="GB168" s="375">
        <f t="shared" ref="GB168" si="1331">+FN168</f>
        <v>0</v>
      </c>
      <c r="GC168" s="7">
        <f t="shared" si="982"/>
        <v>0</v>
      </c>
      <c r="GD168" s="375">
        <f t="shared" si="1310"/>
        <v>0</v>
      </c>
      <c r="GE168" s="7">
        <f t="shared" si="1009"/>
        <v>0</v>
      </c>
      <c r="GF168" s="566">
        <f t="shared" si="1311"/>
        <v>0</v>
      </c>
      <c r="GG168" s="525">
        <f t="shared" si="983"/>
        <v>0</v>
      </c>
      <c r="GH168" s="528">
        <f t="shared" si="1312"/>
        <v>0</v>
      </c>
      <c r="GI168" s="525">
        <f t="shared" si="984"/>
        <v>0</v>
      </c>
      <c r="GJ168" s="528"/>
      <c r="GK168" s="525">
        <f t="shared" si="985"/>
        <v>0</v>
      </c>
      <c r="GL168" s="528">
        <f t="shared" si="1313"/>
        <v>0</v>
      </c>
      <c r="GM168" s="565">
        <f t="shared" si="1012"/>
        <v>0</v>
      </c>
      <c r="GO168" s="586"/>
      <c r="GQ168" s="586"/>
      <c r="GT168" s="551">
        <f t="shared" si="1166"/>
        <v>0</v>
      </c>
      <c r="GU168" s="551">
        <f t="shared" si="1015"/>
        <v>0</v>
      </c>
      <c r="GV168" s="550">
        <f t="shared" si="986"/>
        <v>0</v>
      </c>
      <c r="GW168" s="527"/>
      <c r="GX168" s="525">
        <f t="shared" si="1241"/>
        <v>0</v>
      </c>
      <c r="GY168" s="528"/>
      <c r="GZ168" s="525">
        <f t="shared" si="1242"/>
        <v>0</v>
      </c>
      <c r="HA168" s="528"/>
      <c r="HB168" s="526">
        <f t="shared" si="1243"/>
        <v>0</v>
      </c>
      <c r="HD168" s="527"/>
      <c r="HE168" s="525">
        <v>0</v>
      </c>
      <c r="HF168" s="528"/>
      <c r="HG168" s="525">
        <v>0</v>
      </c>
      <c r="HH168" s="528"/>
      <c r="HI168" s="526">
        <v>0</v>
      </c>
    </row>
    <row r="169" spans="1:217" ht="15" customHeight="1" outlineLevel="1">
      <c r="A169" s="386" t="s">
        <v>788</v>
      </c>
      <c r="B169" s="386" t="s">
        <v>155</v>
      </c>
      <c r="C169" s="375">
        <v>4450000</v>
      </c>
      <c r="D169" s="4"/>
      <c r="E169" s="375">
        <v>2759799.87</v>
      </c>
      <c r="F169" s="4"/>
      <c r="G169" s="375"/>
      <c r="H169" s="375">
        <v>-1026341</v>
      </c>
      <c r="I169" s="4"/>
      <c r="J169" s="375"/>
      <c r="K169" s="375">
        <v>402419.67</v>
      </c>
      <c r="L169" s="4"/>
      <c r="M169" s="375"/>
      <c r="N169" s="375">
        <v>-2284566.5499999998</v>
      </c>
      <c r="O169" s="4"/>
      <c r="P169" s="375">
        <f t="shared" si="869"/>
        <v>0</v>
      </c>
      <c r="Q169" s="375">
        <f t="shared" si="869"/>
        <v>-2908487.88</v>
      </c>
      <c r="R169" s="7">
        <f t="shared" si="987"/>
        <v>-7.9973649484199688E-2</v>
      </c>
      <c r="S169" s="375">
        <v>1891607.96</v>
      </c>
      <c r="T169" s="375">
        <v>1891607.96</v>
      </c>
      <c r="U169" s="4"/>
      <c r="V169" s="375">
        <v>1229941.24</v>
      </c>
      <c r="W169" s="375">
        <v>1229941.24</v>
      </c>
      <c r="X169" s="4"/>
      <c r="Y169" s="375">
        <v>-2403542</v>
      </c>
      <c r="Z169" s="375">
        <f>-2403242-300</f>
        <v>-2403542</v>
      </c>
      <c r="AA169" s="4"/>
      <c r="AB169" s="375">
        <f>+T169+V169+Y169</f>
        <v>718007.20000000019</v>
      </c>
      <c r="AC169" s="375">
        <f t="shared" si="1186"/>
        <v>718007.20000000019</v>
      </c>
      <c r="AD169" s="7">
        <f t="shared" si="988"/>
        <v>1.935990207089653E-2</v>
      </c>
      <c r="AE169" s="375">
        <f t="shared" si="1257"/>
        <v>-2190480.6799999997</v>
      </c>
      <c r="AF169" s="375">
        <f t="shared" si="1258"/>
        <v>-2190480.6799999997</v>
      </c>
      <c r="AG169" s="4"/>
      <c r="AH169" s="375">
        <v>233023.42</v>
      </c>
      <c r="AI169" s="375">
        <v>233023.42</v>
      </c>
      <c r="AJ169" s="4"/>
      <c r="AK169" s="375">
        <v>-508729.18</v>
      </c>
      <c r="AL169" s="375">
        <v>-510667.26</v>
      </c>
      <c r="AM169" s="4"/>
      <c r="AN169" s="375">
        <v>-1335746.6299999999</v>
      </c>
      <c r="AO169" s="375">
        <v>-1333811.3999999999</v>
      </c>
      <c r="AP169" s="4"/>
      <c r="AQ169" s="375">
        <f t="shared" si="1291"/>
        <v>-1611452.39</v>
      </c>
      <c r="AR169" s="375">
        <f t="shared" si="1292"/>
        <v>-1611455.24</v>
      </c>
      <c r="AS169" s="7">
        <f t="shared" si="989"/>
        <v>-6.0529500734727792E-2</v>
      </c>
      <c r="AT169" s="375">
        <f t="shared" si="1261"/>
        <v>-3801935.92</v>
      </c>
      <c r="AU169" s="4"/>
      <c r="AV169" s="375">
        <v>80992.08</v>
      </c>
      <c r="AW169" s="375">
        <v>-184492.08</v>
      </c>
      <c r="AX169" s="4"/>
      <c r="AY169" s="375">
        <v>80992.08</v>
      </c>
      <c r="AZ169" s="375">
        <v>-1416111.24</v>
      </c>
      <c r="BA169" s="4"/>
      <c r="BB169" s="375"/>
      <c r="BC169" s="375">
        <v>-35270.660000000003</v>
      </c>
      <c r="BD169" s="448"/>
      <c r="BE169" s="375">
        <f t="shared" si="1293"/>
        <v>161984.16</v>
      </c>
      <c r="BF169" s="375">
        <f t="shared" si="1294"/>
        <v>-1635873.98</v>
      </c>
      <c r="BG169" s="7">
        <f t="shared" si="990"/>
        <v>-5.2098449214626953E-2</v>
      </c>
      <c r="BH169" s="375">
        <f t="shared" ref="BH169" si="1332">Q169+AB169+AQ169+BE169</f>
        <v>-3639948.9099999992</v>
      </c>
      <c r="BI169" s="388">
        <f t="shared" ref="BI169" si="1333">Q169+AC169+AR169+BF169</f>
        <v>-5437809.9000000004</v>
      </c>
      <c r="BJ169" s="7">
        <f t="shared" si="991"/>
        <v>-4.135917291905937E-2</v>
      </c>
      <c r="BK169" s="375">
        <v>-1000000</v>
      </c>
      <c r="BL169" s="282"/>
      <c r="BN169" s="375">
        <v>-603877.51</v>
      </c>
      <c r="BO169" s="4"/>
      <c r="BP169" s="375">
        <v>-146587.53</v>
      </c>
      <c r="BQ169" s="4"/>
      <c r="BR169" s="389">
        <v>2785841.89</v>
      </c>
      <c r="BS169" s="4"/>
      <c r="BT169" s="375">
        <f t="shared" ref="BT169" si="1334">SUM(BN169:BS169)</f>
        <v>2035376.85</v>
      </c>
      <c r="BU169" s="7">
        <f t="shared" si="992"/>
        <v>3.7542341102856418E-2</v>
      </c>
      <c r="BV169" s="389">
        <v>-1609775.5</v>
      </c>
      <c r="BW169" s="7"/>
      <c r="BX169" s="389">
        <v>1653536.81</v>
      </c>
      <c r="BY169" s="7"/>
      <c r="BZ169" s="375">
        <v>-715117.05</v>
      </c>
      <c r="CA169" s="7"/>
      <c r="CB169" s="375">
        <f t="shared" si="1297"/>
        <v>-671355.74</v>
      </c>
      <c r="CC169" s="7">
        <f t="shared" si="1121"/>
        <v>-1.960565206488997E-2</v>
      </c>
      <c r="CD169" s="375">
        <f>BT169+CB169</f>
        <v>1364021.11</v>
      </c>
      <c r="CE169" s="7">
        <f t="shared" si="993"/>
        <v>1.5419903817080121E-2</v>
      </c>
      <c r="CF169" s="375">
        <v>-754571.09</v>
      </c>
      <c r="CG169" s="7">
        <f t="shared" si="994"/>
        <v>-0.14939356184903729</v>
      </c>
      <c r="CH169" s="375">
        <v>-664190.09</v>
      </c>
      <c r="CI169" s="7">
        <f t="shared" si="994"/>
        <v>-1.7912252702755063E-2</v>
      </c>
      <c r="CJ169" s="375">
        <v>-1115911.6599999999</v>
      </c>
      <c r="CK169" s="7">
        <f t="shared" si="994"/>
        <v>-3.9624327040709617E-2</v>
      </c>
      <c r="CL169" s="375">
        <f>+CF169+CH169+CJ169</f>
        <v>-2534672.84</v>
      </c>
      <c r="CM169" s="7">
        <f t="shared" si="994"/>
        <v>-3.6058480123167036E-2</v>
      </c>
      <c r="CN169" s="375">
        <f t="shared" si="1200"/>
        <v>-1170651.7299999997</v>
      </c>
      <c r="CO169" s="7">
        <f t="shared" si="1223"/>
        <v>-7.3740976509281807E-3</v>
      </c>
      <c r="CP169" s="472">
        <v>13682974.24</v>
      </c>
      <c r="CQ169" s="7">
        <f t="shared" ref="CQ169:CQ177" si="1335">+CP169/CP$8</f>
        <v>0.69846389684800314</v>
      </c>
      <c r="CR169" s="375">
        <f>+CN169+CP169</f>
        <v>12512322.51</v>
      </c>
      <c r="CS169" s="7">
        <f t="shared" si="1224"/>
        <v>7.0159163502528321E-2</v>
      </c>
      <c r="CT169" s="375">
        <v>1421750.41</v>
      </c>
      <c r="CU169" s="7">
        <f t="shared" si="1221"/>
        <v>9.0761932571571155E-2</v>
      </c>
      <c r="CV169" s="375">
        <v>7173153.1500000004</v>
      </c>
      <c r="CW169" s="7">
        <f>+CV169/CV$8</f>
        <v>0.11464028629651594</v>
      </c>
      <c r="CX169" s="375">
        <f t="shared" si="1271"/>
        <v>22277877.800000001</v>
      </c>
      <c r="CY169" s="7">
        <f t="shared" ref="CY169:CY177" si="1336">+CX169/CX$8</f>
        <v>0.22773038812535298</v>
      </c>
      <c r="CZ169" s="375">
        <f t="shared" si="1203"/>
        <v>21107226.07</v>
      </c>
      <c r="DA169" s="7">
        <f t="shared" si="997"/>
        <v>8.2264514489104129E-2</v>
      </c>
      <c r="DB169" s="375">
        <v>23020187.530000001</v>
      </c>
      <c r="DC169" s="7">
        <f t="shared" si="1225"/>
        <v>1.1991986670758059</v>
      </c>
      <c r="DD169" s="375">
        <v>551423.68999999994</v>
      </c>
      <c r="DE169" s="7">
        <f t="shared" si="1226"/>
        <v>2.1235384393058665E-2</v>
      </c>
      <c r="DF169" s="72">
        <v>2631214.5</v>
      </c>
      <c r="DG169" s="7">
        <f t="shared" si="1227"/>
        <v>8.4822621355624114E-2</v>
      </c>
      <c r="DH169" s="375">
        <f>+DB169+DD169+DF169</f>
        <v>26202825.720000003</v>
      </c>
      <c r="DI169" s="7">
        <f t="shared" ref="DI169:DI177" si="1337">+DH169/DH$8</f>
        <v>0.34394260225940637</v>
      </c>
      <c r="DJ169" s="375">
        <v>233999.99999999997</v>
      </c>
      <c r="DK169" s="7">
        <f t="shared" si="1228"/>
        <v>4.4491691843796784E-3</v>
      </c>
      <c r="DL169" s="72">
        <v>1034509.67</v>
      </c>
      <c r="DM169" s="7">
        <f t="shared" si="1229"/>
        <v>0.1192658186117312</v>
      </c>
      <c r="DN169" s="72">
        <v>-984237.84</v>
      </c>
      <c r="DO169" s="7">
        <f t="shared" si="1230"/>
        <v>-5.7354310411110901E-2</v>
      </c>
      <c r="DP169" s="72">
        <v>-26253097.550000001</v>
      </c>
      <c r="DQ169" s="7">
        <f t="shared" si="1231"/>
        <v>-0.31288886353539364</v>
      </c>
      <c r="DR169" s="375">
        <f>+DL169+DN169+DP169</f>
        <v>-26202825.719999999</v>
      </c>
      <c r="DS169" s="7">
        <f t="shared" ref="DS169:DS177" si="1338">+DR169/DR$8</f>
        <v>-0.23877155776852238</v>
      </c>
      <c r="DT169" s="375">
        <f>+DR169+DH169</f>
        <v>0</v>
      </c>
      <c r="DU169" s="7">
        <f t="shared" si="998"/>
        <v>0</v>
      </c>
      <c r="DV169" s="375"/>
      <c r="DW169" s="7">
        <f t="shared" si="1232"/>
        <v>0</v>
      </c>
      <c r="DX169" s="375"/>
      <c r="DY169" s="7">
        <f t="shared" si="856"/>
        <v>0</v>
      </c>
      <c r="DZ169" s="375"/>
      <c r="EA169" s="7">
        <f t="shared" si="1233"/>
        <v>0</v>
      </c>
      <c r="EB169" s="375">
        <f>+DV169+DX169+DZ169</f>
        <v>0</v>
      </c>
      <c r="EC169" s="7">
        <f t="shared" si="972"/>
        <v>0</v>
      </c>
      <c r="ED169" s="375">
        <f t="shared" si="1279"/>
        <v>0</v>
      </c>
      <c r="EE169" s="7">
        <f t="shared" si="999"/>
        <v>0</v>
      </c>
      <c r="EF169" s="375"/>
      <c r="EG169" s="7">
        <f t="shared" si="1234"/>
        <v>0</v>
      </c>
      <c r="EH169" s="375"/>
      <c r="EI169" s="7">
        <f t="shared" si="857"/>
        <v>0</v>
      </c>
      <c r="EJ169" s="375"/>
      <c r="EK169" s="7">
        <f t="shared" si="1235"/>
        <v>0</v>
      </c>
      <c r="EL169" s="375">
        <f>+EF169+EH169+EJ169</f>
        <v>0</v>
      </c>
      <c r="EM169" s="7">
        <f t="shared" si="973"/>
        <v>0</v>
      </c>
      <c r="EN169" s="375">
        <f t="shared" si="1280"/>
        <v>0</v>
      </c>
      <c r="EO169" s="7">
        <f t="shared" si="1000"/>
        <v>0</v>
      </c>
      <c r="EP169" s="455"/>
      <c r="EQ169" s="373"/>
      <c r="ER169" s="455"/>
      <c r="ES169" s="373"/>
      <c r="ET169" s="375">
        <v>-513919.85</v>
      </c>
      <c r="EU169" s="7">
        <f t="shared" si="1236"/>
        <v>-6.9675362081271563E-2</v>
      </c>
      <c r="EV169" s="375">
        <v>1843423.42</v>
      </c>
      <c r="EW169" s="7">
        <f t="shared" si="858"/>
        <v>0.3024772613999584</v>
      </c>
      <c r="EX169" s="375">
        <v>41506828.68</v>
      </c>
      <c r="EY169" s="7">
        <f t="shared" si="1237"/>
        <v>0.18181855226081944</v>
      </c>
      <c r="EZ169" s="375">
        <f>+ET169+EV169+EX169</f>
        <v>42836332.25</v>
      </c>
      <c r="FA169" s="7">
        <f t="shared" si="974"/>
        <v>0.17718724067593997</v>
      </c>
      <c r="FB169" s="375">
        <v>71213.679999999993</v>
      </c>
      <c r="FC169" s="7">
        <f t="shared" si="1238"/>
        <v>7.8585350080663894E-3</v>
      </c>
      <c r="FD169" s="375">
        <v>-1651259.16</v>
      </c>
      <c r="FE169" s="7">
        <f t="shared" si="1222"/>
        <v>-1.5688367381126094E-2</v>
      </c>
      <c r="FF169" s="375">
        <v>3561906.97</v>
      </c>
      <c r="FG169" s="7">
        <f t="shared" si="975"/>
        <v>2.2167453789760806E-2</v>
      </c>
      <c r="FH169" s="375">
        <f>+FB169+FD169+FF169</f>
        <v>1981861.4900000002</v>
      </c>
      <c r="FI169" s="7">
        <f t="shared" si="976"/>
        <v>7.2068343387680965E-3</v>
      </c>
      <c r="FJ169" s="375">
        <f>EZ169+FH169</f>
        <v>44818193.740000002</v>
      </c>
      <c r="FK169" s="7">
        <f t="shared" si="1003"/>
        <v>8.6730073027701388E-2</v>
      </c>
      <c r="FL169" s="375">
        <v>1189120.95</v>
      </c>
      <c r="FM169" s="7">
        <f t="shared" si="1239"/>
        <v>0.10875131201651286</v>
      </c>
      <c r="FN169" s="375">
        <v>672784.5</v>
      </c>
      <c r="FO169" s="7">
        <f t="shared" si="977"/>
        <v>0.14080807476061358</v>
      </c>
      <c r="FP169" s="375">
        <v>-1663031.59</v>
      </c>
      <c r="FQ169" s="7">
        <f t="shared" si="978"/>
        <v>-6.0114814345441914E-3</v>
      </c>
      <c r="FR169" s="375">
        <f>+FL169+FN169+FP169</f>
        <v>198873.85999999987</v>
      </c>
      <c r="FS169" s="7">
        <f t="shared" si="979"/>
        <v>6.8024809439526151E-4</v>
      </c>
      <c r="FT169" s="375">
        <f>FJ169+FR169</f>
        <v>45017067.600000001</v>
      </c>
      <c r="FU169" s="7">
        <f t="shared" si="1006"/>
        <v>5.5637770836246422E-2</v>
      </c>
      <c r="FV169" s="12">
        <v>2107702.4700000002</v>
      </c>
      <c r="FW169" s="7">
        <f t="shared" si="1240"/>
        <v>7.5953406522596828E-2</v>
      </c>
      <c r="FX169" s="375">
        <v>-870730.22</v>
      </c>
      <c r="FY169" s="7">
        <f t="shared" si="980"/>
        <v>-3.3918399153618724E-2</v>
      </c>
      <c r="FZ169" s="375">
        <v>6945222.8399999999</v>
      </c>
      <c r="GA169" s="7">
        <f t="shared" si="981"/>
        <v>2.4022820820526855E-2</v>
      </c>
      <c r="GB169" s="375">
        <f>+FV169+FX169+FZ169</f>
        <v>8182195.0899999999</v>
      </c>
      <c r="GC169" s="7">
        <f t="shared" si="982"/>
        <v>2.3887483423074424E-2</v>
      </c>
      <c r="GD169" s="375">
        <f>FT169+GB169</f>
        <v>53199262.689999998</v>
      </c>
      <c r="GE169" s="7">
        <f t="shared" si="1009"/>
        <v>4.6194332021057938E-2</v>
      </c>
      <c r="GF169" s="566">
        <f t="shared" si="1311"/>
        <v>0</v>
      </c>
      <c r="GG169" s="525">
        <f t="shared" si="983"/>
        <v>0</v>
      </c>
      <c r="GH169" s="528">
        <f t="shared" si="1312"/>
        <v>-507903.62344499998</v>
      </c>
      <c r="GI169" s="525">
        <f t="shared" si="984"/>
        <v>-111411000000.00002</v>
      </c>
      <c r="GJ169" s="528"/>
      <c r="GK169" s="525">
        <f t="shared" si="985"/>
        <v>0</v>
      </c>
      <c r="GL169" s="528">
        <f t="shared" si="1313"/>
        <v>52691359.066555001</v>
      </c>
      <c r="GM169" s="565">
        <f t="shared" si="1012"/>
        <v>4.5469227420722014E-2</v>
      </c>
      <c r="GO169" s="586"/>
      <c r="GQ169" s="586">
        <v>-11141.1</v>
      </c>
      <c r="GT169" s="551">
        <f t="shared" si="1166"/>
        <v>8352.5011271853473</v>
      </c>
      <c r="GU169" s="551">
        <f t="shared" si="1015"/>
        <v>9786.0088728125666</v>
      </c>
      <c r="GV169" s="550">
        <f t="shared" ref="GV169:GV177" si="1339">+GW169-FJ169</f>
        <v>18138.509999997914</v>
      </c>
      <c r="GW169" s="527">
        <f>+EZ169+2000000</f>
        <v>44836332.25</v>
      </c>
      <c r="GX169" s="525">
        <f t="shared" si="1241"/>
        <v>3.786484610100907E-2</v>
      </c>
      <c r="GY169" s="528">
        <f>+GW169</f>
        <v>44836332.25</v>
      </c>
      <c r="GZ169" s="525">
        <f t="shared" si="1242"/>
        <v>4.9807070613411289E-2</v>
      </c>
      <c r="HA169" s="528">
        <f>+GY169</f>
        <v>44836332.25</v>
      </c>
      <c r="HB169" s="526">
        <f t="shared" si="1243"/>
        <v>6.1593795223641175E-2</v>
      </c>
      <c r="HD169" s="527">
        <v>44836332.25</v>
      </c>
      <c r="HE169" s="525">
        <v>3.7743058180488544E-2</v>
      </c>
      <c r="HF169" s="528">
        <v>44836332.25</v>
      </c>
      <c r="HG169" s="525">
        <v>4.9807070613411289E-2</v>
      </c>
      <c r="HH169" s="528">
        <v>44836332.25</v>
      </c>
      <c r="HI169" s="526">
        <v>6.1593795223641175E-2</v>
      </c>
    </row>
    <row r="170" spans="1:217" ht="15" customHeight="1">
      <c r="A170" s="386" t="s">
        <v>788</v>
      </c>
      <c r="B170" s="386"/>
      <c r="C170" s="389">
        <f>SUM(C169)</f>
        <v>4450000</v>
      </c>
      <c r="D170" s="4"/>
      <c r="E170" s="389">
        <f>SUM(E169)</f>
        <v>2759799.87</v>
      </c>
      <c r="F170" s="4"/>
      <c r="G170" s="389">
        <f>SUM(G169)</f>
        <v>0</v>
      </c>
      <c r="H170" s="389">
        <f>SUM(H169)</f>
        <v>-1026341</v>
      </c>
      <c r="I170" s="4"/>
      <c r="J170" s="389">
        <f>SUM(J169)</f>
        <v>0</v>
      </c>
      <c r="K170" s="389">
        <f>SUM(K169)</f>
        <v>402419.67</v>
      </c>
      <c r="L170" s="4"/>
      <c r="M170" s="389">
        <f>SUM(M169)</f>
        <v>0</v>
      </c>
      <c r="N170" s="389">
        <f>SUM(N169)</f>
        <v>-2284566.5499999998</v>
      </c>
      <c r="O170" s="4"/>
      <c r="P170" s="389">
        <f t="shared" si="869"/>
        <v>0</v>
      </c>
      <c r="Q170" s="389">
        <f t="shared" si="869"/>
        <v>-2908487.88</v>
      </c>
      <c r="R170" s="7">
        <f t="shared" si="987"/>
        <v>-7.9973649484199688E-2</v>
      </c>
      <c r="S170" s="389">
        <f>SUM(S169)</f>
        <v>1891607.96</v>
      </c>
      <c r="T170" s="389">
        <f>SUM(T169)</f>
        <v>1891607.96</v>
      </c>
      <c r="U170" s="4"/>
      <c r="V170" s="389">
        <f>SUM(V169)</f>
        <v>1229941.24</v>
      </c>
      <c r="W170" s="389">
        <f>SUM(W169)</f>
        <v>1229941.24</v>
      </c>
      <c r="X170" s="4"/>
      <c r="Y170" s="389">
        <f>SUM(Y169)</f>
        <v>-2403542</v>
      </c>
      <c r="Z170" s="389">
        <f>SUM(Z169)</f>
        <v>-2403542</v>
      </c>
      <c r="AA170" s="4"/>
      <c r="AB170" s="375">
        <f>+T170+V170+Y170</f>
        <v>718007.20000000019</v>
      </c>
      <c r="AC170" s="389">
        <f>SUM(AC169)</f>
        <v>718007.20000000019</v>
      </c>
      <c r="AD170" s="7">
        <f t="shared" si="988"/>
        <v>1.935990207089653E-2</v>
      </c>
      <c r="AE170" s="389">
        <f>SUM(AE169)</f>
        <v>-2190480.6799999997</v>
      </c>
      <c r="AF170" s="389">
        <f>SUM(AF169)</f>
        <v>-2190480.6799999997</v>
      </c>
      <c r="AG170" s="4"/>
      <c r="AH170" s="389">
        <f>SUM(AH169)</f>
        <v>233023.42</v>
      </c>
      <c r="AI170" s="389">
        <f>SUM(AI169)</f>
        <v>233023.42</v>
      </c>
      <c r="AJ170" s="4"/>
      <c r="AK170" s="389">
        <f>SUM(AK169)</f>
        <v>-508729.18</v>
      </c>
      <c r="AL170" s="389">
        <f>SUM(AL169)</f>
        <v>-510667.26</v>
      </c>
      <c r="AM170" s="4"/>
      <c r="AN170" s="389">
        <f>SUM(AN169)</f>
        <v>-1335746.6299999999</v>
      </c>
      <c r="AO170" s="389">
        <f>SUM(AO169)</f>
        <v>-1333811.3999999999</v>
      </c>
      <c r="AP170" s="4"/>
      <c r="AQ170" s="389">
        <f>SUM(AQ169)</f>
        <v>-1611452.39</v>
      </c>
      <c r="AR170" s="389">
        <f>SUM(AR169)</f>
        <v>-1611455.24</v>
      </c>
      <c r="AS170" s="7">
        <f t="shared" si="989"/>
        <v>-6.0529500734727792E-2</v>
      </c>
      <c r="AT170" s="389">
        <f>SUM(AT169)</f>
        <v>-3801935.92</v>
      </c>
      <c r="AU170" s="4"/>
      <c r="AV170" s="389">
        <f>SUM(AV169)</f>
        <v>80992.08</v>
      </c>
      <c r="AW170" s="389">
        <f>SUM(AW169)</f>
        <v>-184492.08</v>
      </c>
      <c r="AX170" s="4"/>
      <c r="AY170" s="389">
        <f>SUM(AY169)</f>
        <v>80992.08</v>
      </c>
      <c r="AZ170" s="389">
        <f>SUM(AZ169)</f>
        <v>-1416111.24</v>
      </c>
      <c r="BA170" s="4"/>
      <c r="BB170" s="389">
        <f>SUM(BB169)</f>
        <v>0</v>
      </c>
      <c r="BC170" s="389">
        <f>SUM(BC169)</f>
        <v>-35270.660000000003</v>
      </c>
      <c r="BD170" s="448"/>
      <c r="BE170" s="389">
        <f>SUM(BE169)</f>
        <v>161984.16</v>
      </c>
      <c r="BF170" s="389">
        <f>SUM(BF169)</f>
        <v>-1635873.98</v>
      </c>
      <c r="BG170" s="7">
        <f t="shared" si="990"/>
        <v>-5.2098449214626953E-2</v>
      </c>
      <c r="BH170" s="389">
        <f>SUM(BH169)</f>
        <v>-3639948.9099999992</v>
      </c>
      <c r="BI170" s="389">
        <f>SUM(BI169)</f>
        <v>-5437809.9000000004</v>
      </c>
      <c r="BJ170" s="7">
        <f t="shared" si="991"/>
        <v>-4.135917291905937E-2</v>
      </c>
      <c r="BK170" s="389">
        <f>SUM(BK169)</f>
        <v>-1000000</v>
      </c>
      <c r="BL170" s="282"/>
      <c r="BN170" s="389">
        <f>SUM(BN169)</f>
        <v>-603877.51</v>
      </c>
      <c r="BO170" s="4"/>
      <c r="BP170" s="389">
        <f>SUM(BP169)</f>
        <v>-146587.53</v>
      </c>
      <c r="BQ170" s="4"/>
      <c r="BR170" s="389">
        <f>SUM(BR169)</f>
        <v>2785841.89</v>
      </c>
      <c r="BS170" s="4"/>
      <c r="BT170" s="389">
        <f>SUM(BT169)</f>
        <v>2035376.85</v>
      </c>
      <c r="BU170" s="7">
        <f t="shared" si="992"/>
        <v>3.7542341102856418E-2</v>
      </c>
      <c r="BV170" s="389">
        <f>SUM(BV169)</f>
        <v>-1609775.5</v>
      </c>
      <c r="BW170" s="7"/>
      <c r="BX170" s="389">
        <f>SUM(BX169)</f>
        <v>1653536.81</v>
      </c>
      <c r="BY170" s="7"/>
      <c r="BZ170" s="389">
        <f>SUM(BZ169)</f>
        <v>-715117.05</v>
      </c>
      <c r="CA170" s="7"/>
      <c r="CB170" s="389">
        <f>SUM(CB169)</f>
        <v>-671355.74</v>
      </c>
      <c r="CC170" s="7">
        <f t="shared" si="1121"/>
        <v>-1.960565206488997E-2</v>
      </c>
      <c r="CD170" s="389">
        <f>SUM(CD169)</f>
        <v>1364021.11</v>
      </c>
      <c r="CE170" s="7">
        <f t="shared" si="993"/>
        <v>1.5419903817080121E-2</v>
      </c>
      <c r="CF170" s="389">
        <f>SUM(CF169)</f>
        <v>-754571.09</v>
      </c>
      <c r="CG170" s="7">
        <f t="shared" si="994"/>
        <v>-0.14939356184903729</v>
      </c>
      <c r="CH170" s="389">
        <f>SUM(CH169)</f>
        <v>-664190.09</v>
      </c>
      <c r="CI170" s="7">
        <f t="shared" si="994"/>
        <v>-1.7912252702755063E-2</v>
      </c>
      <c r="CJ170" s="389">
        <f>SUM(CJ169)</f>
        <v>-1115911.6599999999</v>
      </c>
      <c r="CK170" s="7">
        <f t="shared" si="994"/>
        <v>-3.9624327040709617E-2</v>
      </c>
      <c r="CL170" s="389">
        <f>SUM(CL169)</f>
        <v>-2534672.84</v>
      </c>
      <c r="CM170" s="7">
        <f t="shared" si="994"/>
        <v>-3.6058480123167036E-2</v>
      </c>
      <c r="CN170" s="389">
        <f>SUM(CN169)</f>
        <v>-1170651.7299999997</v>
      </c>
      <c r="CO170" s="7">
        <f t="shared" si="1223"/>
        <v>-7.3740976509281807E-3</v>
      </c>
      <c r="CP170" s="389">
        <f>SUM(CP169)</f>
        <v>13682974.24</v>
      </c>
      <c r="CQ170" s="7">
        <f t="shared" si="1335"/>
        <v>0.69846389684800314</v>
      </c>
      <c r="CR170" s="389">
        <f>SUM(CR169)</f>
        <v>12512322.51</v>
      </c>
      <c r="CS170" s="7">
        <f t="shared" si="1224"/>
        <v>7.0159163502528321E-2</v>
      </c>
      <c r="CT170" s="389">
        <f t="shared" ref="CT170" si="1340">SUM(CT169)</f>
        <v>1421750.41</v>
      </c>
      <c r="CU170" s="7">
        <f t="shared" si="1221"/>
        <v>9.0761932571571155E-2</v>
      </c>
      <c r="CV170" s="389">
        <f t="shared" ref="CV170" si="1341">SUM(CV169)</f>
        <v>7173153.1500000004</v>
      </c>
      <c r="CW170" s="7">
        <f t="shared" si="968"/>
        <v>0.11464028629651594</v>
      </c>
      <c r="CX170" s="389">
        <f>SUM(CX169)</f>
        <v>22277877.800000001</v>
      </c>
      <c r="CY170" s="7">
        <f t="shared" si="1336"/>
        <v>0.22773038812535298</v>
      </c>
      <c r="CZ170" s="389">
        <f>SUM(CZ169)</f>
        <v>21107226.07</v>
      </c>
      <c r="DA170" s="7">
        <f t="shared" si="997"/>
        <v>8.2264514489104129E-2</v>
      </c>
      <c r="DB170" s="389">
        <f>SUM(DB169)</f>
        <v>23020187.530000001</v>
      </c>
      <c r="DC170" s="7">
        <f t="shared" si="1225"/>
        <v>1.1991986670758059</v>
      </c>
      <c r="DD170" s="389">
        <f>SUM(DD169)</f>
        <v>551423.68999999994</v>
      </c>
      <c r="DE170" s="7">
        <f t="shared" si="1226"/>
        <v>2.1235384393058665E-2</v>
      </c>
      <c r="DF170" s="389">
        <f>SUM(DF169)</f>
        <v>2631214.5</v>
      </c>
      <c r="DG170" s="7">
        <f t="shared" si="1227"/>
        <v>8.4822621355624114E-2</v>
      </c>
      <c r="DH170" s="389">
        <f>SUM(DH169)</f>
        <v>26202825.720000003</v>
      </c>
      <c r="DI170" s="7">
        <f t="shared" si="1337"/>
        <v>0.34394260225940637</v>
      </c>
      <c r="DJ170" s="389">
        <f>SUM(DJ169)</f>
        <v>233999.99999999997</v>
      </c>
      <c r="DK170" s="7">
        <f t="shared" si="1228"/>
        <v>4.4491691843796784E-3</v>
      </c>
      <c r="DL170" s="389">
        <f>SUM(DL169)</f>
        <v>1034509.67</v>
      </c>
      <c r="DM170" s="7">
        <f t="shared" si="1229"/>
        <v>0.1192658186117312</v>
      </c>
      <c r="DN170" s="389">
        <f>SUM(DN169)</f>
        <v>-984237.84</v>
      </c>
      <c r="DO170" s="7">
        <f t="shared" si="1230"/>
        <v>-5.7354310411110901E-2</v>
      </c>
      <c r="DP170" s="389">
        <f>SUM(DP169)</f>
        <v>-26253097.550000001</v>
      </c>
      <c r="DQ170" s="7">
        <f t="shared" si="1231"/>
        <v>-0.31288886353539364</v>
      </c>
      <c r="DR170" s="389">
        <f>SUM(DR169)</f>
        <v>-26202825.719999999</v>
      </c>
      <c r="DS170" s="7">
        <f t="shared" si="1338"/>
        <v>-0.23877155776852238</v>
      </c>
      <c r="DT170" s="389">
        <f>SUM(DT169)</f>
        <v>0</v>
      </c>
      <c r="DU170" s="7">
        <f t="shared" si="998"/>
        <v>0</v>
      </c>
      <c r="DV170" s="482">
        <f>SUM(DV169)</f>
        <v>0</v>
      </c>
      <c r="DW170" s="7">
        <f t="shared" si="1232"/>
        <v>0</v>
      </c>
      <c r="DX170" s="482">
        <f>SUM(DX169)</f>
        <v>0</v>
      </c>
      <c r="DY170" s="7">
        <f t="shared" si="856"/>
        <v>0</v>
      </c>
      <c r="DZ170" s="482">
        <f>SUM(DZ169)</f>
        <v>0</v>
      </c>
      <c r="EA170" s="7">
        <f t="shared" si="1233"/>
        <v>0</v>
      </c>
      <c r="EB170" s="389">
        <f>SUM(EB169)</f>
        <v>0</v>
      </c>
      <c r="EC170" s="7">
        <f t="shared" si="972"/>
        <v>0</v>
      </c>
      <c r="ED170" s="389">
        <f>SUM(ED169)</f>
        <v>0</v>
      </c>
      <c r="EE170" s="7">
        <f t="shared" si="999"/>
        <v>0</v>
      </c>
      <c r="EF170" s="375">
        <f>SUM(EF169)</f>
        <v>0</v>
      </c>
      <c r="EG170" s="7">
        <f t="shared" si="1234"/>
        <v>0</v>
      </c>
      <c r="EH170" s="375">
        <f>SUM(EH169)</f>
        <v>0</v>
      </c>
      <c r="EI170" s="7">
        <f t="shared" si="857"/>
        <v>0</v>
      </c>
      <c r="EJ170" s="375">
        <f>SUM(EJ169)</f>
        <v>0</v>
      </c>
      <c r="EK170" s="7">
        <f t="shared" si="1235"/>
        <v>0</v>
      </c>
      <c r="EL170" s="389">
        <f>SUM(EL169)</f>
        <v>0</v>
      </c>
      <c r="EM170" s="7">
        <f t="shared" si="973"/>
        <v>0</v>
      </c>
      <c r="EN170" s="389">
        <f>SUM(EN169)</f>
        <v>0</v>
      </c>
      <c r="EO170" s="7">
        <f t="shared" si="1000"/>
        <v>0</v>
      </c>
      <c r="EP170" s="455">
        <v>-12272048</v>
      </c>
      <c r="EQ170" s="373" t="s">
        <v>259</v>
      </c>
      <c r="ER170" s="455"/>
      <c r="ES170" s="373"/>
      <c r="ET170" s="375">
        <f>SUM(ET169)</f>
        <v>-513919.85</v>
      </c>
      <c r="EU170" s="7">
        <f t="shared" si="1236"/>
        <v>-6.9675362081271563E-2</v>
      </c>
      <c r="EV170" s="375">
        <f>SUM(EV169)</f>
        <v>1843423.42</v>
      </c>
      <c r="EW170" s="7">
        <f t="shared" si="858"/>
        <v>0.3024772613999584</v>
      </c>
      <c r="EX170" s="375">
        <f>SUM(EX169)</f>
        <v>41506828.68</v>
      </c>
      <c r="EY170" s="7">
        <f t="shared" si="1237"/>
        <v>0.18181855226081944</v>
      </c>
      <c r="EZ170" s="389">
        <f>SUM(EZ169)</f>
        <v>42836332.25</v>
      </c>
      <c r="FA170" s="7">
        <f t="shared" si="974"/>
        <v>0.17718724067593997</v>
      </c>
      <c r="FB170" s="375">
        <f>SUM(FB169)</f>
        <v>71213.679999999993</v>
      </c>
      <c r="FC170" s="7">
        <f t="shared" si="1238"/>
        <v>7.8585350080663894E-3</v>
      </c>
      <c r="FD170" s="375">
        <f t="shared" ref="FD170" si="1342">SUM(FD169)</f>
        <v>-1651259.16</v>
      </c>
      <c r="FE170" s="7">
        <f t="shared" si="1222"/>
        <v>-1.5688367381126094E-2</v>
      </c>
      <c r="FF170" s="375">
        <f t="shared" ref="FF170" si="1343">SUM(FF169)</f>
        <v>3561906.97</v>
      </c>
      <c r="FG170" s="7">
        <f t="shared" si="975"/>
        <v>2.2167453789760806E-2</v>
      </c>
      <c r="FH170" s="389">
        <f>SUM(FH169)</f>
        <v>1981861.4900000002</v>
      </c>
      <c r="FI170" s="7">
        <f t="shared" si="976"/>
        <v>7.2068343387680965E-3</v>
      </c>
      <c r="FJ170" s="389">
        <f>SUM(FJ169)</f>
        <v>44818193.740000002</v>
      </c>
      <c r="FK170" s="7">
        <f t="shared" si="1003"/>
        <v>8.6730073027701388E-2</v>
      </c>
      <c r="FL170" s="375">
        <f>SUM(FL169)</f>
        <v>1189120.95</v>
      </c>
      <c r="FM170" s="7">
        <f t="shared" si="1239"/>
        <v>0.10875131201651286</v>
      </c>
      <c r="FN170" s="375">
        <f t="shared" ref="FN170" si="1344">SUM(FN169)</f>
        <v>672784.5</v>
      </c>
      <c r="FO170" s="7">
        <f t="shared" si="977"/>
        <v>0.14080807476061358</v>
      </c>
      <c r="FP170" s="375">
        <f t="shared" ref="FP170" si="1345">SUM(FP169)</f>
        <v>-1663031.59</v>
      </c>
      <c r="FQ170" s="7">
        <f t="shared" si="978"/>
        <v>-6.0114814345441914E-3</v>
      </c>
      <c r="FR170" s="389">
        <f>SUM(FR169)</f>
        <v>198873.85999999987</v>
      </c>
      <c r="FS170" s="7">
        <f t="shared" si="979"/>
        <v>6.8024809439526151E-4</v>
      </c>
      <c r="FT170" s="389">
        <f>SUM(FT169)</f>
        <v>45017067.600000001</v>
      </c>
      <c r="FU170" s="7">
        <f t="shared" si="1006"/>
        <v>5.5637770836246422E-2</v>
      </c>
      <c r="FV170" s="389">
        <f>SUM(FV169)</f>
        <v>2107702.4700000002</v>
      </c>
      <c r="FW170" s="7">
        <f t="shared" si="1240"/>
        <v>7.5953406522596828E-2</v>
      </c>
      <c r="FX170" s="389">
        <f t="shared" ref="FX170" si="1346">SUM(FX169)</f>
        <v>-870730.22</v>
      </c>
      <c r="FY170" s="7">
        <f t="shared" si="980"/>
        <v>-3.3918399153618724E-2</v>
      </c>
      <c r="FZ170" s="389">
        <f t="shared" ref="FZ170" si="1347">SUM(FZ169)</f>
        <v>6945222.8399999999</v>
      </c>
      <c r="GA170" s="7">
        <f t="shared" si="981"/>
        <v>2.4022820820526855E-2</v>
      </c>
      <c r="GB170" s="389">
        <f>SUM(GB169)</f>
        <v>8182195.0899999999</v>
      </c>
      <c r="GC170" s="7">
        <f t="shared" si="982"/>
        <v>2.3887483423074424E-2</v>
      </c>
      <c r="GD170" s="389">
        <f>SUM(GD169)</f>
        <v>53199262.689999998</v>
      </c>
      <c r="GE170" s="7">
        <f t="shared" si="1009"/>
        <v>4.6194332021057938E-2</v>
      </c>
      <c r="GF170" s="567">
        <f t="shared" ref="GF170:GH170" si="1348">SUM(GF169)</f>
        <v>0</v>
      </c>
      <c r="GG170" s="525">
        <f t="shared" si="983"/>
        <v>0</v>
      </c>
      <c r="GH170" s="530">
        <f t="shared" si="1348"/>
        <v>-507903.62344499998</v>
      </c>
      <c r="GI170" s="525">
        <f t="shared" si="984"/>
        <v>-111411000000.00002</v>
      </c>
      <c r="GJ170" s="530">
        <f t="shared" ref="GJ170" si="1349">SUM(GJ169)</f>
        <v>0</v>
      </c>
      <c r="GK170" s="525">
        <f t="shared" si="985"/>
        <v>0</v>
      </c>
      <c r="GL170" s="530">
        <f>SUM(GL169)</f>
        <v>52691359.066555001</v>
      </c>
      <c r="GM170" s="565">
        <f t="shared" si="1012"/>
        <v>4.5469227420722014E-2</v>
      </c>
      <c r="GN170" s="378"/>
      <c r="GO170" s="587">
        <f t="shared" ref="GO170" si="1350">SUM(GO169)</f>
        <v>0</v>
      </c>
      <c r="GP170" s="378"/>
      <c r="GQ170" s="587">
        <f t="shared" ref="GQ170" si="1351">SUM(GQ169)</f>
        <v>-11141.1</v>
      </c>
      <c r="GT170" s="551">
        <f t="shared" si="1166"/>
        <v>8352.5011271853473</v>
      </c>
      <c r="GU170" s="551">
        <f t="shared" si="1015"/>
        <v>9786.0088728125666</v>
      </c>
      <c r="GV170" s="550">
        <f t="shared" si="1339"/>
        <v>18138.509999997914</v>
      </c>
      <c r="GW170" s="529">
        <f>SUM(GW169)</f>
        <v>44836332.25</v>
      </c>
      <c r="GX170" s="525">
        <f t="shared" si="1241"/>
        <v>3.786484610100907E-2</v>
      </c>
      <c r="GY170" s="530">
        <f>SUM(GY169)</f>
        <v>44836332.25</v>
      </c>
      <c r="GZ170" s="525">
        <f t="shared" si="1242"/>
        <v>4.9807070613411289E-2</v>
      </c>
      <c r="HA170" s="530">
        <f>SUM(HA169)</f>
        <v>44836332.25</v>
      </c>
      <c r="HB170" s="526">
        <f t="shared" si="1243"/>
        <v>6.1593795223641175E-2</v>
      </c>
      <c r="HD170" s="529">
        <v>44836332.25</v>
      </c>
      <c r="HE170" s="525">
        <v>3.7743058180488544E-2</v>
      </c>
      <c r="HF170" s="530">
        <v>44836332.25</v>
      </c>
      <c r="HG170" s="525">
        <v>4.9807070613411289E-2</v>
      </c>
      <c r="HH170" s="530">
        <v>44836332.25</v>
      </c>
      <c r="HI170" s="526">
        <v>6.1593795223641175E-2</v>
      </c>
    </row>
    <row r="171" spans="1:217" ht="15" customHeight="1">
      <c r="A171" s="8" t="s">
        <v>156</v>
      </c>
      <c r="B171" s="8" t="s">
        <v>157</v>
      </c>
      <c r="C171" s="9">
        <f>C151+C162+C164+C166+C168+C170</f>
        <v>-58237195.759999998</v>
      </c>
      <c r="D171" s="10"/>
      <c r="E171" s="9">
        <f>E151+E162+E164+E166+E168+E170</f>
        <v>1138114.1100000036</v>
      </c>
      <c r="F171" s="10"/>
      <c r="G171" s="9">
        <f>G151+G162+G164+G166+G168+G170</f>
        <v>-5853383.0000000009</v>
      </c>
      <c r="H171" s="9">
        <f>H151+H162+H164+H166+H168+H170</f>
        <v>-637557.25999999954</v>
      </c>
      <c r="I171" s="10"/>
      <c r="J171" s="9">
        <f>J151+J162+J164+J166+J168+J170</f>
        <v>-8890791.9699999969</v>
      </c>
      <c r="K171" s="9">
        <f>K151+K162+K164+K166+K168+K170</f>
        <v>-3500302.7499999991</v>
      </c>
      <c r="L171" s="10"/>
      <c r="M171" s="9">
        <f>M151+M162+M164+M166+M168+M170</f>
        <v>-219570.33999999822</v>
      </c>
      <c r="N171" s="9">
        <f>N151+N162+N164+N166+N168+N170</f>
        <v>1687377.8700000006</v>
      </c>
      <c r="O171" s="10"/>
      <c r="P171" s="9">
        <f t="shared" si="869"/>
        <v>-14963745.309999997</v>
      </c>
      <c r="Q171" s="9">
        <f t="shared" si="869"/>
        <v>-2450482.1399999983</v>
      </c>
      <c r="R171" s="11">
        <f t="shared" si="987"/>
        <v>-6.7380029698336383E-2</v>
      </c>
      <c r="S171" s="9">
        <f>S151+S162+S164+S166+S168+S170</f>
        <v>1282882.2300000009</v>
      </c>
      <c r="T171" s="9">
        <f>T151+T162+T164+T166+T168+T170</f>
        <v>1282882.2300000009</v>
      </c>
      <c r="U171" s="4"/>
      <c r="V171" s="9">
        <f>V151+V162+V164+V166+V168+V170</f>
        <v>-1733806.95</v>
      </c>
      <c r="W171" s="9">
        <f>W151+W162+W164+W166+W168+W170</f>
        <v>-1724279.3299999989</v>
      </c>
      <c r="X171" s="4"/>
      <c r="Y171" s="9">
        <f>Y151+Y162+Y164+Y166+Y168+Y170</f>
        <v>2131308.7400000002</v>
      </c>
      <c r="Z171" s="9">
        <f>Z151+Z162+Z164+Z166+Z168+Z170</f>
        <v>2121781.120000001</v>
      </c>
      <c r="AA171" s="4"/>
      <c r="AB171" s="9">
        <f>AB151+AB162+AB164+AB166+AB168+AB170</f>
        <v>1680384.0200000026</v>
      </c>
      <c r="AC171" s="9">
        <f>AC151+AC162+AC164+AC166+AC168+AC170</f>
        <v>1680384.0200000026</v>
      </c>
      <c r="AD171" s="11">
        <f t="shared" si="988"/>
        <v>4.5308835438836098E-2</v>
      </c>
      <c r="AE171" s="9">
        <f>AE151+AE162+AE164+AE166+AE168+AE170</f>
        <v>-770098.11999999708</v>
      </c>
      <c r="AF171" s="9">
        <f>AF151+AF162+AF164+AF166+AF168+AF170</f>
        <v>-770098.11999999708</v>
      </c>
      <c r="AG171" s="4"/>
      <c r="AH171" s="9">
        <f>AH151+AH162+AH164+AH166+AH168+AH170</f>
        <v>-6601634.3099999996</v>
      </c>
      <c r="AI171" s="9">
        <f>AI151+AI162+AI164+AI166+AI168+AI170</f>
        <v>-6601634.3099999996</v>
      </c>
      <c r="AJ171" s="4"/>
      <c r="AK171" s="9">
        <f>AK151+AK162+AK164+AK166+AK168+AK170</f>
        <v>-4975322.3900000006</v>
      </c>
      <c r="AL171" s="9">
        <f>AL151+AL162+AL164+AL166+AL168+AL170</f>
        <v>-4977260.4700000007</v>
      </c>
      <c r="AM171" s="4"/>
      <c r="AN171" s="9">
        <f>AN151+AN162+AN164+AN166+AN168+AN170</f>
        <v>10548108.989999998</v>
      </c>
      <c r="AO171" s="9">
        <f>AO151+AO162+AO164+AO166+AO168+AO170</f>
        <v>10550044.219999999</v>
      </c>
      <c r="AP171" s="4"/>
      <c r="AQ171" s="9">
        <f>AQ151+AQ162+AQ164+AQ166+AQ168+AQ170</f>
        <v>-1028847.7100000044</v>
      </c>
      <c r="AR171" s="9">
        <f>AR151+AR162+AR164+AR166+AR168+AR170</f>
        <v>-1028850.5600000045</v>
      </c>
      <c r="AS171" s="11">
        <f t="shared" si="989"/>
        <v>-3.864569687175759E-2</v>
      </c>
      <c r="AT171" s="9">
        <f>AT151+AT162+AT164+AT166+AT168+AT170</f>
        <v>-1798948.6800000188</v>
      </c>
      <c r="AU171" s="4"/>
      <c r="AV171" s="9">
        <f>AV151+AV162+AV164+AV166+AV168+AV170</f>
        <v>-8230186.5427452335</v>
      </c>
      <c r="AW171" s="9">
        <f>AW151+AW162+AW164+AW166+AW168+AW170</f>
        <v>-12578336.239999996</v>
      </c>
      <c r="AX171" s="4"/>
      <c r="AY171" s="9">
        <f>AY151+AY162+AY164+AY166+AY168+AY170</f>
        <v>-625362.85722231085</v>
      </c>
      <c r="AZ171" s="9">
        <f>AZ151+AZ162+AZ164+AZ166+AZ168+AZ170</f>
        <v>-7117127.7000000002</v>
      </c>
      <c r="BA171" s="4"/>
      <c r="BB171" s="9">
        <f>BB151+BB162+BB164+BB166+BB168+BB170</f>
        <v>15010136.815959718</v>
      </c>
      <c r="BC171" s="9">
        <f>BC151+BC162+BC164+BC166+BC168+BC170</f>
        <v>-59089762.389999993</v>
      </c>
      <c r="BD171" s="448"/>
      <c r="BE171" s="9">
        <f>BE151+BE162+BE164+BE166+BE168+BE170</f>
        <v>6154587.4159921817</v>
      </c>
      <c r="BF171" s="9">
        <f>BF151+BF162+BF164+BF166+BF168+BF170</f>
        <v>-78785226.329999998</v>
      </c>
      <c r="BG171" s="11">
        <f t="shared" si="990"/>
        <v>-2.5091102144777651</v>
      </c>
      <c r="BH171" s="9">
        <f>BH151+BH162+BH164+BH166+BH168+BH170</f>
        <v>4355641.5859921547</v>
      </c>
      <c r="BI171" s="9">
        <f>BI151+BI162+BI164+BI166+BI168+BI170</f>
        <v>-80584175.00999999</v>
      </c>
      <c r="BJ171" s="11">
        <f t="shared" si="991"/>
        <v>-0.61291124369359296</v>
      </c>
      <c r="BK171" s="9">
        <f>BK151+BK162+BK164+BK166+BK168+BK170</f>
        <v>2031268.4900000989</v>
      </c>
      <c r="BL171" s="282"/>
      <c r="BN171" s="9">
        <f>BN151+BN162+BN164+BN166+BN168+BN170</f>
        <v>-3485872.7700000005</v>
      </c>
      <c r="BO171" s="445">
        <f>BN171/BN8</f>
        <v>-0.25823161234177033</v>
      </c>
      <c r="BP171" s="9">
        <f>BP151+BP162+BP164+BP166+BP168+BP170</f>
        <v>-8713305.9500000011</v>
      </c>
      <c r="BQ171" s="445">
        <f>BP171/BP8</f>
        <v>-0.94164746296892288</v>
      </c>
      <c r="BR171" s="9">
        <f>BR151+BR162+BR164+BR166+BR168+BR170</f>
        <v>16028314.390000001</v>
      </c>
      <c r="BS171" s="445">
        <f>BR171/BR8</f>
        <v>0.50943006638951327</v>
      </c>
      <c r="BT171" s="9">
        <f>BT151+BT162+BT164+BT166+BT168+BT170</f>
        <v>3829135.6699999813</v>
      </c>
      <c r="BU171" s="11">
        <f t="shared" si="992"/>
        <v>7.0628059591153328E-2</v>
      </c>
      <c r="BV171" s="9">
        <f>BV151+BV162+BV164+BV166+BV168+BV170</f>
        <v>-5815400.4300000006</v>
      </c>
      <c r="BW171" s="445">
        <f>BV171/BV8</f>
        <v>-1.5762100568916007</v>
      </c>
      <c r="BX171" s="9">
        <f>BX151+BX162+BX164+BX166+BX168+BX170</f>
        <v>5284087.5999999987</v>
      </c>
      <c r="BY171" s="445">
        <f>BX171/BX8</f>
        <v>0.31664965576890852</v>
      </c>
      <c r="BZ171" s="9">
        <f>BZ151+BZ162+BZ164+BZ166+BZ168+BZ170</f>
        <v>464437.17999999947</v>
      </c>
      <c r="CA171" s="445">
        <f>BZ171/BZ8</f>
        <v>3.3494682901717719E-2</v>
      </c>
      <c r="CB171" s="9">
        <f>CB151+CB162+CB164+CB166+CB168+CB170</f>
        <v>-66875.650000006193</v>
      </c>
      <c r="CC171" s="11">
        <f t="shared" si="1121"/>
        <v>-1.9529746264081696E-3</v>
      </c>
      <c r="CD171" s="9">
        <f>CD151+CD162+CD164+CD166+CD168+CD170</f>
        <v>3762260.0199999986</v>
      </c>
      <c r="CE171" s="11">
        <f t="shared" si="993"/>
        <v>4.2531370825518902E-2</v>
      </c>
      <c r="CF171" s="9">
        <f>CF151+CF162+CF164+CF166+CF168+CF170</f>
        <v>-6383419.339999998</v>
      </c>
      <c r="CG171" s="11">
        <f t="shared" si="994"/>
        <v>-1.2638196249721554</v>
      </c>
      <c r="CH171" s="9">
        <f>CH151+CH162+CH164+CH166+CH168+CH170</f>
        <v>2197332.699999996</v>
      </c>
      <c r="CI171" s="11">
        <f t="shared" si="994"/>
        <v>5.9258906730190762E-2</v>
      </c>
      <c r="CJ171" s="9">
        <f>CJ151+CJ162+CJ164+CJ166+CJ168+CJ170</f>
        <v>4860208.719999996</v>
      </c>
      <c r="CK171" s="11">
        <f t="shared" si="994"/>
        <v>0.17257862491318404</v>
      </c>
      <c r="CL171" s="9">
        <f>CL151+CL162+CL164+CL166+CL168+CL170</f>
        <v>674122.07999999495</v>
      </c>
      <c r="CM171" s="11">
        <f t="shared" si="994"/>
        <v>9.5901203653043603E-3</v>
      </c>
      <c r="CN171" s="9">
        <f>CN151+CN162+CN164+CN166+CN168+CN170</f>
        <v>4436382.1000000043</v>
      </c>
      <c r="CO171" s="11">
        <f t="shared" si="1223"/>
        <v>2.7945386303943592E-2</v>
      </c>
      <c r="CP171" s="9">
        <f>CP151+CP162+CP164+CP166+CP168+CP170</f>
        <v>9164219.379999999</v>
      </c>
      <c r="CQ171" s="11">
        <f t="shared" si="1335"/>
        <v>0.46779861362399161</v>
      </c>
      <c r="CR171" s="9">
        <f>CR151+CR162+CR164+CR166+CR168+CR170</f>
        <v>13600601.48</v>
      </c>
      <c r="CS171" s="11">
        <f t="shared" si="1224"/>
        <v>7.6261367320530224E-2</v>
      </c>
      <c r="CT171" s="9">
        <f t="shared" ref="CT171" si="1352">CT151+CT162+CT164+CT166+CT168+CT170</f>
        <v>1069797.679999999</v>
      </c>
      <c r="CU171" s="11">
        <f t="shared" si="1221"/>
        <v>6.8293917282839511E-2</v>
      </c>
      <c r="CV171" s="9">
        <f t="shared" ref="CV171" si="1353">CV151+CV162+CV164+CV166+CV168+CV170</f>
        <v>13338183.850000001</v>
      </c>
      <c r="CW171" s="11">
        <f t="shared" si="968"/>
        <v>0.21316890679234493</v>
      </c>
      <c r="CX171" s="9">
        <f>CX151+CX162+CX164+CX166+CX168+CX170</f>
        <v>23572200.909999974</v>
      </c>
      <c r="CY171" s="11">
        <f t="shared" si="1336"/>
        <v>0.24096130297487728</v>
      </c>
      <c r="CZ171" s="9">
        <f>CZ151+CZ162+CZ164+CZ166+CZ168+CZ170</f>
        <v>28008583.010000058</v>
      </c>
      <c r="DA171" s="11">
        <f t="shared" si="997"/>
        <v>0.10916225918100594</v>
      </c>
      <c r="DB171" s="9">
        <f>DB151+DB162+DB164+DB166+DB168+DB170</f>
        <v>13872168.93</v>
      </c>
      <c r="DC171" s="11">
        <f t="shared" si="1225"/>
        <v>0.72264773988600117</v>
      </c>
      <c r="DD171" s="9">
        <f>DD151+DD162+DD164+DD166+DD168+DD170</f>
        <v>2757724.8200000017</v>
      </c>
      <c r="DE171" s="11">
        <f t="shared" si="1226"/>
        <v>0.10620027333787302</v>
      </c>
      <c r="DF171" s="9">
        <f>DF151+DF162+DF164+DF166+DF168+DF170</f>
        <v>-3331002.7199999997</v>
      </c>
      <c r="DG171" s="11">
        <f t="shared" si="1227"/>
        <v>-0.10738173662888904</v>
      </c>
      <c r="DH171" s="9">
        <f>DH151+DH162+DH164+DH166+DH168+DH170</f>
        <v>13298891.030000009</v>
      </c>
      <c r="DI171" s="11">
        <f t="shared" si="1337"/>
        <v>0.1745634320855407</v>
      </c>
      <c r="DJ171" s="9">
        <f>DJ151+DJ162+DJ164+DJ166+DJ168+DJ170</f>
        <v>1081629.7802691029</v>
      </c>
      <c r="DK171" s="11">
        <f t="shared" si="1228"/>
        <v>2.0565614902908789E-2</v>
      </c>
      <c r="DL171" s="9">
        <f>DL151+DL162+DL164+DL166+DL168+DL170</f>
        <v>-2250634.0299999984</v>
      </c>
      <c r="DM171" s="11">
        <f t="shared" si="1229"/>
        <v>-0.25946950305778138</v>
      </c>
      <c r="DN171" s="9">
        <f>DN151+DN162+DN164+DN166+DN168+DN170</f>
        <v>-2395550.6999999997</v>
      </c>
      <c r="DO171" s="11">
        <f t="shared" si="1230"/>
        <v>-0.13959548482037024</v>
      </c>
      <c r="DP171" s="9">
        <f>DP151+DP162+DP164+DP166+DP168+DP170</f>
        <v>8019913.9100000001</v>
      </c>
      <c r="DQ171" s="11">
        <f t="shared" si="1231"/>
        <v>9.5582692448860959E-2</v>
      </c>
      <c r="DR171" s="9">
        <f>DR151+DR162+DR164+DR166+DR168+DR170</f>
        <v>3373729.1799999997</v>
      </c>
      <c r="DS171" s="11">
        <f t="shared" si="1338"/>
        <v>3.0742889351161155E-2</v>
      </c>
      <c r="DT171" s="9">
        <f>DT151+DT162+DT164+DT166+DT168+DT170</f>
        <v>16672620.210000021</v>
      </c>
      <c r="DU171" s="11">
        <f t="shared" si="998"/>
        <v>8.9674450283465088E-2</v>
      </c>
      <c r="DV171" s="9">
        <f>DV151+DV162+DV164+DV166+DV168+DV170</f>
        <v>-9125536.1100000087</v>
      </c>
      <c r="DW171" s="11">
        <f t="shared" si="1232"/>
        <v>-0.20048499301804429</v>
      </c>
      <c r="DX171" s="9">
        <f>DX151+DX162+DX164+DX166+DX168+DX170</f>
        <v>6899823.9000000013</v>
      </c>
      <c r="DY171" s="11">
        <f t="shared" si="856"/>
        <v>0.26689231948980874</v>
      </c>
      <c r="DZ171" s="9">
        <f>DZ151+DZ162+DZ164+DZ166+DZ168+DZ170</f>
        <v>25464264.250000011</v>
      </c>
      <c r="EA171" s="11">
        <f t="shared" si="1233"/>
        <v>0.20813763916787281</v>
      </c>
      <c r="EB171" s="9">
        <f>EB151+EB162+EB164+EB166+EB168+EB170</f>
        <v>23238552.039999992</v>
      </c>
      <c r="EC171" s="11">
        <f t="shared" si="972"/>
        <v>0.11996372670104248</v>
      </c>
      <c r="ED171" s="9">
        <f>ED151+ED162+ED164+ED166+ED168+ED170</f>
        <v>39911172.25000006</v>
      </c>
      <c r="EE171" s="11">
        <f t="shared" si="999"/>
        <v>0.10512982219397014</v>
      </c>
      <c r="EF171" s="9">
        <f>EF151+EF162+EF164+EF166+EF168+EF170</f>
        <v>-10255950.239999996</v>
      </c>
      <c r="EG171" s="11">
        <f t="shared" si="1234"/>
        <v>-0.69406307341774964</v>
      </c>
      <c r="EH171" s="9">
        <f>EH151+EH162+EH164+EH166+EH168+EH170</f>
        <v>-3532784.3800000008</v>
      </c>
      <c r="EI171" s="11">
        <f t="shared" si="857"/>
        <v>-0.27711031657914226</v>
      </c>
      <c r="EJ171" s="9">
        <f>EJ151+EJ162+EJ164+EJ166+EJ168+EJ170</f>
        <v>8886672.2199999839</v>
      </c>
      <c r="EK171" s="11">
        <f t="shared" si="1235"/>
        <v>5.6906374343843422E-2</v>
      </c>
      <c r="EL171" s="9">
        <f>EL151+EL162+EL164+EL166+EL168+EL170</f>
        <v>-4902062.4000000097</v>
      </c>
      <c r="EM171" s="11">
        <f t="shared" si="973"/>
        <v>-2.6686840406898581E-2</v>
      </c>
      <c r="EN171" s="9">
        <f>EN151+EN162+EN164+EN166+EN168+EN170</f>
        <v>35009109.850000106</v>
      </c>
      <c r="EO171" s="11">
        <f t="shared" si="1000"/>
        <v>6.2147224561959855E-2</v>
      </c>
      <c r="EP171" s="455">
        <f>-14876161+10762691</f>
        <v>-4113470</v>
      </c>
      <c r="EQ171" s="373" t="s">
        <v>678</v>
      </c>
      <c r="ER171" s="455"/>
      <c r="ES171" s="373"/>
      <c r="ET171" s="9">
        <f>ET151+ET162+ET164+ET166+ET168+ET170</f>
        <v>-6106264.4699999997</v>
      </c>
      <c r="EU171" s="11">
        <f t="shared" si="1236"/>
        <v>-0.82786486630406242</v>
      </c>
      <c r="EV171" s="9">
        <f>EV151+EV162+EV164+EV166+EV168+EV170</f>
        <v>-8399260.3200000022</v>
      </c>
      <c r="EW171" s="11">
        <f t="shared" si="858"/>
        <v>-1.3781886634482157</v>
      </c>
      <c r="EX171" s="9">
        <f>EX151+EX162+EX164+EX166+EX168+EX170</f>
        <v>50338547.73999998</v>
      </c>
      <c r="EY171" s="11">
        <f t="shared" si="1237"/>
        <v>0.22050544847838616</v>
      </c>
      <c r="EZ171" s="9">
        <f>EZ151+EZ162+EZ164+EZ166+EZ168+EZ170</f>
        <v>35833022.949999981</v>
      </c>
      <c r="FA171" s="11">
        <f t="shared" si="974"/>
        <v>0.14821890969874357</v>
      </c>
      <c r="FB171" s="9">
        <f>FB151+FB162+FB164+FB166+FB168+FB170</f>
        <v>-7443584.7700000005</v>
      </c>
      <c r="FC171" s="11">
        <f t="shared" si="1238"/>
        <v>-0.82141059836473562</v>
      </c>
      <c r="FD171" s="9">
        <f t="shared" ref="FD171" si="1354">FD151+FD162+FD164+FD166+FD168+FD170</f>
        <v>8324130.359999992</v>
      </c>
      <c r="FE171" s="11">
        <f t="shared" si="1222"/>
        <v>7.9086322958575012E-2</v>
      </c>
      <c r="FF171" s="9">
        <f t="shared" ref="FF171" si="1355">FF151+FF162+FF164+FF166+FF168+FF170</f>
        <v>46144662.390000015</v>
      </c>
      <c r="FG171" s="11">
        <f t="shared" si="975"/>
        <v>0.28718034462714748</v>
      </c>
      <c r="FH171" s="9">
        <f>FH151+FH162+FH164+FH166+FH168+FH170</f>
        <v>47025207.980000041</v>
      </c>
      <c r="FI171" s="11">
        <f t="shared" si="976"/>
        <v>0.17100230534171981</v>
      </c>
      <c r="FJ171" s="9">
        <f>FJ151+FJ162+FJ164+FJ166+FJ168+FJ170</f>
        <v>82858230.930000082</v>
      </c>
      <c r="FK171" s="11">
        <f t="shared" si="1003"/>
        <v>0.16034337441607599</v>
      </c>
      <c r="FL171" s="9">
        <f>FL151+FL162+FL164+FL166+FL168+FL170</f>
        <v>-4452116.92</v>
      </c>
      <c r="FM171" s="11">
        <f t="shared" si="1239"/>
        <v>-0.40716930964921294</v>
      </c>
      <c r="FN171" s="9">
        <f t="shared" ref="FN171" si="1356">FN151+FN162+FN164+FN166+FN168+FN170</f>
        <v>-9420653.8900000006</v>
      </c>
      <c r="FO171" s="11">
        <f t="shared" si="977"/>
        <v>-1.9716627497170123</v>
      </c>
      <c r="FP171" s="9">
        <f t="shared" ref="FP171" si="1357">FP151+FP162+FP164+FP166+FP168+FP170</f>
        <v>40189716.680000037</v>
      </c>
      <c r="FQ171" s="11">
        <f t="shared" si="978"/>
        <v>0.14527669656678693</v>
      </c>
      <c r="FR171" s="9">
        <f>FR151+FR162+FR164+FR166+FR168+FR170</f>
        <v>26316945.870000008</v>
      </c>
      <c r="FS171" s="11">
        <f t="shared" si="979"/>
        <v>9.0017120793908084E-2</v>
      </c>
      <c r="FT171" s="9">
        <f>FT151+FT162+FT164+FT166+FT168+FT170</f>
        <v>109175176.80000001</v>
      </c>
      <c r="FU171" s="11">
        <f t="shared" si="1006"/>
        <v>0.13493245543619301</v>
      </c>
      <c r="FV171" s="9">
        <f>FV151+FV162+FV164+FV166+FV168+FV170</f>
        <v>8103609.339999998</v>
      </c>
      <c r="FW171" s="11">
        <f t="shared" si="1240"/>
        <v>0.29202259012455983</v>
      </c>
      <c r="FX171" s="9">
        <f t="shared" ref="FX171" si="1358">FX151+FX162+FX164+FX166+FX168+FX170</f>
        <v>-16690791.560000002</v>
      </c>
      <c r="FY171" s="11">
        <f t="shared" si="980"/>
        <v>-0.65017259917995107</v>
      </c>
      <c r="FZ171" s="9">
        <f t="shared" ref="FZ171" si="1359">FZ151+FZ162+FZ164+FZ166+FZ168+FZ170</f>
        <v>59562079.209999979</v>
      </c>
      <c r="GA171" s="11">
        <f t="shared" si="981"/>
        <v>0.20601918606831301</v>
      </c>
      <c r="GB171" s="9">
        <f>GB151+GB162+GB164+GB166+GB168+GB170</f>
        <v>50974896.989999965</v>
      </c>
      <c r="GC171" s="11">
        <f t="shared" si="982"/>
        <v>0.14881850083600862</v>
      </c>
      <c r="GD171" s="9">
        <f>GD151+GD162+GD164+GD166+GD168+GD170</f>
        <v>160150073.78999966</v>
      </c>
      <c r="GE171" s="478">
        <f t="shared" si="1009"/>
        <v>0.13906256041482318</v>
      </c>
      <c r="GF171" s="568">
        <f t="shared" ref="GF171:GH171" si="1360">GF151+GF162+GF164+GF166+GF168+GF170</f>
        <v>-5373814.3902533334</v>
      </c>
      <c r="GG171" s="533">
        <f t="shared" si="983"/>
        <v>-0.41701813309769692</v>
      </c>
      <c r="GH171" s="534">
        <f t="shared" si="1360"/>
        <v>-1511459.9309502745</v>
      </c>
      <c r="GI171" s="533">
        <f t="shared" si="984"/>
        <v>-331545699999.00006</v>
      </c>
      <c r="GJ171" s="534">
        <f t="shared" ref="GJ171" si="1361">GJ151+GJ162+GJ164+GJ166+GJ168+GJ170</f>
        <v>-1946209.73799074</v>
      </c>
      <c r="GK171" s="533">
        <f t="shared" si="985"/>
        <v>-0.34196989929495564</v>
      </c>
      <c r="GL171" s="534">
        <f>GL151+GL162+GL164+GL166+GL168+GL170</f>
        <v>155211009.20678702</v>
      </c>
      <c r="GM171" s="619">
        <f t="shared" si="1012"/>
        <v>0.13393704016836988</v>
      </c>
      <c r="GO171" s="588">
        <f t="shared" ref="GO171" si="1362">GO151+GO162+GO164+GO166+GO168+GO170</f>
        <v>-439710.4</v>
      </c>
      <c r="GQ171" s="588">
        <f t="shared" ref="GQ171" si="1363">GQ151+GQ162+GQ164+GQ166+GQ168+GQ170</f>
        <v>-33154.569999899999</v>
      </c>
      <c r="GT171" s="551">
        <f t="shared" si="1166"/>
        <v>22180349.54412752</v>
      </c>
      <c r="GU171" s="551">
        <f t="shared" si="1015"/>
        <v>25987077.89867257</v>
      </c>
      <c r="GV171" s="550">
        <f t="shared" si="1339"/>
        <v>48167427.44280009</v>
      </c>
      <c r="GW171" s="532">
        <f>GW151+GW162+GW164+GW166+GW168+GW170</f>
        <v>131025658.37280017</v>
      </c>
      <c r="GX171" s="533">
        <f t="shared" si="1241"/>
        <v>0.11065281526388612</v>
      </c>
      <c r="GY171" s="534">
        <f>GY151+GY162+GY164+GY166+GY168+GY170</f>
        <v>48230576.935258694</v>
      </c>
      <c r="GZ171" s="533">
        <f t="shared" si="1242"/>
        <v>5.3577615085587109E-2</v>
      </c>
      <c r="HA171" s="534">
        <f>HA151+HA162+HA164+HA166+HA168+HA170</f>
        <v>48679300.225577183</v>
      </c>
      <c r="HB171" s="535">
        <f t="shared" si="1243"/>
        <v>6.6873062520058174E-2</v>
      </c>
      <c r="HD171" s="532">
        <v>147314652.9593274</v>
      </c>
      <c r="HE171" s="533">
        <v>0.12400892843955526</v>
      </c>
      <c r="HF171" s="534">
        <v>48165929.935258694</v>
      </c>
      <c r="HG171" s="533">
        <v>5.3505801055929378E-2</v>
      </c>
      <c r="HH171" s="534">
        <v>48614653.225577183</v>
      </c>
      <c r="HI171" s="535">
        <v>6.6784253871357377E-2</v>
      </c>
    </row>
    <row r="172" spans="1:217" ht="15" customHeight="1" outlineLevel="1">
      <c r="A172" s="386" t="s">
        <v>158</v>
      </c>
      <c r="B172" s="386" t="s">
        <v>159</v>
      </c>
      <c r="C172" s="375">
        <v>0</v>
      </c>
      <c r="D172" s="4"/>
      <c r="E172" s="375">
        <v>0</v>
      </c>
      <c r="F172" s="4"/>
      <c r="G172" s="375">
        <v>0</v>
      </c>
      <c r="H172" s="375"/>
      <c r="I172" s="4"/>
      <c r="J172" s="375">
        <v>0</v>
      </c>
      <c r="K172" s="375"/>
      <c r="L172" s="4"/>
      <c r="M172" s="375">
        <v>0</v>
      </c>
      <c r="N172" s="375"/>
      <c r="O172" s="4"/>
      <c r="P172" s="375">
        <f t="shared" si="869"/>
        <v>0</v>
      </c>
      <c r="Q172" s="375">
        <f t="shared" si="869"/>
        <v>0</v>
      </c>
      <c r="R172" s="7">
        <f t="shared" si="987"/>
        <v>0</v>
      </c>
      <c r="S172" s="375"/>
      <c r="T172" s="375"/>
      <c r="U172" s="4"/>
      <c r="V172" s="375"/>
      <c r="W172" s="375"/>
      <c r="X172" s="4"/>
      <c r="Y172" s="375">
        <v>0</v>
      </c>
      <c r="Z172" s="375"/>
      <c r="AA172" s="4"/>
      <c r="AB172" s="375">
        <f t="shared" ref="AB172:AB175" si="1364">+T172+V172+Y172</f>
        <v>0</v>
      </c>
      <c r="AC172" s="375">
        <f t="shared" ref="AC172:AC175" si="1365">+T172+W172+Z172</f>
        <v>0</v>
      </c>
      <c r="AD172" s="7">
        <f t="shared" si="988"/>
        <v>0</v>
      </c>
      <c r="AE172" s="375">
        <f t="shared" si="1257"/>
        <v>0</v>
      </c>
      <c r="AF172" s="375">
        <f t="shared" ref="AF172:AF175" si="1366">+AC172+Q172</f>
        <v>0</v>
      </c>
      <c r="AG172" s="4"/>
      <c r="AH172" s="375"/>
      <c r="AI172" s="375"/>
      <c r="AJ172" s="4"/>
      <c r="AK172" s="375"/>
      <c r="AL172" s="375"/>
      <c r="AM172" s="4"/>
      <c r="AN172" s="375"/>
      <c r="AO172" s="375"/>
      <c r="AP172" s="4"/>
      <c r="AQ172" s="375">
        <f t="shared" ref="AQ172:AQ175" si="1367">AN172+AK172+AH172</f>
        <v>0</v>
      </c>
      <c r="AR172" s="375">
        <f t="shared" ref="AR172:AR175" si="1368">AO172+AL172+AI172</f>
        <v>0</v>
      </c>
      <c r="AS172" s="7">
        <f t="shared" si="989"/>
        <v>0</v>
      </c>
      <c r="AT172" s="375">
        <f t="shared" ref="AT172:AT175" si="1369">+AF172+AR172</f>
        <v>0</v>
      </c>
      <c r="AU172" s="4"/>
      <c r="AV172" s="375"/>
      <c r="AW172" s="375"/>
      <c r="AX172" s="4"/>
      <c r="AY172" s="375"/>
      <c r="AZ172" s="375"/>
      <c r="BA172" s="4"/>
      <c r="BB172" s="375">
        <v>-1753050.04</v>
      </c>
      <c r="BC172" s="375"/>
      <c r="BD172" s="448"/>
      <c r="BE172" s="375">
        <f t="shared" ref="BE172:BE175" si="1370">BB172+AY172+AV172</f>
        <v>-1753050.04</v>
      </c>
      <c r="BF172" s="375">
        <f t="shared" ref="BF172:BF175" si="1371">BC172+AZ172+AW172</f>
        <v>0</v>
      </c>
      <c r="BG172" s="7">
        <f t="shared" si="990"/>
        <v>0</v>
      </c>
      <c r="BH172" s="375">
        <f t="shared" ref="BH172:BH175" si="1372">Q172+AB172+AQ172+BE172</f>
        <v>-1753050.04</v>
      </c>
      <c r="BI172" s="388">
        <f t="shared" ref="BI172:BI175" si="1373">Q172+AC172+AR172+BF172</f>
        <v>0</v>
      </c>
      <c r="BJ172" s="7">
        <f t="shared" si="991"/>
        <v>0</v>
      </c>
      <c r="BK172" s="375">
        <v>-648006.79725000402</v>
      </c>
      <c r="BL172" s="282"/>
      <c r="BN172" s="375"/>
      <c r="BO172" s="4"/>
      <c r="BP172" s="375"/>
      <c r="BQ172" s="4"/>
      <c r="BR172" s="375"/>
      <c r="BS172" s="4"/>
      <c r="BT172" s="375">
        <f t="shared" ref="BT172:BT175" si="1374">SUM(BN172:BS172)</f>
        <v>0</v>
      </c>
      <c r="BU172" s="7">
        <f t="shared" si="992"/>
        <v>0</v>
      </c>
      <c r="BV172" s="375"/>
      <c r="BW172" s="7"/>
      <c r="BX172" s="375"/>
      <c r="BY172" s="7"/>
      <c r="BZ172" s="375">
        <f t="shared" ref="BZ172:BZ176" si="1375">+BT172+BV172+BX172</f>
        <v>0</v>
      </c>
      <c r="CA172" s="7"/>
      <c r="CB172" s="375">
        <f>+BV172+BX172+BZ172</f>
        <v>0</v>
      </c>
      <c r="CC172" s="7">
        <f t="shared" si="1121"/>
        <v>0</v>
      </c>
      <c r="CD172" s="375">
        <f t="shared" ref="CD172:CD176" si="1376">BT172+CB172</f>
        <v>0</v>
      </c>
      <c r="CE172" s="7">
        <f t="shared" si="993"/>
        <v>0</v>
      </c>
      <c r="CF172" s="375">
        <f t="shared" ref="CF172:CF176" si="1377">+BZ172+CB172+CD172</f>
        <v>0</v>
      </c>
      <c r="CG172" s="7">
        <f t="shared" si="994"/>
        <v>0</v>
      </c>
      <c r="CH172" s="375">
        <f t="shared" ref="CH172:CH176" si="1378">+CB172+CD172+CF172</f>
        <v>0</v>
      </c>
      <c r="CI172" s="7">
        <f t="shared" si="994"/>
        <v>0</v>
      </c>
      <c r="CJ172" s="375">
        <f t="shared" ref="CJ172:CJ176" si="1379">+CD172+CF172+CH172</f>
        <v>0</v>
      </c>
      <c r="CK172" s="7">
        <f t="shared" si="994"/>
        <v>0</v>
      </c>
      <c r="CL172" s="375">
        <f>+CF172+CH172+CJ172</f>
        <v>0</v>
      </c>
      <c r="CM172" s="7">
        <f t="shared" si="994"/>
        <v>0</v>
      </c>
      <c r="CN172" s="375">
        <f t="shared" ref="CN172:CN176" si="1380">+CL172+CD172</f>
        <v>0</v>
      </c>
      <c r="CO172" s="7">
        <f t="shared" si="1223"/>
        <v>0</v>
      </c>
      <c r="CP172" s="375">
        <v>0</v>
      </c>
      <c r="CQ172" s="7">
        <f t="shared" si="1335"/>
        <v>0</v>
      </c>
      <c r="CR172" s="375">
        <f t="shared" ref="CR172:CR176" si="1381">+CN172+CP172</f>
        <v>0</v>
      </c>
      <c r="CS172" s="7">
        <f t="shared" si="1224"/>
        <v>0</v>
      </c>
      <c r="CT172" s="375">
        <v>0</v>
      </c>
      <c r="CU172" s="7">
        <f t="shared" si="1221"/>
        <v>0</v>
      </c>
      <c r="CV172" s="473">
        <v>0</v>
      </c>
      <c r="CW172" s="7">
        <f t="shared" si="968"/>
        <v>0</v>
      </c>
      <c r="CX172" s="375">
        <f t="shared" ref="CX172:CX176" si="1382">+CV172+CT172+CP172</f>
        <v>0</v>
      </c>
      <c r="CY172" s="7">
        <f t="shared" si="1336"/>
        <v>0</v>
      </c>
      <c r="CZ172" s="473">
        <f>+CD172+CL172+CX172</f>
        <v>0</v>
      </c>
      <c r="DA172" s="7">
        <f t="shared" si="997"/>
        <v>0</v>
      </c>
      <c r="DB172" s="477">
        <f t="shared" ref="DB172:DB175" si="1383">+CV172+CX172+CZ172</f>
        <v>0</v>
      </c>
      <c r="DC172" s="7">
        <f t="shared" si="1225"/>
        <v>0</v>
      </c>
      <c r="DD172" s="477">
        <f t="shared" ref="DD172:DD175" si="1384">+CX172+CZ172+DB172</f>
        <v>0</v>
      </c>
      <c r="DE172" s="7">
        <f t="shared" si="1226"/>
        <v>0</v>
      </c>
      <c r="DF172" s="477">
        <f t="shared" ref="DF172:DF175" si="1385">+CZ172+DB172+DD172</f>
        <v>0</v>
      </c>
      <c r="DG172" s="7">
        <f t="shared" si="1227"/>
        <v>0</v>
      </c>
      <c r="DH172" s="375">
        <f>+DB172+DD172+DF172</f>
        <v>0</v>
      </c>
      <c r="DI172" s="7">
        <f t="shared" si="1337"/>
        <v>0</v>
      </c>
      <c r="DJ172" s="477"/>
      <c r="DK172" s="7">
        <f t="shared" si="1228"/>
        <v>0</v>
      </c>
      <c r="DL172" s="477">
        <f t="shared" ref="DL172:DL173" si="1386">+DF172+DH172+DJ172</f>
        <v>0</v>
      </c>
      <c r="DM172" s="7">
        <f t="shared" si="1229"/>
        <v>0</v>
      </c>
      <c r="DN172" s="477">
        <f t="shared" ref="DN172:DN173" si="1387">+DH172+DJ172+DL172</f>
        <v>0</v>
      </c>
      <c r="DO172" s="7">
        <f t="shared" si="1230"/>
        <v>0</v>
      </c>
      <c r="DP172" s="477">
        <f t="shared" ref="DP172:DP173" si="1388">+DJ172+DL172+DN172</f>
        <v>0</v>
      </c>
      <c r="DQ172" s="7">
        <f t="shared" si="1231"/>
        <v>0</v>
      </c>
      <c r="DR172" s="375">
        <f>+DL172+DN172+DP172</f>
        <v>0</v>
      </c>
      <c r="DS172" s="7">
        <f t="shared" si="1338"/>
        <v>0</v>
      </c>
      <c r="DT172" s="375">
        <f t="shared" ref="DT172:DT176" si="1389">+DR172+DH172</f>
        <v>0</v>
      </c>
      <c r="DU172" s="7">
        <f t="shared" si="998"/>
        <v>0</v>
      </c>
      <c r="DV172" s="477"/>
      <c r="DW172" s="7">
        <f t="shared" si="1232"/>
        <v>0</v>
      </c>
      <c r="DX172" s="477"/>
      <c r="DY172" s="7">
        <f t="shared" si="856"/>
        <v>0</v>
      </c>
      <c r="DZ172" s="477"/>
      <c r="EA172" s="7">
        <f t="shared" si="1233"/>
        <v>0</v>
      </c>
      <c r="EB172" s="375">
        <f>+DV172+DX172+DZ172</f>
        <v>0</v>
      </c>
      <c r="EC172" s="7">
        <f t="shared" si="972"/>
        <v>0</v>
      </c>
      <c r="ED172" s="375">
        <f>+EB172+DT172</f>
        <v>0</v>
      </c>
      <c r="EE172" s="7">
        <f t="shared" si="999"/>
        <v>0</v>
      </c>
      <c r="EF172" s="477"/>
      <c r="EG172" s="7">
        <f t="shared" si="1234"/>
        <v>0</v>
      </c>
      <c r="EH172" s="477"/>
      <c r="EI172" s="7">
        <f t="shared" si="857"/>
        <v>0</v>
      </c>
      <c r="EJ172" s="477">
        <v>-11229808</v>
      </c>
      <c r="EK172" s="7">
        <f t="shared" si="1235"/>
        <v>-7.1910794281269078E-2</v>
      </c>
      <c r="EL172" s="375">
        <f>+EF172+EH172+EJ172</f>
        <v>-11229808</v>
      </c>
      <c r="EM172" s="7">
        <f t="shared" si="973"/>
        <v>-6.1135103848558185E-2</v>
      </c>
      <c r="EN172" s="375">
        <f>+EL172+ED172</f>
        <v>-11229808</v>
      </c>
      <c r="EO172" s="7">
        <f t="shared" si="1000"/>
        <v>-1.9934851315955158E-2</v>
      </c>
      <c r="EP172" s="455">
        <v>-364469.35</v>
      </c>
      <c r="EQ172" s="373" t="s">
        <v>720</v>
      </c>
      <c r="ER172" s="455"/>
      <c r="ES172" s="373"/>
      <c r="ET172" s="477"/>
      <c r="EU172" s="7">
        <f t="shared" si="1236"/>
        <v>0</v>
      </c>
      <c r="EV172" s="477"/>
      <c r="EW172" s="7">
        <f t="shared" si="858"/>
        <v>0</v>
      </c>
      <c r="EX172" s="477">
        <v>-15297186</v>
      </c>
      <c r="EY172" s="7">
        <f t="shared" si="1237"/>
        <v>-6.7008545355927096E-2</v>
      </c>
      <c r="EZ172" s="375">
        <f>+ET172+EV172+EX172</f>
        <v>-15297186</v>
      </c>
      <c r="FA172" s="7">
        <f t="shared" si="974"/>
        <v>-6.3274935903192775E-2</v>
      </c>
      <c r="FB172" s="477"/>
      <c r="FC172" s="7">
        <f t="shared" si="1238"/>
        <v>0</v>
      </c>
      <c r="FD172" s="477"/>
      <c r="FE172" s="7">
        <f t="shared" si="1222"/>
        <v>0</v>
      </c>
      <c r="FF172" s="477">
        <v>-7330585</v>
      </c>
      <c r="FG172" s="7">
        <f t="shared" si="975"/>
        <v>-4.5621742961864525E-2</v>
      </c>
      <c r="FH172" s="375">
        <f>+FB172+FD172+FF172</f>
        <v>-7330585</v>
      </c>
      <c r="FI172" s="7">
        <f t="shared" si="976"/>
        <v>-2.6656914203049741E-2</v>
      </c>
      <c r="FJ172" s="375">
        <f t="shared" ref="FJ172:FJ176" si="1390">EZ172+FH172</f>
        <v>-22627771</v>
      </c>
      <c r="FK172" s="7">
        <f t="shared" si="1003"/>
        <v>-4.3788204466004073E-2</v>
      </c>
      <c r="FL172" s="477"/>
      <c r="FM172" s="7">
        <f t="shared" si="1239"/>
        <v>0</v>
      </c>
      <c r="FN172" s="477"/>
      <c r="FO172" s="7">
        <f t="shared" si="977"/>
        <v>0</v>
      </c>
      <c r="FP172" s="477">
        <v>-1936644</v>
      </c>
      <c r="FQ172" s="7">
        <f t="shared" si="978"/>
        <v>-7.0005281447007269E-3</v>
      </c>
      <c r="FR172" s="375">
        <f>+FL172+FN172+FP172</f>
        <v>-1936644</v>
      </c>
      <c r="FS172" s="7">
        <f t="shared" si="979"/>
        <v>-6.62429134991405E-3</v>
      </c>
      <c r="FT172" s="375">
        <f t="shared" ref="FT172:FT176" si="1391">FJ172+FR172</f>
        <v>-24564415</v>
      </c>
      <c r="FU172" s="7">
        <f t="shared" si="1006"/>
        <v>-3.0359802745047175E-2</v>
      </c>
      <c r="FV172" s="477"/>
      <c r="FW172" s="7">
        <f t="shared" si="1240"/>
        <v>0</v>
      </c>
      <c r="FX172" s="477"/>
      <c r="FY172" s="7">
        <f t="shared" si="980"/>
        <v>0</v>
      </c>
      <c r="FZ172" s="560">
        <f>-19796623-114575</f>
        <v>-19911198</v>
      </c>
      <c r="GA172" s="7">
        <f t="shared" si="981"/>
        <v>-6.8870812772370699E-2</v>
      </c>
      <c r="GB172" s="375">
        <f>+FV172+FX172+FZ172</f>
        <v>-19911198</v>
      </c>
      <c r="GC172" s="7">
        <f t="shared" si="982"/>
        <v>-5.8129683651743952E-2</v>
      </c>
      <c r="GD172" s="375">
        <f t="shared" ref="GD172:GD176" si="1392">FT172+GB172</f>
        <v>-44475613</v>
      </c>
      <c r="GE172" s="7">
        <f t="shared" si="1009"/>
        <v>-3.8619355417274875E-2</v>
      </c>
      <c r="GF172" s="566">
        <f t="shared" ref="GF172:GF175" si="1393">+GO172*$GO$1</f>
        <v>-36883.75765</v>
      </c>
      <c r="GG172" s="525">
        <f t="shared" si="983"/>
        <v>-2.8622491660166539E-3</v>
      </c>
      <c r="GH172" s="528">
        <f t="shared" ref="GH172:GH175" si="1394">+GQ172*$GO$2</f>
        <v>0</v>
      </c>
      <c r="GI172" s="525">
        <f t="shared" si="984"/>
        <v>0</v>
      </c>
      <c r="GJ172" s="528"/>
      <c r="GK172" s="525">
        <f t="shared" si="985"/>
        <v>0</v>
      </c>
      <c r="GL172" s="528">
        <f t="shared" ref="GL172:GL175" si="1395">+GD172+GF172+GH172-GJ172</f>
        <v>-44512496.757650003</v>
      </c>
      <c r="GM172" s="565">
        <f t="shared" si="1012"/>
        <v>-3.8411399401963968E-2</v>
      </c>
      <c r="GN172" s="378"/>
      <c r="GO172" s="591">
        <f>-'KSA IS'!B29</f>
        <v>-3018</v>
      </c>
      <c r="GP172" s="378"/>
      <c r="GQ172" s="591"/>
      <c r="GT172" s="551">
        <f t="shared" si="1166"/>
        <v>-2647915.1395625276</v>
      </c>
      <c r="GU172" s="551">
        <f t="shared" si="1015"/>
        <v>-3102366.6630675099</v>
      </c>
      <c r="GV172" s="550">
        <f t="shared" si="1339"/>
        <v>-5750281.8026300371</v>
      </c>
      <c r="GW172" s="527">
        <f>-GW151*22.5/100</f>
        <v>-28378052.802630037</v>
      </c>
      <c r="GX172" s="525">
        <f t="shared" si="1241"/>
        <v>-2.3965622255328334E-2</v>
      </c>
      <c r="GY172" s="528">
        <f>-GY151*22.5/100</f>
        <v>-9749159.4791832063</v>
      </c>
      <c r="GZ172" s="525">
        <f t="shared" si="1242"/>
        <v>-1.0829990996890384E-2</v>
      </c>
      <c r="HA172" s="528">
        <f>-HA151*22.5/100</f>
        <v>-9850122.2195048667</v>
      </c>
      <c r="HB172" s="526">
        <f t="shared" si="1243"/>
        <v>-1.3531579869939532E-2</v>
      </c>
      <c r="HD172" s="527">
        <v>-32057622.159598663</v>
      </c>
      <c r="HE172" s="525">
        <v>-2.6985987425361967E-2</v>
      </c>
      <c r="HF172" s="528">
        <v>-9749159.4791832063</v>
      </c>
      <c r="HG172" s="525">
        <v>-1.0829990996890384E-2</v>
      </c>
      <c r="HH172" s="528">
        <v>-9850122.2195048667</v>
      </c>
      <c r="HI172" s="526">
        <v>-1.3531579869939532E-2</v>
      </c>
    </row>
    <row r="173" spans="1:217" ht="15" customHeight="1" outlineLevel="1">
      <c r="A173" s="386" t="s">
        <v>158</v>
      </c>
      <c r="B173" s="386" t="s">
        <v>160</v>
      </c>
      <c r="C173" s="375"/>
      <c r="D173" s="4"/>
      <c r="E173" s="375"/>
      <c r="F173" s="4"/>
      <c r="G173" s="375">
        <v>-19012.292300000001</v>
      </c>
      <c r="H173" s="375"/>
      <c r="I173" s="4"/>
      <c r="J173" s="375">
        <v>-23080.206675000001</v>
      </c>
      <c r="K173" s="375"/>
      <c r="L173" s="4"/>
      <c r="M173" s="375">
        <v>-47678.314550000003</v>
      </c>
      <c r="N173" s="375"/>
      <c r="O173" s="4"/>
      <c r="P173" s="375">
        <f t="shared" si="869"/>
        <v>-89770.813525000005</v>
      </c>
      <c r="Q173" s="375">
        <f t="shared" si="869"/>
        <v>0</v>
      </c>
      <c r="R173" s="7">
        <f t="shared" si="987"/>
        <v>0</v>
      </c>
      <c r="S173" s="375"/>
      <c r="T173" s="375"/>
      <c r="U173" s="4"/>
      <c r="V173" s="375"/>
      <c r="W173" s="375"/>
      <c r="X173" s="4"/>
      <c r="Y173" s="375"/>
      <c r="Z173" s="375"/>
      <c r="AA173" s="4"/>
      <c r="AB173" s="375">
        <f t="shared" si="1364"/>
        <v>0</v>
      </c>
      <c r="AC173" s="375">
        <f t="shared" si="1365"/>
        <v>0</v>
      </c>
      <c r="AD173" s="7">
        <f t="shared" si="988"/>
        <v>0</v>
      </c>
      <c r="AE173" s="375">
        <f t="shared" si="1257"/>
        <v>0</v>
      </c>
      <c r="AF173" s="375">
        <f t="shared" si="1366"/>
        <v>0</v>
      </c>
      <c r="AG173" s="4"/>
      <c r="AH173" s="375"/>
      <c r="AI173" s="375"/>
      <c r="AJ173" s="4"/>
      <c r="AK173" s="375"/>
      <c r="AL173" s="375"/>
      <c r="AM173" s="4"/>
      <c r="AN173" s="375"/>
      <c r="AO173" s="375"/>
      <c r="AP173" s="4"/>
      <c r="AQ173" s="375">
        <f t="shared" si="1367"/>
        <v>0</v>
      </c>
      <c r="AR173" s="375">
        <f t="shared" si="1368"/>
        <v>0</v>
      </c>
      <c r="AS173" s="7">
        <f t="shared" si="989"/>
        <v>0</v>
      </c>
      <c r="AT173" s="375">
        <f t="shared" si="1369"/>
        <v>0</v>
      </c>
      <c r="AU173" s="4"/>
      <c r="AV173" s="375"/>
      <c r="AW173" s="375"/>
      <c r="AX173" s="4"/>
      <c r="AY173" s="375"/>
      <c r="AZ173" s="375"/>
      <c r="BA173" s="4"/>
      <c r="BB173" s="375">
        <v>-73230.569266666673</v>
      </c>
      <c r="BC173" s="375"/>
      <c r="BD173" s="448"/>
      <c r="BE173" s="375">
        <f t="shared" si="1370"/>
        <v>-73230.569266666673</v>
      </c>
      <c r="BF173" s="375">
        <f t="shared" si="1371"/>
        <v>0</v>
      </c>
      <c r="BG173" s="7">
        <f t="shared" si="990"/>
        <v>0</v>
      </c>
      <c r="BH173" s="375">
        <f t="shared" si="1372"/>
        <v>-73230.569266666673</v>
      </c>
      <c r="BI173" s="388">
        <f t="shared" si="1373"/>
        <v>0</v>
      </c>
      <c r="BJ173" s="7">
        <f t="shared" si="991"/>
        <v>0</v>
      </c>
      <c r="BK173" s="375">
        <v>0</v>
      </c>
      <c r="BL173" s="282"/>
      <c r="BN173" s="375"/>
      <c r="BO173" s="4"/>
      <c r="BP173" s="375"/>
      <c r="BQ173" s="4"/>
      <c r="BR173" s="375"/>
      <c r="BS173" s="4"/>
      <c r="BT173" s="375">
        <f t="shared" si="1374"/>
        <v>0</v>
      </c>
      <c r="BU173" s="7">
        <f t="shared" si="992"/>
        <v>0</v>
      </c>
      <c r="BV173" s="375"/>
      <c r="BW173" s="7"/>
      <c r="BX173" s="375"/>
      <c r="BY173" s="7"/>
      <c r="BZ173" s="375">
        <f t="shared" si="1375"/>
        <v>0</v>
      </c>
      <c r="CA173" s="7"/>
      <c r="CB173" s="375">
        <f t="shared" ref="CB173:CB176" si="1396">+BV173+BX173+BZ173</f>
        <v>0</v>
      </c>
      <c r="CC173" s="7">
        <f t="shared" si="1121"/>
        <v>0</v>
      </c>
      <c r="CD173" s="375">
        <f t="shared" si="1376"/>
        <v>0</v>
      </c>
      <c r="CE173" s="7">
        <f t="shared" si="993"/>
        <v>0</v>
      </c>
      <c r="CF173" s="375">
        <f t="shared" si="1377"/>
        <v>0</v>
      </c>
      <c r="CG173" s="7">
        <f t="shared" si="994"/>
        <v>0</v>
      </c>
      <c r="CH173" s="375">
        <f t="shared" si="1378"/>
        <v>0</v>
      </c>
      <c r="CI173" s="7">
        <f t="shared" si="994"/>
        <v>0</v>
      </c>
      <c r="CJ173" s="375">
        <f t="shared" si="1379"/>
        <v>0</v>
      </c>
      <c r="CK173" s="7">
        <f t="shared" si="994"/>
        <v>0</v>
      </c>
      <c r="CL173" s="375">
        <f>+CF173+CH173+CJ173</f>
        <v>0</v>
      </c>
      <c r="CM173" s="7">
        <f t="shared" si="994"/>
        <v>0</v>
      </c>
      <c r="CN173" s="375">
        <f t="shared" si="1380"/>
        <v>0</v>
      </c>
      <c r="CO173" s="7">
        <f t="shared" si="1223"/>
        <v>0</v>
      </c>
      <c r="CP173" s="375">
        <v>0</v>
      </c>
      <c r="CQ173" s="7">
        <f t="shared" si="1335"/>
        <v>0</v>
      </c>
      <c r="CR173" s="375">
        <f t="shared" si="1381"/>
        <v>0</v>
      </c>
      <c r="CS173" s="7">
        <f t="shared" si="1224"/>
        <v>0</v>
      </c>
      <c r="CT173" s="375">
        <v>0</v>
      </c>
      <c r="CU173" s="7">
        <f t="shared" si="1221"/>
        <v>0</v>
      </c>
      <c r="CV173" s="375">
        <v>0</v>
      </c>
      <c r="CW173" s="7">
        <f t="shared" si="968"/>
        <v>0</v>
      </c>
      <c r="CX173" s="375">
        <f t="shared" si="1382"/>
        <v>0</v>
      </c>
      <c r="CY173" s="7">
        <f t="shared" si="1336"/>
        <v>0</v>
      </c>
      <c r="CZ173" s="375">
        <f>+CD173+CL173+CX173</f>
        <v>0</v>
      </c>
      <c r="DA173" s="7">
        <f t="shared" si="997"/>
        <v>0</v>
      </c>
      <c r="DB173" s="375">
        <f t="shared" si="1383"/>
        <v>0</v>
      </c>
      <c r="DC173" s="7">
        <f t="shared" si="1225"/>
        <v>0</v>
      </c>
      <c r="DD173" s="375">
        <f t="shared" si="1384"/>
        <v>0</v>
      </c>
      <c r="DE173" s="7">
        <f t="shared" si="1226"/>
        <v>0</v>
      </c>
      <c r="DF173" s="375">
        <f t="shared" si="1385"/>
        <v>0</v>
      </c>
      <c r="DG173" s="7">
        <f t="shared" si="1227"/>
        <v>0</v>
      </c>
      <c r="DH173" s="375">
        <f>+DB173+DD173+DF173</f>
        <v>0</v>
      </c>
      <c r="DI173" s="7">
        <f t="shared" si="1337"/>
        <v>0</v>
      </c>
      <c r="DJ173" s="375"/>
      <c r="DK173" s="7">
        <f t="shared" si="1228"/>
        <v>0</v>
      </c>
      <c r="DL173" s="375">
        <f t="shared" si="1386"/>
        <v>0</v>
      </c>
      <c r="DM173" s="7">
        <f t="shared" si="1229"/>
        <v>0</v>
      </c>
      <c r="DN173" s="375">
        <f t="shared" si="1387"/>
        <v>0</v>
      </c>
      <c r="DO173" s="7">
        <f t="shared" si="1230"/>
        <v>0</v>
      </c>
      <c r="DP173" s="375">
        <f t="shared" si="1388"/>
        <v>0</v>
      </c>
      <c r="DQ173" s="7">
        <f t="shared" si="1231"/>
        <v>0</v>
      </c>
      <c r="DR173" s="375">
        <f>+DL173+DN173+DP173</f>
        <v>0</v>
      </c>
      <c r="DS173" s="7">
        <f t="shared" si="1338"/>
        <v>0</v>
      </c>
      <c r="DT173" s="375">
        <f t="shared" si="1389"/>
        <v>0</v>
      </c>
      <c r="DU173" s="7">
        <f t="shared" si="998"/>
        <v>0</v>
      </c>
      <c r="DV173" s="375"/>
      <c r="DW173" s="7">
        <f t="shared" si="1232"/>
        <v>0</v>
      </c>
      <c r="DX173" s="375"/>
      <c r="DY173" s="7">
        <f t="shared" si="856"/>
        <v>0</v>
      </c>
      <c r="DZ173" s="375"/>
      <c r="EA173" s="7">
        <f t="shared" si="1233"/>
        <v>0</v>
      </c>
      <c r="EB173" s="375">
        <f>+DV173+DX173+DZ173</f>
        <v>0</v>
      </c>
      <c r="EC173" s="7">
        <f t="shared" si="972"/>
        <v>0</v>
      </c>
      <c r="ED173" s="375">
        <f>+EB173+DT173</f>
        <v>0</v>
      </c>
      <c r="EE173" s="7">
        <f t="shared" si="999"/>
        <v>0</v>
      </c>
      <c r="EF173" s="375"/>
      <c r="EG173" s="7">
        <f t="shared" si="1234"/>
        <v>0</v>
      </c>
      <c r="EH173" s="375"/>
      <c r="EI173" s="7">
        <f t="shared" si="857"/>
        <v>0</v>
      </c>
      <c r="EJ173" s="375"/>
      <c r="EK173" s="7">
        <f t="shared" si="1235"/>
        <v>0</v>
      </c>
      <c r="EL173" s="375">
        <f>+EF173+EH173+EJ173</f>
        <v>0</v>
      </c>
      <c r="EM173" s="7">
        <f t="shared" si="973"/>
        <v>0</v>
      </c>
      <c r="EN173" s="375">
        <f>+EL173+ED173</f>
        <v>0</v>
      </c>
      <c r="EO173" s="7">
        <f t="shared" si="1000"/>
        <v>0</v>
      </c>
      <c r="EP173" s="373"/>
      <c r="EQ173" s="373"/>
      <c r="ER173" s="455"/>
      <c r="ES173" s="373"/>
      <c r="ET173" s="375"/>
      <c r="EU173" s="7">
        <f t="shared" si="1236"/>
        <v>0</v>
      </c>
      <c r="EV173" s="375"/>
      <c r="EW173" s="7">
        <f t="shared" si="858"/>
        <v>0</v>
      </c>
      <c r="EX173" s="375"/>
      <c r="EY173" s="7">
        <f t="shared" si="1237"/>
        <v>0</v>
      </c>
      <c r="EZ173" s="375">
        <f>+ET173+EV173+EX173</f>
        <v>0</v>
      </c>
      <c r="FA173" s="7">
        <f t="shared" si="974"/>
        <v>0</v>
      </c>
      <c r="FB173" s="375"/>
      <c r="FC173" s="7">
        <f t="shared" si="1238"/>
        <v>0</v>
      </c>
      <c r="FD173" s="375"/>
      <c r="FE173" s="7">
        <f t="shared" si="1222"/>
        <v>0</v>
      </c>
      <c r="FF173" s="375"/>
      <c r="FG173" s="7">
        <f t="shared" si="975"/>
        <v>0</v>
      </c>
      <c r="FH173" s="375">
        <f>+FB173+FD173+FF173</f>
        <v>0</v>
      </c>
      <c r="FI173" s="7">
        <f t="shared" si="976"/>
        <v>0</v>
      </c>
      <c r="FJ173" s="375">
        <f t="shared" si="1390"/>
        <v>0</v>
      </c>
      <c r="FK173" s="7">
        <f t="shared" si="1003"/>
        <v>0</v>
      </c>
      <c r="FL173" s="375"/>
      <c r="FM173" s="7">
        <f t="shared" si="1239"/>
        <v>0</v>
      </c>
      <c r="FN173" s="375"/>
      <c r="FO173" s="7">
        <f t="shared" si="977"/>
        <v>0</v>
      </c>
      <c r="FP173" s="375"/>
      <c r="FQ173" s="7">
        <f t="shared" si="978"/>
        <v>0</v>
      </c>
      <c r="FR173" s="375">
        <f>+FL173+FN173+FP173</f>
        <v>0</v>
      </c>
      <c r="FS173" s="7">
        <f t="shared" si="979"/>
        <v>0</v>
      </c>
      <c r="FT173" s="375">
        <f t="shared" si="1391"/>
        <v>0</v>
      </c>
      <c r="FU173" s="7">
        <f t="shared" si="1006"/>
        <v>0</v>
      </c>
      <c r="FV173" s="375"/>
      <c r="FW173" s="7">
        <f t="shared" si="1240"/>
        <v>0</v>
      </c>
      <c r="FX173" s="375"/>
      <c r="FY173" s="7">
        <f t="shared" si="980"/>
        <v>0</v>
      </c>
      <c r="FZ173" s="375"/>
      <c r="GA173" s="7">
        <f t="shared" si="981"/>
        <v>0</v>
      </c>
      <c r="GB173" s="375">
        <f>+FV173+FX173+FZ173</f>
        <v>0</v>
      </c>
      <c r="GC173" s="7">
        <f t="shared" si="982"/>
        <v>0</v>
      </c>
      <c r="GD173" s="375">
        <f t="shared" si="1392"/>
        <v>0</v>
      </c>
      <c r="GE173" s="7">
        <f t="shared" si="1009"/>
        <v>0</v>
      </c>
      <c r="GF173" s="566">
        <f t="shared" si="1393"/>
        <v>0</v>
      </c>
      <c r="GG173" s="525">
        <f t="shared" si="983"/>
        <v>0</v>
      </c>
      <c r="GH173" s="528">
        <f t="shared" si="1394"/>
        <v>0</v>
      </c>
      <c r="GI173" s="525">
        <f t="shared" si="984"/>
        <v>0</v>
      </c>
      <c r="GJ173" s="528"/>
      <c r="GK173" s="525">
        <f t="shared" si="985"/>
        <v>0</v>
      </c>
      <c r="GL173" s="528">
        <f t="shared" si="1395"/>
        <v>0</v>
      </c>
      <c r="GM173" s="565">
        <f t="shared" si="1012"/>
        <v>0</v>
      </c>
      <c r="GO173" s="586"/>
      <c r="GQ173" s="586"/>
      <c r="GT173" s="551">
        <f t="shared" si="1166"/>
        <v>0</v>
      </c>
      <c r="GU173" s="551">
        <f t="shared" si="1015"/>
        <v>0</v>
      </c>
      <c r="GV173" s="550">
        <f t="shared" si="1339"/>
        <v>0</v>
      </c>
      <c r="GW173" s="527"/>
      <c r="GX173" s="525">
        <f t="shared" si="1241"/>
        <v>0</v>
      </c>
      <c r="GY173" s="528"/>
      <c r="GZ173" s="525">
        <f t="shared" si="1242"/>
        <v>0</v>
      </c>
      <c r="HA173" s="528"/>
      <c r="HB173" s="526">
        <f t="shared" si="1243"/>
        <v>0</v>
      </c>
      <c r="HD173" s="527"/>
      <c r="HE173" s="525">
        <v>0</v>
      </c>
      <c r="HF173" s="528"/>
      <c r="HG173" s="525">
        <v>0</v>
      </c>
      <c r="HH173" s="528"/>
      <c r="HI173" s="526">
        <v>0</v>
      </c>
    </row>
    <row r="174" spans="1:217" ht="15" customHeight="1" outlineLevel="1">
      <c r="A174" s="386" t="s">
        <v>158</v>
      </c>
      <c r="B174" s="386" t="s">
        <v>161</v>
      </c>
      <c r="C174" s="18">
        <v>-2070116.75</v>
      </c>
      <c r="D174" s="4"/>
      <c r="E174" s="375"/>
      <c r="F174" s="4"/>
      <c r="I174" s="4"/>
      <c r="J174" s="375"/>
      <c r="K174" s="375"/>
      <c r="L174" s="4"/>
      <c r="M174" s="375"/>
      <c r="N174" s="375">
        <v>1184852</v>
      </c>
      <c r="O174" s="4"/>
      <c r="P174" s="375">
        <f t="shared" si="869"/>
        <v>0</v>
      </c>
      <c r="Q174" s="375">
        <f t="shared" si="869"/>
        <v>1184852</v>
      </c>
      <c r="R174" s="7">
        <f t="shared" si="987"/>
        <v>3.2579451057796048E-2</v>
      </c>
      <c r="S174" s="375"/>
      <c r="T174" s="375"/>
      <c r="U174" s="4"/>
      <c r="V174" s="375"/>
      <c r="W174" s="375"/>
      <c r="X174" s="4"/>
      <c r="Y174" s="375">
        <v>-182662</v>
      </c>
      <c r="Z174" s="375">
        <v>-182662</v>
      </c>
      <c r="AA174" s="4"/>
      <c r="AB174" s="375">
        <f t="shared" si="1364"/>
        <v>-182662</v>
      </c>
      <c r="AC174" s="375">
        <f t="shared" si="1365"/>
        <v>-182662</v>
      </c>
      <c r="AD174" s="7">
        <f t="shared" si="988"/>
        <v>-4.9251851960176738E-3</v>
      </c>
      <c r="AE174" s="375">
        <f t="shared" si="1257"/>
        <v>1002190</v>
      </c>
      <c r="AF174" s="375">
        <f t="shared" si="1366"/>
        <v>1002190</v>
      </c>
      <c r="AG174" s="4"/>
      <c r="AH174" s="375"/>
      <c r="AI174" s="375"/>
      <c r="AJ174" s="4"/>
      <c r="AK174" s="375"/>
      <c r="AL174" s="375"/>
      <c r="AM174" s="4"/>
      <c r="AN174" s="375">
        <v>167711</v>
      </c>
      <c r="AO174" s="375">
        <v>167711</v>
      </c>
      <c r="AP174" s="4"/>
      <c r="AQ174" s="375">
        <f t="shared" si="1367"/>
        <v>167711</v>
      </c>
      <c r="AR174" s="375">
        <f t="shared" si="1368"/>
        <v>167711</v>
      </c>
      <c r="AS174" s="7">
        <f t="shared" si="989"/>
        <v>6.2995625604357047E-3</v>
      </c>
      <c r="AT174" s="375">
        <f t="shared" si="1369"/>
        <v>1169901</v>
      </c>
      <c r="AU174" s="4"/>
      <c r="AV174" s="375"/>
      <c r="AW174" s="375"/>
      <c r="AX174" s="4"/>
      <c r="AY174" s="375"/>
      <c r="AZ174" s="375"/>
      <c r="BA174" s="4"/>
      <c r="BB174" s="375"/>
      <c r="BC174" s="375">
        <f>435571</f>
        <v>435571</v>
      </c>
      <c r="BD174" s="448"/>
      <c r="BE174" s="375">
        <f t="shared" si="1370"/>
        <v>0</v>
      </c>
      <c r="BF174" s="375">
        <f>BC174+AZ174+AW174</f>
        <v>435571</v>
      </c>
      <c r="BG174" s="7">
        <f t="shared" si="990"/>
        <v>1.3871834811422502E-2</v>
      </c>
      <c r="BH174" s="375">
        <f t="shared" si="1372"/>
        <v>1169901</v>
      </c>
      <c r="BI174" s="388">
        <f>Q174+AC174+AR174+BF174</f>
        <v>1605472</v>
      </c>
      <c r="BJ174" s="7">
        <f t="shared" si="991"/>
        <v>1.2210981127660987E-2</v>
      </c>
      <c r="BK174" s="375">
        <v>0</v>
      </c>
      <c r="BL174" s="282"/>
      <c r="BN174" s="375"/>
      <c r="BO174" s="4"/>
      <c r="BP174" s="375"/>
      <c r="BQ174" s="4"/>
      <c r="BR174" s="375"/>
      <c r="BS174" s="4"/>
      <c r="BT174" s="375">
        <f t="shared" si="1374"/>
        <v>0</v>
      </c>
      <c r="BU174" s="7">
        <f t="shared" si="992"/>
        <v>0</v>
      </c>
      <c r="BV174" s="375"/>
      <c r="BW174" s="7"/>
      <c r="BX174" s="375"/>
      <c r="BY174" s="7"/>
      <c r="BZ174" s="375">
        <f t="shared" si="1375"/>
        <v>0</v>
      </c>
      <c r="CA174" s="7"/>
      <c r="CB174" s="375">
        <f t="shared" si="1396"/>
        <v>0</v>
      </c>
      <c r="CC174" s="7">
        <f t="shared" si="1121"/>
        <v>0</v>
      </c>
      <c r="CD174" s="375">
        <f t="shared" si="1376"/>
        <v>0</v>
      </c>
      <c r="CE174" s="7">
        <f t="shared" si="993"/>
        <v>0</v>
      </c>
      <c r="CF174" s="375">
        <f t="shared" si="1377"/>
        <v>0</v>
      </c>
      <c r="CG174" s="7">
        <f t="shared" si="994"/>
        <v>0</v>
      </c>
      <c r="CH174" s="375">
        <f t="shared" si="1378"/>
        <v>0</v>
      </c>
      <c r="CI174" s="7">
        <f t="shared" si="994"/>
        <v>0</v>
      </c>
      <c r="CJ174" s="375">
        <f t="shared" si="1379"/>
        <v>0</v>
      </c>
      <c r="CK174" s="7">
        <f t="shared" si="994"/>
        <v>0</v>
      </c>
      <c r="CL174" s="375">
        <f>+CF174+CH174+CJ174</f>
        <v>0</v>
      </c>
      <c r="CM174" s="7">
        <f t="shared" si="994"/>
        <v>0</v>
      </c>
      <c r="CN174" s="375">
        <f t="shared" si="1380"/>
        <v>0</v>
      </c>
      <c r="CO174" s="7">
        <f t="shared" si="1223"/>
        <v>0</v>
      </c>
      <c r="CP174" s="375">
        <v>0</v>
      </c>
      <c r="CQ174" s="7">
        <f t="shared" si="1335"/>
        <v>0</v>
      </c>
      <c r="CR174" s="375">
        <f t="shared" si="1381"/>
        <v>0</v>
      </c>
      <c r="CS174" s="7">
        <f t="shared" si="1224"/>
        <v>0</v>
      </c>
      <c r="CT174" s="375">
        <v>0</v>
      </c>
      <c r="CU174" s="7">
        <f t="shared" si="1221"/>
        <v>0</v>
      </c>
      <c r="CV174" s="375">
        <v>-7166106</v>
      </c>
      <c r="CW174" s="7">
        <f t="shared" si="968"/>
        <v>-0.1145276597741651</v>
      </c>
      <c r="CX174" s="375">
        <f t="shared" si="1382"/>
        <v>-7166106</v>
      </c>
      <c r="CY174" s="7">
        <f t="shared" si="1336"/>
        <v>-7.325384021665747E-2</v>
      </c>
      <c r="CZ174" s="375">
        <f>+CD174+CL174+CX174</f>
        <v>-7166106</v>
      </c>
      <c r="DA174" s="7">
        <f t="shared" si="997"/>
        <v>-2.7929592875557619E-2</v>
      </c>
      <c r="DB174" s="375"/>
      <c r="DC174" s="7">
        <f t="shared" si="1225"/>
        <v>0</v>
      </c>
      <c r="DD174" s="375"/>
      <c r="DE174" s="7">
        <f t="shared" si="1226"/>
        <v>0</v>
      </c>
      <c r="DF174" s="375">
        <v>-4455894</v>
      </c>
      <c r="DG174" s="7">
        <f t="shared" si="1227"/>
        <v>-0.14364492501952894</v>
      </c>
      <c r="DH174" s="375">
        <f>+DB174+DD174+DF174</f>
        <v>-4455894</v>
      </c>
      <c r="DI174" s="7">
        <f t="shared" si="1337"/>
        <v>-5.8488797892599011E-2</v>
      </c>
      <c r="DJ174" s="375"/>
      <c r="DK174" s="7">
        <f t="shared" si="1228"/>
        <v>0</v>
      </c>
      <c r="DL174" s="375"/>
      <c r="DM174" s="7">
        <f t="shared" si="1229"/>
        <v>0</v>
      </c>
      <c r="DN174" s="375"/>
      <c r="DO174" s="7">
        <f t="shared" si="1230"/>
        <v>0</v>
      </c>
      <c r="DP174" s="375">
        <v>4455894</v>
      </c>
      <c r="DQ174" s="7">
        <f t="shared" si="1231"/>
        <v>5.3106099462696704E-2</v>
      </c>
      <c r="DR174" s="375">
        <f>+DL174+DN174+DP174</f>
        <v>4455894</v>
      </c>
      <c r="DS174" s="7">
        <f t="shared" si="1338"/>
        <v>4.0604046410892679E-2</v>
      </c>
      <c r="DT174" s="375">
        <f t="shared" si="1389"/>
        <v>0</v>
      </c>
      <c r="DU174" s="7">
        <f t="shared" si="998"/>
        <v>0</v>
      </c>
      <c r="DV174" s="375"/>
      <c r="DW174" s="7">
        <f t="shared" si="1232"/>
        <v>0</v>
      </c>
      <c r="DX174" s="375"/>
      <c r="DY174" s="7">
        <f t="shared" si="856"/>
        <v>0</v>
      </c>
      <c r="DZ174" s="375"/>
      <c r="EA174" s="7">
        <f t="shared" si="1233"/>
        <v>0</v>
      </c>
      <c r="EB174" s="375">
        <f>+DV174+DX174+DZ174</f>
        <v>0</v>
      </c>
      <c r="EC174" s="7">
        <f t="shared" si="972"/>
        <v>0</v>
      </c>
      <c r="ED174" s="375">
        <f>+EB174+DT174</f>
        <v>0</v>
      </c>
      <c r="EE174" s="7">
        <f t="shared" si="999"/>
        <v>0</v>
      </c>
      <c r="EF174" s="375"/>
      <c r="EG174" s="7">
        <f t="shared" si="1234"/>
        <v>0</v>
      </c>
      <c r="EH174" s="375"/>
      <c r="EI174" s="7">
        <f t="shared" si="857"/>
        <v>0</v>
      </c>
      <c r="EJ174" s="375">
        <v>3461742</v>
      </c>
      <c r="EK174" s="7">
        <f t="shared" si="1235"/>
        <v>2.2167486462531593E-2</v>
      </c>
      <c r="EL174" s="375">
        <f>+EF174+EH174+EJ174</f>
        <v>3461742</v>
      </c>
      <c r="EM174" s="7">
        <f t="shared" si="973"/>
        <v>1.8845732417412258E-2</v>
      </c>
      <c r="EN174" s="375">
        <f>+EL174+ED174</f>
        <v>3461742</v>
      </c>
      <c r="EO174" s="7">
        <f t="shared" si="1000"/>
        <v>6.1451907338217395E-3</v>
      </c>
      <c r="EP174" s="373"/>
      <c r="EQ174" s="373"/>
      <c r="ER174" s="455"/>
      <c r="ES174" s="373"/>
      <c r="ET174" s="375"/>
      <c r="EU174" s="7">
        <f t="shared" si="1236"/>
        <v>0</v>
      </c>
      <c r="EV174" s="375"/>
      <c r="EW174" s="7">
        <f t="shared" si="858"/>
        <v>0</v>
      </c>
      <c r="EX174" s="375"/>
      <c r="EY174" s="7">
        <f t="shared" si="1237"/>
        <v>0</v>
      </c>
      <c r="EZ174" s="375">
        <f>+ET174+EV174+EX174</f>
        <v>0</v>
      </c>
      <c r="FA174" s="7">
        <f t="shared" si="974"/>
        <v>0</v>
      </c>
      <c r="FB174" s="375"/>
      <c r="FC174" s="7">
        <f t="shared" si="1238"/>
        <v>0</v>
      </c>
      <c r="FD174" s="375"/>
      <c r="FE174" s="7">
        <f t="shared" si="1222"/>
        <v>0</v>
      </c>
      <c r="FF174" s="375"/>
      <c r="FG174" s="7">
        <f t="shared" si="975"/>
        <v>0</v>
      </c>
      <c r="FH174" s="375">
        <f>+FB174+FD174+FF174</f>
        <v>0</v>
      </c>
      <c r="FI174" s="7">
        <f t="shared" si="976"/>
        <v>0</v>
      </c>
      <c r="FJ174" s="375">
        <f t="shared" si="1390"/>
        <v>0</v>
      </c>
      <c r="FK174" s="7">
        <f t="shared" si="1003"/>
        <v>0</v>
      </c>
      <c r="FL174" s="375"/>
      <c r="FM174" s="7">
        <f t="shared" si="1239"/>
        <v>0</v>
      </c>
      <c r="FN174" s="375"/>
      <c r="FO174" s="7">
        <f t="shared" si="977"/>
        <v>0</v>
      </c>
      <c r="FP174" s="375"/>
      <c r="FQ174" s="7">
        <f t="shared" si="978"/>
        <v>0</v>
      </c>
      <c r="FR174" s="375">
        <f>+FL174+FN174+FP174</f>
        <v>0</v>
      </c>
      <c r="FS174" s="7">
        <f t="shared" si="979"/>
        <v>0</v>
      </c>
      <c r="FT174" s="375">
        <f t="shared" si="1391"/>
        <v>0</v>
      </c>
      <c r="FU174" s="7">
        <f t="shared" si="1006"/>
        <v>0</v>
      </c>
      <c r="FV174" s="375"/>
      <c r="FW174" s="7">
        <f t="shared" si="1240"/>
        <v>0</v>
      </c>
      <c r="FX174" s="375"/>
      <c r="FY174" s="7">
        <f t="shared" si="980"/>
        <v>0</v>
      </c>
      <c r="FZ174" s="375"/>
      <c r="GA174" s="7">
        <f t="shared" si="981"/>
        <v>0</v>
      </c>
      <c r="GB174" s="375">
        <f>+FV174+FX174+FZ174</f>
        <v>0</v>
      </c>
      <c r="GC174" s="7">
        <f t="shared" si="982"/>
        <v>0</v>
      </c>
      <c r="GD174" s="375">
        <f t="shared" si="1392"/>
        <v>0</v>
      </c>
      <c r="GE174" s="7">
        <f t="shared" si="1009"/>
        <v>0</v>
      </c>
      <c r="GF174" s="566">
        <f t="shared" si="1393"/>
        <v>0</v>
      </c>
      <c r="GG174" s="525">
        <f t="shared" si="983"/>
        <v>0</v>
      </c>
      <c r="GH174" s="528">
        <f t="shared" si="1394"/>
        <v>0</v>
      </c>
      <c r="GI174" s="525">
        <f t="shared" si="984"/>
        <v>0</v>
      </c>
      <c r="GJ174" s="528"/>
      <c r="GK174" s="525">
        <f t="shared" si="985"/>
        <v>0</v>
      </c>
      <c r="GL174" s="528">
        <f t="shared" si="1395"/>
        <v>0</v>
      </c>
      <c r="GM174" s="565">
        <f t="shared" si="1012"/>
        <v>0</v>
      </c>
      <c r="GO174" s="586"/>
      <c r="GQ174" s="586"/>
      <c r="GT174" s="551">
        <f t="shared" si="1166"/>
        <v>0</v>
      </c>
      <c r="GU174" s="551">
        <f t="shared" si="1015"/>
        <v>0</v>
      </c>
      <c r="GV174" s="550">
        <f t="shared" si="1339"/>
        <v>0</v>
      </c>
      <c r="GW174" s="527"/>
      <c r="GX174" s="525">
        <f t="shared" si="1241"/>
        <v>0</v>
      </c>
      <c r="GY174" s="528"/>
      <c r="GZ174" s="525">
        <f t="shared" si="1242"/>
        <v>0</v>
      </c>
      <c r="HA174" s="528"/>
      <c r="HB174" s="526">
        <f t="shared" si="1243"/>
        <v>0</v>
      </c>
      <c r="HD174" s="527"/>
      <c r="HE174" s="525">
        <v>0</v>
      </c>
      <c r="HF174" s="528"/>
      <c r="HG174" s="525">
        <v>0</v>
      </c>
      <c r="HH174" s="528"/>
      <c r="HI174" s="526">
        <v>0</v>
      </c>
    </row>
    <row r="175" spans="1:217" ht="15" customHeight="1" outlineLevel="1">
      <c r="A175" s="386" t="s">
        <v>158</v>
      </c>
      <c r="B175" s="386" t="s">
        <v>162</v>
      </c>
      <c r="C175" s="375"/>
      <c r="D175" s="4"/>
      <c r="E175" s="375"/>
      <c r="F175" s="4"/>
      <c r="G175" s="375"/>
      <c r="H175" s="375"/>
      <c r="I175" s="4"/>
      <c r="J175" s="375"/>
      <c r="K175" s="375"/>
      <c r="L175" s="4"/>
      <c r="M175" s="375"/>
      <c r="N175" s="375"/>
      <c r="O175" s="4"/>
      <c r="P175" s="375">
        <f t="shared" si="869"/>
        <v>0</v>
      </c>
      <c r="Q175" s="375">
        <f t="shared" si="869"/>
        <v>0</v>
      </c>
      <c r="R175" s="7">
        <f t="shared" si="987"/>
        <v>0</v>
      </c>
      <c r="S175" s="375"/>
      <c r="T175" s="375"/>
      <c r="U175" s="4"/>
      <c r="V175" s="375"/>
      <c r="W175" s="375"/>
      <c r="X175" s="4"/>
      <c r="Y175" s="375"/>
      <c r="Z175" s="375"/>
      <c r="AA175" s="4"/>
      <c r="AB175" s="375">
        <f t="shared" si="1364"/>
        <v>0</v>
      </c>
      <c r="AC175" s="375">
        <f t="shared" si="1365"/>
        <v>0</v>
      </c>
      <c r="AD175" s="7">
        <f t="shared" si="988"/>
        <v>0</v>
      </c>
      <c r="AE175" s="375">
        <f t="shared" si="1257"/>
        <v>0</v>
      </c>
      <c r="AF175" s="375">
        <f t="shared" si="1366"/>
        <v>0</v>
      </c>
      <c r="AG175" s="4"/>
      <c r="AH175" s="375"/>
      <c r="AI175" s="375"/>
      <c r="AJ175" s="4"/>
      <c r="AK175" s="375"/>
      <c r="AL175" s="375"/>
      <c r="AM175" s="4"/>
      <c r="AN175" s="375"/>
      <c r="AO175" s="375"/>
      <c r="AP175" s="4"/>
      <c r="AQ175" s="375">
        <f t="shared" si="1367"/>
        <v>0</v>
      </c>
      <c r="AR175" s="375">
        <f t="shared" si="1368"/>
        <v>0</v>
      </c>
      <c r="AS175" s="7">
        <f t="shared" si="989"/>
        <v>0</v>
      </c>
      <c r="AT175" s="375">
        <f t="shared" si="1369"/>
        <v>0</v>
      </c>
      <c r="AU175" s="4"/>
      <c r="AV175" s="375"/>
      <c r="AW175" s="375"/>
      <c r="AX175" s="4"/>
      <c r="AY175" s="375"/>
      <c r="AZ175" s="375"/>
      <c r="BA175" s="4"/>
      <c r="BB175" s="375"/>
      <c r="BC175" s="375"/>
      <c r="BD175" s="448"/>
      <c r="BE175" s="375">
        <f t="shared" si="1370"/>
        <v>0</v>
      </c>
      <c r="BF175" s="375">
        <f t="shared" si="1371"/>
        <v>0</v>
      </c>
      <c r="BG175" s="7">
        <f t="shared" si="990"/>
        <v>0</v>
      </c>
      <c r="BH175" s="375">
        <f t="shared" si="1372"/>
        <v>0</v>
      </c>
      <c r="BI175" s="388">
        <f t="shared" si="1373"/>
        <v>0</v>
      </c>
      <c r="BJ175" s="7">
        <f t="shared" si="991"/>
        <v>0</v>
      </c>
      <c r="BK175" s="375">
        <v>0</v>
      </c>
      <c r="BL175" s="282"/>
      <c r="BN175" s="375"/>
      <c r="BO175" s="4"/>
      <c r="BP175" s="375"/>
      <c r="BQ175" s="4"/>
      <c r="BR175" s="375"/>
      <c r="BS175" s="4"/>
      <c r="BT175" s="375">
        <f t="shared" si="1374"/>
        <v>0</v>
      </c>
      <c r="BU175" s="7">
        <f t="shared" si="992"/>
        <v>0</v>
      </c>
      <c r="BV175" s="375"/>
      <c r="BW175" s="7"/>
      <c r="BX175" s="375"/>
      <c r="BY175" s="7"/>
      <c r="BZ175" s="375">
        <f t="shared" si="1375"/>
        <v>0</v>
      </c>
      <c r="CA175" s="7"/>
      <c r="CB175" s="375">
        <f t="shared" si="1396"/>
        <v>0</v>
      </c>
      <c r="CC175" s="7">
        <f t="shared" si="1121"/>
        <v>0</v>
      </c>
      <c r="CD175" s="375">
        <f t="shared" si="1376"/>
        <v>0</v>
      </c>
      <c r="CE175" s="7">
        <f t="shared" si="993"/>
        <v>0</v>
      </c>
      <c r="CF175" s="375">
        <f t="shared" si="1377"/>
        <v>0</v>
      </c>
      <c r="CG175" s="7">
        <f t="shared" si="994"/>
        <v>0</v>
      </c>
      <c r="CH175" s="375">
        <f t="shared" si="1378"/>
        <v>0</v>
      </c>
      <c r="CI175" s="7">
        <f t="shared" si="994"/>
        <v>0</v>
      </c>
      <c r="CJ175" s="375">
        <f t="shared" si="1379"/>
        <v>0</v>
      </c>
      <c r="CK175" s="7">
        <f t="shared" si="994"/>
        <v>0</v>
      </c>
      <c r="CL175" s="375">
        <f>+CF175+CH175+CJ175</f>
        <v>0</v>
      </c>
      <c r="CM175" s="7">
        <f t="shared" si="994"/>
        <v>0</v>
      </c>
      <c r="CN175" s="375">
        <f t="shared" si="1380"/>
        <v>0</v>
      </c>
      <c r="CO175" s="7">
        <f t="shared" si="1223"/>
        <v>0</v>
      </c>
      <c r="CP175" s="375">
        <v>0</v>
      </c>
      <c r="CQ175" s="7">
        <f t="shared" si="1335"/>
        <v>0</v>
      </c>
      <c r="CR175" s="375">
        <f t="shared" si="1381"/>
        <v>0</v>
      </c>
      <c r="CS175" s="7">
        <f t="shared" si="1224"/>
        <v>0</v>
      </c>
      <c r="CT175" s="375">
        <v>0</v>
      </c>
      <c r="CU175" s="7">
        <f t="shared" si="1221"/>
        <v>0</v>
      </c>
      <c r="CV175" s="375">
        <v>0</v>
      </c>
      <c r="CW175" s="7">
        <f t="shared" si="968"/>
        <v>0</v>
      </c>
      <c r="CX175" s="375">
        <f t="shared" si="1382"/>
        <v>0</v>
      </c>
      <c r="CY175" s="7">
        <f t="shared" si="1336"/>
        <v>0</v>
      </c>
      <c r="CZ175" s="375">
        <f>+CD175+CL175+CX175</f>
        <v>0</v>
      </c>
      <c r="DA175" s="7">
        <f t="shared" si="997"/>
        <v>0</v>
      </c>
      <c r="DB175" s="375">
        <f t="shared" si="1383"/>
        <v>0</v>
      </c>
      <c r="DC175" s="7">
        <f t="shared" si="1225"/>
        <v>0</v>
      </c>
      <c r="DD175" s="375">
        <f t="shared" si="1384"/>
        <v>0</v>
      </c>
      <c r="DE175" s="7">
        <f t="shared" si="1226"/>
        <v>0</v>
      </c>
      <c r="DF175" s="375">
        <f t="shared" si="1385"/>
        <v>0</v>
      </c>
      <c r="DG175" s="7">
        <f t="shared" si="1227"/>
        <v>0</v>
      </c>
      <c r="DH175" s="375">
        <f>+DB175+DD175+DF175</f>
        <v>0</v>
      </c>
      <c r="DI175" s="7">
        <f t="shared" si="1337"/>
        <v>0</v>
      </c>
      <c r="DJ175" s="375"/>
      <c r="DK175" s="7">
        <f t="shared" si="1228"/>
        <v>0</v>
      </c>
      <c r="DL175" s="375">
        <f t="shared" ref="DL175" si="1397">+DF175+DH175+DJ175</f>
        <v>0</v>
      </c>
      <c r="DM175" s="7">
        <f t="shared" si="1229"/>
        <v>0</v>
      </c>
      <c r="DN175" s="375">
        <f t="shared" ref="DN175" si="1398">+DH175+DJ175+DL175</f>
        <v>0</v>
      </c>
      <c r="DO175" s="7">
        <f t="shared" si="1230"/>
        <v>0</v>
      </c>
      <c r="DP175" s="375">
        <f t="shared" ref="DP175" si="1399">+DJ175+DL175+DN175</f>
        <v>0</v>
      </c>
      <c r="DQ175" s="7">
        <f t="shared" si="1231"/>
        <v>0</v>
      </c>
      <c r="DR175" s="375">
        <f>+DL175+DN175+DP175</f>
        <v>0</v>
      </c>
      <c r="DS175" s="7">
        <f t="shared" si="1338"/>
        <v>0</v>
      </c>
      <c r="DT175" s="375">
        <f t="shared" si="1389"/>
        <v>0</v>
      </c>
      <c r="DU175" s="7">
        <f t="shared" si="998"/>
        <v>0</v>
      </c>
      <c r="DV175" s="375"/>
      <c r="DW175" s="7">
        <f t="shared" si="1232"/>
        <v>0</v>
      </c>
      <c r="DX175" s="375"/>
      <c r="DY175" s="7">
        <f t="shared" si="856"/>
        <v>0</v>
      </c>
      <c r="DZ175" s="375"/>
      <c r="EA175" s="7">
        <f t="shared" si="1233"/>
        <v>0</v>
      </c>
      <c r="EB175" s="375">
        <f>+DV175+DX175+DZ175</f>
        <v>0</v>
      </c>
      <c r="EC175" s="7">
        <f t="shared" si="972"/>
        <v>0</v>
      </c>
      <c r="ED175" s="375">
        <f>+EB175+DT175</f>
        <v>0</v>
      </c>
      <c r="EE175" s="7">
        <f t="shared" si="999"/>
        <v>0</v>
      </c>
      <c r="EF175" s="375"/>
      <c r="EG175" s="7">
        <f t="shared" si="1234"/>
        <v>0</v>
      </c>
      <c r="EH175" s="375"/>
      <c r="EI175" s="7">
        <f t="shared" si="857"/>
        <v>0</v>
      </c>
      <c r="EJ175" s="375"/>
      <c r="EK175" s="7">
        <f t="shared" si="1235"/>
        <v>0</v>
      </c>
      <c r="EL175" s="375">
        <f>+EF175+EH175+EJ175</f>
        <v>0</v>
      </c>
      <c r="EM175" s="7">
        <f t="shared" si="973"/>
        <v>0</v>
      </c>
      <c r="EN175" s="375">
        <f>+EL175+ED175</f>
        <v>0</v>
      </c>
      <c r="EO175" s="7">
        <f t="shared" si="1000"/>
        <v>0</v>
      </c>
      <c r="EP175" s="373"/>
      <c r="EQ175" s="373"/>
      <c r="ER175" s="455"/>
      <c r="ES175" s="373"/>
      <c r="ET175" s="375"/>
      <c r="EU175" s="7">
        <f t="shared" si="1236"/>
        <v>0</v>
      </c>
      <c r="EV175" s="375"/>
      <c r="EW175" s="7">
        <f t="shared" si="858"/>
        <v>0</v>
      </c>
      <c r="EX175" s="375"/>
      <c r="EY175" s="7">
        <f t="shared" si="1237"/>
        <v>0</v>
      </c>
      <c r="EZ175" s="375">
        <f>+ET175+EV175+EX175</f>
        <v>0</v>
      </c>
      <c r="FA175" s="7">
        <f t="shared" si="974"/>
        <v>0</v>
      </c>
      <c r="FB175" s="375"/>
      <c r="FC175" s="7">
        <f t="shared" si="1238"/>
        <v>0</v>
      </c>
      <c r="FD175" s="375"/>
      <c r="FE175" s="7">
        <f t="shared" si="1222"/>
        <v>0</v>
      </c>
      <c r="FF175" s="375"/>
      <c r="FG175" s="7">
        <f t="shared" si="975"/>
        <v>0</v>
      </c>
      <c r="FH175" s="375">
        <f>+FB175+FD175+FF175</f>
        <v>0</v>
      </c>
      <c r="FI175" s="7">
        <f t="shared" si="976"/>
        <v>0</v>
      </c>
      <c r="FJ175" s="375">
        <f t="shared" si="1390"/>
        <v>0</v>
      </c>
      <c r="FK175" s="7">
        <f t="shared" si="1003"/>
        <v>0</v>
      </c>
      <c r="FL175" s="375"/>
      <c r="FM175" s="7">
        <f t="shared" si="1239"/>
        <v>0</v>
      </c>
      <c r="FN175" s="375"/>
      <c r="FO175" s="7">
        <f t="shared" si="977"/>
        <v>0</v>
      </c>
      <c r="FP175" s="375"/>
      <c r="FQ175" s="7">
        <f t="shared" si="978"/>
        <v>0</v>
      </c>
      <c r="FR175" s="375">
        <f>+FL175+FN175+FP175</f>
        <v>0</v>
      </c>
      <c r="FS175" s="7">
        <f t="shared" si="979"/>
        <v>0</v>
      </c>
      <c r="FT175" s="375">
        <f t="shared" si="1391"/>
        <v>0</v>
      </c>
      <c r="FU175" s="7">
        <f t="shared" si="1006"/>
        <v>0</v>
      </c>
      <c r="FV175" s="375"/>
      <c r="FW175" s="7">
        <f t="shared" si="1240"/>
        <v>0</v>
      </c>
      <c r="FX175" s="375"/>
      <c r="FY175" s="7">
        <f t="shared" si="980"/>
        <v>0</v>
      </c>
      <c r="FZ175" s="375"/>
      <c r="GA175" s="7">
        <f t="shared" si="981"/>
        <v>0</v>
      </c>
      <c r="GB175" s="375">
        <f>+FV175+FX175+FZ175</f>
        <v>0</v>
      </c>
      <c r="GC175" s="7">
        <f t="shared" si="982"/>
        <v>0</v>
      </c>
      <c r="GD175" s="375">
        <f t="shared" si="1392"/>
        <v>0</v>
      </c>
      <c r="GE175" s="7">
        <f t="shared" si="1009"/>
        <v>0</v>
      </c>
      <c r="GF175" s="566">
        <f t="shared" si="1393"/>
        <v>0</v>
      </c>
      <c r="GG175" s="525">
        <f t="shared" si="983"/>
        <v>0</v>
      </c>
      <c r="GH175" s="528">
        <f t="shared" si="1394"/>
        <v>0</v>
      </c>
      <c r="GI175" s="525">
        <f t="shared" si="984"/>
        <v>0</v>
      </c>
      <c r="GJ175" s="528"/>
      <c r="GK175" s="525">
        <f t="shared" si="985"/>
        <v>0</v>
      </c>
      <c r="GL175" s="528">
        <f t="shared" si="1395"/>
        <v>0</v>
      </c>
      <c r="GM175" s="565">
        <f t="shared" si="1012"/>
        <v>0</v>
      </c>
      <c r="GO175" s="586"/>
      <c r="GQ175" s="586"/>
      <c r="GT175" s="551">
        <f t="shared" si="1166"/>
        <v>0</v>
      </c>
      <c r="GU175" s="551">
        <f t="shared" si="1015"/>
        <v>0</v>
      </c>
      <c r="GV175" s="550">
        <f t="shared" si="1339"/>
        <v>0</v>
      </c>
      <c r="GW175" s="527"/>
      <c r="GX175" s="525">
        <f t="shared" si="1241"/>
        <v>0</v>
      </c>
      <c r="GY175" s="528"/>
      <c r="GZ175" s="525">
        <f t="shared" si="1242"/>
        <v>0</v>
      </c>
      <c r="HA175" s="528"/>
      <c r="HB175" s="526">
        <f t="shared" si="1243"/>
        <v>0</v>
      </c>
      <c r="HD175" s="527"/>
      <c r="HE175" s="525">
        <v>0</v>
      </c>
      <c r="HF175" s="528"/>
      <c r="HG175" s="525">
        <v>0</v>
      </c>
      <c r="HH175" s="528"/>
      <c r="HI175" s="526">
        <v>0</v>
      </c>
    </row>
    <row r="176" spans="1:217" ht="15" customHeight="1">
      <c r="A176" s="386" t="s">
        <v>158</v>
      </c>
      <c r="B176" s="386"/>
      <c r="C176" s="389">
        <f>SUM(C172:C175)</f>
        <v>-2070116.75</v>
      </c>
      <c r="D176" s="4"/>
      <c r="E176" s="389">
        <f>SUM(E172:E175)</f>
        <v>0</v>
      </c>
      <c r="F176" s="4"/>
      <c r="G176" s="389">
        <f>SUM(G172:G175)</f>
        <v>-19012.292300000001</v>
      </c>
      <c r="H176" s="389">
        <f>SUM(H172:H175)</f>
        <v>0</v>
      </c>
      <c r="I176" s="4"/>
      <c r="J176" s="389">
        <f>SUM(J172:J175)</f>
        <v>-23080.206675000001</v>
      </c>
      <c r="K176" s="389">
        <f>SUM(K172:K175)</f>
        <v>0</v>
      </c>
      <c r="L176" s="4"/>
      <c r="M176" s="389">
        <f>SUM(M172:M175)</f>
        <v>-47678.314550000003</v>
      </c>
      <c r="N176" s="389">
        <f>SUM(N172:N175)</f>
        <v>1184852</v>
      </c>
      <c r="O176" s="4"/>
      <c r="P176" s="389">
        <f t="shared" si="869"/>
        <v>-89770.813525000005</v>
      </c>
      <c r="Q176" s="389">
        <f t="shared" si="869"/>
        <v>1184852</v>
      </c>
      <c r="R176" s="7">
        <f t="shared" si="987"/>
        <v>3.2579451057796048E-2</v>
      </c>
      <c r="S176" s="389">
        <f>SUM(S172:S175)</f>
        <v>0</v>
      </c>
      <c r="T176" s="389">
        <f>SUM(T172:T175)</f>
        <v>0</v>
      </c>
      <c r="U176" s="11"/>
      <c r="V176" s="389">
        <f>SUM(V172:V175)</f>
        <v>0</v>
      </c>
      <c r="W176" s="389">
        <f>SUM(W172:W175)</f>
        <v>0</v>
      </c>
      <c r="X176" s="11"/>
      <c r="Y176" s="389">
        <f>SUM(Y172:Y175)</f>
        <v>-182662</v>
      </c>
      <c r="Z176" s="389">
        <f>SUM(Z172:Z175)</f>
        <v>-182662</v>
      </c>
      <c r="AA176" s="11"/>
      <c r="AB176" s="389">
        <f>SUM(AB172:AB175)</f>
        <v>-182662</v>
      </c>
      <c r="AC176" s="389">
        <f>SUM(AC172:AC175)</f>
        <v>-182662</v>
      </c>
      <c r="AD176" s="7">
        <f t="shared" si="988"/>
        <v>-4.9251851960176738E-3</v>
      </c>
      <c r="AE176" s="389">
        <f>SUM(AE172:AE175)</f>
        <v>1002190</v>
      </c>
      <c r="AF176" s="389">
        <f>SUM(AF172:AF175)</f>
        <v>1002190</v>
      </c>
      <c r="AG176" s="11"/>
      <c r="AH176" s="389">
        <f>SUM(AH172:AH175)</f>
        <v>0</v>
      </c>
      <c r="AI176" s="389">
        <f>SUM(AI172:AI175)</f>
        <v>0</v>
      </c>
      <c r="AJ176" s="11"/>
      <c r="AK176" s="389">
        <f>SUM(AK172:AK175)</f>
        <v>0</v>
      </c>
      <c r="AL176" s="389">
        <f>SUM(AL172:AL175)</f>
        <v>0</v>
      </c>
      <c r="AM176" s="11"/>
      <c r="AN176" s="389">
        <f>SUM(AN172:AN175)</f>
        <v>167711</v>
      </c>
      <c r="AO176" s="389">
        <f>SUM(AO172:AO175)</f>
        <v>167711</v>
      </c>
      <c r="AP176" s="11"/>
      <c r="AQ176" s="389">
        <f>SUM(AQ172:AQ175)</f>
        <v>167711</v>
      </c>
      <c r="AR176" s="389">
        <f>SUM(AR172:AR175)</f>
        <v>167711</v>
      </c>
      <c r="AS176" s="7">
        <f t="shared" si="989"/>
        <v>6.2995625604357047E-3</v>
      </c>
      <c r="AT176" s="389">
        <f>SUM(AT172:AT175)</f>
        <v>1169901</v>
      </c>
      <c r="AU176" s="11"/>
      <c r="AV176" s="389">
        <f>SUM(AV172:AV175)</f>
        <v>0</v>
      </c>
      <c r="AW176" s="389">
        <f>SUM(AW172:AW175)</f>
        <v>0</v>
      </c>
      <c r="AX176" s="11"/>
      <c r="AY176" s="389">
        <f>SUM(AY172:AY175)</f>
        <v>0</v>
      </c>
      <c r="AZ176" s="389">
        <f>SUM(AZ172:AZ175)</f>
        <v>0</v>
      </c>
      <c r="BA176" s="11"/>
      <c r="BB176" s="389">
        <f>SUM(BB172:BB175)</f>
        <v>-1826280.6092666667</v>
      </c>
      <c r="BC176" s="389">
        <f>SUM(BC172:BC175)</f>
        <v>435571</v>
      </c>
      <c r="BD176" s="19"/>
      <c r="BE176" s="389">
        <f>SUM(BE172:BE175)</f>
        <v>-1826280.6092666667</v>
      </c>
      <c r="BF176" s="389">
        <f>SUM(BF172:BF175)</f>
        <v>435571</v>
      </c>
      <c r="BG176" s="7">
        <f t="shared" si="990"/>
        <v>1.3871834811422502E-2</v>
      </c>
      <c r="BH176" s="389">
        <f>SUM(BH172:BH175)</f>
        <v>-656379.6092666667</v>
      </c>
      <c r="BI176" s="389">
        <f>SUM(BI172:BI175)</f>
        <v>1605472</v>
      </c>
      <c r="BJ176" s="7">
        <f t="shared" si="991"/>
        <v>1.2210981127660987E-2</v>
      </c>
      <c r="BK176" s="389">
        <f>SUM(BK172:BK175)</f>
        <v>-648006.79725000402</v>
      </c>
      <c r="BL176" s="286"/>
      <c r="BN176" s="389">
        <f>SUM(BN172:BN175)</f>
        <v>0</v>
      </c>
      <c r="BO176" s="11"/>
      <c r="BP176" s="389">
        <f>SUM(BP172:BP175)</f>
        <v>0</v>
      </c>
      <c r="BQ176" s="11"/>
      <c r="BR176" s="389">
        <f>SUM(BR172:BR175)</f>
        <v>0</v>
      </c>
      <c r="BS176" s="11"/>
      <c r="BT176" s="389">
        <f>SUM(BT172:BT175)</f>
        <v>0</v>
      </c>
      <c r="BU176" s="7">
        <f t="shared" si="992"/>
        <v>0</v>
      </c>
      <c r="BV176" s="389">
        <f>SUM(BV172:BV175)</f>
        <v>0</v>
      </c>
      <c r="BW176" s="11"/>
      <c r="BX176" s="389">
        <f>SUM(BX172:BX175)</f>
        <v>0</v>
      </c>
      <c r="BY176" s="11"/>
      <c r="BZ176" s="375">
        <f t="shared" si="1375"/>
        <v>0</v>
      </c>
      <c r="CA176" s="11"/>
      <c r="CB176" s="375">
        <f t="shared" si="1396"/>
        <v>0</v>
      </c>
      <c r="CC176" s="7">
        <f t="shared" si="1121"/>
        <v>0</v>
      </c>
      <c r="CD176" s="375">
        <f t="shared" si="1376"/>
        <v>0</v>
      </c>
      <c r="CE176" s="7">
        <f t="shared" si="993"/>
        <v>0</v>
      </c>
      <c r="CF176" s="375">
        <f t="shared" si="1377"/>
        <v>0</v>
      </c>
      <c r="CG176" s="7">
        <f t="shared" si="994"/>
        <v>0</v>
      </c>
      <c r="CH176" s="375">
        <f t="shared" si="1378"/>
        <v>0</v>
      </c>
      <c r="CI176" s="7">
        <f t="shared" si="994"/>
        <v>0</v>
      </c>
      <c r="CJ176" s="375">
        <f t="shared" si="1379"/>
        <v>0</v>
      </c>
      <c r="CK176" s="7">
        <f t="shared" si="994"/>
        <v>0</v>
      </c>
      <c r="CL176" s="375">
        <f>+CF176+CH176+CJ176</f>
        <v>0</v>
      </c>
      <c r="CM176" s="7">
        <f t="shared" si="994"/>
        <v>0</v>
      </c>
      <c r="CN176" s="375">
        <f t="shared" si="1380"/>
        <v>0</v>
      </c>
      <c r="CO176" s="7">
        <f t="shared" si="1223"/>
        <v>0</v>
      </c>
      <c r="CP176" s="389">
        <f>SUM(CP172:CP175)</f>
        <v>0</v>
      </c>
      <c r="CQ176" s="7">
        <f t="shared" si="1335"/>
        <v>0</v>
      </c>
      <c r="CR176" s="375">
        <f t="shared" si="1381"/>
        <v>0</v>
      </c>
      <c r="CS176" s="7">
        <f t="shared" si="1224"/>
        <v>0</v>
      </c>
      <c r="CT176" s="389">
        <f>SUM(CT172:CT175)</f>
        <v>0</v>
      </c>
      <c r="CU176" s="7">
        <f t="shared" si="1221"/>
        <v>0</v>
      </c>
      <c r="CV176" s="389">
        <f>SUM(CV172:CV175)</f>
        <v>-7166106</v>
      </c>
      <c r="CW176" s="7">
        <f t="shared" si="968"/>
        <v>-0.1145276597741651</v>
      </c>
      <c r="CX176" s="375">
        <f t="shared" si="1382"/>
        <v>-7166106</v>
      </c>
      <c r="CY176" s="7">
        <f t="shared" si="1336"/>
        <v>-7.325384021665747E-2</v>
      </c>
      <c r="CZ176" s="375">
        <f>+CD176+CL176+CX176</f>
        <v>-7166106</v>
      </c>
      <c r="DA176" s="7">
        <f t="shared" si="997"/>
        <v>-2.7929592875557619E-2</v>
      </c>
      <c r="DB176" s="389">
        <f>SUM(DB172:DB175)</f>
        <v>0</v>
      </c>
      <c r="DC176" s="7">
        <f t="shared" si="1225"/>
        <v>0</v>
      </c>
      <c r="DD176" s="389">
        <f>SUM(DD172:DD175)</f>
        <v>0</v>
      </c>
      <c r="DE176" s="7">
        <f t="shared" si="1226"/>
        <v>0</v>
      </c>
      <c r="DF176" s="389">
        <f>SUM(DF172:DF175)</f>
        <v>-4455894</v>
      </c>
      <c r="DG176" s="7">
        <f t="shared" si="1227"/>
        <v>-0.14364492501952894</v>
      </c>
      <c r="DH176" s="389">
        <f>SUM(DH172:DH175)</f>
        <v>-4455894</v>
      </c>
      <c r="DI176" s="7">
        <f t="shared" si="1337"/>
        <v>-5.8488797892599011E-2</v>
      </c>
      <c r="DJ176" s="389">
        <f>SUM(DJ172:DJ175)</f>
        <v>0</v>
      </c>
      <c r="DK176" s="7">
        <f t="shared" si="1228"/>
        <v>0</v>
      </c>
      <c r="DL176" s="389">
        <f>SUM(DL172:DL175)</f>
        <v>0</v>
      </c>
      <c r="DM176" s="7">
        <f t="shared" si="1229"/>
        <v>0</v>
      </c>
      <c r="DN176" s="389">
        <f>SUM(DN172:DN175)</f>
        <v>0</v>
      </c>
      <c r="DO176" s="7">
        <f t="shared" si="1230"/>
        <v>0</v>
      </c>
      <c r="DP176" s="389">
        <f>SUM(DP172:DP175)</f>
        <v>4455894</v>
      </c>
      <c r="DQ176" s="7">
        <f t="shared" si="1231"/>
        <v>5.3106099462696704E-2</v>
      </c>
      <c r="DR176" s="389">
        <f>SUM(DR172:DR175)</f>
        <v>4455894</v>
      </c>
      <c r="DS176" s="7">
        <f t="shared" si="1338"/>
        <v>4.0604046410892679E-2</v>
      </c>
      <c r="DT176" s="375">
        <f t="shared" si="1389"/>
        <v>0</v>
      </c>
      <c r="DU176" s="7">
        <f t="shared" si="998"/>
        <v>0</v>
      </c>
      <c r="DV176" s="389">
        <f>SUM(DV172:DV175)</f>
        <v>0</v>
      </c>
      <c r="DW176" s="7">
        <f t="shared" si="1232"/>
        <v>0</v>
      </c>
      <c r="DX176" s="389">
        <f>SUM(DX172:DX175)</f>
        <v>0</v>
      </c>
      <c r="DY176" s="7">
        <f t="shared" si="856"/>
        <v>0</v>
      </c>
      <c r="DZ176" s="389">
        <f>SUM(DZ172:DZ175)</f>
        <v>0</v>
      </c>
      <c r="EA176" s="7">
        <f t="shared" si="1233"/>
        <v>0</v>
      </c>
      <c r="EB176" s="389">
        <f>SUM(EB172:EB175)</f>
        <v>0</v>
      </c>
      <c r="EC176" s="7">
        <f t="shared" si="972"/>
        <v>0</v>
      </c>
      <c r="ED176" s="389">
        <f>SUM(ED172:ED175)</f>
        <v>0</v>
      </c>
      <c r="EE176" s="7">
        <f t="shared" si="999"/>
        <v>0</v>
      </c>
      <c r="EF176" s="389">
        <f>SUM(EF172:EF175)</f>
        <v>0</v>
      </c>
      <c r="EG176" s="7">
        <f t="shared" si="1234"/>
        <v>0</v>
      </c>
      <c r="EH176" s="389">
        <f>SUM(EH172:EH175)</f>
        <v>0</v>
      </c>
      <c r="EI176" s="7">
        <f t="shared" si="857"/>
        <v>0</v>
      </c>
      <c r="EJ176" s="389">
        <f>SUM(EJ172:EJ175)</f>
        <v>-7768066</v>
      </c>
      <c r="EK176" s="7">
        <f t="shared" si="1235"/>
        <v>-4.9743307818737481E-2</v>
      </c>
      <c r="EL176" s="389">
        <f>SUM(EL172:EL175)</f>
        <v>-7768066</v>
      </c>
      <c r="EM176" s="7">
        <f t="shared" si="973"/>
        <v>-4.2289371431145924E-2</v>
      </c>
      <c r="EN176" s="389">
        <f>SUM(EN172:EN175)</f>
        <v>-7768066</v>
      </c>
      <c r="EO176" s="7">
        <f t="shared" si="1000"/>
        <v>-1.3789660582133418E-2</v>
      </c>
      <c r="EP176" s="455"/>
      <c r="EQ176" s="373" t="s">
        <v>708</v>
      </c>
      <c r="ER176" s="455">
        <v>-8000000</v>
      </c>
      <c r="ES176" s="373"/>
      <c r="ET176" s="389">
        <f>SUM(ET172:ET175)</f>
        <v>0</v>
      </c>
      <c r="EU176" s="7">
        <f t="shared" si="1236"/>
        <v>0</v>
      </c>
      <c r="EV176" s="389">
        <f>SUM(EV172:EV175)</f>
        <v>0</v>
      </c>
      <c r="EW176" s="7">
        <f t="shared" si="858"/>
        <v>0</v>
      </c>
      <c r="EX176" s="389">
        <f>SUM(EX172:EX175)</f>
        <v>-15297186</v>
      </c>
      <c r="EY176" s="7">
        <f t="shared" si="1237"/>
        <v>-6.7008545355927096E-2</v>
      </c>
      <c r="EZ176" s="389">
        <f>SUM(EZ172:EZ175)</f>
        <v>-15297186</v>
      </c>
      <c r="FA176" s="7">
        <f t="shared" si="974"/>
        <v>-6.3274935903192775E-2</v>
      </c>
      <c r="FB176" s="389">
        <f>SUM(FB172:FB175)</f>
        <v>0</v>
      </c>
      <c r="FC176" s="7">
        <f t="shared" si="1238"/>
        <v>0</v>
      </c>
      <c r="FD176" s="389">
        <f t="shared" ref="FD176" si="1400">SUM(FD172:FD175)</f>
        <v>0</v>
      </c>
      <c r="FE176" s="7">
        <f t="shared" si="1222"/>
        <v>0</v>
      </c>
      <c r="FF176" s="389">
        <f t="shared" ref="FF176" si="1401">SUM(FF172:FF175)</f>
        <v>-7330585</v>
      </c>
      <c r="FG176" s="7">
        <f t="shared" si="975"/>
        <v>-4.5621742961864525E-2</v>
      </c>
      <c r="FH176" s="389">
        <f>SUM(FH172:FH175)</f>
        <v>-7330585</v>
      </c>
      <c r="FI176" s="7">
        <f t="shared" si="976"/>
        <v>-2.6656914203049741E-2</v>
      </c>
      <c r="FJ176" s="375">
        <f t="shared" si="1390"/>
        <v>-22627771</v>
      </c>
      <c r="FK176" s="7">
        <f t="shared" si="1003"/>
        <v>-4.3788204466004073E-2</v>
      </c>
      <c r="FL176" s="389">
        <f>SUM(FL172:FL175)</f>
        <v>0</v>
      </c>
      <c r="FM176" s="7">
        <f t="shared" si="1239"/>
        <v>0</v>
      </c>
      <c r="FN176" s="389">
        <f t="shared" ref="FN176" si="1402">SUM(FN172:FN175)</f>
        <v>0</v>
      </c>
      <c r="FO176" s="7">
        <f t="shared" si="977"/>
        <v>0</v>
      </c>
      <c r="FP176" s="389">
        <f t="shared" ref="FP176" si="1403">SUM(FP172:FP175)</f>
        <v>-1936644</v>
      </c>
      <c r="FQ176" s="7">
        <f t="shared" si="978"/>
        <v>-7.0005281447007269E-3</v>
      </c>
      <c r="FR176" s="389">
        <f>SUM(FR172:FR175)</f>
        <v>-1936644</v>
      </c>
      <c r="FS176" s="7">
        <f t="shared" si="979"/>
        <v>-6.62429134991405E-3</v>
      </c>
      <c r="FT176" s="375">
        <f t="shared" si="1391"/>
        <v>-24564415</v>
      </c>
      <c r="FU176" s="7">
        <f t="shared" si="1006"/>
        <v>-3.0359802745047175E-2</v>
      </c>
      <c r="FV176" s="389">
        <f>SUM(FV172:FV175)</f>
        <v>0</v>
      </c>
      <c r="FW176" s="7">
        <f t="shared" si="1240"/>
        <v>0</v>
      </c>
      <c r="FX176" s="389">
        <f t="shared" ref="FX176" si="1404">SUM(FX172:FX175)</f>
        <v>0</v>
      </c>
      <c r="FY176" s="7">
        <f t="shared" si="980"/>
        <v>0</v>
      </c>
      <c r="FZ176" s="389">
        <f t="shared" ref="FZ176" si="1405">SUM(FZ172:FZ175)</f>
        <v>-19911198</v>
      </c>
      <c r="GA176" s="7">
        <f t="shared" si="981"/>
        <v>-6.8870812772370699E-2</v>
      </c>
      <c r="GB176" s="389">
        <f>SUM(GB172:GB175)</f>
        <v>-19911198</v>
      </c>
      <c r="GC176" s="7">
        <f t="shared" si="982"/>
        <v>-5.8129683651743952E-2</v>
      </c>
      <c r="GD176" s="375">
        <f t="shared" si="1392"/>
        <v>-44475613</v>
      </c>
      <c r="GE176" s="7">
        <f t="shared" si="1009"/>
        <v>-3.8619355417274875E-2</v>
      </c>
      <c r="GF176" s="567">
        <f>SUM(GF172:GF175)</f>
        <v>-36883.75765</v>
      </c>
      <c r="GG176" s="525">
        <f t="shared" si="983"/>
        <v>-2.8622491660166539E-3</v>
      </c>
      <c r="GH176" s="530">
        <f>SUM(GH172:GH175)</f>
        <v>0</v>
      </c>
      <c r="GI176" s="525">
        <f t="shared" si="984"/>
        <v>0</v>
      </c>
      <c r="GJ176" s="530">
        <f>SUM(GJ172:GJ175)</f>
        <v>0</v>
      </c>
      <c r="GK176" s="525">
        <f t="shared" si="985"/>
        <v>0</v>
      </c>
      <c r="GL176" s="530">
        <f>SUM(GL172:GL175)</f>
        <v>-44512496.757650003</v>
      </c>
      <c r="GM176" s="565">
        <f t="shared" si="1012"/>
        <v>-3.8411399401963968E-2</v>
      </c>
      <c r="GN176" s="378"/>
      <c r="GO176" s="587">
        <f>SUM(GO172:GO175)</f>
        <v>-3018</v>
      </c>
      <c r="GP176" s="378"/>
      <c r="GQ176" s="587">
        <f>SUM(GQ172:GQ175)</f>
        <v>0</v>
      </c>
      <c r="GT176" s="551">
        <f t="shared" si="1166"/>
        <v>-2647915.1395625276</v>
      </c>
      <c r="GU176" s="551">
        <f t="shared" si="1015"/>
        <v>-3102366.6630675099</v>
      </c>
      <c r="GV176" s="550">
        <f t="shared" si="1339"/>
        <v>-5750281.8026300371</v>
      </c>
      <c r="GW176" s="529">
        <f>SUM(GW172:GW175)</f>
        <v>-28378052.802630037</v>
      </c>
      <c r="GX176" s="525">
        <f t="shared" si="1241"/>
        <v>-2.3965622255328334E-2</v>
      </c>
      <c r="GY176" s="530">
        <f>SUM(GY172:GY175)</f>
        <v>-9749159.4791832063</v>
      </c>
      <c r="GZ176" s="525">
        <f t="shared" si="1242"/>
        <v>-1.0829990996890384E-2</v>
      </c>
      <c r="HA176" s="530">
        <f>SUM(HA172:HA175)</f>
        <v>-9850122.2195048667</v>
      </c>
      <c r="HB176" s="526">
        <f t="shared" si="1243"/>
        <v>-1.3531579869939532E-2</v>
      </c>
      <c r="HD176" s="529">
        <v>-32057622.159598663</v>
      </c>
      <c r="HE176" s="525">
        <v>-2.6985987425361967E-2</v>
      </c>
      <c r="HF176" s="530">
        <v>-9749159.4791832063</v>
      </c>
      <c r="HG176" s="525">
        <v>-1.0829990996890384E-2</v>
      </c>
      <c r="HH176" s="530">
        <v>-9850122.2195048667</v>
      </c>
      <c r="HI176" s="526">
        <v>-1.3531579869939532E-2</v>
      </c>
    </row>
    <row r="177" spans="1:217" ht="15" customHeight="1" thickBot="1">
      <c r="A177" s="457" t="s">
        <v>163</v>
      </c>
      <c r="B177" s="457" t="s">
        <v>164</v>
      </c>
      <c r="C177" s="458">
        <f>C171+C176</f>
        <v>-60307312.509999998</v>
      </c>
      <c r="D177" s="459">
        <f>+C177/C8</f>
        <v>-0.49407113248382917</v>
      </c>
      <c r="E177" s="458">
        <f>E171+E176</f>
        <v>1138114.1100000036</v>
      </c>
      <c r="F177" s="460"/>
      <c r="G177" s="458">
        <f>G171+G176</f>
        <v>-5872395.2923000008</v>
      </c>
      <c r="H177" s="458">
        <f>H171+H176</f>
        <v>-637557.25999999954</v>
      </c>
      <c r="I177" s="460"/>
      <c r="J177" s="458">
        <f>J171+J176</f>
        <v>-8913872.1766749974</v>
      </c>
      <c r="K177" s="458">
        <f>K171+K176</f>
        <v>-3500302.7499999991</v>
      </c>
      <c r="L177" s="460"/>
      <c r="M177" s="458">
        <f>M171+M176</f>
        <v>-267248.65454999823</v>
      </c>
      <c r="N177" s="458">
        <f>N171+N176</f>
        <v>2872229.8700000006</v>
      </c>
      <c r="O177" s="460"/>
      <c r="P177" s="458">
        <f>+G177+J177+M177</f>
        <v>-15053516.123524997</v>
      </c>
      <c r="Q177" s="458">
        <f>+H177+K177+N177</f>
        <v>-1265630.1399999983</v>
      </c>
      <c r="R177" s="459">
        <f>+Q177/Q$8</f>
        <v>-3.4800578640540342E-2</v>
      </c>
      <c r="S177" s="458">
        <f>S171+S176</f>
        <v>1282882.2300000009</v>
      </c>
      <c r="T177" s="458">
        <f>T171+T176</f>
        <v>1282882.2300000009</v>
      </c>
      <c r="U177" s="459">
        <f>+T177/T8</f>
        <v>0.12304509410899031</v>
      </c>
      <c r="V177" s="458">
        <f>V171+V176</f>
        <v>-1733806.95</v>
      </c>
      <c r="W177" s="458">
        <f>W171+W176</f>
        <v>-1724279.3299999989</v>
      </c>
      <c r="X177" s="459">
        <f>+W177/W8</f>
        <v>-0.15298971926751798</v>
      </c>
      <c r="Y177" s="458">
        <f>Y171+Y176</f>
        <v>1948646.7400000002</v>
      </c>
      <c r="Z177" s="458">
        <f>Z171+Z176</f>
        <v>1939119.120000001</v>
      </c>
      <c r="AA177" s="459">
        <f>+Z177/Z8</f>
        <v>0.12599319846936732</v>
      </c>
      <c r="AB177" s="458">
        <f>AB171+AB176</f>
        <v>1497722.0200000026</v>
      </c>
      <c r="AC177" s="458">
        <f>AC171+AC176</f>
        <v>1497722.0200000026</v>
      </c>
      <c r="AD177" s="459">
        <f>+AC177/AC$8</f>
        <v>4.0383650242818425E-2</v>
      </c>
      <c r="AE177" s="458">
        <f>AE171+AE176</f>
        <v>232091.88000000292</v>
      </c>
      <c r="AF177" s="458">
        <f>AF171+AF176</f>
        <v>232091.88000000292</v>
      </c>
      <c r="AG177" s="467">
        <f>+AF177/AF8</f>
        <v>3.1596293302102946E-3</v>
      </c>
      <c r="AH177" s="458">
        <f>AH171+AH176</f>
        <v>-6601634.3099999996</v>
      </c>
      <c r="AI177" s="458">
        <f>AI171+AI176</f>
        <v>-6601634.3099999996</v>
      </c>
      <c r="AJ177" s="467">
        <f>+AI177/AI8</f>
        <v>-1.1087893117081844</v>
      </c>
      <c r="AK177" s="458">
        <f>AK171+AK176</f>
        <v>-4975322.3900000006</v>
      </c>
      <c r="AL177" s="458">
        <f>AL171+AL176</f>
        <v>-4977260.4700000007</v>
      </c>
      <c r="AM177" s="467">
        <f>+AL177/AL8</f>
        <v>-0.71440137403729109</v>
      </c>
      <c r="AN177" s="458">
        <f>AN171+AN176</f>
        <v>10715819.989999998</v>
      </c>
      <c r="AO177" s="458">
        <f>AO171+AO176</f>
        <v>10717755.219999999</v>
      </c>
      <c r="AP177" s="467">
        <f>+AO177/AO8</f>
        <v>0.7822212138732163</v>
      </c>
      <c r="AQ177" s="458">
        <f>AQ171+AQ176</f>
        <v>-861136.71000000439</v>
      </c>
      <c r="AR177" s="458">
        <f>AR171+AR176</f>
        <v>-861139.56000000448</v>
      </c>
      <c r="AS177" s="459">
        <f>+AR177/AR$8</f>
        <v>-3.2346134311321884E-2</v>
      </c>
      <c r="AT177" s="458">
        <f>AT171+AT176</f>
        <v>-629047.68000001879</v>
      </c>
      <c r="AU177" s="467">
        <f>+AT177/AT8</f>
        <v>-6.2855705338072066E-3</v>
      </c>
      <c r="AV177" s="458">
        <f>AV171+AV176</f>
        <v>-8230186.5427452335</v>
      </c>
      <c r="AW177" s="458">
        <f>AW171+AW176</f>
        <v>-12578336.239999996</v>
      </c>
      <c r="AX177" s="467">
        <f>+AW177/AW8</f>
        <v>-3.8988773557467957</v>
      </c>
      <c r="AY177" s="458">
        <f>AY171+AY176</f>
        <v>-625362.85722231085</v>
      </c>
      <c r="AZ177" s="458">
        <f>AZ171+AZ176</f>
        <v>-7117127.7000000002</v>
      </c>
      <c r="BA177" s="467">
        <f>+AZ177/AZ8</f>
        <v>-1.4096756510990702</v>
      </c>
      <c r="BB177" s="458">
        <f>BB171+BB176</f>
        <v>13183856.206693051</v>
      </c>
      <c r="BC177" s="458">
        <f>BC171+BC176</f>
        <v>-58654191.389999993</v>
      </c>
      <c r="BD177" s="468">
        <f>+BC177/BC8</f>
        <v>-2.5364243740969381</v>
      </c>
      <c r="BE177" s="458">
        <f>BE171+BE176</f>
        <v>4328306.8067255151</v>
      </c>
      <c r="BF177" s="458">
        <f>BF171+BF176</f>
        <v>-78349655.329999998</v>
      </c>
      <c r="BG177" s="459">
        <f>+BF177/BF$8</f>
        <v>-2.4952383796663424</v>
      </c>
      <c r="BH177" s="458">
        <f>BH171+BH176</f>
        <v>3699261.976725488</v>
      </c>
      <c r="BI177" s="458">
        <f>BI171+BI176</f>
        <v>-78978703.00999999</v>
      </c>
      <c r="BJ177" s="459">
        <f>+BI177/BI$8</f>
        <v>-0.6007002625659319</v>
      </c>
      <c r="BK177" s="458">
        <f>BK171+BK176</f>
        <v>1383261.6927500949</v>
      </c>
      <c r="BL177" s="469">
        <f>+BK177/BK8</f>
        <v>4.849523930928387E-3</v>
      </c>
      <c r="BM177" s="464"/>
      <c r="BN177" s="458">
        <f>BN171+BN176</f>
        <v>-3485872.7700000005</v>
      </c>
      <c r="BO177" s="467">
        <f>+BN177/BN8</f>
        <v>-0.25823161234177033</v>
      </c>
      <c r="BP177" s="458">
        <f>BP171+BP176</f>
        <v>-8713305.9500000011</v>
      </c>
      <c r="BQ177" s="467">
        <f>+BP177/BP8</f>
        <v>-0.94164746296892288</v>
      </c>
      <c r="BR177" s="458">
        <f>BR171+BR176</f>
        <v>16028314.390000001</v>
      </c>
      <c r="BS177" s="467">
        <f>+BR177/BR8</f>
        <v>0.50943006638951327</v>
      </c>
      <c r="BT177" s="458">
        <f>BT171+BT176</f>
        <v>3829135.6699999813</v>
      </c>
      <c r="BU177" s="459">
        <f t="shared" si="992"/>
        <v>7.0628059591153328E-2</v>
      </c>
      <c r="BV177" s="458">
        <f>BV171+BV176</f>
        <v>-5815400.4300000006</v>
      </c>
      <c r="BW177" s="470">
        <f>+BV177/BV8</f>
        <v>-1.5762100568916007</v>
      </c>
      <c r="BX177" s="458">
        <f>BX171+BX176</f>
        <v>5284087.5999999987</v>
      </c>
      <c r="BY177" s="470">
        <f>+BX177/BX8</f>
        <v>0.31664965576890852</v>
      </c>
      <c r="BZ177" s="458">
        <f>BZ171+BZ176</f>
        <v>464437.17999999947</v>
      </c>
      <c r="CA177" s="470">
        <f>+BZ177/BZ8</f>
        <v>3.3494682901717719E-2</v>
      </c>
      <c r="CB177" s="458">
        <f>CB171+CB176</f>
        <v>-66875.650000006193</v>
      </c>
      <c r="CC177" s="459">
        <f t="shared" si="1121"/>
        <v>-1.9529746264081696E-3</v>
      </c>
      <c r="CD177" s="458">
        <f>CD171+CD176</f>
        <v>3762260.0199999986</v>
      </c>
      <c r="CE177" s="459">
        <f t="shared" si="993"/>
        <v>4.2531370825518902E-2</v>
      </c>
      <c r="CF177" s="458">
        <f>CF171+CF176</f>
        <v>-6383419.339999998</v>
      </c>
      <c r="CG177" s="459">
        <f t="shared" si="994"/>
        <v>-1.2638196249721554</v>
      </c>
      <c r="CH177" s="458">
        <f>CH171+CH176</f>
        <v>2197332.699999996</v>
      </c>
      <c r="CI177" s="459">
        <f t="shared" si="994"/>
        <v>5.9258906730190762E-2</v>
      </c>
      <c r="CJ177" s="458">
        <f>CJ171+CJ176</f>
        <v>4860208.719999996</v>
      </c>
      <c r="CK177" s="459">
        <f t="shared" si="994"/>
        <v>0.17257862491318404</v>
      </c>
      <c r="CL177" s="458">
        <f>CL171+CL176</f>
        <v>674122.07999999495</v>
      </c>
      <c r="CM177" s="459">
        <f t="shared" si="994"/>
        <v>9.5901203653043603E-3</v>
      </c>
      <c r="CN177" s="458">
        <f>CN171+CN176</f>
        <v>4436382.1000000043</v>
      </c>
      <c r="CO177" s="459">
        <f t="shared" si="1223"/>
        <v>2.7945386303943592E-2</v>
      </c>
      <c r="CP177" s="458">
        <f>CP171+CP176</f>
        <v>9164219.379999999</v>
      </c>
      <c r="CQ177" s="459">
        <f t="shared" si="1335"/>
        <v>0.46779861362399161</v>
      </c>
      <c r="CR177" s="458">
        <f>CR171+CR176</f>
        <v>13600601.48</v>
      </c>
      <c r="CS177" s="459">
        <f t="shared" si="1224"/>
        <v>7.6261367320530224E-2</v>
      </c>
      <c r="CT177" s="458">
        <f>CT171+CT176</f>
        <v>1069797.679999999</v>
      </c>
      <c r="CU177" s="459">
        <f t="shared" si="1221"/>
        <v>6.8293917282839511E-2</v>
      </c>
      <c r="CV177" s="458">
        <f>CV171+CV176</f>
        <v>6172077.8500000015</v>
      </c>
      <c r="CW177" s="459">
        <f t="shared" si="968"/>
        <v>9.864124701817982E-2</v>
      </c>
      <c r="CX177" s="458">
        <f>CX171+CX176</f>
        <v>16406094.909999974</v>
      </c>
      <c r="CY177" s="459">
        <f t="shared" si="1336"/>
        <v>0.16770746275821982</v>
      </c>
      <c r="CZ177" s="458">
        <f>CZ171+CZ176</f>
        <v>20842477.010000058</v>
      </c>
      <c r="DA177" s="459">
        <f>+CZ177/CZ$8</f>
        <v>8.1232666305448328E-2</v>
      </c>
      <c r="DB177" s="458">
        <f>DB171+DB176</f>
        <v>13872168.93</v>
      </c>
      <c r="DC177" s="459">
        <f t="shared" si="1225"/>
        <v>0.72264773988600117</v>
      </c>
      <c r="DD177" s="458">
        <f>DD171+DD176</f>
        <v>2757724.8200000017</v>
      </c>
      <c r="DE177" s="459">
        <f t="shared" si="1226"/>
        <v>0.10620027333787302</v>
      </c>
      <c r="DF177" s="458">
        <f>DF171+DF176</f>
        <v>-7786896.7199999997</v>
      </c>
      <c r="DG177" s="459">
        <f t="shared" si="1227"/>
        <v>-0.25102666164841797</v>
      </c>
      <c r="DH177" s="458">
        <f>DH171+DH176</f>
        <v>8842997.0300000086</v>
      </c>
      <c r="DI177" s="459">
        <f t="shared" si="1337"/>
        <v>0.1160746341929417</v>
      </c>
      <c r="DJ177" s="458">
        <f>DJ171+DJ176</f>
        <v>1081629.7802691029</v>
      </c>
      <c r="DK177" s="459">
        <f t="shared" si="1228"/>
        <v>2.0565614902908789E-2</v>
      </c>
      <c r="DL177" s="458">
        <f>DL171+DL176</f>
        <v>-2250634.0299999984</v>
      </c>
      <c r="DM177" s="459">
        <f t="shared" si="1229"/>
        <v>-0.25946950305778138</v>
      </c>
      <c r="DN177" s="458">
        <f>DN171+DN176</f>
        <v>-2395550.6999999997</v>
      </c>
      <c r="DO177" s="459">
        <f t="shared" si="1230"/>
        <v>-0.13959548482037024</v>
      </c>
      <c r="DP177" s="458">
        <f>DP171+DP176</f>
        <v>12475807.91</v>
      </c>
      <c r="DQ177" s="459">
        <f t="shared" si="1231"/>
        <v>0.14868879191155768</v>
      </c>
      <c r="DR177" s="458">
        <f>DR171+DR176</f>
        <v>7829623.1799999997</v>
      </c>
      <c r="DS177" s="459">
        <f t="shared" si="1338"/>
        <v>7.1346935762053837E-2</v>
      </c>
      <c r="DT177" s="458">
        <f>DT171+DT176</f>
        <v>16672620.210000021</v>
      </c>
      <c r="DU177" s="459">
        <f t="shared" si="998"/>
        <v>8.9674450283465088E-2</v>
      </c>
      <c r="DV177" s="458">
        <f>DV171+DV176</f>
        <v>-9125536.1100000087</v>
      </c>
      <c r="DW177" s="459">
        <f t="shared" si="1232"/>
        <v>-0.20048499301804429</v>
      </c>
      <c r="DX177" s="458">
        <f>DX171+DX176</f>
        <v>6899823.9000000013</v>
      </c>
      <c r="DY177" s="459">
        <f t="shared" si="856"/>
        <v>0.26689231948980874</v>
      </c>
      <c r="DZ177" s="458">
        <f>DZ171+DZ176</f>
        <v>25464264.250000011</v>
      </c>
      <c r="EA177" s="459">
        <f t="shared" si="1233"/>
        <v>0.20813763916787281</v>
      </c>
      <c r="EB177" s="458">
        <f>EB171+EB176</f>
        <v>23238552.039999992</v>
      </c>
      <c r="EC177" s="459">
        <f t="shared" si="972"/>
        <v>0.11996372670104248</v>
      </c>
      <c r="ED177" s="458">
        <f>ED171+ED176</f>
        <v>39911172.25000006</v>
      </c>
      <c r="EE177" s="459">
        <f t="shared" si="999"/>
        <v>0.10512982219397014</v>
      </c>
      <c r="EF177" s="458">
        <f>EF171+EF176</f>
        <v>-10255950.239999996</v>
      </c>
      <c r="EG177" s="459">
        <f t="shared" si="1234"/>
        <v>-0.69406307341774964</v>
      </c>
      <c r="EH177" s="458">
        <f>EH171+EH176</f>
        <v>-3532784.3800000008</v>
      </c>
      <c r="EI177" s="459">
        <f t="shared" si="857"/>
        <v>-0.27711031657914226</v>
      </c>
      <c r="EJ177" s="458">
        <f>EJ171+EJ176</f>
        <v>1118606.2199999839</v>
      </c>
      <c r="EK177" s="459">
        <f t="shared" si="1235"/>
        <v>7.1630665251059379E-3</v>
      </c>
      <c r="EL177" s="458">
        <f>EL171+EL176</f>
        <v>-12670128.40000001</v>
      </c>
      <c r="EM177" s="459">
        <f t="shared" si="973"/>
        <v>-6.8976211838044504E-2</v>
      </c>
      <c r="EN177" s="458">
        <f>EN171+EN176</f>
        <v>27241043.850000106</v>
      </c>
      <c r="EO177" s="459">
        <f t="shared" si="1000"/>
        <v>4.8357563979826441E-2</v>
      </c>
      <c r="EP177" s="455">
        <v>4023851.61</v>
      </c>
      <c r="EQ177" s="373" t="s">
        <v>699</v>
      </c>
      <c r="ER177" s="373"/>
      <c r="ES177" s="373"/>
      <c r="ET177" s="458">
        <f>ET171+ET176</f>
        <v>-6106264.4699999997</v>
      </c>
      <c r="EU177" s="459">
        <f t="shared" si="1236"/>
        <v>-0.82786486630406242</v>
      </c>
      <c r="EV177" s="458">
        <f>EV171+EV176</f>
        <v>-8399260.3200000022</v>
      </c>
      <c r="EW177" s="459">
        <f t="shared" si="858"/>
        <v>-1.3781886634482157</v>
      </c>
      <c r="EX177" s="458">
        <f>EX171+EX176</f>
        <v>35041361.73999998</v>
      </c>
      <c r="EY177" s="459">
        <f t="shared" si="1237"/>
        <v>0.15349690312245906</v>
      </c>
      <c r="EZ177" s="458">
        <f>EZ171+EZ176</f>
        <v>20535836.949999981</v>
      </c>
      <c r="FA177" s="459">
        <f t="shared" si="974"/>
        <v>8.4943973795550798E-2</v>
      </c>
      <c r="FB177" s="458">
        <f>FB171+FB176</f>
        <v>-7443584.7700000005</v>
      </c>
      <c r="FC177" s="459">
        <f t="shared" si="1238"/>
        <v>-0.82141059836473562</v>
      </c>
      <c r="FD177" s="458">
        <f t="shared" ref="FD177" si="1406">FD171+FD176</f>
        <v>8324130.359999992</v>
      </c>
      <c r="FE177" s="459">
        <f t="shared" si="1222"/>
        <v>7.9086322958575012E-2</v>
      </c>
      <c r="FF177" s="458">
        <f t="shared" ref="FF177" si="1407">FF171+FF176</f>
        <v>38814077.390000015</v>
      </c>
      <c r="FG177" s="459">
        <f t="shared" si="975"/>
        <v>0.24155860166528295</v>
      </c>
      <c r="FH177" s="458">
        <f>FH171+FH176</f>
        <v>39694622.980000041</v>
      </c>
      <c r="FI177" s="459">
        <f t="shared" si="976"/>
        <v>0.14434539113867006</v>
      </c>
      <c r="FJ177" s="458">
        <f>FJ171+FJ176</f>
        <v>60230459.930000082</v>
      </c>
      <c r="FK177" s="459">
        <f t="shared" si="1003"/>
        <v>0.11655516995007192</v>
      </c>
      <c r="FL177" s="458">
        <f>FL171+FL176</f>
        <v>-4452116.92</v>
      </c>
      <c r="FM177" s="459">
        <f t="shared" si="1239"/>
        <v>-0.40716930964921294</v>
      </c>
      <c r="FN177" s="458">
        <f t="shared" ref="FN177" si="1408">FN171+FN176</f>
        <v>-9420653.8900000006</v>
      </c>
      <c r="FO177" s="459">
        <f t="shared" si="977"/>
        <v>-1.9716627497170123</v>
      </c>
      <c r="FP177" s="458">
        <f t="shared" ref="FP177" si="1409">FP171+FP176</f>
        <v>38253072.680000037</v>
      </c>
      <c r="FQ177" s="459">
        <f t="shared" si="978"/>
        <v>0.1382761684220862</v>
      </c>
      <c r="FR177" s="458">
        <f>FR171+FR176</f>
        <v>24380301.870000008</v>
      </c>
      <c r="FS177" s="459">
        <f t="shared" si="979"/>
        <v>8.3392829443994038E-2</v>
      </c>
      <c r="FT177" s="458">
        <f>FT171+FT176</f>
        <v>84610761.800000012</v>
      </c>
      <c r="FU177" s="459">
        <f t="shared" si="1006"/>
        <v>0.10457265269114582</v>
      </c>
      <c r="FV177" s="458">
        <f>FV171+FV176</f>
        <v>8103609.339999998</v>
      </c>
      <c r="FW177" s="459">
        <f t="shared" si="1240"/>
        <v>0.29202259012455983</v>
      </c>
      <c r="FX177" s="458">
        <f t="shared" ref="FX177" si="1410">FX171+FX176</f>
        <v>-16690791.560000002</v>
      </c>
      <c r="FY177" s="459">
        <f t="shared" si="980"/>
        <v>-0.65017259917995107</v>
      </c>
      <c r="FZ177" s="458">
        <f t="shared" ref="FZ177" si="1411">FZ171+FZ176</f>
        <v>39650881.209999979</v>
      </c>
      <c r="GA177" s="459">
        <f t="shared" si="981"/>
        <v>0.13714837329594232</v>
      </c>
      <c r="GB177" s="458">
        <f>GB171+GB176</f>
        <v>31063698.989999965</v>
      </c>
      <c r="GC177" s="459">
        <f t="shared" si="982"/>
        <v>9.0688817184264664E-2</v>
      </c>
      <c r="GD177" s="458">
        <f>GD171+GD176</f>
        <v>115674460.78999966</v>
      </c>
      <c r="GE177" s="459">
        <f t="shared" si="1009"/>
        <v>0.1004432049975483</v>
      </c>
      <c r="GF177" s="578">
        <f t="shared" ref="GF177:GH177" si="1412">GF171+GF176</f>
        <v>-5410698.1479033334</v>
      </c>
      <c r="GG177" s="579">
        <f t="shared" si="983"/>
        <v>-0.4198803822637136</v>
      </c>
      <c r="GH177" s="580">
        <f t="shared" si="1412"/>
        <v>-1511459.9309502745</v>
      </c>
      <c r="GI177" s="579">
        <f t="shared" si="984"/>
        <v>-331545699999.00006</v>
      </c>
      <c r="GJ177" s="580">
        <f t="shared" ref="GJ177" si="1413">GJ171+GJ176</f>
        <v>-1946209.73799074</v>
      </c>
      <c r="GK177" s="579">
        <f t="shared" si="985"/>
        <v>-0.34196989929495564</v>
      </c>
      <c r="GL177" s="580">
        <f>GL171+GL176</f>
        <v>110698512.44913702</v>
      </c>
      <c r="GM177" s="581">
        <f t="shared" si="1012"/>
        <v>9.5525640766405906E-2</v>
      </c>
      <c r="GO177" s="592">
        <f t="shared" ref="GO177" si="1414">GO171+GO176</f>
        <v>-442728.4</v>
      </c>
      <c r="GP177" s="378"/>
      <c r="GQ177" s="592">
        <f t="shared" ref="GQ177" si="1415">GQ171+GQ176</f>
        <v>-33154.569999899999</v>
      </c>
      <c r="GT177" s="551">
        <f t="shared" si="1166"/>
        <v>19532434.404564995</v>
      </c>
      <c r="GU177" s="551">
        <f t="shared" si="1015"/>
        <v>22884711.235605061</v>
      </c>
      <c r="GV177" s="550">
        <f t="shared" si="1339"/>
        <v>42417145.640170053</v>
      </c>
      <c r="GW177" s="546">
        <f>GW171+GW176</f>
        <v>102647605.57017013</v>
      </c>
      <c r="GX177" s="547">
        <f t="shared" si="1241"/>
        <v>8.6687193008557775E-2</v>
      </c>
      <c r="GY177" s="548">
        <f>GY171+GY176</f>
        <v>38481417.45607549</v>
      </c>
      <c r="GZ177" s="547">
        <f t="shared" si="1242"/>
        <v>4.2747624088696722E-2</v>
      </c>
      <c r="HA177" s="548">
        <f>HA171+HA176</f>
        <v>38829178.006072313</v>
      </c>
      <c r="HB177" s="549">
        <f t="shared" si="1243"/>
        <v>5.3341482650118635E-2</v>
      </c>
      <c r="HD177" s="546">
        <v>115257030.79972874</v>
      </c>
      <c r="HE177" s="547">
        <v>9.7022941014193287E-2</v>
      </c>
      <c r="HF177" s="548">
        <v>38416770.45607549</v>
      </c>
      <c r="HG177" s="547">
        <v>4.2675810059038997E-2</v>
      </c>
      <c r="HH177" s="548">
        <v>38764531.006072313</v>
      </c>
      <c r="HI177" s="549">
        <v>5.3252674001417831E-2</v>
      </c>
    </row>
    <row r="178" spans="1:217" ht="15" customHeight="1">
      <c r="A178" s="386"/>
      <c r="C178" s="392"/>
      <c r="E178" s="392"/>
      <c r="G178" s="392"/>
      <c r="H178" s="392"/>
      <c r="J178" s="392"/>
      <c r="K178" s="392"/>
      <c r="M178" s="392"/>
      <c r="N178" s="392"/>
      <c r="P178" s="392"/>
      <c r="Q178" s="392"/>
      <c r="R178" s="373"/>
      <c r="S178" s="392"/>
      <c r="T178" s="392"/>
      <c r="U178" s="373"/>
      <c r="V178" s="392"/>
      <c r="W178" s="392"/>
      <c r="X178" s="373"/>
      <c r="Y178" s="392"/>
      <c r="Z178" s="392"/>
      <c r="AA178" s="373"/>
      <c r="AB178" s="392"/>
      <c r="AC178" s="392"/>
      <c r="AD178" s="406"/>
      <c r="AE178" s="392"/>
      <c r="AF178" s="392"/>
      <c r="AG178" s="373"/>
      <c r="AH178" s="392"/>
      <c r="AI178" s="392"/>
      <c r="AJ178" s="373"/>
      <c r="AK178" s="392"/>
      <c r="AL178" s="392"/>
      <c r="AM178" s="373"/>
      <c r="AN178" s="392"/>
      <c r="AO178" s="392"/>
      <c r="AP178" s="373"/>
      <c r="AQ178" s="392"/>
      <c r="AR178" s="392"/>
      <c r="AS178" s="373"/>
      <c r="AT178" s="392"/>
      <c r="AU178" s="373"/>
      <c r="AV178" s="392"/>
      <c r="AW178" s="392"/>
      <c r="AX178" s="373"/>
      <c r="AY178" s="392"/>
      <c r="AZ178" s="392"/>
      <c r="BA178" s="373"/>
      <c r="BB178" s="392"/>
      <c r="BC178" s="392"/>
      <c r="BD178" s="450"/>
      <c r="BE178" s="392"/>
      <c r="BF178" s="392"/>
      <c r="BG178" s="373"/>
      <c r="BH178" s="392"/>
      <c r="BI178" s="392">
        <f>+Q177+AC177+AR177+BF177-BI177</f>
        <v>0</v>
      </c>
      <c r="BJ178" s="373"/>
      <c r="BK178" s="378"/>
      <c r="BL178" s="394"/>
      <c r="BN178" s="392"/>
      <c r="BO178" s="373"/>
      <c r="BP178" s="392"/>
      <c r="BQ178" s="373"/>
      <c r="BR178" s="392"/>
      <c r="BS178" s="373"/>
      <c r="BT178" s="392"/>
      <c r="BV178" s="392"/>
      <c r="BX178" s="392"/>
      <c r="BZ178" s="392"/>
      <c r="CB178" s="392"/>
      <c r="CD178" s="392"/>
      <c r="CF178" s="392"/>
      <c r="CH178" s="392"/>
      <c r="CJ178" s="392"/>
      <c r="CL178" s="455">
        <f>+CL177-CJ177-CH177-CF177</f>
        <v>0</v>
      </c>
      <c r="CM178" s="455"/>
      <c r="CN178" s="455">
        <f>+CD177+CJ177+CH177+CF177-CN177+CN177-CL177-CD177</f>
        <v>0</v>
      </c>
      <c r="CP178" s="392"/>
      <c r="CR178" s="455">
        <f>+CR177-CN177-CP177</f>
        <v>0</v>
      </c>
      <c r="CT178" s="392"/>
      <c r="CV178" s="392"/>
      <c r="CX178" s="455">
        <f>+CP177+CT177+CV177-CX177</f>
        <v>2.6077032089233398E-8</v>
      </c>
      <c r="CY178" s="455"/>
      <c r="CZ178" s="455">
        <f>+CZ177-CX177-CN177+CZ177-CX177-CL177-CB177-BT177+CD177+CL177+CX177-CZ177</f>
        <v>1.0430812835693359E-7</v>
      </c>
      <c r="DB178" s="455"/>
      <c r="DD178" s="455"/>
      <c r="DF178" s="455"/>
      <c r="DH178" s="455">
        <f>+DB177+DD177+DF177-DH177</f>
        <v>0</v>
      </c>
      <c r="DJ178" s="455"/>
      <c r="DL178" s="455"/>
      <c r="DN178" s="455"/>
      <c r="DP178" s="455"/>
      <c r="DR178" s="455">
        <f>+DL177+DN177+DP177-DR177</f>
        <v>0</v>
      </c>
      <c r="DT178" s="378">
        <f>+DT177-DR177-DH177</f>
        <v>0</v>
      </c>
      <c r="DU178" s="378"/>
      <c r="DV178" s="378"/>
      <c r="DW178" s="378"/>
      <c r="DX178" s="378"/>
      <c r="DY178" s="378"/>
      <c r="DZ178" s="378"/>
      <c r="EA178" s="378"/>
      <c r="EB178" s="378">
        <f>+DV177+DX177+DZ177-EB177</f>
        <v>0</v>
      </c>
      <c r="EC178" s="378"/>
      <c r="ED178" s="378">
        <f>+DT177+EB177-ED177</f>
        <v>0</v>
      </c>
      <c r="EE178" s="378"/>
      <c r="EF178" s="378"/>
      <c r="EG178" s="378"/>
      <c r="EH178" s="378"/>
      <c r="EI178" s="378"/>
      <c r="EJ178" s="378"/>
      <c r="EK178" s="378"/>
      <c r="EL178" s="378">
        <f>+EF177+EH177+EJ177-EL177</f>
        <v>0</v>
      </c>
      <c r="EM178" s="378"/>
      <c r="EN178" s="455"/>
      <c r="EP178" s="373"/>
      <c r="EQ178" s="373"/>
      <c r="ER178" s="373"/>
      <c r="ES178" s="373"/>
      <c r="ET178" s="378"/>
      <c r="EU178" s="378"/>
      <c r="EV178" s="378"/>
      <c r="EW178" s="378"/>
      <c r="EX178" s="378"/>
      <c r="EY178" s="378"/>
      <c r="EZ178" s="378">
        <f>+ET177+EV177+EX177-EZ177</f>
        <v>0</v>
      </c>
      <c r="FA178" s="378"/>
      <c r="FB178" s="378"/>
      <c r="FC178" s="378"/>
      <c r="FD178" s="378"/>
      <c r="FE178" s="378"/>
      <c r="FF178" s="378"/>
      <c r="FG178" s="378"/>
      <c r="FH178" s="378">
        <f>+FB177+FD177+FF177-FH177</f>
        <v>0</v>
      </c>
      <c r="FI178" s="378"/>
      <c r="FJ178" s="378">
        <f>+EZ177+FH177-FJ177</f>
        <v>-5.9604644775390625E-8</v>
      </c>
      <c r="FL178" s="378"/>
      <c r="FM178" s="378"/>
      <c r="FN178" s="378"/>
      <c r="FO178" s="378"/>
      <c r="FP178" s="378"/>
      <c r="FQ178" s="378"/>
      <c r="FR178" s="378">
        <f>+FL177+FN177+FP177-FR177</f>
        <v>0</v>
      </c>
      <c r="FS178" s="378"/>
      <c r="FT178" s="378">
        <f>+FJ177+FR177-FT177</f>
        <v>0</v>
      </c>
      <c r="FV178" s="378"/>
      <c r="FW178" s="378"/>
      <c r="FX178" s="378"/>
      <c r="FY178" s="378"/>
      <c r="FZ178" s="378"/>
      <c r="GA178" s="378"/>
      <c r="GB178" s="378">
        <f>+FV177+FX177+FZ177-GB177</f>
        <v>0</v>
      </c>
      <c r="GC178" s="378"/>
      <c r="GD178" s="378">
        <f>+FT177+GB177-GD177</f>
        <v>3.1292438507080078E-7</v>
      </c>
      <c r="GF178" s="378"/>
      <c r="GG178" s="378"/>
      <c r="GH178" s="378"/>
      <c r="GI178" s="378"/>
      <c r="GJ178" s="378"/>
      <c r="GK178" s="378"/>
      <c r="GL178" s="378">
        <f>+GL177-GD177-GF177-GH177+GJ177</f>
        <v>2.2118911147117615E-7</v>
      </c>
      <c r="GO178" s="378"/>
      <c r="GT178" s="552"/>
      <c r="GU178" s="552"/>
      <c r="GW178" s="455"/>
      <c r="GX178" s="379">
        <f t="shared" si="1241"/>
        <v>0</v>
      </c>
      <c r="GY178" s="455"/>
      <c r="GZ178" s="379">
        <f t="shared" si="1242"/>
        <v>0</v>
      </c>
      <c r="HA178" s="455"/>
      <c r="HB178" s="379">
        <f t="shared" si="1243"/>
        <v>0</v>
      </c>
      <c r="HD178" s="455"/>
      <c r="HE178" s="379">
        <v>0</v>
      </c>
      <c r="HF178" s="455"/>
      <c r="HG178" s="379">
        <v>0</v>
      </c>
      <c r="HH178" s="455"/>
      <c r="HI178" s="379">
        <v>0</v>
      </c>
    </row>
    <row r="179" spans="1:217" ht="16.5" customHeight="1">
      <c r="A179" s="386"/>
      <c r="B179" s="379"/>
      <c r="C179" s="379"/>
      <c r="D179" s="379"/>
      <c r="E179" s="379"/>
      <c r="F179" s="379"/>
      <c r="G179" s="379"/>
      <c r="H179" s="379"/>
      <c r="I179" s="379"/>
      <c r="J179" s="379"/>
      <c r="K179" s="379"/>
      <c r="L179" s="379"/>
      <c r="M179" s="379"/>
      <c r="N179" s="379"/>
      <c r="O179" s="379"/>
      <c r="P179" s="379"/>
      <c r="Q179" s="379"/>
      <c r="R179" s="379"/>
      <c r="S179" s="379"/>
      <c r="T179" s="379"/>
      <c r="U179" s="379"/>
      <c r="V179" s="379"/>
      <c r="W179" s="379"/>
      <c r="X179" s="379"/>
      <c r="Y179" s="379"/>
      <c r="Z179" s="379"/>
      <c r="AA179" s="379"/>
      <c r="AB179" s="379"/>
      <c r="AC179" s="379"/>
      <c r="AD179" s="379"/>
      <c r="AE179" s="379"/>
      <c r="AF179" s="379"/>
      <c r="AG179" s="379"/>
      <c r="AH179" s="379"/>
      <c r="AI179" s="379"/>
      <c r="AJ179" s="379"/>
      <c r="AK179" s="379"/>
      <c r="AL179" s="379"/>
      <c r="AM179" s="379"/>
      <c r="AN179" s="379"/>
      <c r="AO179" s="379"/>
      <c r="AP179" s="379"/>
      <c r="AQ179" s="379"/>
      <c r="AR179" s="379"/>
      <c r="AS179" s="379"/>
      <c r="AT179" s="379"/>
      <c r="AU179" s="379"/>
      <c r="AV179" s="379"/>
      <c r="AW179" s="379"/>
      <c r="AX179" s="379"/>
      <c r="AY179" s="379"/>
      <c r="AZ179" s="379"/>
      <c r="BA179" s="379"/>
      <c r="BB179" s="379"/>
      <c r="BC179" s="379"/>
      <c r="BD179" s="379"/>
      <c r="BE179" s="379"/>
      <c r="BF179" s="379"/>
      <c r="BG179" s="379"/>
      <c r="BH179" s="379"/>
      <c r="BI179" s="379"/>
      <c r="BJ179" s="379"/>
      <c r="BK179" s="379"/>
      <c r="BL179" s="379"/>
      <c r="BM179" s="379"/>
      <c r="BN179" s="379"/>
      <c r="BO179" s="379"/>
      <c r="BP179" s="379"/>
      <c r="BQ179" s="379"/>
      <c r="BR179" s="379"/>
      <c r="BS179" s="379"/>
      <c r="BT179" s="379"/>
      <c r="BV179" s="442"/>
      <c r="BX179" s="442"/>
      <c r="BZ179" s="442"/>
      <c r="CB179" s="442"/>
      <c r="CD179" s="442"/>
      <c r="CF179" s="442"/>
      <c r="CH179" s="442"/>
      <c r="CJ179" s="442"/>
      <c r="CL179" s="456"/>
      <c r="CM179" s="455"/>
      <c r="CN179" s="456"/>
      <c r="CP179" s="392"/>
      <c r="CR179" s="456"/>
      <c r="CT179" s="442"/>
      <c r="CV179" s="442"/>
      <c r="CX179" s="455"/>
      <c r="CY179" s="455"/>
      <c r="CZ179" s="455">
        <f>+CZ177-CV177-CT177-CP177-CN177</f>
        <v>5.3085386753082275E-8</v>
      </c>
      <c r="DB179" s="455"/>
      <c r="DD179" s="455"/>
      <c r="DF179" s="455"/>
      <c r="DJ179" s="455"/>
      <c r="DL179" s="455"/>
      <c r="DN179" s="455"/>
      <c r="DP179" s="455"/>
      <c r="DT179" s="442"/>
      <c r="DV179" s="455"/>
      <c r="DX179" s="455"/>
      <c r="DZ179" s="455"/>
      <c r="ED179" s="442"/>
      <c r="EF179" s="455"/>
      <c r="EH179" s="455"/>
      <c r="EJ179" s="455"/>
      <c r="EM179" s="475"/>
      <c r="EN179" s="455"/>
      <c r="EP179" s="373"/>
      <c r="EQ179" s="373"/>
      <c r="ER179" s="518" t="s">
        <v>713</v>
      </c>
      <c r="ES179" s="373"/>
      <c r="ET179" s="455"/>
      <c r="EV179" s="455"/>
      <c r="EX179" s="455"/>
      <c r="FA179" s="475"/>
      <c r="FB179" s="455"/>
      <c r="FD179" s="455"/>
      <c r="FF179" s="455"/>
      <c r="FI179" s="475"/>
      <c r="FJ179" s="442"/>
      <c r="FL179" s="455"/>
      <c r="FN179" s="455"/>
      <c r="FP179" s="455"/>
      <c r="FS179" s="475"/>
      <c r="FT179" s="442"/>
      <c r="FV179" s="455"/>
      <c r="FX179" s="455"/>
      <c r="FZ179" s="455"/>
      <c r="GA179" s="475"/>
      <c r="GB179" s="455"/>
      <c r="GC179" s="475"/>
      <c r="GD179" s="378">
        <f>+EZ177+FH177+FR177+GB177-GD177</f>
        <v>3.2782554626464844E-7</v>
      </c>
      <c r="GF179" s="455"/>
      <c r="GH179" s="455"/>
      <c r="GJ179" s="455"/>
      <c r="GL179" s="378"/>
      <c r="GO179" s="455"/>
      <c r="GP179" s="623"/>
      <c r="GW179" s="378">
        <f>+GD177-GW177</f>
        <v>13026855.21982953</v>
      </c>
      <c r="GY179" s="455">
        <f>+DB177+DD177+DF177-DH177</f>
        <v>0</v>
      </c>
      <c r="HA179" s="378">
        <f>+HA178-HA177</f>
        <v>-38829178.006072313</v>
      </c>
      <c r="HD179" s="455"/>
      <c r="HF179" s="455">
        <v>0</v>
      </c>
      <c r="HH179" s="378">
        <v>-38764531.006072313</v>
      </c>
    </row>
    <row r="180" spans="1:217" ht="16.5" customHeight="1">
      <c r="A180" s="386"/>
      <c r="B180" s="379"/>
      <c r="C180" s="379"/>
      <c r="D180" s="379"/>
      <c r="E180" s="379"/>
      <c r="F180" s="379"/>
      <c r="G180" s="379"/>
      <c r="H180" s="379"/>
      <c r="I180" s="379"/>
      <c r="J180" s="379"/>
      <c r="K180" s="379"/>
      <c r="L180" s="379"/>
      <c r="M180" s="379"/>
      <c r="N180" s="379"/>
      <c r="O180" s="379"/>
      <c r="P180" s="379"/>
      <c r="Q180" s="379"/>
      <c r="R180" s="379"/>
      <c r="S180" s="379"/>
      <c r="T180" s="379"/>
      <c r="U180" s="379"/>
      <c r="V180" s="379"/>
      <c r="W180" s="379"/>
      <c r="X180" s="379"/>
      <c r="Y180" s="379"/>
      <c r="Z180" s="379"/>
      <c r="AA180" s="379"/>
      <c r="AB180" s="379"/>
      <c r="AC180" s="379"/>
      <c r="AD180" s="379"/>
      <c r="AE180" s="379"/>
      <c r="AF180" s="379"/>
      <c r="AG180" s="379"/>
      <c r="AH180" s="379"/>
      <c r="AI180" s="379"/>
      <c r="AJ180" s="379"/>
      <c r="AK180" s="379"/>
      <c r="AL180" s="379"/>
      <c r="AM180" s="379"/>
      <c r="AN180" s="379"/>
      <c r="AO180" s="379"/>
      <c r="AP180" s="379"/>
      <c r="AQ180" s="379"/>
      <c r="AR180" s="379"/>
      <c r="AS180" s="379"/>
      <c r="AT180" s="379"/>
      <c r="AU180" s="379"/>
      <c r="AV180" s="379"/>
      <c r="AW180" s="379"/>
      <c r="AX180" s="379"/>
      <c r="AY180" s="379"/>
      <c r="AZ180" s="379"/>
      <c r="BA180" s="379"/>
      <c r="BB180" s="379"/>
      <c r="BC180" s="379"/>
      <c r="BD180" s="379"/>
      <c r="BE180" s="379"/>
      <c r="BF180" s="379"/>
      <c r="BG180" s="379"/>
      <c r="BH180" s="379"/>
      <c r="BI180" s="379"/>
      <c r="BJ180" s="379"/>
      <c r="BK180" s="379"/>
      <c r="BL180" s="379"/>
      <c r="BM180" s="379"/>
      <c r="BN180" s="379"/>
      <c r="BO180" s="379"/>
      <c r="BP180" s="379"/>
      <c r="BQ180" s="379"/>
      <c r="BR180" s="379"/>
      <c r="BS180" s="379"/>
      <c r="BT180" s="379"/>
      <c r="BV180" s="443"/>
      <c r="BX180" s="443"/>
      <c r="BZ180" s="452"/>
      <c r="CB180" s="443"/>
      <c r="CD180" s="443"/>
      <c r="CF180" s="452"/>
      <c r="CH180" s="452"/>
      <c r="CJ180" s="452"/>
      <c r="CL180" s="443"/>
      <c r="CN180" s="443"/>
      <c r="CP180" s="452"/>
      <c r="CR180" s="443"/>
      <c r="CT180" s="452"/>
      <c r="CV180" s="452"/>
      <c r="CX180" s="443"/>
      <c r="CZ180" s="455">
        <f>+CR177+CT177+CV177-CZ177</f>
        <v>-5.5879354476928711E-8</v>
      </c>
      <c r="DB180" s="455"/>
      <c r="DD180" s="455"/>
      <c r="DF180" s="455"/>
      <c r="DJ180" s="455"/>
      <c r="DL180" s="455"/>
      <c r="DN180" s="455"/>
      <c r="DP180" s="455"/>
      <c r="DT180" s="379"/>
      <c r="DV180" s="455"/>
      <c r="DX180" s="455"/>
      <c r="DZ180" s="455"/>
      <c r="ED180" s="379"/>
      <c r="EF180" s="455"/>
      <c r="EH180" s="455"/>
      <c r="EI180" s="379" t="s">
        <v>707</v>
      </c>
      <c r="EM180" s="475"/>
      <c r="EN180" s="455"/>
      <c r="EP180" s="381"/>
      <c r="EQ180" s="373"/>
      <c r="ER180" s="518" t="s">
        <v>714</v>
      </c>
      <c r="ES180" s="373"/>
      <c r="ET180" s="455"/>
      <c r="EV180" s="455"/>
      <c r="FA180" s="475"/>
      <c r="FH180" s="378"/>
      <c r="FI180" s="475"/>
      <c r="FJ180" s="553"/>
      <c r="FS180" s="475"/>
      <c r="FT180" s="443"/>
      <c r="FZ180" s="514"/>
      <c r="GA180" s="475"/>
      <c r="GB180" s="455"/>
      <c r="GC180" s="475"/>
      <c r="GD180" s="378">
        <f>+FJ177+GB177+FR177-GD177</f>
        <v>3.8743019104003906E-7</v>
      </c>
      <c r="GL180" s="378"/>
      <c r="GP180" s="623"/>
    </row>
    <row r="181" spans="1:217" ht="16.5" customHeight="1">
      <c r="B181" s="379"/>
      <c r="C181" s="379"/>
      <c r="D181" s="379"/>
      <c r="E181" s="379"/>
      <c r="F181" s="379"/>
      <c r="G181" s="379"/>
      <c r="H181" s="379"/>
      <c r="I181" s="379"/>
      <c r="J181" s="379"/>
      <c r="K181" s="379"/>
      <c r="L181" s="379"/>
      <c r="M181" s="379"/>
      <c r="N181" s="379"/>
      <c r="O181" s="379"/>
      <c r="P181" s="379"/>
      <c r="Q181" s="379"/>
      <c r="R181" s="379"/>
      <c r="S181" s="379"/>
      <c r="T181" s="379"/>
      <c r="U181" s="379"/>
      <c r="V181" s="379"/>
      <c r="W181" s="379"/>
      <c r="X181" s="379"/>
      <c r="Y181" s="379"/>
      <c r="Z181" s="379"/>
      <c r="AA181" s="379"/>
      <c r="AB181" s="379"/>
      <c r="AC181" s="379"/>
      <c r="AD181" s="379"/>
      <c r="AE181" s="379"/>
      <c r="AF181" s="379"/>
      <c r="AG181" s="379"/>
      <c r="AH181" s="379"/>
      <c r="AI181" s="379"/>
      <c r="AJ181" s="379"/>
      <c r="AK181" s="379"/>
      <c r="AL181" s="379"/>
      <c r="AM181" s="379"/>
      <c r="AN181" s="379"/>
      <c r="AO181" s="379"/>
      <c r="AP181" s="379"/>
      <c r="AQ181" s="379"/>
      <c r="AR181" s="379"/>
      <c r="AS181" s="379"/>
      <c r="AT181" s="379"/>
      <c r="AU181" s="379"/>
      <c r="AV181" s="379"/>
      <c r="AW181" s="379"/>
      <c r="AX181" s="379"/>
      <c r="AY181" s="379"/>
      <c r="AZ181" s="379"/>
      <c r="BA181" s="379"/>
      <c r="BB181" s="379"/>
      <c r="BC181" s="379"/>
      <c r="BD181" s="379"/>
      <c r="BE181" s="379"/>
      <c r="BF181" s="379"/>
      <c r="BG181" s="379"/>
      <c r="BH181" s="379"/>
      <c r="BI181" s="379"/>
      <c r="BJ181" s="379"/>
      <c r="BK181" s="379"/>
      <c r="BL181" s="379"/>
      <c r="BM181" s="379"/>
      <c r="BN181" s="379"/>
      <c r="BO181" s="379"/>
      <c r="BP181" s="379"/>
      <c r="BQ181" s="379"/>
      <c r="BR181" s="379"/>
      <c r="BS181" s="379"/>
      <c r="BT181" s="379"/>
      <c r="BV181" s="443"/>
      <c r="BX181" s="443"/>
      <c r="BZ181" s="452"/>
      <c r="CB181" s="443"/>
      <c r="CD181" s="443"/>
      <c r="CF181" s="452"/>
      <c r="CH181" s="452"/>
      <c r="CJ181" s="452"/>
      <c r="CL181" s="443"/>
      <c r="CN181" s="443"/>
      <c r="CP181" s="452"/>
      <c r="CR181" s="443"/>
      <c r="CT181" s="452"/>
      <c r="CV181" s="452"/>
      <c r="CX181" s="442"/>
      <c r="CY181" s="475"/>
      <c r="CZ181" s="474"/>
      <c r="DB181" s="474"/>
      <c r="DD181" s="474"/>
      <c r="DF181" s="474"/>
      <c r="DJ181" s="474"/>
      <c r="DL181" s="474"/>
      <c r="DN181" s="474"/>
      <c r="DP181" s="379"/>
      <c r="DT181" s="443"/>
      <c r="DV181" s="474"/>
      <c r="DX181" s="474"/>
      <c r="DZ181" s="474"/>
      <c r="ED181" s="443"/>
      <c r="EF181" s="474"/>
      <c r="EH181" s="474"/>
      <c r="EM181" s="475"/>
      <c r="EN181" s="455"/>
      <c r="ET181" s="474"/>
      <c r="EV181" s="474"/>
      <c r="FA181" s="475"/>
      <c r="FI181" s="475"/>
      <c r="FJ181" s="443"/>
      <c r="FS181" s="475"/>
      <c r="FT181" s="443"/>
      <c r="FZ181" s="381"/>
      <c r="GB181" s="455"/>
      <c r="GC181" s="475"/>
      <c r="GD181" s="443"/>
      <c r="GL181" s="443"/>
      <c r="GP181" s="623"/>
    </row>
    <row r="182" spans="1:217" ht="16.5" customHeight="1">
      <c r="B182" s="379"/>
      <c r="C182" s="379"/>
      <c r="D182" s="379"/>
      <c r="E182" s="379"/>
      <c r="F182" s="379"/>
      <c r="G182" s="379"/>
      <c r="H182" s="379"/>
      <c r="I182" s="379"/>
      <c r="J182" s="379"/>
      <c r="K182" s="379"/>
      <c r="L182" s="379"/>
      <c r="M182" s="379"/>
      <c r="N182" s="379"/>
      <c r="O182" s="379"/>
      <c r="P182" s="379"/>
      <c r="Q182" s="379"/>
      <c r="R182" s="379"/>
      <c r="S182" s="379"/>
      <c r="T182" s="379"/>
      <c r="U182" s="379"/>
      <c r="V182" s="379"/>
      <c r="W182" s="379"/>
      <c r="X182" s="379"/>
      <c r="Y182" s="379"/>
      <c r="Z182" s="379"/>
      <c r="AA182" s="379"/>
      <c r="AB182" s="379"/>
      <c r="AC182" s="379"/>
      <c r="AD182" s="379"/>
      <c r="AE182" s="379"/>
      <c r="AF182" s="379"/>
      <c r="AG182" s="379"/>
      <c r="AH182" s="379"/>
      <c r="AI182" s="379"/>
      <c r="AJ182" s="379"/>
      <c r="AK182" s="379"/>
      <c r="AL182" s="379"/>
      <c r="AM182" s="379"/>
      <c r="AN182" s="379"/>
      <c r="AO182" s="379"/>
      <c r="AP182" s="379"/>
      <c r="AQ182" s="379"/>
      <c r="AR182" s="379"/>
      <c r="AS182" s="379"/>
      <c r="AT182" s="379"/>
      <c r="AU182" s="379"/>
      <c r="AV182" s="379"/>
      <c r="AW182" s="379"/>
      <c r="AX182" s="379"/>
      <c r="AY182" s="379"/>
      <c r="AZ182" s="379"/>
      <c r="BA182" s="379"/>
      <c r="BB182" s="379"/>
      <c r="BC182" s="379"/>
      <c r="BD182" s="379"/>
      <c r="BE182" s="379"/>
      <c r="BF182" s="379"/>
      <c r="BG182" s="379"/>
      <c r="BH182" s="379"/>
      <c r="BI182" s="379"/>
      <c r="BJ182" s="379"/>
      <c r="BK182" s="379"/>
      <c r="BL182" s="379"/>
      <c r="BM182" s="379"/>
      <c r="BN182" s="379"/>
      <c r="BO182" s="379"/>
      <c r="BP182" s="379"/>
      <c r="BQ182" s="379"/>
      <c r="BR182" s="379"/>
      <c r="BS182" s="379"/>
      <c r="BT182" s="379"/>
      <c r="BV182" s="443"/>
      <c r="BX182" s="443"/>
      <c r="BZ182" s="452"/>
      <c r="CB182" s="443"/>
      <c r="CD182" s="443"/>
      <c r="CF182" s="452"/>
      <c r="CH182" s="452"/>
      <c r="CJ182" s="452"/>
      <c r="CL182" s="443"/>
      <c r="CN182" s="443"/>
      <c r="CP182" s="452"/>
      <c r="CR182" s="443"/>
      <c r="CT182" s="452"/>
      <c r="CV182" s="452"/>
      <c r="CX182" s="443"/>
      <c r="CY182" s="475"/>
      <c r="CZ182" s="455"/>
      <c r="DB182" s="455"/>
      <c r="DD182" s="455"/>
      <c r="DF182" s="455"/>
      <c r="DJ182" s="455"/>
      <c r="DL182" s="455"/>
      <c r="DN182" s="455"/>
      <c r="DP182" s="455"/>
      <c r="DT182" s="443"/>
      <c r="DV182" s="455"/>
      <c r="DX182" s="455"/>
      <c r="DZ182" s="455"/>
      <c r="ED182" s="443"/>
      <c r="EF182" s="455"/>
      <c r="EH182" s="455"/>
      <c r="EM182" s="475"/>
      <c r="EN182" s="455"/>
      <c r="ET182" s="455"/>
      <c r="EV182" s="455"/>
      <c r="FA182" s="475"/>
      <c r="FI182" s="475"/>
      <c r="FJ182" s="443"/>
      <c r="FS182" s="475"/>
      <c r="FT182" s="443"/>
      <c r="FZ182" s="392"/>
      <c r="GA182" s="475"/>
      <c r="GB182" s="455"/>
      <c r="GC182" s="475"/>
      <c r="GD182" s="442"/>
      <c r="GL182" s="443"/>
      <c r="GP182" s="623"/>
    </row>
    <row r="183" spans="1:217" ht="16.5" customHeight="1">
      <c r="B183" s="379"/>
      <c r="C183" s="379"/>
      <c r="D183" s="379"/>
      <c r="E183" s="379"/>
      <c r="F183" s="379"/>
      <c r="G183" s="379"/>
      <c r="H183" s="379"/>
      <c r="I183" s="379"/>
      <c r="J183" s="379"/>
      <c r="K183" s="379"/>
      <c r="L183" s="379"/>
      <c r="M183" s="379"/>
      <c r="N183" s="379"/>
      <c r="O183" s="379"/>
      <c r="P183" s="379"/>
      <c r="Q183" s="379"/>
      <c r="R183" s="379"/>
      <c r="S183" s="379"/>
      <c r="T183" s="379"/>
      <c r="U183" s="379"/>
      <c r="V183" s="379"/>
      <c r="W183" s="379"/>
      <c r="X183" s="379"/>
      <c r="Y183" s="379"/>
      <c r="Z183" s="379"/>
      <c r="AA183" s="379"/>
      <c r="AB183" s="379"/>
      <c r="AC183" s="379"/>
      <c r="AD183" s="379"/>
      <c r="AE183" s="379"/>
      <c r="AF183" s="379"/>
      <c r="AG183" s="379"/>
      <c r="AH183" s="379"/>
      <c r="AI183" s="379"/>
      <c r="AJ183" s="379"/>
      <c r="AK183" s="379"/>
      <c r="AL183" s="379"/>
      <c r="AM183" s="379"/>
      <c r="AN183" s="379"/>
      <c r="AO183" s="379"/>
      <c r="AP183" s="379"/>
      <c r="AQ183" s="379"/>
      <c r="AR183" s="379"/>
      <c r="AS183" s="379"/>
      <c r="AT183" s="379"/>
      <c r="AU183" s="379"/>
      <c r="AV183" s="379"/>
      <c r="AW183" s="379"/>
      <c r="AX183" s="379"/>
      <c r="AY183" s="379"/>
      <c r="AZ183" s="379"/>
      <c r="BA183" s="379"/>
      <c r="BB183" s="379"/>
      <c r="BC183" s="379"/>
      <c r="BD183" s="379"/>
      <c r="BE183" s="379"/>
      <c r="BF183" s="379"/>
      <c r="BG183" s="379"/>
      <c r="BH183" s="379"/>
      <c r="BI183" s="379"/>
      <c r="BJ183" s="379"/>
      <c r="BK183" s="379"/>
      <c r="BL183" s="379"/>
      <c r="BM183" s="379"/>
      <c r="BN183" s="379"/>
      <c r="BO183" s="379"/>
      <c r="BP183" s="379"/>
      <c r="BQ183" s="379"/>
      <c r="BR183" s="379"/>
      <c r="BS183" s="379"/>
      <c r="BT183" s="379"/>
      <c r="BZ183" s="453"/>
      <c r="CF183" s="453"/>
      <c r="CH183" s="453"/>
      <c r="CJ183" s="453"/>
      <c r="CP183" s="453"/>
      <c r="CT183" s="453"/>
      <c r="CV183" s="453"/>
      <c r="CY183" s="475"/>
      <c r="CZ183" s="381"/>
      <c r="DB183" s="381"/>
      <c r="DD183" s="381"/>
      <c r="DF183" s="381"/>
      <c r="DJ183" s="381"/>
      <c r="DL183" s="381"/>
      <c r="DN183" s="381"/>
      <c r="DP183" s="381"/>
      <c r="DV183" s="381"/>
      <c r="DX183" s="381"/>
      <c r="DZ183" s="381"/>
      <c r="EA183" s="455"/>
      <c r="EB183" s="455"/>
      <c r="EC183" s="455"/>
      <c r="ED183" s="455"/>
      <c r="EE183" s="455"/>
      <c r="EF183" s="455"/>
      <c r="EG183" s="455"/>
      <c r="EH183" s="455"/>
      <c r="EI183" s="455"/>
      <c r="EM183" s="475"/>
      <c r="EN183" s="455"/>
      <c r="ET183" s="455"/>
      <c r="EU183" s="455"/>
      <c r="EV183" s="455"/>
      <c r="EW183" s="455"/>
      <c r="FA183" s="475"/>
      <c r="FI183" s="475"/>
      <c r="FS183" s="475"/>
      <c r="FZ183" s="392"/>
      <c r="GB183" s="455"/>
      <c r="GC183" s="475"/>
      <c r="GD183" s="381"/>
      <c r="GP183" s="623"/>
    </row>
    <row r="184" spans="1:217" ht="16.5" customHeight="1">
      <c r="B184" s="379"/>
      <c r="C184" s="379"/>
      <c r="D184" s="379"/>
      <c r="E184" s="379"/>
      <c r="F184" s="379"/>
      <c r="G184" s="379"/>
      <c r="H184" s="379"/>
      <c r="I184" s="379"/>
      <c r="J184" s="379"/>
      <c r="K184" s="379"/>
      <c r="L184" s="379"/>
      <c r="M184" s="379"/>
      <c r="N184" s="379"/>
      <c r="O184" s="379"/>
      <c r="P184" s="379"/>
      <c r="Q184" s="379"/>
      <c r="R184" s="379"/>
      <c r="S184" s="379"/>
      <c r="T184" s="379"/>
      <c r="U184" s="379"/>
      <c r="V184" s="379"/>
      <c r="W184" s="379"/>
      <c r="X184" s="379"/>
      <c r="Y184" s="379"/>
      <c r="Z184" s="379"/>
      <c r="AA184" s="379"/>
      <c r="AB184" s="379"/>
      <c r="AC184" s="379"/>
      <c r="AD184" s="379"/>
      <c r="AE184" s="379"/>
      <c r="AF184" s="379"/>
      <c r="AG184" s="379"/>
      <c r="AH184" s="379"/>
      <c r="AI184" s="379"/>
      <c r="AJ184" s="379"/>
      <c r="AK184" s="379"/>
      <c r="AL184" s="379"/>
      <c r="AM184" s="379"/>
      <c r="AN184" s="379"/>
      <c r="AO184" s="379"/>
      <c r="AP184" s="379"/>
      <c r="AQ184" s="379"/>
      <c r="AR184" s="379"/>
      <c r="AS184" s="379"/>
      <c r="AT184" s="379"/>
      <c r="AU184" s="379"/>
      <c r="AV184" s="379"/>
      <c r="AW184" s="379"/>
      <c r="AX184" s="379"/>
      <c r="AY184" s="379"/>
      <c r="AZ184" s="379"/>
      <c r="BA184" s="379"/>
      <c r="BB184" s="379"/>
      <c r="BC184" s="379"/>
      <c r="BD184" s="379"/>
      <c r="BE184" s="379"/>
      <c r="BF184" s="379"/>
      <c r="BG184" s="379"/>
      <c r="BH184" s="379"/>
      <c r="BI184" s="379"/>
      <c r="BJ184" s="379"/>
      <c r="BK184" s="379"/>
      <c r="BL184" s="379"/>
      <c r="BM184" s="379"/>
      <c r="BN184" s="379"/>
      <c r="BO184" s="379"/>
      <c r="BP184" s="379"/>
      <c r="BQ184" s="379"/>
      <c r="BR184" s="379"/>
      <c r="BS184" s="379"/>
      <c r="BT184" s="379"/>
      <c r="EA184" s="455"/>
      <c r="EB184" s="455"/>
      <c r="EC184" s="455"/>
      <c r="ED184" s="455"/>
      <c r="EE184" s="455"/>
      <c r="EF184" s="455"/>
      <c r="EG184" s="455"/>
      <c r="EH184" s="455"/>
      <c r="EI184" s="455"/>
      <c r="EM184" s="519"/>
      <c r="EN184" s="455"/>
      <c r="ET184" s="455"/>
      <c r="EU184" s="455"/>
      <c r="EV184" s="455"/>
      <c r="EW184" s="455"/>
      <c r="FA184" s="519"/>
      <c r="FI184" s="519"/>
      <c r="FS184" s="519"/>
      <c r="FZ184" s="392"/>
      <c r="GB184" s="378"/>
      <c r="GC184" s="519"/>
      <c r="GD184" s="381"/>
      <c r="GP184" s="623"/>
    </row>
    <row r="185" spans="1:217" ht="16.5" customHeight="1">
      <c r="B185" s="379"/>
      <c r="C185" s="379"/>
      <c r="D185" s="379"/>
      <c r="E185" s="379"/>
      <c r="F185" s="379"/>
      <c r="G185" s="379"/>
      <c r="H185" s="379"/>
      <c r="I185" s="379"/>
      <c r="J185" s="379"/>
      <c r="K185" s="379"/>
      <c r="L185" s="379"/>
      <c r="M185" s="379"/>
      <c r="N185" s="379"/>
      <c r="O185" s="379"/>
      <c r="P185" s="379"/>
      <c r="Q185" s="379"/>
      <c r="R185" s="379"/>
      <c r="S185" s="379"/>
      <c r="T185" s="379"/>
      <c r="U185" s="379"/>
      <c r="V185" s="379"/>
      <c r="W185" s="379"/>
      <c r="X185" s="379"/>
      <c r="Y185" s="379"/>
      <c r="Z185" s="379"/>
      <c r="AA185" s="379"/>
      <c r="AB185" s="379"/>
      <c r="AC185" s="379"/>
      <c r="AD185" s="379"/>
      <c r="AE185" s="379"/>
      <c r="AF185" s="379"/>
      <c r="AG185" s="379"/>
      <c r="AH185" s="379"/>
      <c r="AI185" s="379"/>
      <c r="AJ185" s="379"/>
      <c r="AK185" s="379"/>
      <c r="AL185" s="379"/>
      <c r="AM185" s="379"/>
      <c r="AN185" s="379"/>
      <c r="AO185" s="379"/>
      <c r="AP185" s="379"/>
      <c r="AQ185" s="379"/>
      <c r="AR185" s="379"/>
      <c r="AS185" s="379"/>
      <c r="AT185" s="379"/>
      <c r="AU185" s="379"/>
      <c r="AV185" s="379"/>
      <c r="AW185" s="379"/>
      <c r="AX185" s="379"/>
      <c r="AY185" s="379"/>
      <c r="AZ185" s="379"/>
      <c r="BA185" s="379"/>
      <c r="BB185" s="379"/>
      <c r="BC185" s="379"/>
      <c r="BD185" s="379"/>
      <c r="BE185" s="379"/>
      <c r="BF185" s="379"/>
      <c r="BG185" s="379"/>
      <c r="BH185" s="379"/>
      <c r="BI185" s="379"/>
      <c r="BJ185" s="379"/>
      <c r="BK185" s="379"/>
      <c r="BL185" s="379"/>
      <c r="BM185" s="379"/>
      <c r="BN185" s="379"/>
      <c r="BO185" s="379"/>
      <c r="BP185" s="379"/>
      <c r="BQ185" s="379"/>
      <c r="BR185" s="379"/>
      <c r="BS185" s="379"/>
      <c r="BT185" s="379"/>
      <c r="EA185" s="455"/>
      <c r="EB185" s="455"/>
      <c r="EC185" s="455"/>
      <c r="ED185" s="455"/>
      <c r="EE185" s="455"/>
      <c r="EF185" s="455"/>
      <c r="EG185" s="455"/>
      <c r="EH185" s="455"/>
      <c r="EI185" s="455"/>
      <c r="EJ185" s="455"/>
      <c r="EK185" s="455"/>
      <c r="EL185" s="455"/>
      <c r="EM185" s="455"/>
      <c r="EN185" s="455"/>
      <c r="ET185" s="455"/>
      <c r="EU185" s="455"/>
      <c r="EV185" s="455"/>
      <c r="EW185" s="455"/>
      <c r="EX185" s="455"/>
      <c r="EY185" s="455"/>
      <c r="EZ185" s="455"/>
      <c r="FA185" s="455"/>
      <c r="FB185" s="455"/>
      <c r="FC185" s="455"/>
      <c r="FD185" s="455"/>
      <c r="FE185" s="455"/>
      <c r="FF185" s="455"/>
      <c r="FG185" s="455"/>
      <c r="FH185" s="455"/>
      <c r="FI185" s="455"/>
      <c r="FL185" s="455"/>
      <c r="FM185" s="455"/>
      <c r="FN185" s="455"/>
      <c r="FO185" s="455"/>
      <c r="FP185" s="455"/>
      <c r="FQ185" s="455"/>
      <c r="FR185" s="455"/>
      <c r="FS185" s="455"/>
      <c r="FV185" s="455"/>
      <c r="FW185" s="455"/>
      <c r="FX185" s="455"/>
      <c r="FY185" s="455"/>
      <c r="FZ185" s="455"/>
      <c r="GA185" s="455"/>
      <c r="GB185" s="455"/>
      <c r="GC185" s="455"/>
      <c r="GD185" s="455"/>
      <c r="GE185" s="625"/>
      <c r="GF185" s="455"/>
      <c r="GG185" s="455"/>
      <c r="GH185" s="455"/>
      <c r="GI185" s="455"/>
      <c r="GJ185" s="455"/>
      <c r="GK185" s="455"/>
      <c r="GO185" s="455"/>
      <c r="GP185" s="400"/>
    </row>
    <row r="186" spans="1:217" ht="16.5" customHeight="1">
      <c r="B186" s="379"/>
      <c r="C186" s="379"/>
      <c r="D186" s="379"/>
      <c r="E186" s="379"/>
      <c r="F186" s="379"/>
      <c r="G186" s="379"/>
      <c r="H186" s="379"/>
      <c r="I186" s="379"/>
      <c r="J186" s="379"/>
      <c r="K186" s="379"/>
      <c r="L186" s="379"/>
      <c r="M186" s="379"/>
      <c r="N186" s="379"/>
      <c r="O186" s="379"/>
      <c r="P186" s="379"/>
      <c r="Q186" s="379"/>
      <c r="R186" s="379"/>
      <c r="S186" s="379"/>
      <c r="T186" s="379"/>
      <c r="U186" s="379"/>
      <c r="V186" s="379"/>
      <c r="W186" s="379"/>
      <c r="X186" s="379"/>
      <c r="Y186" s="379"/>
      <c r="Z186" s="379"/>
      <c r="AA186" s="379"/>
      <c r="AB186" s="379"/>
      <c r="AC186" s="379"/>
      <c r="AD186" s="379"/>
      <c r="AE186" s="379"/>
      <c r="AF186" s="379"/>
      <c r="AG186" s="379"/>
      <c r="AH186" s="379"/>
      <c r="AI186" s="379"/>
      <c r="AJ186" s="379"/>
      <c r="AK186" s="379"/>
      <c r="AL186" s="379"/>
      <c r="AM186" s="379"/>
      <c r="AN186" s="379"/>
      <c r="AO186" s="379"/>
      <c r="AP186" s="379"/>
      <c r="AQ186" s="379"/>
      <c r="AR186" s="379"/>
      <c r="AS186" s="379"/>
      <c r="AT186" s="379"/>
      <c r="AU186" s="379"/>
      <c r="AV186" s="379"/>
      <c r="AW186" s="379"/>
      <c r="AX186" s="379"/>
      <c r="AY186" s="379"/>
      <c r="AZ186" s="379"/>
      <c r="BA186" s="379"/>
      <c r="BB186" s="379"/>
      <c r="BC186" s="379"/>
      <c r="BD186" s="379"/>
      <c r="BE186" s="379"/>
      <c r="BF186" s="379"/>
      <c r="BG186" s="379"/>
      <c r="BH186" s="379"/>
      <c r="BI186" s="379"/>
      <c r="BJ186" s="379"/>
      <c r="BK186" s="379"/>
      <c r="BL186" s="379"/>
      <c r="BM186" s="379"/>
      <c r="BN186" s="379"/>
      <c r="BO186" s="379"/>
      <c r="BP186" s="379"/>
      <c r="BQ186" s="379"/>
      <c r="BR186" s="379"/>
      <c r="BS186" s="379"/>
      <c r="BT186" s="379"/>
      <c r="DV186" s="373" t="s">
        <v>649</v>
      </c>
      <c r="DX186" s="373" t="s">
        <v>650</v>
      </c>
      <c r="EA186" s="455"/>
      <c r="EB186" s="455"/>
      <c r="EC186" s="455"/>
      <c r="ED186" s="455"/>
      <c r="EE186" s="455"/>
      <c r="EF186" s="455"/>
      <c r="EG186" s="455"/>
      <c r="EH186" s="455"/>
      <c r="EI186" s="455"/>
      <c r="EJ186" s="455"/>
      <c r="EK186" s="455"/>
      <c r="EL186" s="455"/>
      <c r="EM186" s="455"/>
      <c r="EN186" s="455"/>
      <c r="ET186" s="455"/>
      <c r="EU186" s="455"/>
      <c r="EV186" s="455"/>
      <c r="EW186" s="455"/>
      <c r="EX186" s="455"/>
      <c r="EY186" s="455"/>
      <c r="EZ186" s="455"/>
      <c r="FA186" s="455"/>
      <c r="FB186" s="455"/>
      <c r="FC186" s="455"/>
      <c r="FD186" s="455"/>
      <c r="FE186" s="455"/>
      <c r="FF186" s="455"/>
      <c r="FG186" s="455"/>
      <c r="FH186" s="455"/>
      <c r="FI186" s="455"/>
      <c r="FL186" s="455"/>
      <c r="FM186" s="455"/>
      <c r="FN186" s="455"/>
      <c r="FO186" s="455"/>
      <c r="FP186" s="455"/>
      <c r="FQ186" s="455"/>
      <c r="FR186" s="455"/>
      <c r="FS186" s="455"/>
      <c r="FV186" s="455"/>
      <c r="FW186" s="455"/>
      <c r="FX186" s="455"/>
      <c r="FY186" s="455"/>
      <c r="FZ186" s="455"/>
      <c r="GA186" s="455"/>
      <c r="GB186" s="455"/>
      <c r="GC186" s="455"/>
      <c r="GD186" s="376"/>
      <c r="GF186" s="455"/>
      <c r="GG186" s="455"/>
      <c r="GH186" s="455"/>
      <c r="GI186" s="455"/>
      <c r="GJ186" s="455"/>
      <c r="GK186" s="455"/>
      <c r="GO186" s="455"/>
      <c r="GP186" s="400"/>
      <c r="GY186" s="378"/>
      <c r="HF186" s="378"/>
    </row>
    <row r="187" spans="1:217" ht="16.5" customHeight="1">
      <c r="B187" s="379"/>
      <c r="C187" s="379"/>
      <c r="D187" s="379"/>
      <c r="E187" s="379"/>
      <c r="F187" s="379"/>
      <c r="G187" s="379"/>
      <c r="H187" s="379"/>
      <c r="I187" s="379"/>
      <c r="J187" s="379"/>
      <c r="K187" s="379"/>
      <c r="L187" s="379"/>
      <c r="M187" s="379"/>
      <c r="N187" s="379"/>
      <c r="O187" s="379"/>
      <c r="P187" s="379"/>
      <c r="Q187" s="379"/>
      <c r="R187" s="379"/>
      <c r="S187" s="379"/>
      <c r="T187" s="379"/>
      <c r="U187" s="379"/>
      <c r="V187" s="379"/>
      <c r="W187" s="379"/>
      <c r="X187" s="379"/>
      <c r="Y187" s="379"/>
      <c r="Z187" s="379"/>
      <c r="AA187" s="379"/>
      <c r="AB187" s="379"/>
      <c r="AC187" s="379"/>
      <c r="AD187" s="379"/>
      <c r="AE187" s="379"/>
      <c r="AF187" s="379"/>
      <c r="AG187" s="379"/>
      <c r="AH187" s="379"/>
      <c r="AI187" s="379"/>
      <c r="AJ187" s="379"/>
      <c r="AK187" s="379"/>
      <c r="AL187" s="379"/>
      <c r="AM187" s="379"/>
      <c r="AN187" s="379"/>
      <c r="AO187" s="379"/>
      <c r="AP187" s="379"/>
      <c r="AQ187" s="379"/>
      <c r="AR187" s="379"/>
      <c r="AS187" s="379"/>
      <c r="AT187" s="379"/>
      <c r="AU187" s="379"/>
      <c r="AV187" s="379"/>
      <c r="AW187" s="379"/>
      <c r="AX187" s="379"/>
      <c r="AY187" s="379"/>
      <c r="AZ187" s="379"/>
      <c r="BA187" s="379"/>
      <c r="BB187" s="379"/>
      <c r="BC187" s="379"/>
      <c r="BD187" s="379"/>
      <c r="BE187" s="379"/>
      <c r="BF187" s="379"/>
      <c r="BG187" s="379"/>
      <c r="BH187" s="379"/>
      <c r="BI187" s="379"/>
      <c r="BJ187" s="379"/>
      <c r="BK187" s="379"/>
      <c r="BL187" s="379"/>
      <c r="BM187" s="379"/>
      <c r="BN187" s="379"/>
      <c r="BO187" s="379"/>
      <c r="BP187" s="379"/>
      <c r="BQ187" s="379"/>
      <c r="BR187" s="379"/>
      <c r="BS187" s="379"/>
      <c r="BT187" s="379"/>
      <c r="DU187" s="379" t="s">
        <v>651</v>
      </c>
      <c r="DV187" s="455">
        <v>4000</v>
      </c>
      <c r="DW187" s="455"/>
      <c r="DX187" s="455">
        <v>34500</v>
      </c>
      <c r="DY187" s="379" t="s">
        <v>30</v>
      </c>
      <c r="DZ187" s="455"/>
      <c r="EA187" s="455"/>
      <c r="EB187" s="455"/>
      <c r="EC187" s="455"/>
      <c r="ED187" s="455"/>
      <c r="EE187" s="455"/>
      <c r="EF187" s="455"/>
      <c r="EG187" s="455"/>
      <c r="EH187" s="455"/>
      <c r="EI187" s="455"/>
      <c r="ET187" s="455"/>
      <c r="EU187" s="455"/>
      <c r="EV187" s="455"/>
      <c r="EW187" s="455"/>
      <c r="GD187" s="378"/>
    </row>
    <row r="188" spans="1:217" ht="16.5" customHeight="1">
      <c r="B188" s="379"/>
      <c r="C188" s="379"/>
      <c r="D188" s="379"/>
      <c r="E188" s="379"/>
      <c r="F188" s="379"/>
      <c r="G188" s="379"/>
      <c r="H188" s="379"/>
      <c r="I188" s="379"/>
      <c r="J188" s="379"/>
      <c r="K188" s="379"/>
      <c r="L188" s="379"/>
      <c r="M188" s="379"/>
      <c r="N188" s="379"/>
      <c r="O188" s="379"/>
      <c r="P188" s="379"/>
      <c r="Q188" s="379"/>
      <c r="R188" s="379"/>
      <c r="S188" s="379"/>
      <c r="T188" s="379"/>
      <c r="U188" s="379"/>
      <c r="V188" s="379"/>
      <c r="W188" s="379"/>
      <c r="X188" s="379"/>
      <c r="Y188" s="379"/>
      <c r="Z188" s="379"/>
      <c r="AA188" s="379"/>
      <c r="AB188" s="379"/>
      <c r="AC188" s="379"/>
      <c r="AD188" s="379"/>
      <c r="AE188" s="379"/>
      <c r="AF188" s="379"/>
      <c r="AG188" s="379"/>
      <c r="AH188" s="379"/>
      <c r="AI188" s="379"/>
      <c r="AJ188" s="379"/>
      <c r="AK188" s="379"/>
      <c r="AL188" s="379"/>
      <c r="AM188" s="379"/>
      <c r="AN188" s="379"/>
      <c r="AO188" s="379"/>
      <c r="AP188" s="379"/>
      <c r="AQ188" s="379"/>
      <c r="AR188" s="379"/>
      <c r="AS188" s="379"/>
      <c r="AT188" s="379"/>
      <c r="AU188" s="379"/>
      <c r="AV188" s="379"/>
      <c r="AW188" s="379"/>
      <c r="AX188" s="379"/>
      <c r="AY188" s="379"/>
      <c r="AZ188" s="379"/>
      <c r="BA188" s="379"/>
      <c r="BB188" s="379"/>
      <c r="BC188" s="379"/>
      <c r="BD188" s="379"/>
      <c r="BE188" s="379"/>
      <c r="BF188" s="379"/>
      <c r="BG188" s="379"/>
      <c r="BH188" s="379"/>
      <c r="BI188" s="379"/>
      <c r="BJ188" s="379"/>
      <c r="BK188" s="379"/>
      <c r="BL188" s="379"/>
      <c r="BM188" s="379"/>
      <c r="BN188" s="379"/>
      <c r="BO188" s="379"/>
      <c r="BP188" s="379"/>
      <c r="BQ188" s="379"/>
      <c r="BR188" s="379"/>
      <c r="BS188" s="379"/>
      <c r="BT188" s="379"/>
      <c r="DU188" s="379" t="s">
        <v>652</v>
      </c>
      <c r="DV188" s="455">
        <f>1500*34</f>
        <v>51000</v>
      </c>
      <c r="DW188" s="455"/>
      <c r="DX188" s="455">
        <f>1000*31</f>
        <v>31000</v>
      </c>
      <c r="DY188" s="379" t="s">
        <v>30</v>
      </c>
      <c r="DZ188" s="455"/>
      <c r="EA188" s="455"/>
      <c r="EB188" s="455"/>
      <c r="EC188" s="455"/>
      <c r="ED188" s="455"/>
      <c r="EE188" s="455"/>
      <c r="EF188" s="455"/>
      <c r="EG188" s="455"/>
      <c r="EH188" s="455"/>
      <c r="EI188" s="455"/>
      <c r="ET188" s="455"/>
      <c r="EU188" s="455"/>
      <c r="EV188" s="455"/>
      <c r="EW188" s="455"/>
      <c r="GD188" s="381"/>
    </row>
    <row r="189" spans="1:217">
      <c r="B189" s="379"/>
      <c r="C189" s="379"/>
      <c r="D189" s="379"/>
      <c r="E189" s="379"/>
      <c r="F189" s="379"/>
      <c r="G189" s="379"/>
      <c r="H189" s="379"/>
      <c r="I189" s="379"/>
      <c r="J189" s="379"/>
      <c r="K189" s="379"/>
      <c r="L189" s="379"/>
      <c r="M189" s="379"/>
      <c r="N189" s="379"/>
      <c r="O189" s="379"/>
      <c r="P189" s="379"/>
      <c r="Q189" s="379"/>
      <c r="R189" s="379"/>
      <c r="S189" s="379"/>
      <c r="T189" s="379"/>
      <c r="U189" s="379"/>
      <c r="V189" s="379"/>
      <c r="W189" s="379"/>
      <c r="X189" s="379"/>
      <c r="Y189" s="379"/>
      <c r="Z189" s="379"/>
      <c r="AA189" s="379"/>
      <c r="AB189" s="379"/>
      <c r="AC189" s="379"/>
      <c r="AD189" s="379"/>
      <c r="AE189" s="379"/>
      <c r="AF189" s="379"/>
      <c r="AG189" s="379"/>
      <c r="AH189" s="379"/>
      <c r="AI189" s="379"/>
      <c r="AJ189" s="379"/>
      <c r="AK189" s="379"/>
      <c r="AL189" s="379"/>
      <c r="AM189" s="379"/>
      <c r="AN189" s="379"/>
      <c r="AO189" s="379"/>
      <c r="AP189" s="379"/>
      <c r="AQ189" s="379"/>
      <c r="AR189" s="379"/>
      <c r="AS189" s="379"/>
      <c r="AT189" s="379"/>
      <c r="AU189" s="379"/>
      <c r="AV189" s="379"/>
      <c r="AW189" s="379"/>
      <c r="AX189" s="379"/>
      <c r="AY189" s="379"/>
      <c r="AZ189" s="379"/>
      <c r="BA189" s="379"/>
      <c r="BB189" s="379"/>
      <c r="BC189" s="379"/>
      <c r="BD189" s="379"/>
      <c r="BE189" s="379"/>
      <c r="BF189" s="379"/>
      <c r="BG189" s="379"/>
      <c r="BH189" s="379"/>
      <c r="BI189" s="379"/>
      <c r="BJ189" s="379"/>
      <c r="BK189" s="379"/>
      <c r="BL189" s="379"/>
      <c r="BM189" s="379"/>
      <c r="BN189" s="379"/>
      <c r="BO189" s="379"/>
      <c r="BP189" s="379"/>
      <c r="BQ189" s="379"/>
      <c r="BR189" s="379"/>
      <c r="BS189" s="379"/>
      <c r="BT189" s="379"/>
      <c r="DU189" s="379" t="s">
        <v>653</v>
      </c>
      <c r="DV189" s="455">
        <f>2000*31</f>
        <v>62000</v>
      </c>
      <c r="DW189" s="455"/>
      <c r="DX189" s="455"/>
      <c r="DZ189" s="455"/>
      <c r="EA189" s="455"/>
      <c r="EB189" s="455"/>
      <c r="EC189" s="455"/>
      <c r="ED189" s="455"/>
      <c r="EE189" s="455"/>
      <c r="EF189" s="455"/>
      <c r="EG189" s="455"/>
      <c r="EH189" s="455"/>
      <c r="EI189" s="455"/>
      <c r="EJ189" s="455">
        <v>-111135433</v>
      </c>
      <c r="EL189" s="475"/>
      <c r="EN189" s="378"/>
      <c r="ET189" s="455"/>
      <c r="EU189" s="455"/>
      <c r="EV189" s="455"/>
      <c r="EW189" s="455"/>
      <c r="EX189" s="455"/>
      <c r="EZ189" s="475"/>
      <c r="FB189" s="455"/>
      <c r="FD189" s="455"/>
      <c r="FF189" s="455"/>
      <c r="FH189" s="475"/>
      <c r="FL189" s="455"/>
      <c r="FN189" s="455"/>
      <c r="FP189" s="455"/>
      <c r="FR189" s="475"/>
      <c r="FV189" s="455"/>
      <c r="FX189" s="455"/>
      <c r="FZ189" s="455"/>
      <c r="GB189" s="475"/>
      <c r="GF189" s="455"/>
      <c r="GH189" s="455"/>
      <c r="GJ189" s="455"/>
      <c r="GO189" s="455"/>
      <c r="GW189" s="455"/>
      <c r="GY189" s="455"/>
      <c r="HA189" s="378">
        <v>-75217039.309999898</v>
      </c>
      <c r="HD189" s="455"/>
      <c r="HF189" s="455"/>
      <c r="HH189" s="378">
        <v>-75217039.309999898</v>
      </c>
    </row>
    <row r="190" spans="1:217">
      <c r="B190" s="379"/>
      <c r="C190" s="379"/>
      <c r="D190" s="379"/>
      <c r="E190" s="379"/>
      <c r="F190" s="379"/>
      <c r="G190" s="379"/>
      <c r="H190" s="379"/>
      <c r="I190" s="379"/>
      <c r="J190" s="379"/>
      <c r="K190" s="379"/>
      <c r="L190" s="379"/>
      <c r="M190" s="379"/>
      <c r="N190" s="379"/>
      <c r="O190" s="379"/>
      <c r="P190" s="379"/>
      <c r="Q190" s="379"/>
      <c r="R190" s="379"/>
      <c r="S190" s="379"/>
      <c r="T190" s="379"/>
      <c r="U190" s="379"/>
      <c r="V190" s="379"/>
      <c r="W190" s="379"/>
      <c r="X190" s="379"/>
      <c r="Y190" s="379"/>
      <c r="Z190" s="379"/>
      <c r="AA190" s="379"/>
      <c r="AB190" s="379"/>
      <c r="AC190" s="379"/>
      <c r="AD190" s="379"/>
      <c r="AE190" s="379"/>
      <c r="AF190" s="379"/>
      <c r="AG190" s="379"/>
      <c r="AH190" s="379"/>
      <c r="AI190" s="379"/>
      <c r="AJ190" s="379"/>
      <c r="AK190" s="379"/>
      <c r="AL190" s="379"/>
      <c r="AM190" s="379"/>
      <c r="AN190" s="379"/>
      <c r="AO190" s="379"/>
      <c r="AP190" s="379"/>
      <c r="AQ190" s="379"/>
      <c r="AR190" s="379"/>
      <c r="AS190" s="379"/>
      <c r="AT190" s="379"/>
      <c r="AU190" s="379"/>
      <c r="AV190" s="379"/>
      <c r="AW190" s="379"/>
      <c r="AX190" s="379"/>
      <c r="AY190" s="379"/>
      <c r="AZ190" s="379"/>
      <c r="BA190" s="379"/>
      <c r="BB190" s="379"/>
      <c r="BC190" s="379"/>
      <c r="BD190" s="379"/>
      <c r="BE190" s="379"/>
      <c r="BF190" s="379"/>
      <c r="BG190" s="379"/>
      <c r="BH190" s="379"/>
      <c r="BI190" s="379"/>
      <c r="BJ190" s="379"/>
      <c r="BK190" s="379"/>
      <c r="BL190" s="379"/>
      <c r="BM190" s="379"/>
      <c r="BN190" s="379"/>
      <c r="BO190" s="379"/>
      <c r="BP190" s="379"/>
      <c r="BQ190" s="379"/>
      <c r="BR190" s="379"/>
      <c r="BS190" s="379"/>
      <c r="BT190" s="379"/>
      <c r="DQ190" s="379" t="s">
        <v>654</v>
      </c>
      <c r="DR190" s="455">
        <f>8500*31</f>
        <v>263500</v>
      </c>
      <c r="DS190" s="455"/>
      <c r="DT190" s="455"/>
      <c r="DU190" s="379" t="s">
        <v>655</v>
      </c>
      <c r="DV190" s="455">
        <v>17300</v>
      </c>
      <c r="DW190" s="455"/>
      <c r="DX190" s="455"/>
      <c r="DZ190" s="455"/>
      <c r="EA190" s="455"/>
      <c r="EB190" s="455"/>
      <c r="EC190" s="455"/>
      <c r="ED190" s="455"/>
      <c r="EE190" s="455"/>
      <c r="EF190" s="455"/>
      <c r="EG190" s="455"/>
      <c r="EH190" s="455"/>
      <c r="EI190" s="455"/>
      <c r="EJ190" s="378">
        <f>+EJ189+EN177</f>
        <v>-83894389.149999887</v>
      </c>
      <c r="EL190" s="475"/>
      <c r="EN190" s="378"/>
      <c r="ET190" s="455"/>
      <c r="EU190" s="455"/>
      <c r="EV190" s="455"/>
      <c r="EW190" s="455"/>
      <c r="EX190" s="378"/>
      <c r="EZ190" s="475"/>
      <c r="FB190" s="378"/>
      <c r="FD190" s="378"/>
      <c r="FF190" s="378"/>
      <c r="FH190" s="475"/>
      <c r="FL190" s="378"/>
      <c r="FN190" s="378"/>
      <c r="FP190" s="378"/>
      <c r="FR190" s="475"/>
      <c r="FV190" s="378"/>
      <c r="FX190" s="378"/>
      <c r="FZ190" s="378"/>
      <c r="GB190" s="475"/>
      <c r="GF190" s="378"/>
      <c r="GH190" s="378"/>
      <c r="GJ190" s="378"/>
      <c r="GO190" s="378"/>
      <c r="GW190" s="474"/>
      <c r="GY190" s="474"/>
      <c r="HA190" s="378">
        <f>+HA177-ED177</f>
        <v>-1081994.243927747</v>
      </c>
      <c r="HD190" s="474"/>
      <c r="HF190" s="474"/>
      <c r="HH190" s="378">
        <v>-1146641.243927747</v>
      </c>
    </row>
    <row r="191" spans="1:217">
      <c r="B191" s="379"/>
      <c r="C191" s="379"/>
      <c r="D191" s="379"/>
      <c r="E191" s="379"/>
      <c r="F191" s="379"/>
      <c r="G191" s="379"/>
      <c r="H191" s="379"/>
      <c r="I191" s="379"/>
      <c r="J191" s="379"/>
      <c r="K191" s="379"/>
      <c r="L191" s="379"/>
      <c r="M191" s="379"/>
      <c r="N191" s="379"/>
      <c r="O191" s="379"/>
      <c r="P191" s="379"/>
      <c r="Q191" s="379"/>
      <c r="R191" s="379"/>
      <c r="S191" s="379"/>
      <c r="T191" s="379"/>
      <c r="U191" s="379"/>
      <c r="V191" s="379"/>
      <c r="W191" s="379"/>
      <c r="X191" s="379"/>
      <c r="Y191" s="379"/>
      <c r="Z191" s="379"/>
      <c r="AA191" s="379"/>
      <c r="AB191" s="379"/>
      <c r="AC191" s="379"/>
      <c r="AD191" s="379"/>
      <c r="AE191" s="379"/>
      <c r="AF191" s="379"/>
      <c r="AG191" s="379"/>
      <c r="AH191" s="379"/>
      <c r="AI191" s="379"/>
      <c r="AJ191" s="379"/>
      <c r="AK191" s="379"/>
      <c r="AL191" s="379"/>
      <c r="AM191" s="379"/>
      <c r="AN191" s="379"/>
      <c r="AO191" s="379"/>
      <c r="AP191" s="379"/>
      <c r="AQ191" s="379"/>
      <c r="AR191" s="379"/>
      <c r="AS191" s="379"/>
      <c r="AT191" s="379"/>
      <c r="AU191" s="379"/>
      <c r="AV191" s="379"/>
      <c r="AW191" s="379"/>
      <c r="AX191" s="379"/>
      <c r="AY191" s="379"/>
      <c r="AZ191" s="379"/>
      <c r="BA191" s="379"/>
      <c r="BB191" s="379"/>
      <c r="BC191" s="379"/>
      <c r="BD191" s="379"/>
      <c r="BE191" s="379"/>
      <c r="BF191" s="379"/>
      <c r="BG191" s="379"/>
      <c r="BH191" s="379"/>
      <c r="BI191" s="379"/>
      <c r="BJ191" s="379"/>
      <c r="BK191" s="379"/>
      <c r="BL191" s="379"/>
      <c r="BM191" s="379"/>
      <c r="BN191" s="379"/>
      <c r="BO191" s="379"/>
      <c r="BP191" s="379"/>
      <c r="BQ191" s="379"/>
      <c r="BR191" s="379"/>
      <c r="BS191" s="379"/>
      <c r="BT191" s="379"/>
      <c r="DU191" s="379" t="s">
        <v>652</v>
      </c>
      <c r="DV191" s="455">
        <f>1500*34</f>
        <v>51000</v>
      </c>
      <c r="DW191" s="455"/>
      <c r="DX191" s="455"/>
      <c r="DZ191" s="455"/>
      <c r="EA191" s="455"/>
      <c r="EB191" s="455"/>
      <c r="EC191" s="455"/>
      <c r="ED191" s="455"/>
      <c r="EE191" s="455"/>
      <c r="EF191" s="455"/>
      <c r="EG191" s="455"/>
      <c r="EH191" s="455"/>
      <c r="EI191" s="455"/>
      <c r="EJ191" s="455"/>
      <c r="EL191" s="475"/>
      <c r="EN191" s="378"/>
      <c r="ET191" s="455"/>
      <c r="EU191" s="455"/>
      <c r="EV191" s="455"/>
      <c r="EW191" s="455"/>
      <c r="EX191" s="455"/>
      <c r="EZ191" s="475"/>
      <c r="FB191" s="455"/>
      <c r="FD191" s="455"/>
      <c r="FF191" s="455"/>
      <c r="FH191" s="475"/>
      <c r="FL191" s="455"/>
      <c r="FN191" s="455"/>
      <c r="FP191" s="455"/>
      <c r="FR191" s="475"/>
      <c r="FV191" s="455"/>
      <c r="FX191" s="455"/>
      <c r="FZ191" s="455"/>
      <c r="GB191" s="475"/>
      <c r="GF191" s="455"/>
      <c r="GH191" s="455"/>
      <c r="GJ191" s="455"/>
      <c r="GO191" s="455"/>
      <c r="GW191" s="455"/>
      <c r="GY191" s="455"/>
      <c r="HA191" s="378"/>
      <c r="HD191" s="455"/>
      <c r="HF191" s="455"/>
      <c r="HH191" s="378"/>
    </row>
    <row r="192" spans="1:217">
      <c r="DV192" s="455"/>
      <c r="DW192" s="455"/>
      <c r="DX192" s="455"/>
      <c r="DZ192" s="455"/>
      <c r="EA192" s="455"/>
      <c r="EB192" s="455"/>
      <c r="EC192" s="455"/>
      <c r="ED192" s="455"/>
      <c r="EE192" s="455"/>
      <c r="EF192" s="455"/>
      <c r="EG192" s="455"/>
      <c r="EH192" s="455"/>
      <c r="EI192" s="455"/>
      <c r="EJ192" s="455"/>
      <c r="EK192" s="455"/>
      <c r="EL192" s="519"/>
      <c r="EM192" s="521"/>
      <c r="EN192" s="522"/>
      <c r="ET192" s="455"/>
      <c r="EU192" s="455"/>
      <c r="EV192" s="455"/>
      <c r="EW192" s="455"/>
      <c r="EX192" s="455"/>
      <c r="EY192" s="455"/>
      <c r="EZ192" s="519"/>
      <c r="FA192" s="521"/>
      <c r="FB192" s="455"/>
      <c r="FC192" s="455"/>
      <c r="FD192" s="455"/>
      <c r="FE192" s="455"/>
      <c r="FF192" s="455"/>
      <c r="FG192" s="455"/>
      <c r="FH192" s="519"/>
      <c r="FI192" s="521"/>
      <c r="FL192" s="455"/>
      <c r="FM192" s="455"/>
      <c r="FN192" s="455"/>
      <c r="FO192" s="455"/>
      <c r="FP192" s="455"/>
      <c r="FQ192" s="455"/>
      <c r="FR192" s="519"/>
      <c r="FS192" s="521"/>
      <c r="FV192" s="455"/>
      <c r="FW192" s="455"/>
      <c r="FX192" s="455"/>
      <c r="FY192" s="455"/>
      <c r="FZ192" s="455"/>
      <c r="GA192" s="455"/>
      <c r="GB192" s="519"/>
      <c r="GC192" s="521"/>
      <c r="GF192" s="455"/>
      <c r="GG192" s="455"/>
      <c r="GH192" s="455"/>
      <c r="GI192" s="455"/>
      <c r="GJ192" s="455"/>
      <c r="GK192" s="455"/>
      <c r="GO192" s="455"/>
      <c r="GW192" s="381"/>
      <c r="GY192" s="381"/>
      <c r="HA192" s="378">
        <f>+HA189+HA190+HA191</f>
        <v>-76299033.553927645</v>
      </c>
      <c r="HD192" s="381"/>
      <c r="HF192" s="381"/>
      <c r="HH192" s="378">
        <v>-76363680.553927645</v>
      </c>
    </row>
    <row r="193" spans="126:216">
      <c r="DV193" s="455"/>
      <c r="DW193" s="455"/>
      <c r="DX193" s="455"/>
      <c r="DZ193" s="455"/>
      <c r="EA193" s="455"/>
      <c r="EB193" s="455"/>
      <c r="EC193" s="455"/>
      <c r="ED193" s="455"/>
      <c r="EE193" s="455"/>
      <c r="EF193" s="455"/>
      <c r="EG193" s="455"/>
      <c r="EH193" s="455"/>
      <c r="EI193" s="455"/>
      <c r="EJ193" s="455"/>
      <c r="EK193" s="455"/>
      <c r="EL193" s="516"/>
      <c r="EM193" s="455"/>
      <c r="EN193" s="515"/>
      <c r="ET193" s="455"/>
      <c r="EU193" s="455"/>
      <c r="EV193" s="455"/>
      <c r="EW193" s="455"/>
      <c r="EX193" s="455"/>
      <c r="EY193" s="455"/>
      <c r="EZ193" s="516"/>
      <c r="FA193" s="455"/>
      <c r="FB193" s="455"/>
      <c r="FC193" s="455"/>
      <c r="FD193" s="455"/>
      <c r="FE193" s="455"/>
      <c r="FF193" s="455"/>
      <c r="FG193" s="455"/>
      <c r="FH193" s="516"/>
      <c r="FI193" s="455"/>
      <c r="FL193" s="455"/>
      <c r="FM193" s="455"/>
      <c r="FN193" s="455"/>
      <c r="FO193" s="455"/>
      <c r="FP193" s="455"/>
      <c r="FQ193" s="455"/>
      <c r="FR193" s="516"/>
      <c r="FS193" s="455"/>
      <c r="FV193" s="455"/>
      <c r="FW193" s="455"/>
      <c r="FX193" s="455"/>
      <c r="FY193" s="455"/>
      <c r="FZ193" s="455"/>
      <c r="GA193" s="455"/>
      <c r="GB193" s="516"/>
      <c r="GC193" s="455"/>
      <c r="GF193" s="455"/>
      <c r="GG193" s="455"/>
      <c r="GH193" s="455"/>
      <c r="GI193" s="455"/>
      <c r="GJ193" s="455"/>
      <c r="GK193" s="455"/>
      <c r="GO193" s="455"/>
      <c r="HA193" s="515" t="s">
        <v>706</v>
      </c>
      <c r="HH193" s="515" t="s">
        <v>706</v>
      </c>
    </row>
    <row r="194" spans="126:216">
      <c r="DV194" s="455"/>
      <c r="DW194" s="455"/>
      <c r="DX194" s="455"/>
      <c r="DZ194" s="455"/>
      <c r="EA194" s="455"/>
      <c r="EB194" s="455"/>
      <c r="EC194" s="455"/>
      <c r="ED194" s="455"/>
      <c r="EE194" s="455"/>
      <c r="EF194" s="455"/>
      <c r="EG194" s="455"/>
      <c r="EH194" s="455"/>
      <c r="EI194" s="455"/>
      <c r="EJ194" s="455"/>
      <c r="EK194" s="455"/>
      <c r="EL194" s="455"/>
      <c r="EM194" s="455"/>
      <c r="EN194" s="455"/>
      <c r="ET194" s="455"/>
      <c r="EU194" s="455"/>
      <c r="EV194" s="455"/>
      <c r="EW194" s="455"/>
      <c r="EX194" s="455"/>
      <c r="EY194" s="455"/>
      <c r="EZ194" s="455"/>
      <c r="FA194" s="455"/>
      <c r="FB194" s="455"/>
      <c r="FC194" s="455"/>
      <c r="FD194" s="455"/>
      <c r="FE194" s="455"/>
      <c r="FF194" s="455"/>
      <c r="FG194" s="455"/>
      <c r="FH194" s="455"/>
      <c r="FI194" s="455"/>
      <c r="FL194" s="455"/>
      <c r="FM194" s="455"/>
      <c r="FN194" s="455"/>
      <c r="FO194" s="455"/>
      <c r="FP194" s="455"/>
      <c r="FQ194" s="455"/>
      <c r="FR194" s="455"/>
      <c r="FS194" s="455"/>
      <c r="FV194" s="455"/>
      <c r="FW194" s="455"/>
      <c r="FX194" s="455"/>
      <c r="FY194" s="455"/>
      <c r="FZ194" s="455"/>
      <c r="GA194" s="455"/>
      <c r="GB194" s="455"/>
      <c r="GC194" s="455"/>
      <c r="GF194" s="455"/>
      <c r="GG194" s="455"/>
      <c r="GH194" s="455"/>
      <c r="GI194" s="455"/>
      <c r="GJ194" s="455"/>
      <c r="GK194" s="455"/>
      <c r="GO194" s="455"/>
    </row>
    <row r="195" spans="126:216">
      <c r="DV195" s="455"/>
      <c r="DW195" s="455"/>
      <c r="DX195" s="455"/>
      <c r="DZ195" s="455"/>
      <c r="EA195" s="455"/>
      <c r="EB195" s="455"/>
      <c r="EC195" s="455"/>
      <c r="ED195" s="455"/>
      <c r="EE195" s="455"/>
      <c r="EF195" s="455"/>
      <c r="EG195" s="455"/>
      <c r="EH195" s="455"/>
      <c r="EI195" s="455"/>
      <c r="EJ195" s="455"/>
      <c r="EK195" s="455"/>
      <c r="EL195" s="455"/>
      <c r="EM195" s="455"/>
      <c r="EN195" s="455"/>
      <c r="ET195" s="455"/>
      <c r="EU195" s="455"/>
      <c r="EV195" s="455"/>
      <c r="EW195" s="455"/>
      <c r="EX195" s="455"/>
      <c r="EY195" s="455"/>
      <c r="EZ195" s="455"/>
      <c r="FA195" s="455"/>
      <c r="FB195" s="455"/>
      <c r="FC195" s="455"/>
      <c r="FD195" s="455"/>
      <c r="FE195" s="455"/>
      <c r="FF195" s="455"/>
      <c r="FG195" s="455"/>
      <c r="FH195" s="455"/>
      <c r="FI195" s="455"/>
      <c r="FL195" s="455"/>
      <c r="FM195" s="455"/>
      <c r="FN195" s="455"/>
      <c r="FO195" s="455"/>
      <c r="FP195" s="455"/>
      <c r="FQ195" s="455"/>
      <c r="FR195" s="455"/>
      <c r="FS195" s="455"/>
      <c r="FV195" s="455"/>
      <c r="FW195" s="455"/>
      <c r="FX195" s="455"/>
      <c r="FY195" s="455"/>
      <c r="FZ195" s="455"/>
      <c r="GA195" s="455"/>
      <c r="GB195" s="455"/>
      <c r="GC195" s="455"/>
      <c r="GF195" s="455"/>
      <c r="GG195" s="455"/>
      <c r="GH195" s="455"/>
      <c r="GI195" s="455"/>
      <c r="GJ195" s="455"/>
      <c r="GK195" s="455"/>
      <c r="GO195" s="455"/>
    </row>
    <row r="196" spans="126:216">
      <c r="DV196" s="455"/>
      <c r="DW196" s="455"/>
      <c r="DX196" s="455"/>
      <c r="DZ196" s="455"/>
      <c r="EA196" s="455"/>
      <c r="EB196" s="455"/>
      <c r="EC196" s="455"/>
      <c r="ED196" s="455"/>
      <c r="EE196" s="455"/>
      <c r="EF196" s="455"/>
      <c r="EG196" s="455"/>
      <c r="EH196" s="455"/>
      <c r="EI196" s="455"/>
      <c r="EJ196" s="455"/>
      <c r="EK196" s="455"/>
      <c r="EL196" s="455"/>
      <c r="EM196" s="455"/>
      <c r="EN196" s="455"/>
      <c r="ET196" s="455"/>
      <c r="EU196" s="455"/>
      <c r="EV196" s="455"/>
      <c r="EW196" s="455"/>
      <c r="EX196" s="455"/>
      <c r="EY196" s="455"/>
      <c r="EZ196" s="455"/>
      <c r="FA196" s="455"/>
      <c r="FB196" s="455"/>
      <c r="FC196" s="455"/>
      <c r="FD196" s="455"/>
      <c r="FE196" s="455"/>
      <c r="FF196" s="455"/>
      <c r="FG196" s="455"/>
      <c r="FH196" s="455"/>
      <c r="FI196" s="455"/>
      <c r="FL196" s="455"/>
      <c r="FM196" s="455"/>
      <c r="FN196" s="455"/>
      <c r="FO196" s="455"/>
      <c r="FP196" s="455"/>
      <c r="FQ196" s="455"/>
      <c r="FR196" s="455"/>
      <c r="FS196" s="455"/>
      <c r="FV196" s="455"/>
      <c r="FW196" s="455"/>
      <c r="FX196" s="455"/>
      <c r="FY196" s="455"/>
      <c r="FZ196" s="455"/>
      <c r="GA196" s="455"/>
      <c r="GB196" s="455"/>
      <c r="GC196" s="455"/>
      <c r="GF196" s="455"/>
      <c r="GG196" s="455"/>
      <c r="GH196" s="455"/>
      <c r="GI196" s="455"/>
      <c r="GJ196" s="455"/>
      <c r="GK196" s="455"/>
      <c r="GO196" s="455"/>
    </row>
    <row r="197" spans="126:216">
      <c r="DV197" s="455"/>
      <c r="DW197" s="455"/>
      <c r="DX197" s="455"/>
      <c r="DZ197" s="455"/>
      <c r="EA197" s="455"/>
      <c r="EB197" s="455"/>
      <c r="EC197" s="455"/>
      <c r="ED197" s="455"/>
      <c r="EE197" s="455"/>
      <c r="EF197" s="455"/>
      <c r="EG197" s="455"/>
      <c r="EH197" s="455"/>
      <c r="EI197" s="455"/>
      <c r="EJ197" s="455"/>
      <c r="EK197" s="455"/>
      <c r="EL197" s="455"/>
      <c r="EM197" s="455"/>
      <c r="EN197" s="455"/>
      <c r="ET197" s="455"/>
      <c r="EU197" s="455"/>
      <c r="EV197" s="455"/>
      <c r="EW197" s="455"/>
      <c r="EX197" s="455"/>
      <c r="EY197" s="455"/>
      <c r="EZ197" s="455"/>
      <c r="FA197" s="455"/>
      <c r="FB197" s="455"/>
      <c r="FC197" s="455"/>
      <c r="FD197" s="455"/>
      <c r="FE197" s="455"/>
      <c r="FF197" s="455"/>
      <c r="FG197" s="455"/>
      <c r="FH197" s="455"/>
      <c r="FI197" s="455"/>
      <c r="FL197" s="455"/>
      <c r="FM197" s="455"/>
      <c r="FN197" s="455"/>
      <c r="FO197" s="455"/>
      <c r="FP197" s="455"/>
      <c r="FQ197" s="455"/>
      <c r="FR197" s="455"/>
      <c r="FS197" s="455"/>
      <c r="FV197" s="455"/>
      <c r="FW197" s="455"/>
      <c r="FX197" s="455"/>
      <c r="FY197" s="455"/>
      <c r="FZ197" s="455"/>
      <c r="GA197" s="455"/>
      <c r="GB197" s="455"/>
      <c r="GC197" s="455"/>
      <c r="GF197" s="455"/>
      <c r="GG197" s="455"/>
      <c r="GH197" s="455"/>
      <c r="GI197" s="455"/>
      <c r="GJ197" s="455"/>
      <c r="GK197" s="455"/>
      <c r="GO197" s="455"/>
    </row>
    <row r="198" spans="126:216">
      <c r="DV198" s="455"/>
      <c r="DW198" s="455"/>
      <c r="DX198" s="455"/>
      <c r="DZ198" s="455"/>
      <c r="EA198" s="455"/>
      <c r="EB198" s="455"/>
      <c r="EC198" s="455"/>
      <c r="ED198" s="455"/>
      <c r="EE198" s="455"/>
      <c r="EF198" s="455"/>
      <c r="EG198" s="455"/>
      <c r="EH198" s="455"/>
      <c r="EI198" s="455"/>
      <c r="EJ198" s="455"/>
      <c r="EK198" s="455"/>
      <c r="EL198" s="455"/>
      <c r="EM198" s="455"/>
      <c r="EN198" s="455"/>
      <c r="ET198" s="455"/>
      <c r="EU198" s="455"/>
      <c r="EV198" s="455"/>
      <c r="EW198" s="455"/>
      <c r="EX198" s="455"/>
      <c r="EY198" s="455"/>
      <c r="EZ198" s="455"/>
      <c r="FA198" s="455"/>
      <c r="FB198" s="455"/>
      <c r="FC198" s="455"/>
      <c r="FD198" s="455"/>
      <c r="FE198" s="455"/>
      <c r="FF198" s="455"/>
      <c r="FG198" s="455"/>
      <c r="FH198" s="455"/>
      <c r="FI198" s="455"/>
      <c r="FL198" s="455"/>
      <c r="FM198" s="455"/>
      <c r="FN198" s="455"/>
      <c r="FO198" s="455"/>
      <c r="FP198" s="455"/>
      <c r="FQ198" s="455"/>
      <c r="FR198" s="455"/>
      <c r="FS198" s="455"/>
      <c r="FV198" s="455"/>
      <c r="FW198" s="455"/>
      <c r="FX198" s="455"/>
      <c r="FY198" s="455"/>
      <c r="FZ198" s="455"/>
      <c r="GA198" s="455"/>
      <c r="GB198" s="455"/>
      <c r="GC198" s="455"/>
      <c r="GF198" s="455"/>
      <c r="GG198" s="455"/>
      <c r="GH198" s="455"/>
      <c r="GI198" s="455"/>
      <c r="GJ198" s="455"/>
      <c r="GK198" s="455"/>
      <c r="GO198" s="455"/>
    </row>
    <row r="199" spans="126:216">
      <c r="DV199" s="455"/>
      <c r="DW199" s="455"/>
      <c r="DX199" s="455"/>
      <c r="DZ199" s="455"/>
      <c r="EA199" s="455"/>
      <c r="EB199" s="455"/>
      <c r="EC199" s="455"/>
      <c r="ED199" s="455"/>
      <c r="EE199" s="455"/>
      <c r="EF199" s="455"/>
      <c r="EG199" s="455"/>
      <c r="EH199" s="455"/>
      <c r="EI199" s="455"/>
      <c r="EJ199" s="455"/>
      <c r="EK199" s="455"/>
      <c r="EL199" s="455"/>
      <c r="EM199" s="455"/>
      <c r="EN199" s="455"/>
      <c r="ET199" s="455"/>
      <c r="EU199" s="455"/>
      <c r="EV199" s="455"/>
      <c r="EW199" s="455"/>
      <c r="EX199" s="455"/>
      <c r="EY199" s="455"/>
      <c r="EZ199" s="455"/>
      <c r="FA199" s="455"/>
      <c r="FB199" s="455"/>
      <c r="FC199" s="455"/>
      <c r="FD199" s="455"/>
      <c r="FE199" s="455"/>
      <c r="FF199" s="455"/>
      <c r="FG199" s="455"/>
      <c r="FH199" s="455"/>
      <c r="FI199" s="455"/>
      <c r="FL199" s="455"/>
      <c r="FM199" s="455"/>
      <c r="FN199" s="455"/>
      <c r="FO199" s="455"/>
      <c r="FP199" s="455"/>
      <c r="FQ199" s="455"/>
      <c r="FR199" s="455"/>
      <c r="FS199" s="455"/>
      <c r="FV199" s="455"/>
      <c r="FW199" s="455"/>
      <c r="FX199" s="455"/>
      <c r="FY199" s="455"/>
      <c r="FZ199" s="455"/>
      <c r="GA199" s="455"/>
      <c r="GB199" s="455"/>
      <c r="GC199" s="455"/>
      <c r="GF199" s="455"/>
      <c r="GG199" s="455"/>
      <c r="GH199" s="455"/>
      <c r="GI199" s="455"/>
      <c r="GJ199" s="455"/>
      <c r="GK199" s="455"/>
      <c r="GO199" s="455"/>
    </row>
    <row r="200" spans="126:216">
      <c r="DV200" s="455"/>
      <c r="DW200" s="455"/>
      <c r="DX200" s="455"/>
      <c r="DZ200" s="455"/>
      <c r="EA200" s="455"/>
      <c r="EB200" s="455"/>
      <c r="EC200" s="455"/>
      <c r="ED200" s="455"/>
      <c r="EE200" s="455"/>
      <c r="EF200" s="455"/>
      <c r="EG200" s="455"/>
      <c r="EH200" s="455"/>
      <c r="EI200" s="455"/>
      <c r="EJ200" s="455"/>
      <c r="EK200" s="455"/>
      <c r="EL200" s="455"/>
      <c r="EM200" s="455"/>
      <c r="EN200" s="455"/>
      <c r="ET200" s="455"/>
      <c r="EU200" s="455"/>
      <c r="EV200" s="455"/>
      <c r="EW200" s="455"/>
      <c r="EX200" s="455"/>
      <c r="EY200" s="455"/>
      <c r="EZ200" s="455"/>
      <c r="FA200" s="455"/>
      <c r="FB200" s="455"/>
      <c r="FC200" s="455"/>
      <c r="FD200" s="455"/>
      <c r="FE200" s="455"/>
      <c r="FF200" s="455"/>
      <c r="FG200" s="455"/>
      <c r="FH200" s="455"/>
      <c r="FI200" s="455"/>
      <c r="FL200" s="455"/>
      <c r="FM200" s="455"/>
      <c r="FN200" s="455"/>
      <c r="FO200" s="455"/>
      <c r="FP200" s="455"/>
      <c r="FQ200" s="455"/>
      <c r="FR200" s="455"/>
      <c r="FS200" s="455"/>
      <c r="FV200" s="455"/>
      <c r="FW200" s="455"/>
      <c r="FX200" s="455"/>
      <c r="FY200" s="455"/>
      <c r="FZ200" s="455"/>
      <c r="GA200" s="455"/>
      <c r="GB200" s="455"/>
      <c r="GC200" s="455"/>
      <c r="GF200" s="455"/>
      <c r="GG200" s="455"/>
      <c r="GH200" s="455"/>
      <c r="GI200" s="455"/>
      <c r="GJ200" s="455"/>
      <c r="GK200" s="455"/>
      <c r="GO200" s="455"/>
    </row>
    <row r="201" spans="126:216">
      <c r="EA201" s="455"/>
      <c r="EB201" s="455"/>
      <c r="EC201" s="455"/>
      <c r="ED201" s="455"/>
      <c r="EE201" s="455"/>
      <c r="EF201" s="455"/>
      <c r="EG201" s="455"/>
      <c r="EH201" s="455"/>
      <c r="EI201" s="455"/>
      <c r="EJ201" s="455"/>
      <c r="EK201" s="455"/>
      <c r="EL201" s="455"/>
      <c r="EM201" s="455"/>
      <c r="EN201" s="455"/>
      <c r="ET201" s="455"/>
      <c r="EU201" s="455"/>
      <c r="EV201" s="455"/>
      <c r="EW201" s="455"/>
      <c r="EX201" s="455"/>
      <c r="EY201" s="455"/>
      <c r="EZ201" s="455"/>
      <c r="FA201" s="455"/>
      <c r="FB201" s="455"/>
      <c r="FC201" s="455"/>
      <c r="FD201" s="455"/>
      <c r="FE201" s="455"/>
      <c r="FF201" s="455"/>
      <c r="FG201" s="455"/>
      <c r="FH201" s="455"/>
      <c r="FI201" s="455"/>
      <c r="FL201" s="455"/>
      <c r="FM201" s="455"/>
      <c r="FN201" s="455"/>
      <c r="FO201" s="455"/>
      <c r="FP201" s="455"/>
      <c r="FQ201" s="455"/>
      <c r="FR201" s="455"/>
      <c r="FS201" s="455"/>
      <c r="FV201" s="455"/>
      <c r="FW201" s="455"/>
      <c r="FX201" s="455"/>
      <c r="FY201" s="455"/>
      <c r="FZ201" s="455"/>
      <c r="GA201" s="455"/>
      <c r="GB201" s="455"/>
      <c r="GC201" s="455"/>
      <c r="GF201" s="455"/>
      <c r="GG201" s="455"/>
      <c r="GH201" s="455"/>
      <c r="GI201" s="455"/>
      <c r="GJ201" s="455"/>
      <c r="GK201" s="455"/>
      <c r="GO201" s="455"/>
    </row>
    <row r="202" spans="126:216">
      <c r="EA202" s="455"/>
      <c r="EB202" s="455"/>
      <c r="EC202" s="455"/>
      <c r="ED202" s="455"/>
      <c r="EE202" s="455"/>
      <c r="EF202" s="455"/>
      <c r="EG202" s="455"/>
      <c r="EH202" s="455"/>
      <c r="EI202" s="455"/>
      <c r="EJ202" s="455"/>
      <c r="EK202" s="455"/>
      <c r="EL202" s="455"/>
      <c r="EM202" s="455"/>
      <c r="EN202" s="455"/>
      <c r="ET202" s="455"/>
      <c r="EU202" s="455"/>
      <c r="EV202" s="455"/>
      <c r="EW202" s="455"/>
      <c r="EX202" s="455"/>
      <c r="EY202" s="455"/>
      <c r="EZ202" s="455"/>
      <c r="FA202" s="455"/>
      <c r="FB202" s="455"/>
      <c r="FC202" s="455"/>
      <c r="FD202" s="455"/>
      <c r="FE202" s="455"/>
      <c r="FF202" s="455"/>
      <c r="FG202" s="455"/>
      <c r="FH202" s="455"/>
      <c r="FI202" s="455"/>
      <c r="FL202" s="455"/>
      <c r="FM202" s="455"/>
      <c r="FN202" s="455"/>
      <c r="FO202" s="455"/>
      <c r="FP202" s="455"/>
      <c r="FQ202" s="455"/>
      <c r="FR202" s="455"/>
      <c r="FS202" s="455"/>
      <c r="FV202" s="455"/>
      <c r="FW202" s="455"/>
      <c r="FX202" s="455"/>
      <c r="FY202" s="455"/>
      <c r="FZ202" s="455"/>
      <c r="GA202" s="455"/>
      <c r="GB202" s="455"/>
      <c r="GC202" s="455"/>
      <c r="GF202" s="455"/>
      <c r="GG202" s="455"/>
      <c r="GH202" s="455"/>
      <c r="GI202" s="455"/>
      <c r="GJ202" s="455"/>
      <c r="GK202" s="455"/>
      <c r="GO202" s="455"/>
    </row>
    <row r="203" spans="126:216">
      <c r="EA203" s="455"/>
      <c r="EB203" s="455"/>
      <c r="EC203" s="455"/>
      <c r="ED203" s="455"/>
      <c r="EE203" s="455"/>
      <c r="EF203" s="455"/>
      <c r="EG203" s="455"/>
      <c r="EH203" s="455"/>
      <c r="EI203" s="455"/>
      <c r="EJ203" s="455"/>
      <c r="EK203" s="455"/>
      <c r="EL203" s="455"/>
      <c r="EM203" s="455"/>
      <c r="EN203" s="455"/>
      <c r="ET203" s="455"/>
      <c r="EU203" s="455"/>
      <c r="EV203" s="455"/>
      <c r="EW203" s="455"/>
      <c r="EX203" s="455"/>
      <c r="EY203" s="455"/>
      <c r="EZ203" s="455"/>
      <c r="FA203" s="455"/>
      <c r="FB203" s="455"/>
      <c r="FC203" s="455"/>
      <c r="FD203" s="455"/>
      <c r="FE203" s="455"/>
      <c r="FF203" s="455"/>
      <c r="FG203" s="455"/>
      <c r="FH203" s="455"/>
      <c r="FI203" s="455"/>
      <c r="FL203" s="455"/>
      <c r="FM203" s="455"/>
      <c r="FN203" s="455"/>
      <c r="FO203" s="455"/>
      <c r="FP203" s="455"/>
      <c r="FQ203" s="455"/>
      <c r="FR203" s="455"/>
      <c r="FS203" s="455"/>
      <c r="FV203" s="455"/>
      <c r="FW203" s="455"/>
      <c r="FX203" s="455"/>
      <c r="FY203" s="455"/>
      <c r="FZ203" s="455"/>
      <c r="GA203" s="455"/>
      <c r="GB203" s="455"/>
      <c r="GC203" s="455"/>
      <c r="GF203" s="455"/>
      <c r="GG203" s="455"/>
      <c r="GH203" s="455"/>
      <c r="GI203" s="455"/>
      <c r="GJ203" s="455"/>
      <c r="GK203" s="455"/>
      <c r="GO203" s="455"/>
    </row>
    <row r="204" spans="126:216">
      <c r="EA204" s="455"/>
      <c r="EB204" s="455"/>
      <c r="EC204" s="455"/>
      <c r="ED204" s="455"/>
      <c r="EE204" s="455"/>
      <c r="EF204" s="455"/>
      <c r="EG204" s="455"/>
      <c r="EH204" s="455"/>
      <c r="EI204" s="455"/>
      <c r="EJ204" s="455"/>
      <c r="EK204" s="455"/>
      <c r="EL204" s="455"/>
      <c r="EM204" s="455"/>
      <c r="EN204" s="455"/>
      <c r="ET204" s="455"/>
      <c r="EU204" s="455"/>
      <c r="EV204" s="455"/>
      <c r="EW204" s="455"/>
      <c r="EX204" s="455"/>
      <c r="EY204" s="455"/>
      <c r="EZ204" s="455"/>
      <c r="FA204" s="455"/>
      <c r="FB204" s="455"/>
      <c r="FC204" s="455"/>
      <c r="FD204" s="455"/>
      <c r="FE204" s="455"/>
      <c r="FF204" s="455"/>
      <c r="FG204" s="455"/>
      <c r="FH204" s="455"/>
      <c r="FI204" s="455"/>
      <c r="FL204" s="455"/>
      <c r="FM204" s="455"/>
      <c r="FN204" s="455"/>
      <c r="FO204" s="455"/>
      <c r="FP204" s="455"/>
      <c r="FQ204" s="455"/>
      <c r="FR204" s="455"/>
      <c r="FS204" s="455"/>
      <c r="FV204" s="455"/>
      <c r="FW204" s="455"/>
      <c r="FX204" s="455"/>
      <c r="FY204" s="455"/>
      <c r="FZ204" s="455"/>
      <c r="GA204" s="455"/>
      <c r="GB204" s="455"/>
      <c r="GC204" s="455"/>
      <c r="GF204" s="455"/>
      <c r="GG204" s="455"/>
      <c r="GH204" s="455"/>
      <c r="GI204" s="455"/>
      <c r="GJ204" s="455"/>
      <c r="GK204" s="455"/>
      <c r="GO204" s="455"/>
    </row>
    <row r="205" spans="126:216">
      <c r="EA205" s="455"/>
      <c r="EB205" s="455"/>
      <c r="EC205" s="455"/>
      <c r="ED205" s="455"/>
      <c r="EE205" s="455"/>
      <c r="EF205" s="455"/>
      <c r="EG205" s="455"/>
      <c r="EH205" s="455"/>
      <c r="EI205" s="455"/>
      <c r="EJ205" s="455"/>
      <c r="EK205" s="455"/>
      <c r="EL205" s="455"/>
      <c r="EM205" s="455"/>
      <c r="EN205" s="455"/>
      <c r="ET205" s="455"/>
      <c r="EU205" s="455"/>
      <c r="EV205" s="455"/>
      <c r="EW205" s="455"/>
      <c r="EX205" s="455"/>
      <c r="EY205" s="455"/>
      <c r="EZ205" s="455"/>
      <c r="FA205" s="455"/>
      <c r="FB205" s="455"/>
      <c r="FC205" s="455"/>
      <c r="FD205" s="455"/>
      <c r="FE205" s="455"/>
      <c r="FF205" s="455"/>
      <c r="FG205" s="455"/>
      <c r="FH205" s="455"/>
      <c r="FI205" s="455"/>
      <c r="FL205" s="455"/>
      <c r="FM205" s="455"/>
      <c r="FN205" s="455"/>
      <c r="FO205" s="455"/>
      <c r="FP205" s="455"/>
      <c r="FQ205" s="455"/>
      <c r="FR205" s="455"/>
      <c r="FS205" s="455"/>
      <c r="FV205" s="455"/>
      <c r="FW205" s="455"/>
      <c r="FX205" s="455"/>
      <c r="FY205" s="455"/>
      <c r="FZ205" s="455"/>
      <c r="GA205" s="455"/>
      <c r="GB205" s="455"/>
      <c r="GC205" s="455"/>
      <c r="GF205" s="455"/>
      <c r="GG205" s="455"/>
      <c r="GH205" s="455"/>
      <c r="GI205" s="455"/>
      <c r="GJ205" s="455"/>
      <c r="GK205" s="455"/>
      <c r="GO205" s="455"/>
    </row>
    <row r="206" spans="126:216">
      <c r="EA206" s="455"/>
      <c r="EB206" s="455"/>
      <c r="EC206" s="455"/>
      <c r="ED206" s="455"/>
      <c r="EE206" s="455"/>
      <c r="EF206" s="455"/>
      <c r="EG206" s="455"/>
      <c r="EH206" s="455"/>
      <c r="EI206" s="455"/>
      <c r="EJ206" s="455"/>
      <c r="EK206" s="455"/>
      <c r="EL206" s="455"/>
      <c r="EM206" s="455"/>
      <c r="EN206" s="455"/>
      <c r="ET206" s="455"/>
      <c r="EU206" s="455"/>
      <c r="EV206" s="455"/>
      <c r="EW206" s="455"/>
      <c r="EX206" s="455"/>
      <c r="EY206" s="455"/>
      <c r="EZ206" s="455"/>
      <c r="FA206" s="455"/>
      <c r="FB206" s="455"/>
      <c r="FC206" s="455"/>
      <c r="FD206" s="455"/>
      <c r="FE206" s="455"/>
      <c r="FF206" s="455"/>
      <c r="FG206" s="455"/>
      <c r="FH206" s="455"/>
      <c r="FI206" s="455"/>
      <c r="FL206" s="455"/>
      <c r="FM206" s="455"/>
      <c r="FN206" s="455"/>
      <c r="FO206" s="455"/>
      <c r="FP206" s="455"/>
      <c r="FQ206" s="455"/>
      <c r="FR206" s="455"/>
      <c r="FS206" s="455"/>
      <c r="FV206" s="455"/>
      <c r="FW206" s="455"/>
      <c r="FX206" s="455"/>
      <c r="FY206" s="455"/>
      <c r="FZ206" s="455"/>
      <c r="GA206" s="455"/>
      <c r="GB206" s="455"/>
      <c r="GC206" s="455"/>
      <c r="GF206" s="455"/>
      <c r="GG206" s="455"/>
      <c r="GH206" s="455"/>
      <c r="GI206" s="455"/>
      <c r="GJ206" s="455"/>
      <c r="GK206" s="455"/>
      <c r="GO206" s="455"/>
    </row>
    <row r="207" spans="126:216">
      <c r="EA207" s="455"/>
      <c r="EB207" s="455"/>
      <c r="EC207" s="455"/>
      <c r="ED207" s="455"/>
      <c r="EE207" s="455"/>
      <c r="EF207" s="455"/>
      <c r="EG207" s="455"/>
      <c r="EH207" s="455"/>
      <c r="EI207" s="455"/>
      <c r="EJ207" s="455"/>
      <c r="EK207" s="455"/>
      <c r="EL207" s="455"/>
      <c r="EM207" s="455"/>
      <c r="EN207" s="455"/>
      <c r="ET207" s="455"/>
      <c r="EU207" s="455"/>
      <c r="EV207" s="455"/>
      <c r="EW207" s="455"/>
      <c r="EX207" s="455"/>
      <c r="EY207" s="455"/>
      <c r="EZ207" s="455"/>
      <c r="FA207" s="455"/>
      <c r="FB207" s="455"/>
      <c r="FC207" s="455"/>
      <c r="FD207" s="455"/>
      <c r="FE207" s="455"/>
      <c r="FF207" s="455"/>
      <c r="FG207" s="455"/>
      <c r="FH207" s="455"/>
      <c r="FI207" s="455"/>
      <c r="FL207" s="455"/>
      <c r="FM207" s="455"/>
      <c r="FN207" s="455"/>
      <c r="FO207" s="455"/>
      <c r="FP207" s="455"/>
      <c r="FQ207" s="455"/>
      <c r="FR207" s="455"/>
      <c r="FS207" s="455"/>
      <c r="FV207" s="455"/>
      <c r="FW207" s="455"/>
      <c r="FX207" s="455"/>
      <c r="FY207" s="455"/>
      <c r="FZ207" s="455"/>
      <c r="GA207" s="455"/>
      <c r="GB207" s="455"/>
      <c r="GC207" s="455"/>
      <c r="GF207" s="455"/>
      <c r="GG207" s="455"/>
      <c r="GH207" s="455"/>
      <c r="GI207" s="455"/>
      <c r="GJ207" s="455"/>
      <c r="GK207" s="455"/>
      <c r="GO207" s="455"/>
    </row>
  </sheetData>
  <mergeCells count="20">
    <mergeCell ref="Y3:Z3"/>
    <mergeCell ref="S4:T4"/>
    <mergeCell ref="AE4:AF4"/>
    <mergeCell ref="Y4:Z4"/>
    <mergeCell ref="AB4:AC4"/>
    <mergeCell ref="V3:W3"/>
    <mergeCell ref="S3:T3"/>
    <mergeCell ref="BB4:BC4"/>
    <mergeCell ref="BE4:BF4"/>
    <mergeCell ref="AK4:AL4"/>
    <mergeCell ref="AN4:AO4"/>
    <mergeCell ref="AH4:AI4"/>
    <mergeCell ref="AQ4:AR4"/>
    <mergeCell ref="AV4:AW4"/>
    <mergeCell ref="AY4:AZ4"/>
    <mergeCell ref="G4:H4"/>
    <mergeCell ref="J4:K4"/>
    <mergeCell ref="M4:N4"/>
    <mergeCell ref="P4:Q4"/>
    <mergeCell ref="V4:W4"/>
  </mergeCells>
  <printOptions horizontalCentered="1"/>
  <pageMargins left="0" right="0" top="0" bottom="0" header="0" footer="0"/>
  <pageSetup paperSize="9" scale="31" orientation="landscape" r:id="rId1"/>
  <ignoredErrors>
    <ignoredError sqref="AF162 EL59:EL107" 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97534-D465-467D-BCED-AB81026C1685}">
  <sheetPr>
    <pageSetUpPr fitToPage="1"/>
  </sheetPr>
  <dimension ref="A1:H48"/>
  <sheetViews>
    <sheetView workbookViewId="0">
      <selection activeCell="E19" sqref="E19"/>
    </sheetView>
  </sheetViews>
  <sheetFormatPr defaultColWidth="9" defaultRowHeight="14.4"/>
  <cols>
    <col min="1" max="1" width="51" style="602" customWidth="1"/>
    <col min="2" max="3" width="25.88671875" style="597" customWidth="1"/>
    <col min="4" max="4" width="13.77734375" style="593" bestFit="1" customWidth="1"/>
    <col min="5" max="5" width="9.88671875" style="593" bestFit="1" customWidth="1"/>
    <col min="6" max="6" width="10.6640625" style="593" bestFit="1" customWidth="1"/>
    <col min="7" max="7" width="12.44140625" style="593" customWidth="1"/>
    <col min="8" max="16384" width="9" style="593"/>
  </cols>
  <sheetData>
    <row r="1" spans="1:8" ht="15.6">
      <c r="A1" s="639" t="s">
        <v>750</v>
      </c>
      <c r="B1" s="640"/>
      <c r="C1" s="640"/>
      <c r="G1" s="615" t="s">
        <v>743</v>
      </c>
    </row>
    <row r="2" spans="1:8">
      <c r="A2" s="639" t="s">
        <v>749</v>
      </c>
      <c r="B2" s="640"/>
      <c r="C2" s="640"/>
    </row>
    <row r="3" spans="1:8">
      <c r="A3" s="639" t="s">
        <v>751</v>
      </c>
      <c r="B3" s="640"/>
      <c r="C3" s="640"/>
    </row>
    <row r="4" spans="1:8">
      <c r="A4" s="594"/>
      <c r="B4" s="595"/>
      <c r="C4" s="595"/>
    </row>
    <row r="5" spans="1:8">
      <c r="A5" s="596" t="s">
        <v>752</v>
      </c>
      <c r="C5" s="598" t="s">
        <v>657</v>
      </c>
    </row>
    <row r="6" spans="1:8">
      <c r="A6" s="599"/>
    </row>
    <row r="7" spans="1:8">
      <c r="A7" s="599" t="s">
        <v>764</v>
      </c>
      <c r="C7" s="600">
        <f>SUM(B8:B9)</f>
        <v>1054415.54</v>
      </c>
      <c r="D7" s="601"/>
    </row>
    <row r="8" spans="1:8">
      <c r="A8" s="602" t="s">
        <v>765</v>
      </c>
      <c r="B8" s="603">
        <v>910285.54</v>
      </c>
    </row>
    <row r="9" spans="1:8">
      <c r="A9" s="602" t="s">
        <v>766</v>
      </c>
      <c r="B9" s="603">
        <v>144130</v>
      </c>
    </row>
    <row r="10" spans="1:8">
      <c r="A10" s="599"/>
    </row>
    <row r="11" spans="1:8" ht="15" thickBot="1">
      <c r="A11" s="604" t="s">
        <v>767</v>
      </c>
      <c r="B11" s="605"/>
      <c r="C11" s="606">
        <f>+C7-C13</f>
        <v>-442728.39999999991</v>
      </c>
      <c r="D11" s="607">
        <f>-C11/C7</f>
        <v>0.41988038226371349</v>
      </c>
      <c r="F11" s="608" t="s">
        <v>219</v>
      </c>
      <c r="G11" s="609">
        <f>+C7-C31</f>
        <v>122950.19999999995</v>
      </c>
      <c r="H11" s="611">
        <f>+G11/C7</f>
        <v>0.11660507203829711</v>
      </c>
    </row>
    <row r="12" spans="1:8" ht="15" thickTop="1">
      <c r="A12" s="599"/>
    </row>
    <row r="13" spans="1:8">
      <c r="A13" s="599" t="s">
        <v>768</v>
      </c>
      <c r="C13" s="600">
        <f>+C47</f>
        <v>1497143.94</v>
      </c>
    </row>
    <row r="14" spans="1:8">
      <c r="A14" s="599"/>
    </row>
    <row r="15" spans="1:8">
      <c r="A15" s="596" t="s">
        <v>769</v>
      </c>
      <c r="C15" s="598" t="s">
        <v>657</v>
      </c>
    </row>
    <row r="16" spans="1:8">
      <c r="A16" s="599"/>
    </row>
    <row r="17" spans="1:4">
      <c r="A17" s="632" t="s">
        <v>753</v>
      </c>
      <c r="C17" s="600">
        <f>SUM(B18:B29)</f>
        <v>565678.6</v>
      </c>
    </row>
    <row r="18" spans="1:4">
      <c r="A18" s="632" t="s">
        <v>754</v>
      </c>
      <c r="B18" s="603">
        <f>132000-120000</f>
        <v>12000</v>
      </c>
      <c r="D18" s="378"/>
    </row>
    <row r="19" spans="1:4">
      <c r="A19" s="632" t="s">
        <v>755</v>
      </c>
      <c r="B19" s="603">
        <v>35653.43</v>
      </c>
    </row>
    <row r="20" spans="1:4">
      <c r="A20" s="632" t="s">
        <v>26</v>
      </c>
      <c r="B20" s="603">
        <v>3340</v>
      </c>
    </row>
    <row r="21" spans="1:4">
      <c r="A21" s="632" t="s">
        <v>756</v>
      </c>
      <c r="B21" s="626">
        <v>16304.44</v>
      </c>
    </row>
    <row r="22" spans="1:4">
      <c r="A22" s="632" t="s">
        <v>757</v>
      </c>
      <c r="B22" s="597">
        <v>19.18</v>
      </c>
    </row>
    <row r="23" spans="1:4">
      <c r="A23" s="632" t="s">
        <v>758</v>
      </c>
      <c r="B23" s="597">
        <v>100.5</v>
      </c>
    </row>
    <row r="24" spans="1:4">
      <c r="A24" s="632" t="s">
        <v>759</v>
      </c>
      <c r="B24" s="597">
        <v>333.41</v>
      </c>
    </row>
    <row r="25" spans="1:4">
      <c r="A25" s="632" t="s">
        <v>760</v>
      </c>
      <c r="B25" s="626">
        <v>398134.76</v>
      </c>
    </row>
    <row r="26" spans="1:4">
      <c r="A26" s="632" t="s">
        <v>104</v>
      </c>
      <c r="B26" s="603">
        <v>52610.1</v>
      </c>
    </row>
    <row r="27" spans="1:4">
      <c r="A27" s="632" t="s">
        <v>761</v>
      </c>
      <c r="B27" s="603">
        <v>20715.43</v>
      </c>
    </row>
    <row r="28" spans="1:4">
      <c r="A28" s="632" t="s">
        <v>762</v>
      </c>
      <c r="B28" s="626">
        <v>23449.35</v>
      </c>
    </row>
    <row r="29" spans="1:4">
      <c r="A29" s="632" t="s">
        <v>763</v>
      </c>
      <c r="B29" s="626">
        <v>3018</v>
      </c>
    </row>
    <row r="30" spans="1:4">
      <c r="A30" s="599"/>
    </row>
    <row r="31" spans="1:4">
      <c r="A31" s="599" t="s">
        <v>782</v>
      </c>
      <c r="C31" s="600">
        <f>SUM(B32:B45)</f>
        <v>931465.34000000008</v>
      </c>
    </row>
    <row r="32" spans="1:4">
      <c r="A32" s="602" t="s">
        <v>783</v>
      </c>
      <c r="B32" s="603">
        <v>146932.45000000001</v>
      </c>
      <c r="C32" s="603"/>
    </row>
    <row r="33" spans="1:5">
      <c r="B33" s="603"/>
    </row>
    <row r="34" spans="1:5">
      <c r="A34" s="602" t="s">
        <v>770</v>
      </c>
      <c r="B34" s="603">
        <v>7925</v>
      </c>
    </row>
    <row r="35" spans="1:5">
      <c r="A35" s="602" t="s">
        <v>771</v>
      </c>
      <c r="B35" s="603">
        <v>5165</v>
      </c>
    </row>
    <row r="36" spans="1:5">
      <c r="A36" s="602" t="s">
        <v>772</v>
      </c>
      <c r="B36" s="603">
        <v>15297.27</v>
      </c>
    </row>
    <row r="37" spans="1:5">
      <c r="A37" s="602" t="s">
        <v>773</v>
      </c>
      <c r="B37" s="603">
        <v>23689</v>
      </c>
    </row>
    <row r="38" spans="1:5">
      <c r="A38" s="602" t="s">
        <v>774</v>
      </c>
      <c r="B38" s="603">
        <v>1250</v>
      </c>
    </row>
    <row r="39" spans="1:5">
      <c r="A39" s="602" t="s">
        <v>775</v>
      </c>
      <c r="B39" s="603">
        <v>3220.01</v>
      </c>
    </row>
    <row r="40" spans="1:5">
      <c r="A40" s="602" t="s">
        <v>776</v>
      </c>
      <c r="B40" s="597">
        <v>450</v>
      </c>
    </row>
    <row r="41" spans="1:5">
      <c r="A41" s="602" t="s">
        <v>777</v>
      </c>
      <c r="B41" s="597">
        <v>39.1</v>
      </c>
    </row>
    <row r="42" spans="1:5">
      <c r="A42" s="602" t="s">
        <v>778</v>
      </c>
      <c r="B42" s="603">
        <v>125548.2</v>
      </c>
      <c r="D42" s="612">
        <f>9750+14497+420</f>
        <v>24667</v>
      </c>
      <c r="E42" s="613" t="s">
        <v>742</v>
      </c>
    </row>
    <row r="43" spans="1:5">
      <c r="A43" s="602" t="s">
        <v>779</v>
      </c>
      <c r="B43" s="597">
        <v>419</v>
      </c>
    </row>
    <row r="44" spans="1:5">
      <c r="A44" s="602" t="s">
        <v>780</v>
      </c>
      <c r="B44" s="603">
        <v>554227.81000000006</v>
      </c>
    </row>
    <row r="45" spans="1:5">
      <c r="A45" s="64" t="s">
        <v>781</v>
      </c>
      <c r="B45" s="626">
        <v>47302.5</v>
      </c>
    </row>
    <row r="46" spans="1:5">
      <c r="A46" s="599"/>
    </row>
    <row r="47" spans="1:5">
      <c r="A47" s="599" t="s">
        <v>768</v>
      </c>
      <c r="C47" s="600">
        <f>+C31+C17</f>
        <v>1497143.94</v>
      </c>
    </row>
    <row r="48" spans="1:5">
      <c r="A48" s="599"/>
    </row>
  </sheetData>
  <mergeCells count="3">
    <mergeCell ref="A1:C1"/>
    <mergeCell ref="A2:C2"/>
    <mergeCell ref="A3:C3"/>
  </mergeCells>
  <pageMargins left="0.75" right="0.75" top="0.75" bottom="0.5" header="0.5" footer="0.75"/>
  <pageSetup scale="56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A095E-D51E-4DDA-9294-4C463B41B4DD}">
  <sheetPr>
    <pageSetUpPr fitToPage="1"/>
  </sheetPr>
  <dimension ref="A1:GI178"/>
  <sheetViews>
    <sheetView workbookViewId="0">
      <pane ySplit="1" topLeftCell="A2" activePane="bottomLeft" state="frozen"/>
      <selection activeCell="B26" sqref="B26"/>
      <selection pane="bottomLeft" activeCell="B11" sqref="B11"/>
    </sheetView>
  </sheetViews>
  <sheetFormatPr defaultRowHeight="14.4"/>
  <cols>
    <col min="1" max="1" width="30.6640625" bestFit="1" customWidth="1"/>
    <col min="2" max="2" width="17.21875" customWidth="1"/>
    <col min="3" max="3" width="16.21875" customWidth="1"/>
    <col min="4" max="4" width="54.21875" customWidth="1"/>
    <col min="6" max="6" width="9.44140625" bestFit="1" customWidth="1"/>
    <col min="8" max="8" width="11.77734375" bestFit="1" customWidth="1"/>
  </cols>
  <sheetData>
    <row r="1" spans="1:191" ht="18.600000000000001" thickBot="1">
      <c r="A1" s="492" t="s">
        <v>656</v>
      </c>
      <c r="B1" s="487" t="s">
        <v>657</v>
      </c>
      <c r="C1" s="483" t="s">
        <v>660</v>
      </c>
      <c r="D1" s="493" t="s">
        <v>659</v>
      </c>
      <c r="GF1" s="72"/>
    </row>
    <row r="2" spans="1:191" ht="16.8" thickTop="1" thickBot="1">
      <c r="A2" s="494" t="s">
        <v>673</v>
      </c>
      <c r="B2" s="491">
        <f>SUM(C3:C6)</f>
        <v>5000000</v>
      </c>
      <c r="C2" s="495"/>
      <c r="D2" s="496"/>
    </row>
    <row r="3" spans="1:191" ht="15.6">
      <c r="A3" s="497" t="s">
        <v>661</v>
      </c>
      <c r="B3" s="495"/>
      <c r="C3" s="489">
        <v>5000000</v>
      </c>
      <c r="D3" s="496" t="s">
        <v>705</v>
      </c>
      <c r="GF3" s="22"/>
      <c r="GG3" s="291"/>
      <c r="GH3" s="291"/>
      <c r="GI3" s="577"/>
    </row>
    <row r="4" spans="1:191" ht="15.6">
      <c r="A4" s="497" t="s">
        <v>663</v>
      </c>
      <c r="B4" s="495"/>
      <c r="C4" s="488"/>
      <c r="D4" s="496"/>
      <c r="GF4" s="572"/>
      <c r="GI4" s="573"/>
    </row>
    <row r="5" spans="1:191" ht="15.6">
      <c r="A5" s="497" t="s">
        <v>664</v>
      </c>
      <c r="B5" s="495"/>
      <c r="C5" s="488"/>
      <c r="D5" s="496"/>
      <c r="GF5" s="572"/>
      <c r="GI5" s="573"/>
    </row>
    <row r="6" spans="1:191" ht="16.2" thickBot="1">
      <c r="A6" s="497" t="s">
        <v>22</v>
      </c>
      <c r="B6" s="495"/>
      <c r="C6" s="490"/>
      <c r="D6" s="496"/>
      <c r="GF6" s="572"/>
      <c r="GI6" s="573"/>
    </row>
    <row r="7" spans="1:191" ht="17.399999999999999" customHeight="1">
      <c r="A7" s="494" t="s">
        <v>666</v>
      </c>
      <c r="B7" s="495"/>
      <c r="D7" s="496" t="s">
        <v>717</v>
      </c>
      <c r="FZ7">
        <v>280985083.26999998</v>
      </c>
      <c r="GF7" s="572"/>
      <c r="GI7" s="573"/>
    </row>
    <row r="8" spans="1:191" ht="17.399999999999999" customHeight="1">
      <c r="A8" s="494" t="s">
        <v>710</v>
      </c>
      <c r="B8" s="517"/>
      <c r="D8" s="496"/>
      <c r="GF8" s="572"/>
      <c r="GI8" s="573"/>
    </row>
    <row r="9" spans="1:191" ht="15.6">
      <c r="A9" s="494" t="s">
        <v>669</v>
      </c>
      <c r="B9" s="520">
        <v>-13000000</v>
      </c>
      <c r="C9" s="495"/>
      <c r="D9" s="496" t="s">
        <v>698</v>
      </c>
      <c r="FZ9">
        <v>-5722858.9299999997</v>
      </c>
      <c r="GF9" s="572"/>
      <c r="GI9" s="573"/>
    </row>
    <row r="10" spans="1:191" ht="15.6">
      <c r="A10" s="494" t="s">
        <v>718</v>
      </c>
      <c r="B10" s="495">
        <f>-1600000-5400000</f>
        <v>-7000000</v>
      </c>
      <c r="C10" s="495"/>
      <c r="D10" s="502" t="s">
        <v>681</v>
      </c>
      <c r="FZ10">
        <v>-227800559.36000001</v>
      </c>
      <c r="GF10" s="572"/>
      <c r="GI10" s="573"/>
    </row>
    <row r="11" spans="1:191" ht="15.6">
      <c r="A11" s="498" t="s">
        <v>693</v>
      </c>
      <c r="B11" s="520">
        <v>-8000000</v>
      </c>
      <c r="D11" s="502"/>
      <c r="FZ11">
        <v>-57247</v>
      </c>
      <c r="GF11" s="572"/>
      <c r="GI11" s="573"/>
    </row>
    <row r="12" spans="1:191" ht="16.2" thickBot="1">
      <c r="A12" s="498" t="s">
        <v>694</v>
      </c>
      <c r="B12" s="495">
        <v>-3500000</v>
      </c>
      <c r="C12" s="495"/>
      <c r="D12" s="502" t="s">
        <v>709</v>
      </c>
      <c r="FZ12">
        <v>-150501.17000000001</v>
      </c>
      <c r="GF12" s="572"/>
      <c r="GI12" s="573"/>
    </row>
    <row r="13" spans="1:191" ht="16.2" thickBot="1">
      <c r="A13" s="500" t="s">
        <v>672</v>
      </c>
      <c r="B13" s="491">
        <f>SUM(C14:C16)</f>
        <v>-44096615</v>
      </c>
      <c r="D13" s="501"/>
      <c r="FZ13">
        <v>-28330360.949999999</v>
      </c>
      <c r="GF13" s="572"/>
      <c r="GI13" s="573"/>
    </row>
    <row r="14" spans="1:191" ht="15.6">
      <c r="A14" s="497" t="s">
        <v>274</v>
      </c>
      <c r="B14" s="495"/>
      <c r="C14" s="489">
        <v>-33333924</v>
      </c>
      <c r="D14" s="502" t="s">
        <v>679</v>
      </c>
      <c r="FZ14">
        <v>-2603543.94</v>
      </c>
      <c r="GF14" s="572"/>
      <c r="GI14" s="573"/>
    </row>
    <row r="15" spans="1:191" ht="15.6">
      <c r="A15" s="497" t="s">
        <v>678</v>
      </c>
      <c r="B15" s="495"/>
      <c r="C15" s="488">
        <v>-10762691</v>
      </c>
      <c r="D15" s="502" t="s">
        <v>712</v>
      </c>
      <c r="FZ15">
        <v>-2783905.4</v>
      </c>
      <c r="GF15" s="572"/>
      <c r="GI15" s="573"/>
    </row>
    <row r="16" spans="1:191" ht="16.2" thickBot="1">
      <c r="A16" s="497" t="s">
        <v>259</v>
      </c>
      <c r="B16" s="495"/>
      <c r="C16" s="490">
        <v>0</v>
      </c>
      <c r="D16" s="496"/>
      <c r="FZ16">
        <v>-15726517.68</v>
      </c>
      <c r="GF16" s="572"/>
      <c r="GI16" s="573"/>
    </row>
    <row r="17" spans="1:191" ht="16.2" thickBot="1">
      <c r="A17" s="494" t="s">
        <v>674</v>
      </c>
      <c r="B17" s="491">
        <f>SUM(C18:C21)</f>
        <v>21683915.397758901</v>
      </c>
      <c r="C17" s="495"/>
      <c r="D17" s="496"/>
      <c r="GF17" s="572"/>
      <c r="GI17" s="573"/>
    </row>
    <row r="18" spans="1:191" ht="15.6">
      <c r="A18" s="497" t="s">
        <v>661</v>
      </c>
      <c r="B18" s="495"/>
      <c r="C18" s="489">
        <v>27683915.397758901</v>
      </c>
      <c r="D18" s="496" t="s">
        <v>662</v>
      </c>
      <c r="H18" s="21"/>
      <c r="GF18" s="572"/>
      <c r="GI18" s="573"/>
    </row>
    <row r="19" spans="1:191" ht="15.6">
      <c r="A19" s="497" t="s">
        <v>663</v>
      </c>
      <c r="B19" s="495"/>
      <c r="C19" s="488">
        <v>-18000000</v>
      </c>
      <c r="D19" s="496" t="s">
        <v>663</v>
      </c>
      <c r="H19" s="21"/>
      <c r="GF19" s="572"/>
      <c r="GI19" s="573"/>
    </row>
    <row r="20" spans="1:191" ht="15.6">
      <c r="A20" s="497" t="s">
        <v>675</v>
      </c>
      <c r="B20" s="495"/>
      <c r="C20" s="488">
        <v>-6000000</v>
      </c>
      <c r="D20" s="496" t="s">
        <v>676</v>
      </c>
      <c r="H20" s="21"/>
      <c r="FZ20">
        <v>-4837535.25</v>
      </c>
      <c r="GF20" s="572"/>
      <c r="GI20" s="573"/>
    </row>
    <row r="21" spans="1:191" ht="16.2" thickBot="1">
      <c r="A21" s="503" t="s">
        <v>22</v>
      </c>
      <c r="B21" s="504"/>
      <c r="C21" s="490">
        <v>18000000</v>
      </c>
      <c r="D21" s="505" t="s">
        <v>677</v>
      </c>
      <c r="FZ21">
        <v>-425104.6</v>
      </c>
      <c r="GF21" s="572"/>
      <c r="GI21" s="573"/>
    </row>
    <row r="22" spans="1:191" ht="15.6">
      <c r="A22" s="484"/>
      <c r="B22" s="485"/>
      <c r="C22" s="485"/>
      <c r="GF22" s="572"/>
      <c r="GI22" s="573"/>
    </row>
    <row r="23" spans="1:191" ht="18.600000000000001" thickBot="1">
      <c r="A23" s="506" t="s">
        <v>683</v>
      </c>
      <c r="B23" s="485"/>
      <c r="C23" s="485"/>
      <c r="GF23" s="572"/>
      <c r="GI23" s="573"/>
    </row>
    <row r="24" spans="1:191" ht="16.2" thickTop="1">
      <c r="A24" s="484" t="s">
        <v>684</v>
      </c>
      <c r="B24" s="485">
        <v>-10000000</v>
      </c>
      <c r="C24" s="485"/>
      <c r="D24" t="s">
        <v>711</v>
      </c>
      <c r="GF24" s="572"/>
      <c r="GI24" s="573"/>
    </row>
    <row r="25" spans="1:191" ht="15.6">
      <c r="A25" s="484" t="s">
        <v>686</v>
      </c>
      <c r="B25" s="507"/>
      <c r="C25" s="484"/>
      <c r="D25" t="s">
        <v>687</v>
      </c>
      <c r="GF25" s="572"/>
      <c r="GI25" s="573"/>
    </row>
    <row r="26" spans="1:191" ht="15.6">
      <c r="A26" s="484" t="s">
        <v>691</v>
      </c>
      <c r="B26" s="508"/>
      <c r="D26" t="s">
        <v>690</v>
      </c>
      <c r="GF26" s="572"/>
      <c r="GI26" s="573"/>
    </row>
    <row r="27" spans="1:191" ht="15.6">
      <c r="A27" s="484" t="s">
        <v>695</v>
      </c>
      <c r="B27" s="508"/>
      <c r="D27" t="s">
        <v>704</v>
      </c>
      <c r="GF27" s="572"/>
      <c r="GH27">
        <f>+GD27+GF27</f>
        <v>0</v>
      </c>
      <c r="GI27" s="573"/>
    </row>
    <row r="28" spans="1:191" ht="15.6">
      <c r="D28" s="486"/>
      <c r="GF28" s="572"/>
      <c r="GI28" s="573"/>
    </row>
    <row r="29" spans="1:191">
      <c r="D29" s="64"/>
      <c r="GF29" s="572"/>
      <c r="GI29" s="573"/>
    </row>
    <row r="30" spans="1:191">
      <c r="GF30" s="572"/>
      <c r="GI30" s="573"/>
    </row>
    <row r="31" spans="1:191">
      <c r="GF31" s="572"/>
      <c r="GI31" s="573"/>
    </row>
    <row r="32" spans="1:191">
      <c r="GF32" s="572"/>
      <c r="GI32" s="573"/>
    </row>
    <row r="33" spans="182:191">
      <c r="GF33" s="572"/>
      <c r="GI33" s="573"/>
    </row>
    <row r="34" spans="182:191">
      <c r="GF34" s="572"/>
      <c r="GI34" s="573"/>
    </row>
    <row r="35" spans="182:191">
      <c r="GF35" s="572"/>
      <c r="GI35" s="573"/>
    </row>
    <row r="36" spans="182:191">
      <c r="GF36" s="572"/>
      <c r="GI36" s="573"/>
    </row>
    <row r="37" spans="182:191">
      <c r="GF37" s="572"/>
      <c r="GI37" s="573"/>
    </row>
    <row r="38" spans="182:191">
      <c r="GF38" s="572"/>
      <c r="GI38" s="573"/>
    </row>
    <row r="39" spans="182:191">
      <c r="GF39" s="572"/>
      <c r="GI39" s="573"/>
    </row>
    <row r="40" spans="182:191">
      <c r="GF40" s="572"/>
      <c r="GI40" s="573"/>
    </row>
    <row r="41" spans="182:191">
      <c r="GF41" s="572"/>
      <c r="GI41" s="573"/>
    </row>
    <row r="42" spans="182:191">
      <c r="GF42" s="572"/>
      <c r="GI42" s="573"/>
    </row>
    <row r="43" spans="182:191">
      <c r="GF43" s="572"/>
      <c r="GI43" s="573"/>
    </row>
    <row r="44" spans="182:191">
      <c r="GF44" s="572"/>
      <c r="GI44" s="573"/>
    </row>
    <row r="45" spans="182:191">
      <c r="GF45" s="572"/>
      <c r="GI45" s="573"/>
    </row>
    <row r="46" spans="182:191">
      <c r="GF46" s="572"/>
      <c r="GI46" s="573"/>
    </row>
    <row r="47" spans="182:191">
      <c r="GF47" s="572"/>
      <c r="GI47" s="573"/>
    </row>
    <row r="48" spans="182:191">
      <c r="FZ48">
        <v>-457300.8</v>
      </c>
      <c r="GF48" s="572"/>
      <c r="GI48" s="573"/>
    </row>
    <row r="49" spans="182:191">
      <c r="FZ49">
        <v>-24260.06</v>
      </c>
      <c r="GF49" s="572"/>
      <c r="GI49" s="573"/>
    </row>
    <row r="50" spans="182:191">
      <c r="GF50" s="572"/>
      <c r="GI50" s="573"/>
    </row>
    <row r="51" spans="182:191">
      <c r="GF51" s="572"/>
      <c r="GI51" s="573"/>
    </row>
    <row r="52" spans="182:191">
      <c r="FZ52">
        <v>-9160.57</v>
      </c>
      <c r="GF52" s="572"/>
      <c r="GI52" s="573"/>
    </row>
    <row r="53" spans="182:191">
      <c r="GF53" s="572"/>
      <c r="GI53" s="573"/>
    </row>
    <row r="54" spans="182:191">
      <c r="GF54" s="572"/>
      <c r="GI54" s="573"/>
    </row>
    <row r="55" spans="182:191">
      <c r="GF55" s="572"/>
      <c r="GI55" s="573"/>
    </row>
    <row r="56" spans="182:191">
      <c r="FZ56">
        <v>-30830.63</v>
      </c>
      <c r="GF56" s="572"/>
      <c r="GI56" s="573"/>
    </row>
    <row r="57" spans="182:191">
      <c r="GF57" s="572"/>
      <c r="GI57" s="573"/>
    </row>
    <row r="58" spans="182:191">
      <c r="FZ58">
        <v>-16786.849999999999</v>
      </c>
      <c r="GF58" s="572"/>
      <c r="GI58" s="573"/>
    </row>
    <row r="59" spans="182:191">
      <c r="GF59" s="572"/>
      <c r="GH59">
        <f>SUM(GH48:GH58)</f>
        <v>0</v>
      </c>
      <c r="GI59" s="573"/>
    </row>
    <row r="60" spans="182:191">
      <c r="FZ60">
        <v>-5725579.3399999999</v>
      </c>
      <c r="GF60" s="572"/>
      <c r="GI60" s="573"/>
    </row>
    <row r="61" spans="182:191">
      <c r="FZ61">
        <v>-50084.25</v>
      </c>
      <c r="GF61" s="572"/>
      <c r="GI61" s="573"/>
    </row>
    <row r="62" spans="182:191">
      <c r="GF62" s="572"/>
      <c r="GI62" s="573"/>
    </row>
    <row r="63" spans="182:191">
      <c r="GF63" s="572"/>
      <c r="GI63" s="573"/>
    </row>
    <row r="64" spans="182:191">
      <c r="GF64" s="572"/>
      <c r="GI64" s="573"/>
    </row>
    <row r="65" spans="182:191">
      <c r="GF65" s="572"/>
      <c r="GI65" s="573"/>
    </row>
    <row r="66" spans="182:191">
      <c r="GF66" s="572"/>
      <c r="GI66" s="573"/>
    </row>
    <row r="67" spans="182:191">
      <c r="GF67" s="572"/>
      <c r="GI67" s="573"/>
    </row>
    <row r="68" spans="182:191">
      <c r="GF68" s="572"/>
      <c r="GH68">
        <f>+GD68+GF68</f>
        <v>0</v>
      </c>
      <c r="GI68" s="573"/>
    </row>
    <row r="69" spans="182:191">
      <c r="GF69" s="572"/>
      <c r="GI69" s="573"/>
    </row>
    <row r="70" spans="182:191">
      <c r="FZ70">
        <v>-1650000</v>
      </c>
      <c r="GF70" s="572"/>
      <c r="GH70">
        <f t="shared" ref="GH70:GH73" si="0">+GD70+GF70</f>
        <v>0</v>
      </c>
      <c r="GI70" s="573"/>
    </row>
    <row r="71" spans="182:191">
      <c r="FZ71">
        <v>-486000</v>
      </c>
      <c r="GF71" s="572"/>
      <c r="GH71">
        <f t="shared" si="0"/>
        <v>0</v>
      </c>
      <c r="GI71" s="573"/>
    </row>
    <row r="72" spans="182:191">
      <c r="FZ72">
        <v>-162525</v>
      </c>
      <c r="GF72" s="572"/>
      <c r="GH72">
        <f t="shared" si="0"/>
        <v>0</v>
      </c>
      <c r="GI72" s="573"/>
    </row>
    <row r="73" spans="182:191">
      <c r="GF73" s="572"/>
      <c r="GH73">
        <f t="shared" si="0"/>
        <v>0</v>
      </c>
      <c r="GI73" s="573"/>
    </row>
    <row r="74" spans="182:191">
      <c r="GF74" s="572"/>
      <c r="GI74" s="573"/>
    </row>
    <row r="75" spans="182:191">
      <c r="GF75" s="572"/>
      <c r="GH75">
        <f>+GD75+GF75</f>
        <v>0</v>
      </c>
      <c r="GI75" s="573"/>
    </row>
    <row r="76" spans="182:191">
      <c r="FZ76">
        <v>-450</v>
      </c>
      <c r="GF76" s="572"/>
      <c r="GH76">
        <f>+GD76+GF76</f>
        <v>0</v>
      </c>
      <c r="GI76" s="573"/>
    </row>
    <row r="77" spans="182:191">
      <c r="FZ77">
        <v>-3101</v>
      </c>
      <c r="GF77" s="572"/>
      <c r="GH77">
        <f>+GD77+GF77</f>
        <v>0</v>
      </c>
      <c r="GI77" s="573"/>
    </row>
    <row r="78" spans="182:191">
      <c r="GF78" s="572"/>
      <c r="GI78" s="573"/>
    </row>
    <row r="79" spans="182:191">
      <c r="FZ79">
        <v>-8508.7999999999993</v>
      </c>
      <c r="GF79" s="572"/>
      <c r="GH79">
        <f>+GD79+GF79</f>
        <v>0</v>
      </c>
      <c r="GI79" s="573"/>
    </row>
    <row r="80" spans="182:191">
      <c r="FZ80">
        <v>-217728.61</v>
      </c>
      <c r="GF80" s="572"/>
      <c r="GH80">
        <f>+GD80+GF80</f>
        <v>0</v>
      </c>
      <c r="GI80" s="573"/>
    </row>
    <row r="81" spans="182:191">
      <c r="FZ81">
        <v>-14997</v>
      </c>
      <c r="GF81" s="572"/>
      <c r="GH81">
        <f>+GD81+GF81</f>
        <v>0</v>
      </c>
      <c r="GI81" s="573"/>
    </row>
    <row r="82" spans="182:191">
      <c r="GF82" s="572"/>
      <c r="GH82">
        <f>+GD82+GF82</f>
        <v>0</v>
      </c>
      <c r="GI82" s="573"/>
    </row>
    <row r="83" spans="182:191">
      <c r="GF83" s="572"/>
      <c r="GH83">
        <f>+GD83+GF83</f>
        <v>0</v>
      </c>
      <c r="GI83" s="573"/>
    </row>
    <row r="84" spans="182:191">
      <c r="GF84" s="572"/>
      <c r="GI84" s="573"/>
    </row>
    <row r="85" spans="182:191">
      <c r="FZ85">
        <v>-106265.24</v>
      </c>
      <c r="GF85" s="572"/>
      <c r="GH85">
        <f>+GD85+GF85</f>
        <v>0</v>
      </c>
      <c r="GI85" s="573"/>
    </row>
    <row r="86" spans="182:191">
      <c r="GF86" s="572"/>
      <c r="GI86" s="573"/>
    </row>
    <row r="87" spans="182:191">
      <c r="FZ87">
        <v>-3275</v>
      </c>
      <c r="GF87" s="572"/>
      <c r="GH87">
        <f>+GD87+GF87</f>
        <v>0</v>
      </c>
      <c r="GI87" s="573"/>
    </row>
    <row r="88" spans="182:191">
      <c r="GF88" s="572"/>
      <c r="GI88" s="573"/>
    </row>
    <row r="89" spans="182:191">
      <c r="GF89" s="572"/>
      <c r="GH89">
        <f>+GD89+GF89</f>
        <v>0</v>
      </c>
      <c r="GI89" s="573"/>
    </row>
    <row r="90" spans="182:191">
      <c r="GF90" s="572"/>
      <c r="GH90">
        <f>+GD90+GF90</f>
        <v>0</v>
      </c>
      <c r="GI90" s="573"/>
    </row>
    <row r="91" spans="182:191">
      <c r="FZ91">
        <v>-51991.88</v>
      </c>
      <c r="GF91" s="572"/>
      <c r="GH91">
        <f>+GD91+GF91</f>
        <v>0</v>
      </c>
      <c r="GI91" s="573"/>
    </row>
    <row r="92" spans="182:191">
      <c r="GF92" s="572"/>
      <c r="GH92">
        <f>+GD92+GF92</f>
        <v>0</v>
      </c>
      <c r="GI92" s="573"/>
    </row>
    <row r="93" spans="182:191">
      <c r="GF93" s="572"/>
      <c r="GI93" s="573"/>
    </row>
    <row r="94" spans="182:191">
      <c r="FZ94">
        <v>-16403.29</v>
      </c>
      <c r="GF94" s="572"/>
      <c r="GH94">
        <f>+GD94+GF94</f>
        <v>0</v>
      </c>
      <c r="GI94" s="573"/>
    </row>
    <row r="95" spans="182:191">
      <c r="FZ95">
        <v>-2142.6999999999998</v>
      </c>
      <c r="GF95" s="572"/>
      <c r="GH95">
        <f>+GD95+GF95</f>
        <v>0</v>
      </c>
      <c r="GI95" s="573"/>
    </row>
    <row r="96" spans="182:191">
      <c r="FZ96">
        <v>-136</v>
      </c>
      <c r="GF96" s="572"/>
      <c r="GH96">
        <f>+GD96+GF96</f>
        <v>0</v>
      </c>
      <c r="GI96" s="573"/>
    </row>
    <row r="97" spans="188:191">
      <c r="GF97" s="572"/>
      <c r="GH97">
        <f>+GD97+GF97</f>
        <v>0</v>
      </c>
      <c r="GI97" s="573"/>
    </row>
    <row r="98" spans="188:191">
      <c r="GF98" s="572"/>
      <c r="GI98" s="573"/>
    </row>
    <row r="99" spans="188:191">
      <c r="GF99" s="572"/>
      <c r="GH99">
        <f t="shared" ref="GH99:GH105" si="1">+GD99+GF99</f>
        <v>0</v>
      </c>
      <c r="GI99" s="573"/>
    </row>
    <row r="100" spans="188:191">
      <c r="GF100" s="572"/>
      <c r="GH100">
        <f t="shared" si="1"/>
        <v>0</v>
      </c>
      <c r="GI100" s="573"/>
    </row>
    <row r="101" spans="188:191">
      <c r="GF101" s="572"/>
      <c r="GH101">
        <f t="shared" si="1"/>
        <v>0</v>
      </c>
      <c r="GI101" s="573"/>
    </row>
    <row r="102" spans="188:191">
      <c r="GF102" s="572"/>
      <c r="GH102">
        <f t="shared" si="1"/>
        <v>0</v>
      </c>
      <c r="GI102" s="573"/>
    </row>
    <row r="103" spans="188:191">
      <c r="GF103" s="572"/>
      <c r="GH103">
        <f t="shared" si="1"/>
        <v>0</v>
      </c>
      <c r="GI103" s="573"/>
    </row>
    <row r="104" spans="188:191">
      <c r="GF104" s="572"/>
      <c r="GH104">
        <f t="shared" si="1"/>
        <v>0</v>
      </c>
      <c r="GI104" s="573"/>
    </row>
    <row r="105" spans="188:191">
      <c r="GF105" s="572"/>
      <c r="GH105">
        <f t="shared" si="1"/>
        <v>0</v>
      </c>
      <c r="GI105" s="573"/>
    </row>
    <row r="106" spans="188:191">
      <c r="GF106" s="572"/>
      <c r="GH106">
        <f>+GD106+GF106</f>
        <v>0</v>
      </c>
      <c r="GI106" s="573"/>
    </row>
    <row r="107" spans="188:191">
      <c r="GF107" s="572">
        <f>SUM(GF99:GF106)</f>
        <v>0</v>
      </c>
      <c r="GH107">
        <f>SUM(GH99:GH106)</f>
        <v>0</v>
      </c>
      <c r="GI107" s="573"/>
    </row>
    <row r="108" spans="188:191">
      <c r="GF108" s="572"/>
      <c r="GH108">
        <f>+GD108+GF108</f>
        <v>0</v>
      </c>
      <c r="GI108" s="573"/>
    </row>
    <row r="109" spans="188:191">
      <c r="GF109" s="572"/>
      <c r="GH109">
        <f>+GD109+GF109</f>
        <v>0</v>
      </c>
      <c r="GI109" s="573"/>
    </row>
    <row r="110" spans="188:191">
      <c r="GF110" s="572"/>
      <c r="GH110">
        <f>+GD110+GF110</f>
        <v>0</v>
      </c>
      <c r="GI110" s="573"/>
    </row>
    <row r="111" spans="188:191">
      <c r="GF111" s="572"/>
      <c r="GI111" s="573"/>
    </row>
    <row r="112" spans="188:191">
      <c r="GF112" s="572"/>
      <c r="GH112">
        <f t="shared" ref="GH112:GH124" si="2">+GD112+GF112</f>
        <v>0</v>
      </c>
      <c r="GI112" s="573"/>
    </row>
    <row r="113" spans="182:191">
      <c r="GF113" s="572"/>
      <c r="GH113">
        <f t="shared" si="2"/>
        <v>0</v>
      </c>
      <c r="GI113" s="573"/>
    </row>
    <row r="114" spans="182:191">
      <c r="GF114" s="572"/>
      <c r="GH114">
        <f t="shared" si="2"/>
        <v>0</v>
      </c>
      <c r="GI114" s="573"/>
    </row>
    <row r="115" spans="182:191">
      <c r="GF115" s="572"/>
      <c r="GH115">
        <f t="shared" si="2"/>
        <v>0</v>
      </c>
      <c r="GI115" s="573"/>
    </row>
    <row r="116" spans="182:191">
      <c r="GF116" s="572"/>
      <c r="GH116">
        <f t="shared" si="2"/>
        <v>0</v>
      </c>
      <c r="GI116" s="573"/>
    </row>
    <row r="117" spans="182:191">
      <c r="GF117" s="572"/>
      <c r="GH117">
        <f t="shared" si="2"/>
        <v>0</v>
      </c>
      <c r="GI117" s="573"/>
    </row>
    <row r="118" spans="182:191">
      <c r="GF118" s="572"/>
      <c r="GH118">
        <f t="shared" si="2"/>
        <v>0</v>
      </c>
      <c r="GI118" s="573"/>
    </row>
    <row r="119" spans="182:191">
      <c r="GF119" s="572"/>
      <c r="GH119">
        <f t="shared" si="2"/>
        <v>0</v>
      </c>
      <c r="GI119" s="573"/>
    </row>
    <row r="120" spans="182:191">
      <c r="GF120" s="572"/>
      <c r="GH120">
        <f t="shared" si="2"/>
        <v>0</v>
      </c>
      <c r="GI120" s="573"/>
    </row>
    <row r="121" spans="182:191">
      <c r="GF121" s="572"/>
      <c r="GH121">
        <f t="shared" si="2"/>
        <v>0</v>
      </c>
      <c r="GI121" s="573"/>
    </row>
    <row r="122" spans="182:191">
      <c r="GF122" s="572"/>
      <c r="GH122">
        <f t="shared" si="2"/>
        <v>0</v>
      </c>
      <c r="GI122" s="573"/>
    </row>
    <row r="123" spans="182:191">
      <c r="FZ123">
        <v>-85927.56</v>
      </c>
      <c r="GF123" s="572"/>
      <c r="GH123">
        <f t="shared" si="2"/>
        <v>0</v>
      </c>
      <c r="GI123" s="573"/>
    </row>
    <row r="124" spans="182:191">
      <c r="GF124" s="572"/>
      <c r="GH124">
        <f t="shared" si="2"/>
        <v>0</v>
      </c>
      <c r="GI124" s="573"/>
    </row>
    <row r="125" spans="182:191">
      <c r="GF125" s="572"/>
      <c r="GI125" s="573"/>
    </row>
    <row r="126" spans="182:191">
      <c r="GF126" s="572"/>
      <c r="GI126" s="573"/>
    </row>
    <row r="127" spans="182:191">
      <c r="GF127" s="572"/>
      <c r="GH127">
        <f t="shared" ref="GH127:GH128" si="3">+GD127+GF127</f>
        <v>0</v>
      </c>
      <c r="GI127" s="573"/>
    </row>
    <row r="128" spans="182:191">
      <c r="GF128" s="572"/>
      <c r="GH128">
        <f t="shared" si="3"/>
        <v>0</v>
      </c>
      <c r="GI128" s="573"/>
    </row>
    <row r="129" spans="182:191">
      <c r="GF129" s="572"/>
      <c r="GI129" s="573"/>
    </row>
    <row r="130" spans="182:191">
      <c r="GF130" s="572"/>
      <c r="GH130">
        <f t="shared" ref="GH130:GH137" si="4">+GD130+GF130</f>
        <v>0</v>
      </c>
      <c r="GI130" s="573"/>
    </row>
    <row r="131" spans="182:191">
      <c r="GF131" s="572"/>
      <c r="GH131">
        <f t="shared" si="4"/>
        <v>0</v>
      </c>
      <c r="GI131" s="573"/>
    </row>
    <row r="132" spans="182:191">
      <c r="GF132" s="572"/>
      <c r="GH132">
        <f t="shared" si="4"/>
        <v>0</v>
      </c>
      <c r="GI132" s="573"/>
    </row>
    <row r="133" spans="182:191">
      <c r="GF133" s="572"/>
      <c r="GH133">
        <f t="shared" si="4"/>
        <v>0</v>
      </c>
      <c r="GI133" s="573"/>
    </row>
    <row r="134" spans="182:191">
      <c r="GF134" s="572"/>
      <c r="GI134" s="573"/>
    </row>
    <row r="135" spans="182:191">
      <c r="GF135" s="572">
        <f>GF126+GF129+GF134</f>
        <v>0</v>
      </c>
      <c r="GI135" s="573"/>
    </row>
    <row r="136" spans="182:191">
      <c r="FZ136" s="559"/>
      <c r="GF136" s="572"/>
      <c r="GH136">
        <f t="shared" si="4"/>
        <v>0</v>
      </c>
      <c r="GI136" s="573"/>
    </row>
    <row r="137" spans="182:191">
      <c r="FZ137" s="559"/>
      <c r="GF137" s="572"/>
      <c r="GH137">
        <f t="shared" si="4"/>
        <v>0</v>
      </c>
      <c r="GI137" s="573"/>
    </row>
    <row r="138" spans="182:191">
      <c r="GF138" s="572"/>
      <c r="GI138" s="573"/>
    </row>
    <row r="139" spans="182:191">
      <c r="GF139" s="572">
        <f>GF135+GF138</f>
        <v>0</v>
      </c>
      <c r="GI139" s="573"/>
    </row>
    <row r="140" spans="182:191">
      <c r="FZ140">
        <v>-99141.35</v>
      </c>
      <c r="GF140" s="572"/>
      <c r="GH140">
        <f t="shared" ref="GH140:GH145" si="5">+GD140+GF140</f>
        <v>0</v>
      </c>
      <c r="GI140" s="573"/>
    </row>
    <row r="141" spans="182:191">
      <c r="GF141" s="572"/>
      <c r="GH141">
        <f t="shared" si="5"/>
        <v>0</v>
      </c>
      <c r="GI141" s="573"/>
    </row>
    <row r="142" spans="182:191">
      <c r="GF142" s="572"/>
      <c r="GH142">
        <f t="shared" si="5"/>
        <v>0</v>
      </c>
      <c r="GI142" s="573"/>
    </row>
    <row r="143" spans="182:191">
      <c r="GF143" s="572"/>
      <c r="GH143">
        <f t="shared" si="5"/>
        <v>0</v>
      </c>
      <c r="GI143" s="573"/>
    </row>
    <row r="144" spans="182:191">
      <c r="GF144" s="572"/>
      <c r="GH144">
        <f t="shared" si="5"/>
        <v>0</v>
      </c>
      <c r="GI144" s="573"/>
    </row>
    <row r="145" spans="182:191">
      <c r="FZ145">
        <v>-19378.41</v>
      </c>
      <c r="GF145" s="572"/>
      <c r="GH145">
        <f t="shared" si="5"/>
        <v>0</v>
      </c>
      <c r="GI145" s="573"/>
    </row>
    <row r="146" spans="182:191">
      <c r="GF146" s="572"/>
      <c r="GI146" s="573"/>
    </row>
    <row r="147" spans="182:191">
      <c r="FZ147">
        <v>8645.48</v>
      </c>
      <c r="GF147" s="572"/>
      <c r="GH147">
        <f t="shared" ref="GH147" si="6">+GD147+GF147</f>
        <v>0</v>
      </c>
      <c r="GI147" s="573"/>
    </row>
    <row r="148" spans="182:191">
      <c r="GF148" s="572"/>
      <c r="GI148" s="573"/>
    </row>
    <row r="149" spans="182:191">
      <c r="GF149" s="572"/>
      <c r="GH149">
        <f t="shared" ref="GH149" si="7">+GD149+GF149</f>
        <v>0</v>
      </c>
      <c r="GI149" s="573"/>
    </row>
    <row r="150" spans="182:191">
      <c r="GF150" s="572">
        <f>SUM(GF149)</f>
        <v>0</v>
      </c>
      <c r="GH150">
        <f>SUM(GH149)</f>
        <v>0</v>
      </c>
      <c r="GI150" s="573"/>
    </row>
    <row r="151" spans="182:191">
      <c r="GF151" s="572">
        <f>GF139+GF146+GF148+GF150</f>
        <v>0</v>
      </c>
      <c r="GI151" s="573"/>
    </row>
    <row r="152" spans="182:191">
      <c r="GF152" s="572"/>
      <c r="GH152">
        <f t="shared" ref="GH152:GH161" si="8">+GD152+GF152</f>
        <v>0</v>
      </c>
      <c r="GI152" s="573"/>
    </row>
    <row r="153" spans="182:191">
      <c r="GF153" s="572"/>
      <c r="GH153">
        <f t="shared" si="8"/>
        <v>0</v>
      </c>
      <c r="GI153" s="573"/>
    </row>
    <row r="154" spans="182:191">
      <c r="GF154" s="572"/>
      <c r="GH154">
        <f t="shared" si="8"/>
        <v>0</v>
      </c>
      <c r="GI154" s="573"/>
    </row>
    <row r="155" spans="182:191">
      <c r="GF155" s="572"/>
      <c r="GH155">
        <f t="shared" si="8"/>
        <v>0</v>
      </c>
      <c r="GI155" s="573"/>
    </row>
    <row r="156" spans="182:191">
      <c r="GF156" s="572"/>
      <c r="GH156">
        <f t="shared" si="8"/>
        <v>0</v>
      </c>
      <c r="GI156" s="573"/>
    </row>
    <row r="157" spans="182:191">
      <c r="GF157" s="572"/>
      <c r="GH157">
        <f t="shared" si="8"/>
        <v>0</v>
      </c>
      <c r="GI157" s="573"/>
    </row>
    <row r="158" spans="182:191">
      <c r="GF158" s="572"/>
      <c r="GH158">
        <f t="shared" si="8"/>
        <v>0</v>
      </c>
      <c r="GI158" s="573"/>
    </row>
    <row r="159" spans="182:191">
      <c r="GF159" s="572"/>
      <c r="GH159">
        <f t="shared" si="8"/>
        <v>0</v>
      </c>
      <c r="GI159" s="573"/>
    </row>
    <row r="160" spans="182:191">
      <c r="GF160" s="572"/>
      <c r="GH160">
        <f t="shared" si="8"/>
        <v>0</v>
      </c>
      <c r="GI160" s="573"/>
    </row>
    <row r="161" spans="182:191">
      <c r="FZ161">
        <v>18050562.27</v>
      </c>
      <c r="GF161" s="572"/>
      <c r="GH161">
        <f t="shared" si="8"/>
        <v>0</v>
      </c>
      <c r="GI161" s="573"/>
    </row>
    <row r="162" spans="182:191">
      <c r="GF162" s="572"/>
      <c r="GI162" s="573"/>
    </row>
    <row r="163" spans="182:191">
      <c r="GF163" s="572"/>
      <c r="GH163">
        <f t="shared" ref="GH163:GH169" si="9">+GD163+GF163</f>
        <v>0</v>
      </c>
      <c r="GI163" s="573"/>
    </row>
    <row r="164" spans="182:191">
      <c r="GF164" s="572"/>
      <c r="GI164" s="573"/>
    </row>
    <row r="165" spans="182:191">
      <c r="GF165" s="572"/>
      <c r="GH165">
        <f t="shared" si="9"/>
        <v>0</v>
      </c>
      <c r="GI165" s="573"/>
    </row>
    <row r="166" spans="182:191">
      <c r="GF166" s="572"/>
      <c r="GH166">
        <f t="shared" si="9"/>
        <v>0</v>
      </c>
      <c r="GI166" s="573"/>
    </row>
    <row r="167" spans="182:191">
      <c r="GF167" s="572"/>
      <c r="GH167">
        <f>+GD167+GF167</f>
        <v>0</v>
      </c>
      <c r="GI167" s="573"/>
    </row>
    <row r="168" spans="182:191">
      <c r="GF168" s="572"/>
      <c r="GH168">
        <f t="shared" si="9"/>
        <v>0</v>
      </c>
      <c r="GI168" s="573"/>
    </row>
    <row r="169" spans="182:191">
      <c r="FZ169" s="561"/>
      <c r="GF169" s="572"/>
      <c r="GH169">
        <f t="shared" si="9"/>
        <v>0</v>
      </c>
      <c r="GI169" s="573"/>
    </row>
    <row r="170" spans="182:191">
      <c r="GF170" s="572"/>
      <c r="GI170" s="573"/>
    </row>
    <row r="171" spans="182:191">
      <c r="GF171" s="572"/>
      <c r="GI171" s="573"/>
    </row>
    <row r="172" spans="182:191">
      <c r="FZ172" s="559"/>
      <c r="GF172" s="572"/>
      <c r="GH172">
        <f>+GD172+GF172</f>
        <v>0</v>
      </c>
      <c r="GI172" s="573"/>
    </row>
    <row r="173" spans="182:191">
      <c r="GF173" s="572"/>
      <c r="GH173">
        <f>+GD173+GF173</f>
        <v>0</v>
      </c>
      <c r="GI173" s="573"/>
    </row>
    <row r="174" spans="182:191">
      <c r="GF174" s="572"/>
      <c r="GH174">
        <f>+GD174+GF174</f>
        <v>0</v>
      </c>
      <c r="GI174" s="573"/>
    </row>
    <row r="175" spans="182:191">
      <c r="GF175" s="572"/>
      <c r="GH175">
        <f>+GD175+GF175</f>
        <v>0</v>
      </c>
      <c r="GI175" s="573"/>
    </row>
    <row r="176" spans="182:191">
      <c r="GF176" s="572">
        <f>SUM(GF172:GF175)</f>
        <v>0</v>
      </c>
      <c r="GH176">
        <f>SUM(GH172:GH175)</f>
        <v>0</v>
      </c>
      <c r="GI176" s="573"/>
    </row>
    <row r="177" spans="188:191" ht="15" thickBot="1">
      <c r="GF177" s="582"/>
      <c r="GG177" s="583"/>
      <c r="GH177" s="583"/>
      <c r="GI177" s="584"/>
    </row>
    <row r="178" spans="188:191">
      <c r="GH178">
        <f>+GH177-GD177-GF177</f>
        <v>0</v>
      </c>
    </row>
  </sheetData>
  <pageMargins left="0.7" right="0.7" top="0.75" bottom="0.75" header="0.3" footer="0.3"/>
  <pageSetup scale="54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F36"/>
  <sheetViews>
    <sheetView workbookViewId="0">
      <pane ySplit="1" topLeftCell="A2" activePane="bottomLeft" state="frozen"/>
      <selection pane="bottomLeft" activeCell="B13" sqref="B13"/>
    </sheetView>
  </sheetViews>
  <sheetFormatPr defaultRowHeight="14.4"/>
  <cols>
    <col min="1" max="1" width="27.88671875" customWidth="1"/>
    <col min="2" max="2" width="17.21875" customWidth="1"/>
    <col min="3" max="3" width="16.21875" customWidth="1"/>
    <col min="4" max="4" width="54.21875" customWidth="1"/>
  </cols>
  <sheetData>
    <row r="1" spans="1:5" ht="18.600000000000001" thickBot="1">
      <c r="A1" s="492" t="s">
        <v>656</v>
      </c>
      <c r="B1" s="487" t="s">
        <v>657</v>
      </c>
      <c r="C1" s="483" t="s">
        <v>660</v>
      </c>
      <c r="D1" s="493" t="s">
        <v>659</v>
      </c>
    </row>
    <row r="2" spans="1:5" ht="16.8" thickTop="1" thickBot="1">
      <c r="A2" s="494" t="s">
        <v>673</v>
      </c>
      <c r="B2" s="491">
        <f>SUM(C3:C6)</f>
        <v>3800000</v>
      </c>
      <c r="C2" s="495"/>
      <c r="D2" s="496"/>
    </row>
    <row r="3" spans="1:5" ht="15.6">
      <c r="A3" s="497" t="s">
        <v>661</v>
      </c>
      <c r="B3" s="495"/>
      <c r="C3" s="489">
        <v>9000000</v>
      </c>
      <c r="D3" s="496" t="s">
        <v>667</v>
      </c>
    </row>
    <row r="4" spans="1:5" ht="15.6">
      <c r="A4" s="497" t="s">
        <v>663</v>
      </c>
      <c r="B4" s="495"/>
      <c r="C4" s="488">
        <v>-2700000</v>
      </c>
      <c r="D4" s="496" t="s">
        <v>668</v>
      </c>
    </row>
    <row r="5" spans="1:5" ht="15.6">
      <c r="A5" s="497" t="s">
        <v>664</v>
      </c>
      <c r="B5" s="495"/>
      <c r="C5" s="513">
        <v>-6500000</v>
      </c>
      <c r="D5" s="512" t="s">
        <v>665</v>
      </c>
    </row>
    <row r="6" spans="1:5" ht="16.2" thickBot="1">
      <c r="A6" s="497" t="s">
        <v>22</v>
      </c>
      <c r="B6" s="495"/>
      <c r="C6" s="490">
        <v>4000000</v>
      </c>
      <c r="D6" s="496"/>
      <c r="E6" t="s">
        <v>703</v>
      </c>
    </row>
    <row r="7" spans="1:5" ht="17.399999999999999" customHeight="1">
      <c r="A7" s="494" t="s">
        <v>666</v>
      </c>
      <c r="B7" s="495">
        <v>-8000000</v>
      </c>
      <c r="D7" s="496" t="s">
        <v>682</v>
      </c>
      <c r="E7">
        <v>5</v>
      </c>
    </row>
    <row r="8" spans="1:5" ht="15.6">
      <c r="A8" s="494" t="s">
        <v>669</v>
      </c>
      <c r="B8" s="495">
        <v>-13000000</v>
      </c>
      <c r="C8" s="495"/>
      <c r="D8" s="496" t="s">
        <v>698</v>
      </c>
      <c r="E8">
        <v>13</v>
      </c>
    </row>
    <row r="9" spans="1:5" ht="15.6">
      <c r="A9" s="494"/>
      <c r="B9" s="495"/>
      <c r="C9" s="495"/>
      <c r="D9" s="496"/>
    </row>
    <row r="10" spans="1:5" ht="15.6">
      <c r="A10" s="494" t="s">
        <v>702</v>
      </c>
      <c r="B10" s="495">
        <v>-10000000</v>
      </c>
      <c r="C10" s="495"/>
      <c r="D10" s="496" t="s">
        <v>670</v>
      </c>
    </row>
    <row r="11" spans="1:5" ht="15.6">
      <c r="A11" s="494" t="s">
        <v>671</v>
      </c>
      <c r="B11" s="495">
        <v>-700000</v>
      </c>
      <c r="C11" s="495"/>
      <c r="D11" s="496"/>
      <c r="E11">
        <v>0.7</v>
      </c>
    </row>
    <row r="12" spans="1:5" ht="15.6">
      <c r="A12" s="494" t="s">
        <v>658</v>
      </c>
      <c r="B12" s="495">
        <v>-7600000</v>
      </c>
      <c r="C12" s="495"/>
      <c r="D12" s="496"/>
    </row>
    <row r="13" spans="1:5" ht="15.6">
      <c r="A13" s="494" t="s">
        <v>30</v>
      </c>
      <c r="B13" s="495">
        <v>-1600000</v>
      </c>
      <c r="C13" s="495"/>
      <c r="D13" s="496" t="s">
        <v>681</v>
      </c>
      <c r="E13">
        <v>1.6</v>
      </c>
    </row>
    <row r="14" spans="1:5" ht="15.6">
      <c r="A14" s="494" t="s">
        <v>680</v>
      </c>
      <c r="B14" s="495"/>
      <c r="C14" s="495"/>
      <c r="D14" s="496"/>
    </row>
    <row r="15" spans="1:5" ht="15.6">
      <c r="A15" s="498"/>
      <c r="B15" s="495"/>
      <c r="D15" s="499"/>
    </row>
    <row r="16" spans="1:5" ht="15.6">
      <c r="A16" s="498" t="s">
        <v>693</v>
      </c>
      <c r="B16" s="509">
        <v>-8000000</v>
      </c>
      <c r="D16" s="502" t="s">
        <v>692</v>
      </c>
      <c r="E16">
        <v>8</v>
      </c>
    </row>
    <row r="17" spans="1:6" ht="15.6">
      <c r="A17" s="498" t="s">
        <v>694</v>
      </c>
      <c r="B17" s="495">
        <v>-3500000</v>
      </c>
      <c r="C17" s="495"/>
      <c r="D17" s="496"/>
    </row>
    <row r="18" spans="1:6" ht="15.6">
      <c r="A18" s="498" t="s">
        <v>696</v>
      </c>
      <c r="D18" s="510" t="s">
        <v>697</v>
      </c>
    </row>
    <row r="19" spans="1:6" ht="16.2" thickBot="1">
      <c r="A19" s="498" t="s">
        <v>688</v>
      </c>
      <c r="B19" s="509">
        <v>3200000</v>
      </c>
      <c r="D19" s="510" t="s">
        <v>689</v>
      </c>
    </row>
    <row r="20" spans="1:6" ht="16.2" thickBot="1">
      <c r="A20" s="500" t="s">
        <v>672</v>
      </c>
      <c r="B20" s="491">
        <f>SUM(C21:C23)</f>
        <v>-50283742.316572301</v>
      </c>
      <c r="D20" s="501"/>
    </row>
    <row r="21" spans="1:6" ht="15.6">
      <c r="A21" s="497" t="s">
        <v>274</v>
      </c>
      <c r="B21" s="495"/>
      <c r="C21" s="489">
        <v>-24333924</v>
      </c>
      <c r="D21" s="502" t="s">
        <v>679</v>
      </c>
    </row>
    <row r="22" spans="1:6" ht="15.6">
      <c r="A22" s="497" t="s">
        <v>678</v>
      </c>
      <c r="B22" s="495"/>
      <c r="C22" s="488">
        <v>-13758862.505000001</v>
      </c>
      <c r="D22" s="496"/>
      <c r="E22">
        <v>10</v>
      </c>
      <c r="F22" t="s">
        <v>701</v>
      </c>
    </row>
    <row r="23" spans="1:6" ht="16.2" thickBot="1">
      <c r="A23" s="497" t="s">
        <v>259</v>
      </c>
      <c r="B23" s="495"/>
      <c r="C23" s="490">
        <v>-12190955.8115723</v>
      </c>
      <c r="D23" s="496"/>
    </row>
    <row r="24" spans="1:6" ht="16.2" thickBot="1">
      <c r="A24" s="494" t="s">
        <v>674</v>
      </c>
      <c r="B24" s="491">
        <f>SUM(C25:C28)</f>
        <v>22000000</v>
      </c>
      <c r="C24" s="495"/>
      <c r="D24" s="496"/>
    </row>
    <row r="25" spans="1:6" ht="15.6">
      <c r="A25" s="497" t="s">
        <v>661</v>
      </c>
      <c r="B25" s="495"/>
      <c r="C25" s="489">
        <v>28000000</v>
      </c>
      <c r="D25" s="496" t="s">
        <v>662</v>
      </c>
    </row>
    <row r="26" spans="1:6" ht="15.6">
      <c r="A26" s="497" t="s">
        <v>663</v>
      </c>
      <c r="B26" s="495"/>
      <c r="C26" s="488">
        <v>-18000000</v>
      </c>
      <c r="D26" s="496" t="s">
        <v>663</v>
      </c>
    </row>
    <row r="27" spans="1:6" ht="15.6">
      <c r="A27" s="497" t="s">
        <v>675</v>
      </c>
      <c r="B27" s="495"/>
      <c r="C27" s="488">
        <v>-6000000</v>
      </c>
      <c r="D27" s="496" t="s">
        <v>676</v>
      </c>
    </row>
    <row r="28" spans="1:6" ht="16.2" thickBot="1">
      <c r="A28" s="503" t="s">
        <v>22</v>
      </c>
      <c r="B28" s="504"/>
      <c r="C28" s="490">
        <v>18000000</v>
      </c>
      <c r="D28" s="505" t="s">
        <v>677</v>
      </c>
    </row>
    <row r="29" spans="1:6" ht="15.6">
      <c r="A29" s="484"/>
      <c r="B29" s="485"/>
      <c r="C29" s="485"/>
    </row>
    <row r="30" spans="1:6" ht="18.600000000000001" thickBot="1">
      <c r="A30" s="506" t="s">
        <v>683</v>
      </c>
      <c r="B30" s="485"/>
      <c r="C30" s="485"/>
    </row>
    <row r="31" spans="1:6" ht="16.2" thickTop="1">
      <c r="A31" s="484" t="s">
        <v>684</v>
      </c>
      <c r="B31" s="485">
        <v>-10000000</v>
      </c>
      <c r="C31" s="485"/>
      <c r="D31" t="s">
        <v>685</v>
      </c>
    </row>
    <row r="32" spans="1:6" ht="15.6">
      <c r="A32" s="484" t="s">
        <v>686</v>
      </c>
      <c r="B32" s="507"/>
      <c r="C32" s="484"/>
      <c r="D32" t="s">
        <v>687</v>
      </c>
    </row>
    <row r="33" spans="1:4" ht="15.6">
      <c r="A33" s="484" t="s">
        <v>691</v>
      </c>
      <c r="B33" s="508"/>
      <c r="D33" t="s">
        <v>690</v>
      </c>
    </row>
    <row r="34" spans="1:4" ht="15.6">
      <c r="A34" s="484" t="s">
        <v>695</v>
      </c>
      <c r="B34" s="508"/>
      <c r="D34" t="s">
        <v>704</v>
      </c>
    </row>
    <row r="35" spans="1:4" ht="15.6">
      <c r="D35" s="486"/>
    </row>
    <row r="36" spans="1:4">
      <c r="D36" s="64"/>
    </row>
  </sheetData>
  <pageMargins left="0.7" right="0.7" top="0.75" bottom="0.75" header="0.3" footer="0.3"/>
  <pageSetup scale="3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  <pageSetUpPr fitToPage="1"/>
  </sheetPr>
  <dimension ref="A1:AB197"/>
  <sheetViews>
    <sheetView zoomScale="85" zoomScaleNormal="85" workbookViewId="0">
      <pane ySplit="3" topLeftCell="A123" activePane="bottomLeft" state="frozen"/>
      <selection pane="bottomLeft" activeCell="R197" sqref="A196:R197"/>
    </sheetView>
  </sheetViews>
  <sheetFormatPr defaultColWidth="9.33203125" defaultRowHeight="14.4" outlineLevelRow="1" outlineLevelCol="1"/>
  <cols>
    <col min="1" max="1" width="52.21875" bestFit="1" customWidth="1"/>
    <col min="2" max="3" width="24.109375" hidden="1" customWidth="1" outlineLevel="1"/>
    <col min="4" max="4" width="24.88671875" hidden="1" customWidth="1" outlineLevel="1"/>
    <col min="5" max="5" width="25.77734375" hidden="1" customWidth="1" collapsed="1"/>
    <col min="6" max="6" width="23.77734375" hidden="1" customWidth="1" outlineLevel="1"/>
    <col min="7" max="7" width="24.109375" hidden="1" customWidth="1" outlineLevel="1"/>
    <col min="8" max="8" width="22.77734375" hidden="1" customWidth="1" outlineLevel="1"/>
    <col min="9" max="9" width="25.109375" hidden="1" customWidth="1" collapsed="1"/>
    <col min="10" max="10" width="24.33203125" hidden="1" customWidth="1" outlineLevel="1"/>
    <col min="11" max="11" width="24.109375" hidden="1" customWidth="1" outlineLevel="1"/>
    <col min="12" max="12" width="22.77734375" hidden="1" customWidth="1" outlineLevel="1"/>
    <col min="13" max="13" width="24" hidden="1" customWidth="1" collapsed="1"/>
    <col min="14" max="15" width="22.77734375" hidden="1" customWidth="1" outlineLevel="1"/>
    <col min="16" max="16" width="24.21875" hidden="1" customWidth="1" outlineLevel="1"/>
    <col min="17" max="17" width="24.88671875" hidden="1" customWidth="1" collapsed="1"/>
    <col min="18" max="18" width="25.88671875" bestFit="1" customWidth="1" collapsed="1"/>
    <col min="19" max="19" width="27.33203125" bestFit="1" customWidth="1"/>
    <col min="20" max="20" width="14.88671875" customWidth="1"/>
    <col min="21" max="21" width="9.6640625" bestFit="1" customWidth="1"/>
    <col min="22" max="22" width="14.6640625" customWidth="1"/>
    <col min="23" max="23" width="9.6640625" bestFit="1" customWidth="1"/>
    <col min="24" max="24" width="12.88671875" customWidth="1"/>
    <col min="25" max="25" width="9.6640625" bestFit="1" customWidth="1"/>
    <col min="26" max="26" width="13.21875" customWidth="1"/>
    <col min="27" max="27" width="9.6640625" bestFit="1" customWidth="1"/>
    <col min="28" max="28" width="12.21875" bestFit="1" customWidth="1"/>
    <col min="253" max="253" width="52.21875" bestFit="1" customWidth="1"/>
    <col min="254" max="254" width="33.33203125" customWidth="1"/>
    <col min="255" max="255" width="24.109375" customWidth="1"/>
    <col min="256" max="256" width="22.77734375" customWidth="1"/>
    <col min="257" max="257" width="24.109375" customWidth="1"/>
    <col min="258" max="258" width="22.77734375" customWidth="1"/>
    <col min="259" max="259" width="24.109375" customWidth="1"/>
    <col min="260" max="262" width="22.77734375" customWidth="1"/>
    <col min="263" max="263" width="24.109375" customWidth="1"/>
    <col min="264" max="268" width="22.77734375" customWidth="1"/>
    <col min="269" max="269" width="24.88671875" customWidth="1"/>
    <col min="270" max="270" width="24.88671875" bestFit="1" customWidth="1"/>
    <col min="271" max="271" width="15.109375" bestFit="1" customWidth="1"/>
    <col min="272" max="272" width="15" bestFit="1" customWidth="1"/>
    <col min="273" max="273" width="11.88671875" bestFit="1" customWidth="1"/>
    <col min="509" max="509" width="52.21875" bestFit="1" customWidth="1"/>
    <col min="510" max="510" width="33.33203125" customWidth="1"/>
    <col min="511" max="511" width="24.109375" customWidth="1"/>
    <col min="512" max="512" width="22.77734375" customWidth="1"/>
    <col min="513" max="513" width="24.109375" customWidth="1"/>
    <col min="514" max="514" width="22.77734375" customWidth="1"/>
    <col min="515" max="515" width="24.109375" customWidth="1"/>
    <col min="516" max="518" width="22.77734375" customWidth="1"/>
    <col min="519" max="519" width="24.109375" customWidth="1"/>
    <col min="520" max="524" width="22.77734375" customWidth="1"/>
    <col min="525" max="525" width="24.88671875" customWidth="1"/>
    <col min="526" max="526" width="24.88671875" bestFit="1" customWidth="1"/>
    <col min="527" max="527" width="15.109375" bestFit="1" customWidth="1"/>
    <col min="528" max="528" width="15" bestFit="1" customWidth="1"/>
    <col min="529" max="529" width="11.88671875" bestFit="1" customWidth="1"/>
    <col min="765" max="765" width="52.21875" bestFit="1" customWidth="1"/>
    <col min="766" max="766" width="33.33203125" customWidth="1"/>
    <col min="767" max="767" width="24.109375" customWidth="1"/>
    <col min="768" max="768" width="22.77734375" customWidth="1"/>
    <col min="769" max="769" width="24.109375" customWidth="1"/>
    <col min="770" max="770" width="22.77734375" customWidth="1"/>
    <col min="771" max="771" width="24.109375" customWidth="1"/>
    <col min="772" max="774" width="22.77734375" customWidth="1"/>
    <col min="775" max="775" width="24.109375" customWidth="1"/>
    <col min="776" max="780" width="22.77734375" customWidth="1"/>
    <col min="781" max="781" width="24.88671875" customWidth="1"/>
    <col min="782" max="782" width="24.88671875" bestFit="1" customWidth="1"/>
    <col min="783" max="783" width="15.109375" bestFit="1" customWidth="1"/>
    <col min="784" max="784" width="15" bestFit="1" customWidth="1"/>
    <col min="785" max="785" width="11.88671875" bestFit="1" customWidth="1"/>
    <col min="1021" max="1021" width="52.21875" bestFit="1" customWidth="1"/>
    <col min="1022" max="1022" width="33.33203125" customWidth="1"/>
    <col min="1023" max="1023" width="24.109375" customWidth="1"/>
    <col min="1024" max="1024" width="22.77734375" customWidth="1"/>
    <col min="1025" max="1025" width="24.109375" customWidth="1"/>
    <col min="1026" max="1026" width="22.77734375" customWidth="1"/>
    <col min="1027" max="1027" width="24.109375" customWidth="1"/>
    <col min="1028" max="1030" width="22.77734375" customWidth="1"/>
    <col min="1031" max="1031" width="24.109375" customWidth="1"/>
    <col min="1032" max="1036" width="22.77734375" customWidth="1"/>
    <col min="1037" max="1037" width="24.88671875" customWidth="1"/>
    <col min="1038" max="1038" width="24.88671875" bestFit="1" customWidth="1"/>
    <col min="1039" max="1039" width="15.109375" bestFit="1" customWidth="1"/>
    <col min="1040" max="1040" width="15" bestFit="1" customWidth="1"/>
    <col min="1041" max="1041" width="11.88671875" bestFit="1" customWidth="1"/>
    <col min="1277" max="1277" width="52.21875" bestFit="1" customWidth="1"/>
    <col min="1278" max="1278" width="33.33203125" customWidth="1"/>
    <col min="1279" max="1279" width="24.109375" customWidth="1"/>
    <col min="1280" max="1280" width="22.77734375" customWidth="1"/>
    <col min="1281" max="1281" width="24.109375" customWidth="1"/>
    <col min="1282" max="1282" width="22.77734375" customWidth="1"/>
    <col min="1283" max="1283" width="24.109375" customWidth="1"/>
    <col min="1284" max="1286" width="22.77734375" customWidth="1"/>
    <col min="1287" max="1287" width="24.109375" customWidth="1"/>
    <col min="1288" max="1292" width="22.77734375" customWidth="1"/>
    <col min="1293" max="1293" width="24.88671875" customWidth="1"/>
    <col min="1294" max="1294" width="24.88671875" bestFit="1" customWidth="1"/>
    <col min="1295" max="1295" width="15.109375" bestFit="1" customWidth="1"/>
    <col min="1296" max="1296" width="15" bestFit="1" customWidth="1"/>
    <col min="1297" max="1297" width="11.88671875" bestFit="1" customWidth="1"/>
    <col min="1533" max="1533" width="52.21875" bestFit="1" customWidth="1"/>
    <col min="1534" max="1534" width="33.33203125" customWidth="1"/>
    <col min="1535" max="1535" width="24.109375" customWidth="1"/>
    <col min="1536" max="1536" width="22.77734375" customWidth="1"/>
    <col min="1537" max="1537" width="24.109375" customWidth="1"/>
    <col min="1538" max="1538" width="22.77734375" customWidth="1"/>
    <col min="1539" max="1539" width="24.109375" customWidth="1"/>
    <col min="1540" max="1542" width="22.77734375" customWidth="1"/>
    <col min="1543" max="1543" width="24.109375" customWidth="1"/>
    <col min="1544" max="1548" width="22.77734375" customWidth="1"/>
    <col min="1549" max="1549" width="24.88671875" customWidth="1"/>
    <col min="1550" max="1550" width="24.88671875" bestFit="1" customWidth="1"/>
    <col min="1551" max="1551" width="15.109375" bestFit="1" customWidth="1"/>
    <col min="1552" max="1552" width="15" bestFit="1" customWidth="1"/>
    <col min="1553" max="1553" width="11.88671875" bestFit="1" customWidth="1"/>
    <col min="1789" max="1789" width="52.21875" bestFit="1" customWidth="1"/>
    <col min="1790" max="1790" width="33.33203125" customWidth="1"/>
    <col min="1791" max="1791" width="24.109375" customWidth="1"/>
    <col min="1792" max="1792" width="22.77734375" customWidth="1"/>
    <col min="1793" max="1793" width="24.109375" customWidth="1"/>
    <col min="1794" max="1794" width="22.77734375" customWidth="1"/>
    <col min="1795" max="1795" width="24.109375" customWidth="1"/>
    <col min="1796" max="1798" width="22.77734375" customWidth="1"/>
    <col min="1799" max="1799" width="24.109375" customWidth="1"/>
    <col min="1800" max="1804" width="22.77734375" customWidth="1"/>
    <col min="1805" max="1805" width="24.88671875" customWidth="1"/>
    <col min="1806" max="1806" width="24.88671875" bestFit="1" customWidth="1"/>
    <col min="1807" max="1807" width="15.109375" bestFit="1" customWidth="1"/>
    <col min="1808" max="1808" width="15" bestFit="1" customWidth="1"/>
    <col min="1809" max="1809" width="11.88671875" bestFit="1" customWidth="1"/>
    <col min="2045" max="2045" width="52.21875" bestFit="1" customWidth="1"/>
    <col min="2046" max="2046" width="33.33203125" customWidth="1"/>
    <col min="2047" max="2047" width="24.109375" customWidth="1"/>
    <col min="2048" max="2048" width="22.77734375" customWidth="1"/>
    <col min="2049" max="2049" width="24.109375" customWidth="1"/>
    <col min="2050" max="2050" width="22.77734375" customWidth="1"/>
    <col min="2051" max="2051" width="24.109375" customWidth="1"/>
    <col min="2052" max="2054" width="22.77734375" customWidth="1"/>
    <col min="2055" max="2055" width="24.109375" customWidth="1"/>
    <col min="2056" max="2060" width="22.77734375" customWidth="1"/>
    <col min="2061" max="2061" width="24.88671875" customWidth="1"/>
    <col min="2062" max="2062" width="24.88671875" bestFit="1" customWidth="1"/>
    <col min="2063" max="2063" width="15.109375" bestFit="1" customWidth="1"/>
    <col min="2064" max="2064" width="15" bestFit="1" customWidth="1"/>
    <col min="2065" max="2065" width="11.88671875" bestFit="1" customWidth="1"/>
    <col min="2301" max="2301" width="52.21875" bestFit="1" customWidth="1"/>
    <col min="2302" max="2302" width="33.33203125" customWidth="1"/>
    <col min="2303" max="2303" width="24.109375" customWidth="1"/>
    <col min="2304" max="2304" width="22.77734375" customWidth="1"/>
    <col min="2305" max="2305" width="24.109375" customWidth="1"/>
    <col min="2306" max="2306" width="22.77734375" customWidth="1"/>
    <col min="2307" max="2307" width="24.109375" customWidth="1"/>
    <col min="2308" max="2310" width="22.77734375" customWidth="1"/>
    <col min="2311" max="2311" width="24.109375" customWidth="1"/>
    <col min="2312" max="2316" width="22.77734375" customWidth="1"/>
    <col min="2317" max="2317" width="24.88671875" customWidth="1"/>
    <col min="2318" max="2318" width="24.88671875" bestFit="1" customWidth="1"/>
    <col min="2319" max="2319" width="15.109375" bestFit="1" customWidth="1"/>
    <col min="2320" max="2320" width="15" bestFit="1" customWidth="1"/>
    <col min="2321" max="2321" width="11.88671875" bestFit="1" customWidth="1"/>
    <col min="2557" max="2557" width="52.21875" bestFit="1" customWidth="1"/>
    <col min="2558" max="2558" width="33.33203125" customWidth="1"/>
    <col min="2559" max="2559" width="24.109375" customWidth="1"/>
    <col min="2560" max="2560" width="22.77734375" customWidth="1"/>
    <col min="2561" max="2561" width="24.109375" customWidth="1"/>
    <col min="2562" max="2562" width="22.77734375" customWidth="1"/>
    <col min="2563" max="2563" width="24.109375" customWidth="1"/>
    <col min="2564" max="2566" width="22.77734375" customWidth="1"/>
    <col min="2567" max="2567" width="24.109375" customWidth="1"/>
    <col min="2568" max="2572" width="22.77734375" customWidth="1"/>
    <col min="2573" max="2573" width="24.88671875" customWidth="1"/>
    <col min="2574" max="2574" width="24.88671875" bestFit="1" customWidth="1"/>
    <col min="2575" max="2575" width="15.109375" bestFit="1" customWidth="1"/>
    <col min="2576" max="2576" width="15" bestFit="1" customWidth="1"/>
    <col min="2577" max="2577" width="11.88671875" bestFit="1" customWidth="1"/>
    <col min="2813" max="2813" width="52.21875" bestFit="1" customWidth="1"/>
    <col min="2814" max="2814" width="33.33203125" customWidth="1"/>
    <col min="2815" max="2815" width="24.109375" customWidth="1"/>
    <col min="2816" max="2816" width="22.77734375" customWidth="1"/>
    <col min="2817" max="2817" width="24.109375" customWidth="1"/>
    <col min="2818" max="2818" width="22.77734375" customWidth="1"/>
    <col min="2819" max="2819" width="24.109375" customWidth="1"/>
    <col min="2820" max="2822" width="22.77734375" customWidth="1"/>
    <col min="2823" max="2823" width="24.109375" customWidth="1"/>
    <col min="2824" max="2828" width="22.77734375" customWidth="1"/>
    <col min="2829" max="2829" width="24.88671875" customWidth="1"/>
    <col min="2830" max="2830" width="24.88671875" bestFit="1" customWidth="1"/>
    <col min="2831" max="2831" width="15.109375" bestFit="1" customWidth="1"/>
    <col min="2832" max="2832" width="15" bestFit="1" customWidth="1"/>
    <col min="2833" max="2833" width="11.88671875" bestFit="1" customWidth="1"/>
    <col min="3069" max="3069" width="52.21875" bestFit="1" customWidth="1"/>
    <col min="3070" max="3070" width="33.33203125" customWidth="1"/>
    <col min="3071" max="3071" width="24.109375" customWidth="1"/>
    <col min="3072" max="3072" width="22.77734375" customWidth="1"/>
    <col min="3073" max="3073" width="24.109375" customWidth="1"/>
    <col min="3074" max="3074" width="22.77734375" customWidth="1"/>
    <col min="3075" max="3075" width="24.109375" customWidth="1"/>
    <col min="3076" max="3078" width="22.77734375" customWidth="1"/>
    <col min="3079" max="3079" width="24.109375" customWidth="1"/>
    <col min="3080" max="3084" width="22.77734375" customWidth="1"/>
    <col min="3085" max="3085" width="24.88671875" customWidth="1"/>
    <col min="3086" max="3086" width="24.88671875" bestFit="1" customWidth="1"/>
    <col min="3087" max="3087" width="15.109375" bestFit="1" customWidth="1"/>
    <col min="3088" max="3088" width="15" bestFit="1" customWidth="1"/>
    <col min="3089" max="3089" width="11.88671875" bestFit="1" customWidth="1"/>
    <col min="3325" max="3325" width="52.21875" bestFit="1" customWidth="1"/>
    <col min="3326" max="3326" width="33.33203125" customWidth="1"/>
    <col min="3327" max="3327" width="24.109375" customWidth="1"/>
    <col min="3328" max="3328" width="22.77734375" customWidth="1"/>
    <col min="3329" max="3329" width="24.109375" customWidth="1"/>
    <col min="3330" max="3330" width="22.77734375" customWidth="1"/>
    <col min="3331" max="3331" width="24.109375" customWidth="1"/>
    <col min="3332" max="3334" width="22.77734375" customWidth="1"/>
    <col min="3335" max="3335" width="24.109375" customWidth="1"/>
    <col min="3336" max="3340" width="22.77734375" customWidth="1"/>
    <col min="3341" max="3341" width="24.88671875" customWidth="1"/>
    <col min="3342" max="3342" width="24.88671875" bestFit="1" customWidth="1"/>
    <col min="3343" max="3343" width="15.109375" bestFit="1" customWidth="1"/>
    <col min="3344" max="3344" width="15" bestFit="1" customWidth="1"/>
    <col min="3345" max="3345" width="11.88671875" bestFit="1" customWidth="1"/>
    <col min="3581" max="3581" width="52.21875" bestFit="1" customWidth="1"/>
    <col min="3582" max="3582" width="33.33203125" customWidth="1"/>
    <col min="3583" max="3583" width="24.109375" customWidth="1"/>
    <col min="3584" max="3584" width="22.77734375" customWidth="1"/>
    <col min="3585" max="3585" width="24.109375" customWidth="1"/>
    <col min="3586" max="3586" width="22.77734375" customWidth="1"/>
    <col min="3587" max="3587" width="24.109375" customWidth="1"/>
    <col min="3588" max="3590" width="22.77734375" customWidth="1"/>
    <col min="3591" max="3591" width="24.109375" customWidth="1"/>
    <col min="3592" max="3596" width="22.77734375" customWidth="1"/>
    <col min="3597" max="3597" width="24.88671875" customWidth="1"/>
    <col min="3598" max="3598" width="24.88671875" bestFit="1" customWidth="1"/>
    <col min="3599" max="3599" width="15.109375" bestFit="1" customWidth="1"/>
    <col min="3600" max="3600" width="15" bestFit="1" customWidth="1"/>
    <col min="3601" max="3601" width="11.88671875" bestFit="1" customWidth="1"/>
    <col min="3837" max="3837" width="52.21875" bestFit="1" customWidth="1"/>
    <col min="3838" max="3838" width="33.33203125" customWidth="1"/>
    <col min="3839" max="3839" width="24.109375" customWidth="1"/>
    <col min="3840" max="3840" width="22.77734375" customWidth="1"/>
    <col min="3841" max="3841" width="24.109375" customWidth="1"/>
    <col min="3842" max="3842" width="22.77734375" customWidth="1"/>
    <col min="3843" max="3843" width="24.109375" customWidth="1"/>
    <col min="3844" max="3846" width="22.77734375" customWidth="1"/>
    <col min="3847" max="3847" width="24.109375" customWidth="1"/>
    <col min="3848" max="3852" width="22.77734375" customWidth="1"/>
    <col min="3853" max="3853" width="24.88671875" customWidth="1"/>
    <col min="3854" max="3854" width="24.88671875" bestFit="1" customWidth="1"/>
    <col min="3855" max="3855" width="15.109375" bestFit="1" customWidth="1"/>
    <col min="3856" max="3856" width="15" bestFit="1" customWidth="1"/>
    <col min="3857" max="3857" width="11.88671875" bestFit="1" customWidth="1"/>
    <col min="4093" max="4093" width="52.21875" bestFit="1" customWidth="1"/>
    <col min="4094" max="4094" width="33.33203125" customWidth="1"/>
    <col min="4095" max="4095" width="24.109375" customWidth="1"/>
    <col min="4096" max="4096" width="22.77734375" customWidth="1"/>
    <col min="4097" max="4097" width="24.109375" customWidth="1"/>
    <col min="4098" max="4098" width="22.77734375" customWidth="1"/>
    <col min="4099" max="4099" width="24.109375" customWidth="1"/>
    <col min="4100" max="4102" width="22.77734375" customWidth="1"/>
    <col min="4103" max="4103" width="24.109375" customWidth="1"/>
    <col min="4104" max="4108" width="22.77734375" customWidth="1"/>
    <col min="4109" max="4109" width="24.88671875" customWidth="1"/>
    <col min="4110" max="4110" width="24.88671875" bestFit="1" customWidth="1"/>
    <col min="4111" max="4111" width="15.109375" bestFit="1" customWidth="1"/>
    <col min="4112" max="4112" width="15" bestFit="1" customWidth="1"/>
    <col min="4113" max="4113" width="11.88671875" bestFit="1" customWidth="1"/>
    <col min="4349" max="4349" width="52.21875" bestFit="1" customWidth="1"/>
    <col min="4350" max="4350" width="33.33203125" customWidth="1"/>
    <col min="4351" max="4351" width="24.109375" customWidth="1"/>
    <col min="4352" max="4352" width="22.77734375" customWidth="1"/>
    <col min="4353" max="4353" width="24.109375" customWidth="1"/>
    <col min="4354" max="4354" width="22.77734375" customWidth="1"/>
    <col min="4355" max="4355" width="24.109375" customWidth="1"/>
    <col min="4356" max="4358" width="22.77734375" customWidth="1"/>
    <col min="4359" max="4359" width="24.109375" customWidth="1"/>
    <col min="4360" max="4364" width="22.77734375" customWidth="1"/>
    <col min="4365" max="4365" width="24.88671875" customWidth="1"/>
    <col min="4366" max="4366" width="24.88671875" bestFit="1" customWidth="1"/>
    <col min="4367" max="4367" width="15.109375" bestFit="1" customWidth="1"/>
    <col min="4368" max="4368" width="15" bestFit="1" customWidth="1"/>
    <col min="4369" max="4369" width="11.88671875" bestFit="1" customWidth="1"/>
    <col min="4605" max="4605" width="52.21875" bestFit="1" customWidth="1"/>
    <col min="4606" max="4606" width="33.33203125" customWidth="1"/>
    <col min="4607" max="4607" width="24.109375" customWidth="1"/>
    <col min="4608" max="4608" width="22.77734375" customWidth="1"/>
    <col min="4609" max="4609" width="24.109375" customWidth="1"/>
    <col min="4610" max="4610" width="22.77734375" customWidth="1"/>
    <col min="4611" max="4611" width="24.109375" customWidth="1"/>
    <col min="4612" max="4614" width="22.77734375" customWidth="1"/>
    <col min="4615" max="4615" width="24.109375" customWidth="1"/>
    <col min="4616" max="4620" width="22.77734375" customWidth="1"/>
    <col min="4621" max="4621" width="24.88671875" customWidth="1"/>
    <col min="4622" max="4622" width="24.88671875" bestFit="1" customWidth="1"/>
    <col min="4623" max="4623" width="15.109375" bestFit="1" customWidth="1"/>
    <col min="4624" max="4624" width="15" bestFit="1" customWidth="1"/>
    <col min="4625" max="4625" width="11.88671875" bestFit="1" customWidth="1"/>
    <col min="4861" max="4861" width="52.21875" bestFit="1" customWidth="1"/>
    <col min="4862" max="4862" width="33.33203125" customWidth="1"/>
    <col min="4863" max="4863" width="24.109375" customWidth="1"/>
    <col min="4864" max="4864" width="22.77734375" customWidth="1"/>
    <col min="4865" max="4865" width="24.109375" customWidth="1"/>
    <col min="4866" max="4866" width="22.77734375" customWidth="1"/>
    <col min="4867" max="4867" width="24.109375" customWidth="1"/>
    <col min="4868" max="4870" width="22.77734375" customWidth="1"/>
    <col min="4871" max="4871" width="24.109375" customWidth="1"/>
    <col min="4872" max="4876" width="22.77734375" customWidth="1"/>
    <col min="4877" max="4877" width="24.88671875" customWidth="1"/>
    <col min="4878" max="4878" width="24.88671875" bestFit="1" customWidth="1"/>
    <col min="4879" max="4879" width="15.109375" bestFit="1" customWidth="1"/>
    <col min="4880" max="4880" width="15" bestFit="1" customWidth="1"/>
    <col min="4881" max="4881" width="11.88671875" bestFit="1" customWidth="1"/>
    <col min="5117" max="5117" width="52.21875" bestFit="1" customWidth="1"/>
    <col min="5118" max="5118" width="33.33203125" customWidth="1"/>
    <col min="5119" max="5119" width="24.109375" customWidth="1"/>
    <col min="5120" max="5120" width="22.77734375" customWidth="1"/>
    <col min="5121" max="5121" width="24.109375" customWidth="1"/>
    <col min="5122" max="5122" width="22.77734375" customWidth="1"/>
    <col min="5123" max="5123" width="24.109375" customWidth="1"/>
    <col min="5124" max="5126" width="22.77734375" customWidth="1"/>
    <col min="5127" max="5127" width="24.109375" customWidth="1"/>
    <col min="5128" max="5132" width="22.77734375" customWidth="1"/>
    <col min="5133" max="5133" width="24.88671875" customWidth="1"/>
    <col min="5134" max="5134" width="24.88671875" bestFit="1" customWidth="1"/>
    <col min="5135" max="5135" width="15.109375" bestFit="1" customWidth="1"/>
    <col min="5136" max="5136" width="15" bestFit="1" customWidth="1"/>
    <col min="5137" max="5137" width="11.88671875" bestFit="1" customWidth="1"/>
    <col min="5373" max="5373" width="52.21875" bestFit="1" customWidth="1"/>
    <col min="5374" max="5374" width="33.33203125" customWidth="1"/>
    <col min="5375" max="5375" width="24.109375" customWidth="1"/>
    <col min="5376" max="5376" width="22.77734375" customWidth="1"/>
    <col min="5377" max="5377" width="24.109375" customWidth="1"/>
    <col min="5378" max="5378" width="22.77734375" customWidth="1"/>
    <col min="5379" max="5379" width="24.109375" customWidth="1"/>
    <col min="5380" max="5382" width="22.77734375" customWidth="1"/>
    <col min="5383" max="5383" width="24.109375" customWidth="1"/>
    <col min="5384" max="5388" width="22.77734375" customWidth="1"/>
    <col min="5389" max="5389" width="24.88671875" customWidth="1"/>
    <col min="5390" max="5390" width="24.88671875" bestFit="1" customWidth="1"/>
    <col min="5391" max="5391" width="15.109375" bestFit="1" customWidth="1"/>
    <col min="5392" max="5392" width="15" bestFit="1" customWidth="1"/>
    <col min="5393" max="5393" width="11.88671875" bestFit="1" customWidth="1"/>
    <col min="5629" max="5629" width="52.21875" bestFit="1" customWidth="1"/>
    <col min="5630" max="5630" width="33.33203125" customWidth="1"/>
    <col min="5631" max="5631" width="24.109375" customWidth="1"/>
    <col min="5632" max="5632" width="22.77734375" customWidth="1"/>
    <col min="5633" max="5633" width="24.109375" customWidth="1"/>
    <col min="5634" max="5634" width="22.77734375" customWidth="1"/>
    <col min="5635" max="5635" width="24.109375" customWidth="1"/>
    <col min="5636" max="5638" width="22.77734375" customWidth="1"/>
    <col min="5639" max="5639" width="24.109375" customWidth="1"/>
    <col min="5640" max="5644" width="22.77734375" customWidth="1"/>
    <col min="5645" max="5645" width="24.88671875" customWidth="1"/>
    <col min="5646" max="5646" width="24.88671875" bestFit="1" customWidth="1"/>
    <col min="5647" max="5647" width="15.109375" bestFit="1" customWidth="1"/>
    <col min="5648" max="5648" width="15" bestFit="1" customWidth="1"/>
    <col min="5649" max="5649" width="11.88671875" bestFit="1" customWidth="1"/>
    <col min="5885" max="5885" width="52.21875" bestFit="1" customWidth="1"/>
    <col min="5886" max="5886" width="33.33203125" customWidth="1"/>
    <col min="5887" max="5887" width="24.109375" customWidth="1"/>
    <col min="5888" max="5888" width="22.77734375" customWidth="1"/>
    <col min="5889" max="5889" width="24.109375" customWidth="1"/>
    <col min="5890" max="5890" width="22.77734375" customWidth="1"/>
    <col min="5891" max="5891" width="24.109375" customWidth="1"/>
    <col min="5892" max="5894" width="22.77734375" customWidth="1"/>
    <col min="5895" max="5895" width="24.109375" customWidth="1"/>
    <col min="5896" max="5900" width="22.77734375" customWidth="1"/>
    <col min="5901" max="5901" width="24.88671875" customWidth="1"/>
    <col min="5902" max="5902" width="24.88671875" bestFit="1" customWidth="1"/>
    <col min="5903" max="5903" width="15.109375" bestFit="1" customWidth="1"/>
    <col min="5904" max="5904" width="15" bestFit="1" customWidth="1"/>
    <col min="5905" max="5905" width="11.88671875" bestFit="1" customWidth="1"/>
    <col min="6141" max="6141" width="52.21875" bestFit="1" customWidth="1"/>
    <col min="6142" max="6142" width="33.33203125" customWidth="1"/>
    <col min="6143" max="6143" width="24.109375" customWidth="1"/>
    <col min="6144" max="6144" width="22.77734375" customWidth="1"/>
    <col min="6145" max="6145" width="24.109375" customWidth="1"/>
    <col min="6146" max="6146" width="22.77734375" customWidth="1"/>
    <col min="6147" max="6147" width="24.109375" customWidth="1"/>
    <col min="6148" max="6150" width="22.77734375" customWidth="1"/>
    <col min="6151" max="6151" width="24.109375" customWidth="1"/>
    <col min="6152" max="6156" width="22.77734375" customWidth="1"/>
    <col min="6157" max="6157" width="24.88671875" customWidth="1"/>
    <col min="6158" max="6158" width="24.88671875" bestFit="1" customWidth="1"/>
    <col min="6159" max="6159" width="15.109375" bestFit="1" customWidth="1"/>
    <col min="6160" max="6160" width="15" bestFit="1" customWidth="1"/>
    <col min="6161" max="6161" width="11.88671875" bestFit="1" customWidth="1"/>
    <col min="6397" max="6397" width="52.21875" bestFit="1" customWidth="1"/>
    <col min="6398" max="6398" width="33.33203125" customWidth="1"/>
    <col min="6399" max="6399" width="24.109375" customWidth="1"/>
    <col min="6400" max="6400" width="22.77734375" customWidth="1"/>
    <col min="6401" max="6401" width="24.109375" customWidth="1"/>
    <col min="6402" max="6402" width="22.77734375" customWidth="1"/>
    <col min="6403" max="6403" width="24.109375" customWidth="1"/>
    <col min="6404" max="6406" width="22.77734375" customWidth="1"/>
    <col min="6407" max="6407" width="24.109375" customWidth="1"/>
    <col min="6408" max="6412" width="22.77734375" customWidth="1"/>
    <col min="6413" max="6413" width="24.88671875" customWidth="1"/>
    <col min="6414" max="6414" width="24.88671875" bestFit="1" customWidth="1"/>
    <col min="6415" max="6415" width="15.109375" bestFit="1" customWidth="1"/>
    <col min="6416" max="6416" width="15" bestFit="1" customWidth="1"/>
    <col min="6417" max="6417" width="11.88671875" bestFit="1" customWidth="1"/>
    <col min="6653" max="6653" width="52.21875" bestFit="1" customWidth="1"/>
    <col min="6654" max="6654" width="33.33203125" customWidth="1"/>
    <col min="6655" max="6655" width="24.109375" customWidth="1"/>
    <col min="6656" max="6656" width="22.77734375" customWidth="1"/>
    <col min="6657" max="6657" width="24.109375" customWidth="1"/>
    <col min="6658" max="6658" width="22.77734375" customWidth="1"/>
    <col min="6659" max="6659" width="24.109375" customWidth="1"/>
    <col min="6660" max="6662" width="22.77734375" customWidth="1"/>
    <col min="6663" max="6663" width="24.109375" customWidth="1"/>
    <col min="6664" max="6668" width="22.77734375" customWidth="1"/>
    <col min="6669" max="6669" width="24.88671875" customWidth="1"/>
    <col min="6670" max="6670" width="24.88671875" bestFit="1" customWidth="1"/>
    <col min="6671" max="6671" width="15.109375" bestFit="1" customWidth="1"/>
    <col min="6672" max="6672" width="15" bestFit="1" customWidth="1"/>
    <col min="6673" max="6673" width="11.88671875" bestFit="1" customWidth="1"/>
    <col min="6909" max="6909" width="52.21875" bestFit="1" customWidth="1"/>
    <col min="6910" max="6910" width="33.33203125" customWidth="1"/>
    <col min="6911" max="6911" width="24.109375" customWidth="1"/>
    <col min="6912" max="6912" width="22.77734375" customWidth="1"/>
    <col min="6913" max="6913" width="24.109375" customWidth="1"/>
    <col min="6914" max="6914" width="22.77734375" customWidth="1"/>
    <col min="6915" max="6915" width="24.109375" customWidth="1"/>
    <col min="6916" max="6918" width="22.77734375" customWidth="1"/>
    <col min="6919" max="6919" width="24.109375" customWidth="1"/>
    <col min="6920" max="6924" width="22.77734375" customWidth="1"/>
    <col min="6925" max="6925" width="24.88671875" customWidth="1"/>
    <col min="6926" max="6926" width="24.88671875" bestFit="1" customWidth="1"/>
    <col min="6927" max="6927" width="15.109375" bestFit="1" customWidth="1"/>
    <col min="6928" max="6928" width="15" bestFit="1" customWidth="1"/>
    <col min="6929" max="6929" width="11.88671875" bestFit="1" customWidth="1"/>
    <col min="7165" max="7165" width="52.21875" bestFit="1" customWidth="1"/>
    <col min="7166" max="7166" width="33.33203125" customWidth="1"/>
    <col min="7167" max="7167" width="24.109375" customWidth="1"/>
    <col min="7168" max="7168" width="22.77734375" customWidth="1"/>
    <col min="7169" max="7169" width="24.109375" customWidth="1"/>
    <col min="7170" max="7170" width="22.77734375" customWidth="1"/>
    <col min="7171" max="7171" width="24.109375" customWidth="1"/>
    <col min="7172" max="7174" width="22.77734375" customWidth="1"/>
    <col min="7175" max="7175" width="24.109375" customWidth="1"/>
    <col min="7176" max="7180" width="22.77734375" customWidth="1"/>
    <col min="7181" max="7181" width="24.88671875" customWidth="1"/>
    <col min="7182" max="7182" width="24.88671875" bestFit="1" customWidth="1"/>
    <col min="7183" max="7183" width="15.109375" bestFit="1" customWidth="1"/>
    <col min="7184" max="7184" width="15" bestFit="1" customWidth="1"/>
    <col min="7185" max="7185" width="11.88671875" bestFit="1" customWidth="1"/>
    <col min="7421" max="7421" width="52.21875" bestFit="1" customWidth="1"/>
    <col min="7422" max="7422" width="33.33203125" customWidth="1"/>
    <col min="7423" max="7423" width="24.109375" customWidth="1"/>
    <col min="7424" max="7424" width="22.77734375" customWidth="1"/>
    <col min="7425" max="7425" width="24.109375" customWidth="1"/>
    <col min="7426" max="7426" width="22.77734375" customWidth="1"/>
    <col min="7427" max="7427" width="24.109375" customWidth="1"/>
    <col min="7428" max="7430" width="22.77734375" customWidth="1"/>
    <col min="7431" max="7431" width="24.109375" customWidth="1"/>
    <col min="7432" max="7436" width="22.77734375" customWidth="1"/>
    <col min="7437" max="7437" width="24.88671875" customWidth="1"/>
    <col min="7438" max="7438" width="24.88671875" bestFit="1" customWidth="1"/>
    <col min="7439" max="7439" width="15.109375" bestFit="1" customWidth="1"/>
    <col min="7440" max="7440" width="15" bestFit="1" customWidth="1"/>
    <col min="7441" max="7441" width="11.88671875" bestFit="1" customWidth="1"/>
    <col min="7677" max="7677" width="52.21875" bestFit="1" customWidth="1"/>
    <col min="7678" max="7678" width="33.33203125" customWidth="1"/>
    <col min="7679" max="7679" width="24.109375" customWidth="1"/>
    <col min="7680" max="7680" width="22.77734375" customWidth="1"/>
    <col min="7681" max="7681" width="24.109375" customWidth="1"/>
    <col min="7682" max="7682" width="22.77734375" customWidth="1"/>
    <col min="7683" max="7683" width="24.109375" customWidth="1"/>
    <col min="7684" max="7686" width="22.77734375" customWidth="1"/>
    <col min="7687" max="7687" width="24.109375" customWidth="1"/>
    <col min="7688" max="7692" width="22.77734375" customWidth="1"/>
    <col min="7693" max="7693" width="24.88671875" customWidth="1"/>
    <col min="7694" max="7694" width="24.88671875" bestFit="1" customWidth="1"/>
    <col min="7695" max="7695" width="15.109375" bestFit="1" customWidth="1"/>
    <col min="7696" max="7696" width="15" bestFit="1" customWidth="1"/>
    <col min="7697" max="7697" width="11.88671875" bestFit="1" customWidth="1"/>
    <col min="7933" max="7933" width="52.21875" bestFit="1" customWidth="1"/>
    <col min="7934" max="7934" width="33.33203125" customWidth="1"/>
    <col min="7935" max="7935" width="24.109375" customWidth="1"/>
    <col min="7936" max="7936" width="22.77734375" customWidth="1"/>
    <col min="7937" max="7937" width="24.109375" customWidth="1"/>
    <col min="7938" max="7938" width="22.77734375" customWidth="1"/>
    <col min="7939" max="7939" width="24.109375" customWidth="1"/>
    <col min="7940" max="7942" width="22.77734375" customWidth="1"/>
    <col min="7943" max="7943" width="24.109375" customWidth="1"/>
    <col min="7944" max="7948" width="22.77734375" customWidth="1"/>
    <col min="7949" max="7949" width="24.88671875" customWidth="1"/>
    <col min="7950" max="7950" width="24.88671875" bestFit="1" customWidth="1"/>
    <col min="7951" max="7951" width="15.109375" bestFit="1" customWidth="1"/>
    <col min="7952" max="7952" width="15" bestFit="1" customWidth="1"/>
    <col min="7953" max="7953" width="11.88671875" bestFit="1" customWidth="1"/>
    <col min="8189" max="8189" width="52.21875" bestFit="1" customWidth="1"/>
    <col min="8190" max="8190" width="33.33203125" customWidth="1"/>
    <col min="8191" max="8191" width="24.109375" customWidth="1"/>
    <col min="8192" max="8192" width="22.77734375" customWidth="1"/>
    <col min="8193" max="8193" width="24.109375" customWidth="1"/>
    <col min="8194" max="8194" width="22.77734375" customWidth="1"/>
    <col min="8195" max="8195" width="24.109375" customWidth="1"/>
    <col min="8196" max="8198" width="22.77734375" customWidth="1"/>
    <col min="8199" max="8199" width="24.109375" customWidth="1"/>
    <col min="8200" max="8204" width="22.77734375" customWidth="1"/>
    <col min="8205" max="8205" width="24.88671875" customWidth="1"/>
    <col min="8206" max="8206" width="24.88671875" bestFit="1" customWidth="1"/>
    <col min="8207" max="8207" width="15.109375" bestFit="1" customWidth="1"/>
    <col min="8208" max="8208" width="15" bestFit="1" customWidth="1"/>
    <col min="8209" max="8209" width="11.88671875" bestFit="1" customWidth="1"/>
    <col min="8445" max="8445" width="52.21875" bestFit="1" customWidth="1"/>
    <col min="8446" max="8446" width="33.33203125" customWidth="1"/>
    <col min="8447" max="8447" width="24.109375" customWidth="1"/>
    <col min="8448" max="8448" width="22.77734375" customWidth="1"/>
    <col min="8449" max="8449" width="24.109375" customWidth="1"/>
    <col min="8450" max="8450" width="22.77734375" customWidth="1"/>
    <col min="8451" max="8451" width="24.109375" customWidth="1"/>
    <col min="8452" max="8454" width="22.77734375" customWidth="1"/>
    <col min="8455" max="8455" width="24.109375" customWidth="1"/>
    <col min="8456" max="8460" width="22.77734375" customWidth="1"/>
    <col min="8461" max="8461" width="24.88671875" customWidth="1"/>
    <col min="8462" max="8462" width="24.88671875" bestFit="1" customWidth="1"/>
    <col min="8463" max="8463" width="15.109375" bestFit="1" customWidth="1"/>
    <col min="8464" max="8464" width="15" bestFit="1" customWidth="1"/>
    <col min="8465" max="8465" width="11.88671875" bestFit="1" customWidth="1"/>
    <col min="8701" max="8701" width="52.21875" bestFit="1" customWidth="1"/>
    <col min="8702" max="8702" width="33.33203125" customWidth="1"/>
    <col min="8703" max="8703" width="24.109375" customWidth="1"/>
    <col min="8704" max="8704" width="22.77734375" customWidth="1"/>
    <col min="8705" max="8705" width="24.109375" customWidth="1"/>
    <col min="8706" max="8706" width="22.77734375" customWidth="1"/>
    <col min="8707" max="8707" width="24.109375" customWidth="1"/>
    <col min="8708" max="8710" width="22.77734375" customWidth="1"/>
    <col min="8711" max="8711" width="24.109375" customWidth="1"/>
    <col min="8712" max="8716" width="22.77734375" customWidth="1"/>
    <col min="8717" max="8717" width="24.88671875" customWidth="1"/>
    <col min="8718" max="8718" width="24.88671875" bestFit="1" customWidth="1"/>
    <col min="8719" max="8719" width="15.109375" bestFit="1" customWidth="1"/>
    <col min="8720" max="8720" width="15" bestFit="1" customWidth="1"/>
    <col min="8721" max="8721" width="11.88671875" bestFit="1" customWidth="1"/>
    <col min="8957" max="8957" width="52.21875" bestFit="1" customWidth="1"/>
    <col min="8958" max="8958" width="33.33203125" customWidth="1"/>
    <col min="8959" max="8959" width="24.109375" customWidth="1"/>
    <col min="8960" max="8960" width="22.77734375" customWidth="1"/>
    <col min="8961" max="8961" width="24.109375" customWidth="1"/>
    <col min="8962" max="8962" width="22.77734375" customWidth="1"/>
    <col min="8963" max="8963" width="24.109375" customWidth="1"/>
    <col min="8964" max="8966" width="22.77734375" customWidth="1"/>
    <col min="8967" max="8967" width="24.109375" customWidth="1"/>
    <col min="8968" max="8972" width="22.77734375" customWidth="1"/>
    <col min="8973" max="8973" width="24.88671875" customWidth="1"/>
    <col min="8974" max="8974" width="24.88671875" bestFit="1" customWidth="1"/>
    <col min="8975" max="8975" width="15.109375" bestFit="1" customWidth="1"/>
    <col min="8976" max="8976" width="15" bestFit="1" customWidth="1"/>
    <col min="8977" max="8977" width="11.88671875" bestFit="1" customWidth="1"/>
    <col min="9213" max="9213" width="52.21875" bestFit="1" customWidth="1"/>
    <col min="9214" max="9214" width="33.33203125" customWidth="1"/>
    <col min="9215" max="9215" width="24.109375" customWidth="1"/>
    <col min="9216" max="9216" width="22.77734375" customWidth="1"/>
    <col min="9217" max="9217" width="24.109375" customWidth="1"/>
    <col min="9218" max="9218" width="22.77734375" customWidth="1"/>
    <col min="9219" max="9219" width="24.109375" customWidth="1"/>
    <col min="9220" max="9222" width="22.77734375" customWidth="1"/>
    <col min="9223" max="9223" width="24.109375" customWidth="1"/>
    <col min="9224" max="9228" width="22.77734375" customWidth="1"/>
    <col min="9229" max="9229" width="24.88671875" customWidth="1"/>
    <col min="9230" max="9230" width="24.88671875" bestFit="1" customWidth="1"/>
    <col min="9231" max="9231" width="15.109375" bestFit="1" customWidth="1"/>
    <col min="9232" max="9232" width="15" bestFit="1" customWidth="1"/>
    <col min="9233" max="9233" width="11.88671875" bestFit="1" customWidth="1"/>
    <col min="9469" max="9469" width="52.21875" bestFit="1" customWidth="1"/>
    <col min="9470" max="9470" width="33.33203125" customWidth="1"/>
    <col min="9471" max="9471" width="24.109375" customWidth="1"/>
    <col min="9472" max="9472" width="22.77734375" customWidth="1"/>
    <col min="9473" max="9473" width="24.109375" customWidth="1"/>
    <col min="9474" max="9474" width="22.77734375" customWidth="1"/>
    <col min="9475" max="9475" width="24.109375" customWidth="1"/>
    <col min="9476" max="9478" width="22.77734375" customWidth="1"/>
    <col min="9479" max="9479" width="24.109375" customWidth="1"/>
    <col min="9480" max="9484" width="22.77734375" customWidth="1"/>
    <col min="9485" max="9485" width="24.88671875" customWidth="1"/>
    <col min="9486" max="9486" width="24.88671875" bestFit="1" customWidth="1"/>
    <col min="9487" max="9487" width="15.109375" bestFit="1" customWidth="1"/>
    <col min="9488" max="9488" width="15" bestFit="1" customWidth="1"/>
    <col min="9489" max="9489" width="11.88671875" bestFit="1" customWidth="1"/>
    <col min="9725" max="9725" width="52.21875" bestFit="1" customWidth="1"/>
    <col min="9726" max="9726" width="33.33203125" customWidth="1"/>
    <col min="9727" max="9727" width="24.109375" customWidth="1"/>
    <col min="9728" max="9728" width="22.77734375" customWidth="1"/>
    <col min="9729" max="9729" width="24.109375" customWidth="1"/>
    <col min="9730" max="9730" width="22.77734375" customWidth="1"/>
    <col min="9731" max="9731" width="24.109375" customWidth="1"/>
    <col min="9732" max="9734" width="22.77734375" customWidth="1"/>
    <col min="9735" max="9735" width="24.109375" customWidth="1"/>
    <col min="9736" max="9740" width="22.77734375" customWidth="1"/>
    <col min="9741" max="9741" width="24.88671875" customWidth="1"/>
    <col min="9742" max="9742" width="24.88671875" bestFit="1" customWidth="1"/>
    <col min="9743" max="9743" width="15.109375" bestFit="1" customWidth="1"/>
    <col min="9744" max="9744" width="15" bestFit="1" customWidth="1"/>
    <col min="9745" max="9745" width="11.88671875" bestFit="1" customWidth="1"/>
    <col min="9981" max="9981" width="52.21875" bestFit="1" customWidth="1"/>
    <col min="9982" max="9982" width="33.33203125" customWidth="1"/>
    <col min="9983" max="9983" width="24.109375" customWidth="1"/>
    <col min="9984" max="9984" width="22.77734375" customWidth="1"/>
    <col min="9985" max="9985" width="24.109375" customWidth="1"/>
    <col min="9986" max="9986" width="22.77734375" customWidth="1"/>
    <col min="9987" max="9987" width="24.109375" customWidth="1"/>
    <col min="9988" max="9990" width="22.77734375" customWidth="1"/>
    <col min="9991" max="9991" width="24.109375" customWidth="1"/>
    <col min="9992" max="9996" width="22.77734375" customWidth="1"/>
    <col min="9997" max="9997" width="24.88671875" customWidth="1"/>
    <col min="9998" max="9998" width="24.88671875" bestFit="1" customWidth="1"/>
    <col min="9999" max="9999" width="15.109375" bestFit="1" customWidth="1"/>
    <col min="10000" max="10000" width="15" bestFit="1" customWidth="1"/>
    <col min="10001" max="10001" width="11.88671875" bestFit="1" customWidth="1"/>
    <col min="10237" max="10237" width="52.21875" bestFit="1" customWidth="1"/>
    <col min="10238" max="10238" width="33.33203125" customWidth="1"/>
    <col min="10239" max="10239" width="24.109375" customWidth="1"/>
    <col min="10240" max="10240" width="22.77734375" customWidth="1"/>
    <col min="10241" max="10241" width="24.109375" customWidth="1"/>
    <col min="10242" max="10242" width="22.77734375" customWidth="1"/>
    <col min="10243" max="10243" width="24.109375" customWidth="1"/>
    <col min="10244" max="10246" width="22.77734375" customWidth="1"/>
    <col min="10247" max="10247" width="24.109375" customWidth="1"/>
    <col min="10248" max="10252" width="22.77734375" customWidth="1"/>
    <col min="10253" max="10253" width="24.88671875" customWidth="1"/>
    <col min="10254" max="10254" width="24.88671875" bestFit="1" customWidth="1"/>
    <col min="10255" max="10255" width="15.109375" bestFit="1" customWidth="1"/>
    <col min="10256" max="10256" width="15" bestFit="1" customWidth="1"/>
    <col min="10257" max="10257" width="11.88671875" bestFit="1" customWidth="1"/>
    <col min="10493" max="10493" width="52.21875" bestFit="1" customWidth="1"/>
    <col min="10494" max="10494" width="33.33203125" customWidth="1"/>
    <col min="10495" max="10495" width="24.109375" customWidth="1"/>
    <col min="10496" max="10496" width="22.77734375" customWidth="1"/>
    <col min="10497" max="10497" width="24.109375" customWidth="1"/>
    <col min="10498" max="10498" width="22.77734375" customWidth="1"/>
    <col min="10499" max="10499" width="24.109375" customWidth="1"/>
    <col min="10500" max="10502" width="22.77734375" customWidth="1"/>
    <col min="10503" max="10503" width="24.109375" customWidth="1"/>
    <col min="10504" max="10508" width="22.77734375" customWidth="1"/>
    <col min="10509" max="10509" width="24.88671875" customWidth="1"/>
    <col min="10510" max="10510" width="24.88671875" bestFit="1" customWidth="1"/>
    <col min="10511" max="10511" width="15.109375" bestFit="1" customWidth="1"/>
    <col min="10512" max="10512" width="15" bestFit="1" customWidth="1"/>
    <col min="10513" max="10513" width="11.88671875" bestFit="1" customWidth="1"/>
    <col min="10749" max="10749" width="52.21875" bestFit="1" customWidth="1"/>
    <col min="10750" max="10750" width="33.33203125" customWidth="1"/>
    <col min="10751" max="10751" width="24.109375" customWidth="1"/>
    <col min="10752" max="10752" width="22.77734375" customWidth="1"/>
    <col min="10753" max="10753" width="24.109375" customWidth="1"/>
    <col min="10754" max="10754" width="22.77734375" customWidth="1"/>
    <col min="10755" max="10755" width="24.109375" customWidth="1"/>
    <col min="10756" max="10758" width="22.77734375" customWidth="1"/>
    <col min="10759" max="10759" width="24.109375" customWidth="1"/>
    <col min="10760" max="10764" width="22.77734375" customWidth="1"/>
    <col min="10765" max="10765" width="24.88671875" customWidth="1"/>
    <col min="10766" max="10766" width="24.88671875" bestFit="1" customWidth="1"/>
    <col min="10767" max="10767" width="15.109375" bestFit="1" customWidth="1"/>
    <col min="10768" max="10768" width="15" bestFit="1" customWidth="1"/>
    <col min="10769" max="10769" width="11.88671875" bestFit="1" customWidth="1"/>
    <col min="11005" max="11005" width="52.21875" bestFit="1" customWidth="1"/>
    <col min="11006" max="11006" width="33.33203125" customWidth="1"/>
    <col min="11007" max="11007" width="24.109375" customWidth="1"/>
    <col min="11008" max="11008" width="22.77734375" customWidth="1"/>
    <col min="11009" max="11009" width="24.109375" customWidth="1"/>
    <col min="11010" max="11010" width="22.77734375" customWidth="1"/>
    <col min="11011" max="11011" width="24.109375" customWidth="1"/>
    <col min="11012" max="11014" width="22.77734375" customWidth="1"/>
    <col min="11015" max="11015" width="24.109375" customWidth="1"/>
    <col min="11016" max="11020" width="22.77734375" customWidth="1"/>
    <col min="11021" max="11021" width="24.88671875" customWidth="1"/>
    <col min="11022" max="11022" width="24.88671875" bestFit="1" customWidth="1"/>
    <col min="11023" max="11023" width="15.109375" bestFit="1" customWidth="1"/>
    <col min="11024" max="11024" width="15" bestFit="1" customWidth="1"/>
    <col min="11025" max="11025" width="11.88671875" bestFit="1" customWidth="1"/>
    <col min="11261" max="11261" width="52.21875" bestFit="1" customWidth="1"/>
    <col min="11262" max="11262" width="33.33203125" customWidth="1"/>
    <col min="11263" max="11263" width="24.109375" customWidth="1"/>
    <col min="11264" max="11264" width="22.77734375" customWidth="1"/>
    <col min="11265" max="11265" width="24.109375" customWidth="1"/>
    <col min="11266" max="11266" width="22.77734375" customWidth="1"/>
    <col min="11267" max="11267" width="24.109375" customWidth="1"/>
    <col min="11268" max="11270" width="22.77734375" customWidth="1"/>
    <col min="11271" max="11271" width="24.109375" customWidth="1"/>
    <col min="11272" max="11276" width="22.77734375" customWidth="1"/>
    <col min="11277" max="11277" width="24.88671875" customWidth="1"/>
    <col min="11278" max="11278" width="24.88671875" bestFit="1" customWidth="1"/>
    <col min="11279" max="11279" width="15.109375" bestFit="1" customWidth="1"/>
    <col min="11280" max="11280" width="15" bestFit="1" customWidth="1"/>
    <col min="11281" max="11281" width="11.88671875" bestFit="1" customWidth="1"/>
    <col min="11517" max="11517" width="52.21875" bestFit="1" customWidth="1"/>
    <col min="11518" max="11518" width="33.33203125" customWidth="1"/>
    <col min="11519" max="11519" width="24.109375" customWidth="1"/>
    <col min="11520" max="11520" width="22.77734375" customWidth="1"/>
    <col min="11521" max="11521" width="24.109375" customWidth="1"/>
    <col min="11522" max="11522" width="22.77734375" customWidth="1"/>
    <col min="11523" max="11523" width="24.109375" customWidth="1"/>
    <col min="11524" max="11526" width="22.77734375" customWidth="1"/>
    <col min="11527" max="11527" width="24.109375" customWidth="1"/>
    <col min="11528" max="11532" width="22.77734375" customWidth="1"/>
    <col min="11533" max="11533" width="24.88671875" customWidth="1"/>
    <col min="11534" max="11534" width="24.88671875" bestFit="1" customWidth="1"/>
    <col min="11535" max="11535" width="15.109375" bestFit="1" customWidth="1"/>
    <col min="11536" max="11536" width="15" bestFit="1" customWidth="1"/>
    <col min="11537" max="11537" width="11.88671875" bestFit="1" customWidth="1"/>
    <col min="11773" max="11773" width="52.21875" bestFit="1" customWidth="1"/>
    <col min="11774" max="11774" width="33.33203125" customWidth="1"/>
    <col min="11775" max="11775" width="24.109375" customWidth="1"/>
    <col min="11776" max="11776" width="22.77734375" customWidth="1"/>
    <col min="11777" max="11777" width="24.109375" customWidth="1"/>
    <col min="11778" max="11778" width="22.77734375" customWidth="1"/>
    <col min="11779" max="11779" width="24.109375" customWidth="1"/>
    <col min="11780" max="11782" width="22.77734375" customWidth="1"/>
    <col min="11783" max="11783" width="24.109375" customWidth="1"/>
    <col min="11784" max="11788" width="22.77734375" customWidth="1"/>
    <col min="11789" max="11789" width="24.88671875" customWidth="1"/>
    <col min="11790" max="11790" width="24.88671875" bestFit="1" customWidth="1"/>
    <col min="11791" max="11791" width="15.109375" bestFit="1" customWidth="1"/>
    <col min="11792" max="11792" width="15" bestFit="1" customWidth="1"/>
    <col min="11793" max="11793" width="11.88671875" bestFit="1" customWidth="1"/>
    <col min="12029" max="12029" width="52.21875" bestFit="1" customWidth="1"/>
    <col min="12030" max="12030" width="33.33203125" customWidth="1"/>
    <col min="12031" max="12031" width="24.109375" customWidth="1"/>
    <col min="12032" max="12032" width="22.77734375" customWidth="1"/>
    <col min="12033" max="12033" width="24.109375" customWidth="1"/>
    <col min="12034" max="12034" width="22.77734375" customWidth="1"/>
    <col min="12035" max="12035" width="24.109375" customWidth="1"/>
    <col min="12036" max="12038" width="22.77734375" customWidth="1"/>
    <col min="12039" max="12039" width="24.109375" customWidth="1"/>
    <col min="12040" max="12044" width="22.77734375" customWidth="1"/>
    <col min="12045" max="12045" width="24.88671875" customWidth="1"/>
    <col min="12046" max="12046" width="24.88671875" bestFit="1" customWidth="1"/>
    <col min="12047" max="12047" width="15.109375" bestFit="1" customWidth="1"/>
    <col min="12048" max="12048" width="15" bestFit="1" customWidth="1"/>
    <col min="12049" max="12049" width="11.88671875" bestFit="1" customWidth="1"/>
    <col min="12285" max="12285" width="52.21875" bestFit="1" customWidth="1"/>
    <col min="12286" max="12286" width="33.33203125" customWidth="1"/>
    <col min="12287" max="12287" width="24.109375" customWidth="1"/>
    <col min="12288" max="12288" width="22.77734375" customWidth="1"/>
    <col min="12289" max="12289" width="24.109375" customWidth="1"/>
    <col min="12290" max="12290" width="22.77734375" customWidth="1"/>
    <col min="12291" max="12291" width="24.109375" customWidth="1"/>
    <col min="12292" max="12294" width="22.77734375" customWidth="1"/>
    <col min="12295" max="12295" width="24.109375" customWidth="1"/>
    <col min="12296" max="12300" width="22.77734375" customWidth="1"/>
    <col min="12301" max="12301" width="24.88671875" customWidth="1"/>
    <col min="12302" max="12302" width="24.88671875" bestFit="1" customWidth="1"/>
    <col min="12303" max="12303" width="15.109375" bestFit="1" customWidth="1"/>
    <col min="12304" max="12304" width="15" bestFit="1" customWidth="1"/>
    <col min="12305" max="12305" width="11.88671875" bestFit="1" customWidth="1"/>
    <col min="12541" max="12541" width="52.21875" bestFit="1" customWidth="1"/>
    <col min="12542" max="12542" width="33.33203125" customWidth="1"/>
    <col min="12543" max="12543" width="24.109375" customWidth="1"/>
    <col min="12544" max="12544" width="22.77734375" customWidth="1"/>
    <col min="12545" max="12545" width="24.109375" customWidth="1"/>
    <col min="12546" max="12546" width="22.77734375" customWidth="1"/>
    <col min="12547" max="12547" width="24.109375" customWidth="1"/>
    <col min="12548" max="12550" width="22.77734375" customWidth="1"/>
    <col min="12551" max="12551" width="24.109375" customWidth="1"/>
    <col min="12552" max="12556" width="22.77734375" customWidth="1"/>
    <col min="12557" max="12557" width="24.88671875" customWidth="1"/>
    <col min="12558" max="12558" width="24.88671875" bestFit="1" customWidth="1"/>
    <col min="12559" max="12559" width="15.109375" bestFit="1" customWidth="1"/>
    <col min="12560" max="12560" width="15" bestFit="1" customWidth="1"/>
    <col min="12561" max="12561" width="11.88671875" bestFit="1" customWidth="1"/>
    <col min="12797" max="12797" width="52.21875" bestFit="1" customWidth="1"/>
    <col min="12798" max="12798" width="33.33203125" customWidth="1"/>
    <col min="12799" max="12799" width="24.109375" customWidth="1"/>
    <col min="12800" max="12800" width="22.77734375" customWidth="1"/>
    <col min="12801" max="12801" width="24.109375" customWidth="1"/>
    <col min="12802" max="12802" width="22.77734375" customWidth="1"/>
    <col min="12803" max="12803" width="24.109375" customWidth="1"/>
    <col min="12804" max="12806" width="22.77734375" customWidth="1"/>
    <col min="12807" max="12807" width="24.109375" customWidth="1"/>
    <col min="12808" max="12812" width="22.77734375" customWidth="1"/>
    <col min="12813" max="12813" width="24.88671875" customWidth="1"/>
    <col min="12814" max="12814" width="24.88671875" bestFit="1" customWidth="1"/>
    <col min="12815" max="12815" width="15.109375" bestFit="1" customWidth="1"/>
    <col min="12816" max="12816" width="15" bestFit="1" customWidth="1"/>
    <col min="12817" max="12817" width="11.88671875" bestFit="1" customWidth="1"/>
    <col min="13053" max="13053" width="52.21875" bestFit="1" customWidth="1"/>
    <col min="13054" max="13054" width="33.33203125" customWidth="1"/>
    <col min="13055" max="13055" width="24.109375" customWidth="1"/>
    <col min="13056" max="13056" width="22.77734375" customWidth="1"/>
    <col min="13057" max="13057" width="24.109375" customWidth="1"/>
    <col min="13058" max="13058" width="22.77734375" customWidth="1"/>
    <col min="13059" max="13059" width="24.109375" customWidth="1"/>
    <col min="13060" max="13062" width="22.77734375" customWidth="1"/>
    <col min="13063" max="13063" width="24.109375" customWidth="1"/>
    <col min="13064" max="13068" width="22.77734375" customWidth="1"/>
    <col min="13069" max="13069" width="24.88671875" customWidth="1"/>
    <col min="13070" max="13070" width="24.88671875" bestFit="1" customWidth="1"/>
    <col min="13071" max="13071" width="15.109375" bestFit="1" customWidth="1"/>
    <col min="13072" max="13072" width="15" bestFit="1" customWidth="1"/>
    <col min="13073" max="13073" width="11.88671875" bestFit="1" customWidth="1"/>
    <col min="13309" max="13309" width="52.21875" bestFit="1" customWidth="1"/>
    <col min="13310" max="13310" width="33.33203125" customWidth="1"/>
    <col min="13311" max="13311" width="24.109375" customWidth="1"/>
    <col min="13312" max="13312" width="22.77734375" customWidth="1"/>
    <col min="13313" max="13313" width="24.109375" customWidth="1"/>
    <col min="13314" max="13314" width="22.77734375" customWidth="1"/>
    <col min="13315" max="13315" width="24.109375" customWidth="1"/>
    <col min="13316" max="13318" width="22.77734375" customWidth="1"/>
    <col min="13319" max="13319" width="24.109375" customWidth="1"/>
    <col min="13320" max="13324" width="22.77734375" customWidth="1"/>
    <col min="13325" max="13325" width="24.88671875" customWidth="1"/>
    <col min="13326" max="13326" width="24.88671875" bestFit="1" customWidth="1"/>
    <col min="13327" max="13327" width="15.109375" bestFit="1" customWidth="1"/>
    <col min="13328" max="13328" width="15" bestFit="1" customWidth="1"/>
    <col min="13329" max="13329" width="11.88671875" bestFit="1" customWidth="1"/>
    <col min="13565" max="13565" width="52.21875" bestFit="1" customWidth="1"/>
    <col min="13566" max="13566" width="33.33203125" customWidth="1"/>
    <col min="13567" max="13567" width="24.109375" customWidth="1"/>
    <col min="13568" max="13568" width="22.77734375" customWidth="1"/>
    <col min="13569" max="13569" width="24.109375" customWidth="1"/>
    <col min="13570" max="13570" width="22.77734375" customWidth="1"/>
    <col min="13571" max="13571" width="24.109375" customWidth="1"/>
    <col min="13572" max="13574" width="22.77734375" customWidth="1"/>
    <col min="13575" max="13575" width="24.109375" customWidth="1"/>
    <col min="13576" max="13580" width="22.77734375" customWidth="1"/>
    <col min="13581" max="13581" width="24.88671875" customWidth="1"/>
    <col min="13582" max="13582" width="24.88671875" bestFit="1" customWidth="1"/>
    <col min="13583" max="13583" width="15.109375" bestFit="1" customWidth="1"/>
    <col min="13584" max="13584" width="15" bestFit="1" customWidth="1"/>
    <col min="13585" max="13585" width="11.88671875" bestFit="1" customWidth="1"/>
    <col min="13821" max="13821" width="52.21875" bestFit="1" customWidth="1"/>
    <col min="13822" max="13822" width="33.33203125" customWidth="1"/>
    <col min="13823" max="13823" width="24.109375" customWidth="1"/>
    <col min="13824" max="13824" width="22.77734375" customWidth="1"/>
    <col min="13825" max="13825" width="24.109375" customWidth="1"/>
    <col min="13826" max="13826" width="22.77734375" customWidth="1"/>
    <col min="13827" max="13827" width="24.109375" customWidth="1"/>
    <col min="13828" max="13830" width="22.77734375" customWidth="1"/>
    <col min="13831" max="13831" width="24.109375" customWidth="1"/>
    <col min="13832" max="13836" width="22.77734375" customWidth="1"/>
    <col min="13837" max="13837" width="24.88671875" customWidth="1"/>
    <col min="13838" max="13838" width="24.88671875" bestFit="1" customWidth="1"/>
    <col min="13839" max="13839" width="15.109375" bestFit="1" customWidth="1"/>
    <col min="13840" max="13840" width="15" bestFit="1" customWidth="1"/>
    <col min="13841" max="13841" width="11.88671875" bestFit="1" customWidth="1"/>
    <col min="14077" max="14077" width="52.21875" bestFit="1" customWidth="1"/>
    <col min="14078" max="14078" width="33.33203125" customWidth="1"/>
    <col min="14079" max="14079" width="24.109375" customWidth="1"/>
    <col min="14080" max="14080" width="22.77734375" customWidth="1"/>
    <col min="14081" max="14081" width="24.109375" customWidth="1"/>
    <col min="14082" max="14082" width="22.77734375" customWidth="1"/>
    <col min="14083" max="14083" width="24.109375" customWidth="1"/>
    <col min="14084" max="14086" width="22.77734375" customWidth="1"/>
    <col min="14087" max="14087" width="24.109375" customWidth="1"/>
    <col min="14088" max="14092" width="22.77734375" customWidth="1"/>
    <col min="14093" max="14093" width="24.88671875" customWidth="1"/>
    <col min="14094" max="14094" width="24.88671875" bestFit="1" customWidth="1"/>
    <col min="14095" max="14095" width="15.109375" bestFit="1" customWidth="1"/>
    <col min="14096" max="14096" width="15" bestFit="1" customWidth="1"/>
    <col min="14097" max="14097" width="11.88671875" bestFit="1" customWidth="1"/>
    <col min="14333" max="14333" width="52.21875" bestFit="1" customWidth="1"/>
    <col min="14334" max="14334" width="33.33203125" customWidth="1"/>
    <col min="14335" max="14335" width="24.109375" customWidth="1"/>
    <col min="14336" max="14336" width="22.77734375" customWidth="1"/>
    <col min="14337" max="14337" width="24.109375" customWidth="1"/>
    <col min="14338" max="14338" width="22.77734375" customWidth="1"/>
    <col min="14339" max="14339" width="24.109375" customWidth="1"/>
    <col min="14340" max="14342" width="22.77734375" customWidth="1"/>
    <col min="14343" max="14343" width="24.109375" customWidth="1"/>
    <col min="14344" max="14348" width="22.77734375" customWidth="1"/>
    <col min="14349" max="14349" width="24.88671875" customWidth="1"/>
    <col min="14350" max="14350" width="24.88671875" bestFit="1" customWidth="1"/>
    <col min="14351" max="14351" width="15.109375" bestFit="1" customWidth="1"/>
    <col min="14352" max="14352" width="15" bestFit="1" customWidth="1"/>
    <col min="14353" max="14353" width="11.88671875" bestFit="1" customWidth="1"/>
    <col min="14589" max="14589" width="52.21875" bestFit="1" customWidth="1"/>
    <col min="14590" max="14590" width="33.33203125" customWidth="1"/>
    <col min="14591" max="14591" width="24.109375" customWidth="1"/>
    <col min="14592" max="14592" width="22.77734375" customWidth="1"/>
    <col min="14593" max="14593" width="24.109375" customWidth="1"/>
    <col min="14594" max="14594" width="22.77734375" customWidth="1"/>
    <col min="14595" max="14595" width="24.109375" customWidth="1"/>
    <col min="14596" max="14598" width="22.77734375" customWidth="1"/>
    <col min="14599" max="14599" width="24.109375" customWidth="1"/>
    <col min="14600" max="14604" width="22.77734375" customWidth="1"/>
    <col min="14605" max="14605" width="24.88671875" customWidth="1"/>
    <col min="14606" max="14606" width="24.88671875" bestFit="1" customWidth="1"/>
    <col min="14607" max="14607" width="15.109375" bestFit="1" customWidth="1"/>
    <col min="14608" max="14608" width="15" bestFit="1" customWidth="1"/>
    <col min="14609" max="14609" width="11.88671875" bestFit="1" customWidth="1"/>
    <col min="14845" max="14845" width="52.21875" bestFit="1" customWidth="1"/>
    <col min="14846" max="14846" width="33.33203125" customWidth="1"/>
    <col min="14847" max="14847" width="24.109375" customWidth="1"/>
    <col min="14848" max="14848" width="22.77734375" customWidth="1"/>
    <col min="14849" max="14849" width="24.109375" customWidth="1"/>
    <col min="14850" max="14850" width="22.77734375" customWidth="1"/>
    <col min="14851" max="14851" width="24.109375" customWidth="1"/>
    <col min="14852" max="14854" width="22.77734375" customWidth="1"/>
    <col min="14855" max="14855" width="24.109375" customWidth="1"/>
    <col min="14856" max="14860" width="22.77734375" customWidth="1"/>
    <col min="14861" max="14861" width="24.88671875" customWidth="1"/>
    <col min="14862" max="14862" width="24.88671875" bestFit="1" customWidth="1"/>
    <col min="14863" max="14863" width="15.109375" bestFit="1" customWidth="1"/>
    <col min="14864" max="14864" width="15" bestFit="1" customWidth="1"/>
    <col min="14865" max="14865" width="11.88671875" bestFit="1" customWidth="1"/>
    <col min="15101" max="15101" width="52.21875" bestFit="1" customWidth="1"/>
    <col min="15102" max="15102" width="33.33203125" customWidth="1"/>
    <col min="15103" max="15103" width="24.109375" customWidth="1"/>
    <col min="15104" max="15104" width="22.77734375" customWidth="1"/>
    <col min="15105" max="15105" width="24.109375" customWidth="1"/>
    <col min="15106" max="15106" width="22.77734375" customWidth="1"/>
    <col min="15107" max="15107" width="24.109375" customWidth="1"/>
    <col min="15108" max="15110" width="22.77734375" customWidth="1"/>
    <col min="15111" max="15111" width="24.109375" customWidth="1"/>
    <col min="15112" max="15116" width="22.77734375" customWidth="1"/>
    <col min="15117" max="15117" width="24.88671875" customWidth="1"/>
    <col min="15118" max="15118" width="24.88671875" bestFit="1" customWidth="1"/>
    <col min="15119" max="15119" width="15.109375" bestFit="1" customWidth="1"/>
    <col min="15120" max="15120" width="15" bestFit="1" customWidth="1"/>
    <col min="15121" max="15121" width="11.88671875" bestFit="1" customWidth="1"/>
    <col min="15357" max="15357" width="52.21875" bestFit="1" customWidth="1"/>
    <col min="15358" max="15358" width="33.33203125" customWidth="1"/>
    <col min="15359" max="15359" width="24.109375" customWidth="1"/>
    <col min="15360" max="15360" width="22.77734375" customWidth="1"/>
    <col min="15361" max="15361" width="24.109375" customWidth="1"/>
    <col min="15362" max="15362" width="22.77734375" customWidth="1"/>
    <col min="15363" max="15363" width="24.109375" customWidth="1"/>
    <col min="15364" max="15366" width="22.77734375" customWidth="1"/>
    <col min="15367" max="15367" width="24.109375" customWidth="1"/>
    <col min="15368" max="15372" width="22.77734375" customWidth="1"/>
    <col min="15373" max="15373" width="24.88671875" customWidth="1"/>
    <col min="15374" max="15374" width="24.88671875" bestFit="1" customWidth="1"/>
    <col min="15375" max="15375" width="15.109375" bestFit="1" customWidth="1"/>
    <col min="15376" max="15376" width="15" bestFit="1" customWidth="1"/>
    <col min="15377" max="15377" width="11.88671875" bestFit="1" customWidth="1"/>
    <col min="15613" max="15613" width="52.21875" bestFit="1" customWidth="1"/>
    <col min="15614" max="15614" width="33.33203125" customWidth="1"/>
    <col min="15615" max="15615" width="24.109375" customWidth="1"/>
    <col min="15616" max="15616" width="22.77734375" customWidth="1"/>
    <col min="15617" max="15617" width="24.109375" customWidth="1"/>
    <col min="15618" max="15618" width="22.77734375" customWidth="1"/>
    <col min="15619" max="15619" width="24.109375" customWidth="1"/>
    <col min="15620" max="15622" width="22.77734375" customWidth="1"/>
    <col min="15623" max="15623" width="24.109375" customWidth="1"/>
    <col min="15624" max="15628" width="22.77734375" customWidth="1"/>
    <col min="15629" max="15629" width="24.88671875" customWidth="1"/>
    <col min="15630" max="15630" width="24.88671875" bestFit="1" customWidth="1"/>
    <col min="15631" max="15631" width="15.109375" bestFit="1" customWidth="1"/>
    <col min="15632" max="15632" width="15" bestFit="1" customWidth="1"/>
    <col min="15633" max="15633" width="11.88671875" bestFit="1" customWidth="1"/>
    <col min="15869" max="15869" width="52.21875" bestFit="1" customWidth="1"/>
    <col min="15870" max="15870" width="33.33203125" customWidth="1"/>
    <col min="15871" max="15871" width="24.109375" customWidth="1"/>
    <col min="15872" max="15872" width="22.77734375" customWidth="1"/>
    <col min="15873" max="15873" width="24.109375" customWidth="1"/>
    <col min="15874" max="15874" width="22.77734375" customWidth="1"/>
    <col min="15875" max="15875" width="24.109375" customWidth="1"/>
    <col min="15876" max="15878" width="22.77734375" customWidth="1"/>
    <col min="15879" max="15879" width="24.109375" customWidth="1"/>
    <col min="15880" max="15884" width="22.77734375" customWidth="1"/>
    <col min="15885" max="15885" width="24.88671875" customWidth="1"/>
    <col min="15886" max="15886" width="24.88671875" bestFit="1" customWidth="1"/>
    <col min="15887" max="15887" width="15.109375" bestFit="1" customWidth="1"/>
    <col min="15888" max="15888" width="15" bestFit="1" customWidth="1"/>
    <col min="15889" max="15889" width="11.88671875" bestFit="1" customWidth="1"/>
    <col min="16125" max="16125" width="52.21875" bestFit="1" customWidth="1"/>
    <col min="16126" max="16126" width="33.33203125" customWidth="1"/>
    <col min="16127" max="16127" width="24.109375" customWidth="1"/>
    <col min="16128" max="16128" width="22.77734375" customWidth="1"/>
    <col min="16129" max="16129" width="24.109375" customWidth="1"/>
    <col min="16130" max="16130" width="22.77734375" customWidth="1"/>
    <col min="16131" max="16131" width="24.109375" customWidth="1"/>
    <col min="16132" max="16134" width="22.77734375" customWidth="1"/>
    <col min="16135" max="16135" width="24.109375" customWidth="1"/>
    <col min="16136" max="16140" width="22.77734375" customWidth="1"/>
    <col min="16141" max="16141" width="24.88671875" customWidth="1"/>
    <col min="16142" max="16142" width="24.88671875" bestFit="1" customWidth="1"/>
    <col min="16143" max="16143" width="15.109375" bestFit="1" customWidth="1"/>
    <col min="16144" max="16144" width="15" bestFit="1" customWidth="1"/>
    <col min="16145" max="16145" width="11.88671875" bestFit="1" customWidth="1"/>
  </cols>
  <sheetData>
    <row r="1" spans="1:19">
      <c r="A1" s="22"/>
    </row>
    <row r="2" spans="1:19" s="24" customFormat="1" ht="21.6" thickBot="1">
      <c r="A2" s="23" t="s">
        <v>180</v>
      </c>
      <c r="R2" s="25" t="s">
        <v>181</v>
      </c>
    </row>
    <row r="3" spans="1:19" s="28" customFormat="1" ht="19.2" thickTop="1" thickBot="1">
      <c r="A3" s="26" t="s">
        <v>182</v>
      </c>
      <c r="B3" s="27">
        <v>44562</v>
      </c>
      <c r="C3" s="27">
        <v>44593</v>
      </c>
      <c r="D3" s="27">
        <v>44621</v>
      </c>
      <c r="E3" s="27" t="s">
        <v>183</v>
      </c>
      <c r="F3" s="27">
        <v>44652</v>
      </c>
      <c r="G3" s="27">
        <v>44682</v>
      </c>
      <c r="H3" s="27">
        <v>44713</v>
      </c>
      <c r="I3" s="27" t="s">
        <v>184</v>
      </c>
      <c r="J3" s="27">
        <v>44743</v>
      </c>
      <c r="K3" s="27">
        <v>44774</v>
      </c>
      <c r="L3" s="27">
        <v>44805</v>
      </c>
      <c r="M3" s="27" t="s">
        <v>185</v>
      </c>
      <c r="N3" s="27">
        <v>44835</v>
      </c>
      <c r="O3" s="27">
        <v>44866</v>
      </c>
      <c r="P3" s="27">
        <v>44896</v>
      </c>
      <c r="Q3" s="27" t="s">
        <v>186</v>
      </c>
      <c r="R3" s="27" t="s">
        <v>187</v>
      </c>
    </row>
    <row r="4" spans="1:19" s="28" customFormat="1" ht="21.6" hidden="1" thickTop="1">
      <c r="A4" s="29" t="s">
        <v>188</v>
      </c>
      <c r="B4" s="29">
        <f>'[33]Budget 2022'!E81</f>
        <v>24705224.993333321</v>
      </c>
      <c r="C4" s="29">
        <f>'[33]Budget 2022'!F81</f>
        <v>26455224.993333321</v>
      </c>
      <c r="D4" s="29">
        <f>'[33]Budget 2022'!G81</f>
        <v>28315224.993333321</v>
      </c>
      <c r="E4" s="30">
        <f>SUM(B4:D4)</f>
        <v>79475674.979999959</v>
      </c>
      <c r="F4" s="29">
        <f>'[33]Budget 2022'!I81</f>
        <v>26757279.32</v>
      </c>
      <c r="G4" s="29">
        <f>'[33]Budget 2022'!J81</f>
        <v>25987996.32</v>
      </c>
      <c r="H4" s="29">
        <f>'[33]Budget 2022'!K81</f>
        <v>26479040.32</v>
      </c>
      <c r="I4" s="30">
        <f>SUM(F4:H4)</f>
        <v>79224315.960000008</v>
      </c>
      <c r="J4" s="29">
        <f>'[33]Budget 2022'!M81</f>
        <v>18699999.986666668</v>
      </c>
      <c r="K4" s="29">
        <f>'[33]Budget 2022'!N81</f>
        <v>18699999.986666668</v>
      </c>
      <c r="L4" s="29">
        <f>'[33]Budget 2022'!O81</f>
        <v>18699999.986666668</v>
      </c>
      <c r="M4" s="30">
        <f>SUM(J4:L4)</f>
        <v>56099999.960000008</v>
      </c>
      <c r="N4" s="29">
        <f>'[33]Budget 2022'!Q81</f>
        <v>19070977.986666668</v>
      </c>
      <c r="O4" s="29">
        <f>'[33]Budget 2022'!R81</f>
        <v>18134365.986666668</v>
      </c>
      <c r="P4" s="29">
        <f>'[33]Budget 2022'!S81</f>
        <v>18134365.986666668</v>
      </c>
      <c r="Q4" s="30">
        <f>SUM(N4:P4)</f>
        <v>55339709.960000008</v>
      </c>
      <c r="R4" s="30">
        <f>Q4+M4+I4+E4</f>
        <v>270139700.86000001</v>
      </c>
    </row>
    <row r="5" spans="1:19" s="28" customFormat="1" ht="21" hidden="1">
      <c r="A5" s="29" t="s">
        <v>189</v>
      </c>
      <c r="B5" s="29">
        <f>'[33]Budget 2022'!E82</f>
        <v>1958966</v>
      </c>
      <c r="C5" s="29">
        <f>'[33]Budget 2022'!F82</f>
        <v>1958966</v>
      </c>
      <c r="D5" s="29">
        <f>'[33]Budget 2022'!G82</f>
        <v>1958966</v>
      </c>
      <c r="E5" s="30">
        <f>SUM(B5:D5)</f>
        <v>5876898</v>
      </c>
      <c r="F5" s="29">
        <f>'[33]Budget 2022'!I82</f>
        <v>1758966</v>
      </c>
      <c r="G5" s="29">
        <f>'[33]Budget 2022'!J82</f>
        <v>1758966</v>
      </c>
      <c r="H5" s="29">
        <f>'[33]Budget 2022'!K82</f>
        <v>1758966</v>
      </c>
      <c r="I5" s="30">
        <f>SUM(F5:H5)</f>
        <v>5276898</v>
      </c>
      <c r="J5" s="29">
        <f>'[33]Budget 2022'!M82</f>
        <v>864366</v>
      </c>
      <c r="K5" s="29">
        <f>'[33]Budget 2022'!N82</f>
        <v>864366</v>
      </c>
      <c r="L5" s="29">
        <f>'[33]Budget 2022'!O82</f>
        <v>864366</v>
      </c>
      <c r="M5" s="30">
        <f>SUM(J5:L5)</f>
        <v>2593098</v>
      </c>
      <c r="N5" s="29">
        <f>'[33]Budget 2022'!Q82</f>
        <v>450000</v>
      </c>
      <c r="O5" s="29">
        <f>'[33]Budget 2022'!R82</f>
        <v>450000</v>
      </c>
      <c r="P5" s="29">
        <f>'[33]Budget 2022'!S82</f>
        <v>450000</v>
      </c>
      <c r="Q5" s="30">
        <f>SUM(N5:P5)</f>
        <v>1350000</v>
      </c>
      <c r="R5" s="30">
        <f>Q5+M5+I5+E5</f>
        <v>15096894</v>
      </c>
    </row>
    <row r="6" spans="1:19" s="28" customFormat="1" ht="21" hidden="1">
      <c r="A6" s="29" t="s">
        <v>190</v>
      </c>
      <c r="B6" s="29">
        <f>SUM(B4:B5)</f>
        <v>26664190.993333321</v>
      </c>
      <c r="C6" s="29">
        <f>SUM(C4:C5)</f>
        <v>28414190.993333321</v>
      </c>
      <c r="D6" s="29">
        <f>SUM(D4:D5)</f>
        <v>30274190.993333321</v>
      </c>
      <c r="E6" s="30">
        <f>SUM(B6:D6)</f>
        <v>85352572.979999959</v>
      </c>
      <c r="F6" s="29">
        <f>SUM(F4:F5)</f>
        <v>28516245.32</v>
      </c>
      <c r="G6" s="29">
        <f>SUM(G4:G5)</f>
        <v>27746962.32</v>
      </c>
      <c r="H6" s="29">
        <f>SUM(H4:H5)</f>
        <v>28238006.32</v>
      </c>
      <c r="I6" s="30">
        <f>SUM(F6:H6)</f>
        <v>84501213.960000008</v>
      </c>
      <c r="J6" s="29">
        <f>SUM(J4:J5)</f>
        <v>19564365.986666668</v>
      </c>
      <c r="K6" s="29">
        <f>SUM(K4:K5)</f>
        <v>19564365.986666668</v>
      </c>
      <c r="L6" s="29">
        <f>SUM(L4:L5)</f>
        <v>19564365.986666668</v>
      </c>
      <c r="M6" s="30">
        <f>SUM(J6:L6)</f>
        <v>58693097.960000008</v>
      </c>
      <c r="N6" s="29">
        <f>SUM(N4:N5)</f>
        <v>19520977.986666668</v>
      </c>
      <c r="O6" s="29">
        <f>SUM(O4:O5)</f>
        <v>18584365.986666668</v>
      </c>
      <c r="P6" s="29">
        <f>SUM(P4:P5)</f>
        <v>18584365.986666668</v>
      </c>
      <c r="Q6" s="30">
        <f>SUM(N6:P6)</f>
        <v>56689709.960000008</v>
      </c>
      <c r="R6" s="30">
        <f t="shared" ref="R6:R12" si="0">Q6+M6+I6+E6</f>
        <v>285236594.86000001</v>
      </c>
    </row>
    <row r="7" spans="1:19" s="28" customFormat="1" ht="21" hidden="1">
      <c r="A7" s="29" t="s">
        <v>191</v>
      </c>
      <c r="B7" s="29">
        <f>'[33]Budget 2022'!V85+'[33]Budget 2022'!AM81+'[33]Budget 2022'!CL81+'[33]Budget 2022'!DC81+'[33]Budget 2022'!DT81+'[33]Budget 2022'!EK81</f>
        <v>-19356037.356666662</v>
      </c>
      <c r="C7" s="29">
        <f>'[33]Budget 2022'!W85+'[33]Budget 2022'!AN81+'[33]Budget 2022'!CM81+'[33]Budget 2022'!DD81+'[33]Budget 2022'!DU81+'[33]Budget 2022'!EL81</f>
        <v>-16131586.27666666</v>
      </c>
      <c r="D7" s="29">
        <f>'[33]Budget 2022'!X85+'[33]Budget 2022'!AO81+'[33]Budget 2022'!CN81+'[33]Budget 2022'!DE81+'[33]Budget 2022'!DV81+'[33]Budget 2022'!EM81</f>
        <v>-20138009.11666666</v>
      </c>
      <c r="E7" s="30">
        <f t="shared" ref="E7:E13" si="1">SUM(B7:D7)</f>
        <v>-55625632.749999985</v>
      </c>
      <c r="F7" s="29">
        <f>'[33]Budget 2022'!Z85+'[33]Budget 2022'!AQ85+'[33]Budget 2022'!CP85+'[33]Budget 2022'!DG85+'[33]Budget 2022'!DX85+'[33]Budget 2022'!EO85</f>
        <v>-19914128.266666658</v>
      </c>
      <c r="G7" s="29">
        <f>'[33]Budget 2022'!AA85+'[33]Budget 2022'!AR85+'[33]Budget 2022'!CQ85+'[33]Budget 2022'!DH85+'[33]Budget 2022'!DY85+'[33]Budget 2022'!EP85</f>
        <v>-16325155.236666659</v>
      </c>
      <c r="H7" s="29">
        <f>'[33]Budget 2022'!AB85+'[33]Budget 2022'!AS85+'[33]Budget 2022'!CR85+'[33]Budget 2022'!DI85+'[33]Budget 2022'!DZ85+'[33]Budget 2022'!EQ85</f>
        <v>-15357479.396666659</v>
      </c>
      <c r="I7" s="30">
        <f t="shared" ref="I7:I13" si="2">SUM(F7:H7)</f>
        <v>-51596762.899999976</v>
      </c>
      <c r="J7" s="29">
        <f>'[33]Budget 2022'!AD85+'[33]Budget 2022'!AU85+'[33]Budget 2022'!CT85+'[33]Budget 2022'!DK85+'[33]Budget 2022'!EB85+'[33]Budget 2022'!ES85</f>
        <v>-12488155.966666659</v>
      </c>
      <c r="K7" s="29">
        <f>'[33]Budget 2022'!AE85+'[33]Budget 2022'!AV85+'[33]Budget 2022'!CU85+'[33]Budget 2022'!DL85+'[33]Budget 2022'!EC85+'[33]Budget 2022'!ET85</f>
        <v>-9853435.9666666593</v>
      </c>
      <c r="L7" s="29">
        <f>'[33]Budget 2022'!AF85+'[33]Budget 2022'!AW85+'[33]Budget 2022'!CV85+'[33]Budget 2022'!DM85+'[33]Budget 2022'!ED85+'[33]Budget 2022'!EU85</f>
        <v>-9472666.7966666594</v>
      </c>
      <c r="M7" s="30">
        <f t="shared" ref="M7:M13" si="3">SUM(J7:L7)</f>
        <v>-31814258.729999978</v>
      </c>
      <c r="N7" s="29">
        <f>'[33]Budget 2022'!AH85+'[33]Budget 2022'!AY85+'[33]Budget 2022'!CX85+'[33]Budget 2022'!DO85+'[33]Budget 2022'!EF85+'[33]Budget 2022'!EW85</f>
        <v>-9377942.1966666598</v>
      </c>
      <c r="O7" s="29">
        <f>'[33]Budget 2022'!AI85+'[33]Budget 2022'!AZ85+'[33]Budget 2022'!CY85+'[33]Budget 2022'!DP85+'[33]Budget 2022'!EG85+'[33]Budget 2022'!EX85</f>
        <v>-8955050.0166666601</v>
      </c>
      <c r="P7" s="29">
        <f>'[33]Budget 2022'!AJ85+'[33]Budget 2022'!BA85+'[33]Budget 2022'!CZ85+'[33]Budget 2022'!DQ85+'[33]Budget 2022'!EH85+'[33]Budget 2022'!EY85</f>
        <v>-8989083.0166666601</v>
      </c>
      <c r="Q7" s="30">
        <f t="shared" ref="Q7:Q12" si="4">SUM(N7:P7)</f>
        <v>-27322075.229999982</v>
      </c>
      <c r="R7" s="30">
        <f t="shared" si="0"/>
        <v>-166358729.60999992</v>
      </c>
    </row>
    <row r="8" spans="1:19" s="28" customFormat="1" ht="21" hidden="1">
      <c r="A8" s="29" t="s">
        <v>192</v>
      </c>
      <c r="B8" s="29">
        <f>'[33]Budget 2022'!V86+'[33]Budget 2022'!AM86+'[33]Budget 2022'!CL86+'[33]Budget 2022'!DC86+'[33]Budget 2022'!DT86+'[33]Budget 2022'!EK86</f>
        <v>-463341.42000000004</v>
      </c>
      <c r="C8" s="29">
        <f>'[33]Budget 2022'!W86+'[33]Budget 2022'!AN86+'[33]Budget 2022'!CM86+'[33]Budget 2022'!DD86+'[33]Budget 2022'!DU86+'[33]Budget 2022'!EL86</f>
        <v>-463341.42000000004</v>
      </c>
      <c r="D8" s="29">
        <f>'[33]Budget 2022'!X86+'[33]Budget 2022'!AO86+'[33]Budget 2022'!CN86+'[33]Budget 2022'!DE86+'[33]Budget 2022'!DV86+'[33]Budget 2022'!EM86</f>
        <v>-510890.42000000004</v>
      </c>
      <c r="E8" s="30">
        <f t="shared" si="1"/>
        <v>-1437573.2600000002</v>
      </c>
      <c r="F8" s="29">
        <f>'[33]Budget 2022'!Z86+'[33]Budget 2022'!AQ86+'[33]Budget 2022'!CP86+'[33]Budget 2022'!DG86+'[33]Budget 2022'!DX86+'[33]Budget 2022'!EO86</f>
        <v>-327327.40000000002</v>
      </c>
      <c r="G8" s="29">
        <f>'[33]Budget 2022'!AA86+'[33]Budget 2022'!AR86+'[33]Budget 2022'!CQ86+'[33]Budget 2022'!DH86+'[33]Budget 2022'!DY86+'[33]Budget 2022'!EP86</f>
        <v>-327327.40000000002</v>
      </c>
      <c r="H8" s="29">
        <f>'[33]Budget 2022'!AB86+'[33]Budget 2022'!AS86+'[33]Budget 2022'!CR86+'[33]Budget 2022'!DI86+'[33]Budget 2022'!DZ86+'[33]Budget 2022'!EQ86</f>
        <v>-374876.4</v>
      </c>
      <c r="I8" s="30">
        <f t="shared" si="2"/>
        <v>-1029531.2000000001</v>
      </c>
      <c r="J8" s="29">
        <f>'[33]Budget 2022'!AD86+'[33]Budget 2022'!AU86+'[33]Budget 2022'!CT86+'[33]Budget 2022'!DK86+'[33]Budget 2022'!EB86+'[33]Budget 2022'!ES86</f>
        <v>-42924.490000000005</v>
      </c>
      <c r="K8" s="29">
        <f>'[33]Budget 2022'!AE86+'[33]Budget 2022'!AV86+'[33]Budget 2022'!CU86+'[33]Budget 2022'!DL86+'[33]Budget 2022'!EC86+'[33]Budget 2022'!ET86</f>
        <v>-42924.490000000005</v>
      </c>
      <c r="L8" s="29">
        <f>'[33]Budget 2022'!AF86+'[33]Budget 2022'!AW86+'[33]Budget 2022'!CV86+'[33]Budget 2022'!DM86+'[33]Budget 2022'!ED86+'[33]Budget 2022'!EU86</f>
        <v>-42924.490000000005</v>
      </c>
      <c r="M8" s="30">
        <f t="shared" si="3"/>
        <v>-128773.47000000002</v>
      </c>
      <c r="N8" s="29">
        <f>'[33]Budget 2022'!AH86+'[33]Budget 2022'!AY86+'[33]Budget 2022'!CX86+'[33]Budget 2022'!DO86+'[33]Budget 2022'!EF86+'[33]Budget 2022'!EW86</f>
        <v>-22347.040000000001</v>
      </c>
      <c r="O8" s="29">
        <f>'[33]Budget 2022'!AI86+'[33]Budget 2022'!AZ86+'[33]Budget 2022'!CY86+'[33]Budget 2022'!DP86+'[33]Budget 2022'!EG86+'[33]Budget 2022'!EX86</f>
        <v>-22347.040000000001</v>
      </c>
      <c r="P8" s="29">
        <f>'[33]Budget 2022'!AJ86+'[33]Budget 2022'!BA86+'[33]Budget 2022'!CZ86+'[33]Budget 2022'!DQ86+'[33]Budget 2022'!EH86+'[33]Budget 2022'!EY86</f>
        <v>-22347.040000000001</v>
      </c>
      <c r="Q8" s="30">
        <f t="shared" si="4"/>
        <v>-67041.119999999995</v>
      </c>
      <c r="R8" s="30">
        <f t="shared" si="0"/>
        <v>-2662919.0500000003</v>
      </c>
    </row>
    <row r="9" spans="1:19" s="28" customFormat="1" ht="21" hidden="1">
      <c r="A9" s="29" t="s">
        <v>193</v>
      </c>
      <c r="B9" s="29">
        <f>'[33]Budget 2022'!BD85+'[33]Budget 2022'!BU85</f>
        <v>-3820022.5900000008</v>
      </c>
      <c r="C9" s="29">
        <f>'[33]Budget 2022'!BE85+'[33]Budget 2022'!BV85</f>
        <v>-7442167.9299999997</v>
      </c>
      <c r="D9" s="29">
        <f>'[33]Budget 2022'!BF85+'[33]Budget 2022'!BW85</f>
        <v>-5962312.0499999998</v>
      </c>
      <c r="E9" s="30">
        <f t="shared" si="1"/>
        <v>-17224502.57</v>
      </c>
      <c r="F9" s="29">
        <f>'[33]Budget 2022'!BH85+'[33]Budget 2022'!BY85</f>
        <v>-5962312.0499999998</v>
      </c>
      <c r="G9" s="29">
        <f>'[33]Budget 2022'!BI85+'[33]Budget 2022'!BZ85</f>
        <v>-5962312.0499999998</v>
      </c>
      <c r="H9" s="29">
        <f>'[33]Budget 2022'!BJ85+'[33]Budget 2022'!CA85</f>
        <v>-5962312.0499999998</v>
      </c>
      <c r="I9" s="30">
        <f t="shared" si="2"/>
        <v>-17886936.149999999</v>
      </c>
      <c r="J9" s="29">
        <f>'[33]Budget 2022'!BL85+'[33]Budget 2022'!CC85</f>
        <v>-5718064.459999999</v>
      </c>
      <c r="K9" s="29">
        <f>'[33]Budget 2022'!BM85+'[33]Budget 2022'!CD85</f>
        <v>-5718064.459999999</v>
      </c>
      <c r="L9" s="29">
        <f>'[33]Budget 2022'!BN85+'[33]Budget 2022'!CE85</f>
        <v>-3912376.92</v>
      </c>
      <c r="M9" s="30">
        <f t="shared" si="3"/>
        <v>-15348505.839999998</v>
      </c>
      <c r="N9" s="29">
        <f>'[33]Budget 2022'!BP85+'[33]Budget 2022'!CG85</f>
        <v>-4003313.64</v>
      </c>
      <c r="O9" s="29">
        <f>'[33]Budget 2022'!BQ85+'[33]Budget 2022'!CH85</f>
        <v>-2475766.8300000005</v>
      </c>
      <c r="P9" s="29">
        <f>'[33]Budget 2022'!BR85+'[33]Budget 2022'!CI85</f>
        <v>-2475766.8300000005</v>
      </c>
      <c r="Q9" s="30">
        <f t="shared" si="4"/>
        <v>-8954847.3000000007</v>
      </c>
      <c r="R9" s="30">
        <f t="shared" si="0"/>
        <v>-59414791.859999999</v>
      </c>
    </row>
    <row r="10" spans="1:19" s="28" customFormat="1" ht="21" hidden="1">
      <c r="A10" s="29" t="s">
        <v>194</v>
      </c>
      <c r="B10" s="29">
        <f>'[33]Budget 2022'!BD86+'[33]Budget 2022'!BU86</f>
        <v>-410119.47</v>
      </c>
      <c r="C10" s="29">
        <f>'[33]Budget 2022'!BE86+'[33]Budget 2022'!BV86</f>
        <v>-410119.47</v>
      </c>
      <c r="D10" s="29">
        <f>'[33]Budget 2022'!BF86+'[33]Budget 2022'!BW86</f>
        <v>-410119.47</v>
      </c>
      <c r="E10" s="30">
        <f t="shared" si="1"/>
        <v>-1230358.4099999999</v>
      </c>
      <c r="F10" s="29">
        <f>'[33]Budget 2022'!BH86+'[33]Budget 2022'!BY86</f>
        <v>-368248.44999999995</v>
      </c>
      <c r="G10" s="29">
        <f>'[33]Budget 2022'!BI86+'[33]Budget 2022'!BZ86</f>
        <v>-368248.44999999995</v>
      </c>
      <c r="H10" s="29">
        <f>'[33]Budget 2022'!BJ86+'[33]Budget 2022'!CA86</f>
        <v>-368248.44999999995</v>
      </c>
      <c r="I10" s="30">
        <f t="shared" si="2"/>
        <v>-1104745.3499999999</v>
      </c>
      <c r="J10" s="29">
        <f>'[33]Budget 2022'!BL86+'[33]Budget 2022'!CC86</f>
        <v>-180959.4</v>
      </c>
      <c r="K10" s="29">
        <f>'[33]Budget 2022'!BM86+'[33]Budget 2022'!CD86</f>
        <v>-180959.4</v>
      </c>
      <c r="L10" s="29">
        <f>'[33]Budget 2022'!BN86+'[33]Budget 2022'!CE86</f>
        <v>-180959.4</v>
      </c>
      <c r="M10" s="30">
        <f t="shared" si="3"/>
        <v>-542878.19999999995</v>
      </c>
      <c r="N10" s="29">
        <f>'[33]Budget 2022'!BP86+'[33]Budget 2022'!CG86+'[33]Budget 2022'!EF86</f>
        <v>-94209.78</v>
      </c>
      <c r="O10" s="29">
        <f>'[33]Budget 2022'!BQ86+'[33]Budget 2022'!CH86+'[33]Budget 2022'!EG86</f>
        <v>-94209.78</v>
      </c>
      <c r="P10" s="29">
        <f>'[33]Budget 2022'!BR86+'[33]Budget 2022'!CI86+'[33]Budget 2022'!EH86</f>
        <v>-94209.78</v>
      </c>
      <c r="Q10" s="30">
        <f t="shared" si="4"/>
        <v>-282629.33999999997</v>
      </c>
      <c r="R10" s="30">
        <f t="shared" si="0"/>
        <v>-3160611.3</v>
      </c>
    </row>
    <row r="11" spans="1:19" s="28" customFormat="1" ht="21" hidden="1">
      <c r="A11" s="29" t="s">
        <v>195</v>
      </c>
      <c r="B11" s="29">
        <f>SUM(B7,B9)</f>
        <v>-23176059.946666662</v>
      </c>
      <c r="C11" s="29">
        <f t="shared" ref="C11:H12" si="5">SUM(C7,C9)</f>
        <v>-23573754.20666666</v>
      </c>
      <c r="D11" s="29">
        <f t="shared" si="5"/>
        <v>-26100321.16666666</v>
      </c>
      <c r="E11" s="30">
        <f t="shared" si="1"/>
        <v>-72850135.319999978</v>
      </c>
      <c r="F11" s="29">
        <f t="shared" si="5"/>
        <v>-25876440.316666659</v>
      </c>
      <c r="G11" s="29">
        <f t="shared" si="5"/>
        <v>-22287467.286666658</v>
      </c>
      <c r="H11" s="29">
        <f t="shared" si="5"/>
        <v>-21319791.446666658</v>
      </c>
      <c r="I11" s="30">
        <f t="shared" si="2"/>
        <v>-69483699.049999982</v>
      </c>
      <c r="J11" s="29">
        <f t="shared" ref="J11:L12" si="6">SUM(J7,J9)</f>
        <v>-18206220.426666658</v>
      </c>
      <c r="K11" s="29">
        <f t="shared" si="6"/>
        <v>-15571500.426666658</v>
      </c>
      <c r="L11" s="29">
        <f t="shared" si="6"/>
        <v>-13385043.716666659</v>
      </c>
      <c r="M11" s="30">
        <f t="shared" si="3"/>
        <v>-47162764.569999978</v>
      </c>
      <c r="N11" s="29">
        <f t="shared" ref="N11:P12" si="7">SUM(N7,N9)</f>
        <v>-13381255.83666666</v>
      </c>
      <c r="O11" s="29">
        <f t="shared" si="7"/>
        <v>-11430816.84666666</v>
      </c>
      <c r="P11" s="29">
        <f t="shared" si="7"/>
        <v>-11464849.84666666</v>
      </c>
      <c r="Q11" s="30">
        <f t="shared" si="4"/>
        <v>-36276922.529999986</v>
      </c>
      <c r="R11" s="30">
        <f t="shared" si="0"/>
        <v>-225773521.46999991</v>
      </c>
    </row>
    <row r="12" spans="1:19" s="28" customFormat="1" ht="21" hidden="1">
      <c r="A12" s="29" t="s">
        <v>196</v>
      </c>
      <c r="B12" s="29">
        <f>SUM(B8,B10)</f>
        <v>-873460.89</v>
      </c>
      <c r="C12" s="29">
        <f t="shared" si="5"/>
        <v>-873460.89</v>
      </c>
      <c r="D12" s="29">
        <f t="shared" si="5"/>
        <v>-921009.89</v>
      </c>
      <c r="E12" s="30">
        <f t="shared" si="1"/>
        <v>-2667931.67</v>
      </c>
      <c r="F12" s="29">
        <f t="shared" si="5"/>
        <v>-695575.85</v>
      </c>
      <c r="G12" s="29">
        <f t="shared" si="5"/>
        <v>-695575.85</v>
      </c>
      <c r="H12" s="29">
        <f t="shared" si="5"/>
        <v>-743124.85</v>
      </c>
      <c r="I12" s="30">
        <f t="shared" si="2"/>
        <v>-2134276.5499999998</v>
      </c>
      <c r="J12" s="29">
        <f t="shared" si="6"/>
        <v>-223883.89</v>
      </c>
      <c r="K12" s="29">
        <f t="shared" si="6"/>
        <v>-223883.89</v>
      </c>
      <c r="L12" s="29">
        <f t="shared" si="6"/>
        <v>-223883.89</v>
      </c>
      <c r="M12" s="30">
        <f t="shared" si="3"/>
        <v>-671651.67</v>
      </c>
      <c r="N12" s="29">
        <f t="shared" si="7"/>
        <v>-116556.82</v>
      </c>
      <c r="O12" s="29">
        <f t="shared" si="7"/>
        <v>-116556.82</v>
      </c>
      <c r="P12" s="29">
        <f t="shared" si="7"/>
        <v>-116556.82</v>
      </c>
      <c r="Q12" s="30">
        <f t="shared" si="4"/>
        <v>-349670.46</v>
      </c>
      <c r="R12" s="30">
        <f t="shared" si="0"/>
        <v>-5823530.3499999996</v>
      </c>
    </row>
    <row r="13" spans="1:19" s="35" customFormat="1" ht="31.8" thickTop="1">
      <c r="A13" s="31" t="s">
        <v>10</v>
      </c>
      <c r="B13" s="32">
        <f>SUM(B14,B17)</f>
        <v>26664190.993333321</v>
      </c>
      <c r="C13" s="32">
        <f>SUM(C14,C17)</f>
        <v>28414190.993333321</v>
      </c>
      <c r="D13" s="32">
        <f>SUM(D14,D17)</f>
        <v>30274190.993333321</v>
      </c>
      <c r="E13" s="32">
        <f t="shared" si="1"/>
        <v>85352572.979999959</v>
      </c>
      <c r="F13" s="32">
        <f>SUM(F14,F17)</f>
        <v>28516245.32</v>
      </c>
      <c r="G13" s="32">
        <f>SUM(G14,G17)</f>
        <v>27746962.32</v>
      </c>
      <c r="H13" s="32">
        <f>SUM(H14,H17)</f>
        <v>28238006.32</v>
      </c>
      <c r="I13" s="32">
        <f t="shared" si="2"/>
        <v>84501213.960000008</v>
      </c>
      <c r="J13" s="32">
        <f>SUM(J14,J17)</f>
        <v>19564365.986666668</v>
      </c>
      <c r="K13" s="32">
        <f>SUM(K14,K17)</f>
        <v>19564365.986666668</v>
      </c>
      <c r="L13" s="32">
        <f>SUM(L14,L17)</f>
        <v>19564365.986666668</v>
      </c>
      <c r="M13" s="32">
        <f t="shared" si="3"/>
        <v>58693097.960000008</v>
      </c>
      <c r="N13" s="32">
        <f>SUM(N14,N17)</f>
        <v>19520977.986666668</v>
      </c>
      <c r="O13" s="32">
        <f>SUM(O14,O17)</f>
        <v>18584365.986666668</v>
      </c>
      <c r="P13" s="32">
        <f>SUM(P14,P17)</f>
        <v>18584365.986666668</v>
      </c>
      <c r="Q13" s="32">
        <f>SUM(N13:P13)</f>
        <v>56689709.960000008</v>
      </c>
      <c r="R13" s="33">
        <f>SUM(R14,R17)</f>
        <v>285236594.85999995</v>
      </c>
      <c r="S13" s="34">
        <f>R13-'[33]Budget 2022'!U5</f>
        <v>0</v>
      </c>
    </row>
    <row r="14" spans="1:19" ht="21" hidden="1" outlineLevel="1">
      <c r="A14" s="36" t="s">
        <v>197</v>
      </c>
      <c r="B14" s="37">
        <f>SUM(B15:B16)</f>
        <v>18421891.666666653</v>
      </c>
      <c r="C14" s="37">
        <f>SUM(C15:C16)</f>
        <v>20171891.666666653</v>
      </c>
      <c r="D14" s="37">
        <f>SUM(D15:D16)</f>
        <v>22031891.666666653</v>
      </c>
      <c r="E14" s="37">
        <f t="shared" ref="E14:E125" si="8">SUM(B14:D14)</f>
        <v>60625674.999999955</v>
      </c>
      <c r="F14" s="37">
        <f>SUM(F15:F16)</f>
        <v>20473945.993333332</v>
      </c>
      <c r="G14" s="37">
        <f>SUM(G15:G16)</f>
        <v>19704662.993333332</v>
      </c>
      <c r="H14" s="37">
        <f>SUM(H15:H16)</f>
        <v>20195706.993333332</v>
      </c>
      <c r="I14" s="37">
        <f t="shared" ref="I14:I125" si="9">SUM(F14:H14)</f>
        <v>60374315.979999997</v>
      </c>
      <c r="J14" s="37">
        <f>SUM(J15:J16)</f>
        <v>12416666.66</v>
      </c>
      <c r="K14" s="37">
        <f>SUM(K15:K16)</f>
        <v>12416666.66</v>
      </c>
      <c r="L14" s="37">
        <f>SUM(L15:L16)</f>
        <v>12416666.66</v>
      </c>
      <c r="M14" s="37">
        <f t="shared" ref="M14:M125" si="10">SUM(J14:L14)</f>
        <v>37249999.980000004</v>
      </c>
      <c r="N14" s="37">
        <f>SUM(N15:N16)</f>
        <v>12353278.66</v>
      </c>
      <c r="O14" s="37">
        <f>SUM(O15:O16)</f>
        <v>11416666.66</v>
      </c>
      <c r="P14" s="37">
        <f>SUM(P15:P16)</f>
        <v>11416666.66</v>
      </c>
      <c r="Q14" s="37">
        <f t="shared" ref="Q14:Q125" si="11">SUM(N14:P14)</f>
        <v>35186611.980000004</v>
      </c>
      <c r="R14" s="37">
        <f>SUM(R15:R16)</f>
        <v>193436602.93999997</v>
      </c>
    </row>
    <row r="15" spans="1:19" ht="18" hidden="1" outlineLevel="1">
      <c r="A15" s="38" t="s">
        <v>198</v>
      </c>
      <c r="B15" s="39">
        <f>'[33]Budget 2022'!E7</f>
        <v>8838558.3333333321</v>
      </c>
      <c r="C15" s="39">
        <f>'[33]Budget 2022'!F7</f>
        <v>10588558.333333332</v>
      </c>
      <c r="D15" s="39">
        <f>'[33]Budget 2022'!G7</f>
        <v>11448558.333333332</v>
      </c>
      <c r="E15" s="39">
        <f t="shared" si="8"/>
        <v>30875674.999999996</v>
      </c>
      <c r="F15" s="39">
        <f>'[33]Budget 2022'!I7</f>
        <v>11557279.333333332</v>
      </c>
      <c r="G15" s="39">
        <f>'[33]Budget 2022'!J7</f>
        <v>10787996.333333332</v>
      </c>
      <c r="H15" s="39">
        <f>'[33]Budget 2022'!K7</f>
        <v>11279040.333333332</v>
      </c>
      <c r="I15" s="39">
        <f t="shared" si="9"/>
        <v>33624316</v>
      </c>
      <c r="J15" s="39">
        <f>'[33]Budget 2022'!M7</f>
        <v>3500000</v>
      </c>
      <c r="K15" s="39">
        <f>'[33]Budget 2022'!N7</f>
        <v>3500000</v>
      </c>
      <c r="L15" s="39">
        <f>'[33]Budget 2022'!O7</f>
        <v>3500000</v>
      </c>
      <c r="M15" s="39">
        <f t="shared" si="10"/>
        <v>10500000</v>
      </c>
      <c r="N15" s="39">
        <f>'[33]Budget 2022'!Q7</f>
        <v>2436612</v>
      </c>
      <c r="O15" s="39">
        <f>'[33]Budget 2022'!R7</f>
        <v>1500000</v>
      </c>
      <c r="P15" s="39">
        <f>'[33]Budget 2022'!S7</f>
        <v>1500000</v>
      </c>
      <c r="Q15" s="39">
        <f t="shared" si="11"/>
        <v>5436612</v>
      </c>
      <c r="R15" s="39">
        <f>SUM(E15,I15,M15,Q15)</f>
        <v>80436603</v>
      </c>
    </row>
    <row r="16" spans="1:19" ht="18" hidden="1" outlineLevel="1">
      <c r="A16" s="38" t="s">
        <v>199</v>
      </c>
      <c r="B16" s="39">
        <f>'[33]Budget 2022'!E17</f>
        <v>9583333.3333333209</v>
      </c>
      <c r="C16" s="39">
        <f>'[33]Budget 2022'!F17</f>
        <v>9583333.3333333209</v>
      </c>
      <c r="D16" s="39">
        <f>'[33]Budget 2022'!G17</f>
        <v>10583333.333333321</v>
      </c>
      <c r="E16" s="39">
        <f t="shared" si="8"/>
        <v>29749999.999999963</v>
      </c>
      <c r="F16" s="39">
        <f>'[33]Budget 2022'!I17</f>
        <v>8916666.6600000001</v>
      </c>
      <c r="G16" s="39">
        <f>'[33]Budget 2022'!J17</f>
        <v>8916666.6600000001</v>
      </c>
      <c r="H16" s="39">
        <f>'[33]Budget 2022'!K17</f>
        <v>8916666.6600000001</v>
      </c>
      <c r="I16" s="39">
        <f t="shared" si="9"/>
        <v>26749999.98</v>
      </c>
      <c r="J16" s="39">
        <f>'[33]Budget 2022'!M17</f>
        <v>8916666.6600000001</v>
      </c>
      <c r="K16" s="39">
        <f>'[33]Budget 2022'!N17</f>
        <v>8916666.6600000001</v>
      </c>
      <c r="L16" s="39">
        <f>'[33]Budget 2022'!O17</f>
        <v>8916666.6600000001</v>
      </c>
      <c r="M16" s="39">
        <f t="shared" si="10"/>
        <v>26749999.98</v>
      </c>
      <c r="N16" s="39">
        <f>'[33]Budget 2022'!Q17</f>
        <v>9916666.6600000001</v>
      </c>
      <c r="O16" s="39">
        <f>'[33]Budget 2022'!R17</f>
        <v>9916666.6600000001</v>
      </c>
      <c r="P16" s="39">
        <f>'[33]Budget 2022'!S17</f>
        <v>9916666.6600000001</v>
      </c>
      <c r="Q16" s="39">
        <f t="shared" si="11"/>
        <v>29749999.98</v>
      </c>
      <c r="R16" s="39">
        <f>SUM(E16,I16,M16,Q16)</f>
        <v>112999999.93999997</v>
      </c>
    </row>
    <row r="17" spans="1:20" ht="21" hidden="1" outlineLevel="1">
      <c r="A17" s="36" t="s">
        <v>200</v>
      </c>
      <c r="B17" s="37">
        <f>SUM(B18:B25)</f>
        <v>8242299.3266666671</v>
      </c>
      <c r="C17" s="37">
        <f>SUM(C18:C25)</f>
        <v>8242299.3266666671</v>
      </c>
      <c r="D17" s="37">
        <f>SUM(D18:D25)</f>
        <v>8242299.3266666671</v>
      </c>
      <c r="E17" s="37">
        <f t="shared" si="8"/>
        <v>24726897.98</v>
      </c>
      <c r="F17" s="37">
        <f>SUM(F18:F25)</f>
        <v>8042299.3266666671</v>
      </c>
      <c r="G17" s="37">
        <f>SUM(G18:G25)</f>
        <v>8042299.3266666671</v>
      </c>
      <c r="H17" s="37">
        <f>SUM(H18:H25)</f>
        <v>8042299.3266666671</v>
      </c>
      <c r="I17" s="37">
        <f t="shared" si="9"/>
        <v>24126897.98</v>
      </c>
      <c r="J17" s="37">
        <f>SUM(J18:J25)</f>
        <v>7147699.3266666671</v>
      </c>
      <c r="K17" s="37">
        <f>SUM(K18:K25)</f>
        <v>7147699.3266666671</v>
      </c>
      <c r="L17" s="37">
        <f>SUM(L18:L25)</f>
        <v>7147699.3266666671</v>
      </c>
      <c r="M17" s="37">
        <f t="shared" si="10"/>
        <v>21443097.98</v>
      </c>
      <c r="N17" s="37">
        <f>SUM(N18:N25)</f>
        <v>7167699.3266666671</v>
      </c>
      <c r="O17" s="37">
        <f>SUM(O18:O25)</f>
        <v>7167699.3266666671</v>
      </c>
      <c r="P17" s="37">
        <f>SUM(P18:P25)</f>
        <v>7167699.3266666671</v>
      </c>
      <c r="Q17" s="37">
        <f t="shared" si="11"/>
        <v>21503097.98</v>
      </c>
      <c r="R17" s="37">
        <f>SUM(R18:R25)</f>
        <v>91799991.920000002</v>
      </c>
    </row>
    <row r="18" spans="1:20" ht="18" hidden="1" outlineLevel="1">
      <c r="A18" s="38" t="s">
        <v>201</v>
      </c>
      <c r="B18" s="39">
        <f>'[33]Budget 2022'!E25</f>
        <v>1958966</v>
      </c>
      <c r="C18" s="39">
        <f>'[33]Budget 2022'!F25</f>
        <v>1958966</v>
      </c>
      <c r="D18" s="39">
        <f>'[33]Budget 2022'!G25</f>
        <v>1958966</v>
      </c>
      <c r="E18" s="39">
        <f t="shared" si="8"/>
        <v>5876898</v>
      </c>
      <c r="F18" s="39">
        <f>'[33]Budget 2022'!I25</f>
        <v>1758966</v>
      </c>
      <c r="G18" s="39">
        <f>'[33]Budget 2022'!J25</f>
        <v>1758966</v>
      </c>
      <c r="H18" s="39">
        <f>'[33]Budget 2022'!K25</f>
        <v>1758966</v>
      </c>
      <c r="I18" s="39">
        <f t="shared" si="9"/>
        <v>5276898</v>
      </c>
      <c r="J18" s="39">
        <f>'[33]Budget 2022'!M25</f>
        <v>864366</v>
      </c>
      <c r="K18" s="39">
        <f>'[33]Budget 2022'!N25</f>
        <v>864366</v>
      </c>
      <c r="L18" s="39">
        <f>'[33]Budget 2022'!O25</f>
        <v>864366</v>
      </c>
      <c r="M18" s="39">
        <f t="shared" si="10"/>
        <v>2593098</v>
      </c>
      <c r="N18" s="39">
        <f>'[33]Budget 2022'!Q25</f>
        <v>450000</v>
      </c>
      <c r="O18" s="39">
        <f>'[33]Budget 2022'!R25</f>
        <v>450000</v>
      </c>
      <c r="P18" s="39">
        <f>'[33]Budget 2022'!S25</f>
        <v>450000</v>
      </c>
      <c r="Q18" s="39">
        <f t="shared" si="11"/>
        <v>1350000</v>
      </c>
      <c r="R18" s="39">
        <f>SUM(E18,I18,M18,Q18)</f>
        <v>15096894</v>
      </c>
    </row>
    <row r="19" spans="1:20" ht="18" hidden="1" outlineLevel="1">
      <c r="A19" s="38" t="s">
        <v>202</v>
      </c>
      <c r="B19" s="39">
        <f>'[33]Budget 2022'!E31</f>
        <v>2033333.3266666669</v>
      </c>
      <c r="C19" s="39">
        <f>'[33]Budget 2022'!F31</f>
        <v>2033333.3266666669</v>
      </c>
      <c r="D19" s="39">
        <f>'[33]Budget 2022'!G31</f>
        <v>2033333.3266666669</v>
      </c>
      <c r="E19" s="39">
        <f t="shared" si="8"/>
        <v>6099999.9800000004</v>
      </c>
      <c r="F19" s="39">
        <f>'[33]Budget 2022'!I31</f>
        <v>2033333.3266666669</v>
      </c>
      <c r="G19" s="39">
        <f>'[33]Budget 2022'!J31</f>
        <v>2033333.3266666669</v>
      </c>
      <c r="H19" s="39">
        <f>'[33]Budget 2022'!K31</f>
        <v>2033333.3266666669</v>
      </c>
      <c r="I19" s="39">
        <f t="shared" si="9"/>
        <v>6099999.9800000004</v>
      </c>
      <c r="J19" s="39">
        <f>'[33]Budget 2022'!M31</f>
        <v>2033333.3266666669</v>
      </c>
      <c r="K19" s="39">
        <f>'[33]Budget 2022'!N31</f>
        <v>2033333.3266666669</v>
      </c>
      <c r="L19" s="39">
        <f>'[33]Budget 2022'!O31</f>
        <v>2033333.3266666669</v>
      </c>
      <c r="M19" s="39">
        <f t="shared" si="10"/>
        <v>6099999.9800000004</v>
      </c>
      <c r="N19" s="39">
        <f>'[33]Budget 2022'!Q31</f>
        <v>2467699.3266666671</v>
      </c>
      <c r="O19" s="39">
        <f>'[33]Budget 2022'!R31</f>
        <v>2467699.3266666671</v>
      </c>
      <c r="P19" s="39">
        <f>'[33]Budget 2022'!S31</f>
        <v>2467699.3266666671</v>
      </c>
      <c r="Q19" s="39">
        <f t="shared" si="11"/>
        <v>7403097.9800000014</v>
      </c>
      <c r="R19" s="39">
        <f t="shared" ref="R19:R25" si="12">SUM(E19,I19,M19,Q19)</f>
        <v>25703097.920000002</v>
      </c>
    </row>
    <row r="20" spans="1:20" ht="18" hidden="1" outlineLevel="1">
      <c r="A20" s="38" t="s">
        <v>203</v>
      </c>
      <c r="B20" s="39">
        <f>'[33]Budget 2022'!E38</f>
        <v>0</v>
      </c>
      <c r="C20" s="39">
        <f>'[33]Budget 2022'!F38</f>
        <v>0</v>
      </c>
      <c r="D20" s="39">
        <f>'[33]Budget 2022'!G38</f>
        <v>0</v>
      </c>
      <c r="E20" s="39">
        <f t="shared" si="8"/>
        <v>0</v>
      </c>
      <c r="F20" s="39">
        <f>'[33]Budget 2022'!I38</f>
        <v>0</v>
      </c>
      <c r="G20" s="39">
        <f>'[33]Budget 2022'!J38</f>
        <v>0</v>
      </c>
      <c r="H20" s="39">
        <f>'[33]Budget 2022'!K38</f>
        <v>0</v>
      </c>
      <c r="I20" s="39">
        <f t="shared" si="9"/>
        <v>0</v>
      </c>
      <c r="J20" s="39">
        <f>'[33]Budget 2022'!M38</f>
        <v>0</v>
      </c>
      <c r="K20" s="39">
        <f>'[33]Budget 2022'!N38</f>
        <v>0</v>
      </c>
      <c r="L20" s="39">
        <f>'[33]Budget 2022'!O38</f>
        <v>0</v>
      </c>
      <c r="M20" s="39">
        <f t="shared" si="10"/>
        <v>0</v>
      </c>
      <c r="N20" s="39">
        <f>'[33]Budget 2022'!Q38</f>
        <v>0</v>
      </c>
      <c r="O20" s="39">
        <f>'[33]Budget 2022'!R38</f>
        <v>0</v>
      </c>
      <c r="P20" s="39">
        <f>'[33]Budget 2022'!S38</f>
        <v>0</v>
      </c>
      <c r="Q20" s="39">
        <f t="shared" si="11"/>
        <v>0</v>
      </c>
      <c r="R20" s="39">
        <f t="shared" si="12"/>
        <v>0</v>
      </c>
    </row>
    <row r="21" spans="1:20" ht="18" hidden="1" outlineLevel="1">
      <c r="A21" s="38" t="s">
        <v>204</v>
      </c>
      <c r="B21" s="39">
        <f>'[33]Budget 2022'!E49</f>
        <v>500000</v>
      </c>
      <c r="C21" s="39">
        <f>'[33]Budget 2022'!F49</f>
        <v>500000</v>
      </c>
      <c r="D21" s="39">
        <f>'[33]Budget 2022'!G49</f>
        <v>500000</v>
      </c>
      <c r="E21" s="39">
        <f t="shared" si="8"/>
        <v>1500000</v>
      </c>
      <c r="F21" s="39">
        <f>'[33]Budget 2022'!I49</f>
        <v>500000</v>
      </c>
      <c r="G21" s="39">
        <f>'[33]Budget 2022'!J49</f>
        <v>500000</v>
      </c>
      <c r="H21" s="39">
        <f>'[33]Budget 2022'!K49</f>
        <v>500000</v>
      </c>
      <c r="I21" s="39">
        <f t="shared" si="9"/>
        <v>1500000</v>
      </c>
      <c r="J21" s="39">
        <f>'[33]Budget 2022'!M49</f>
        <v>500000</v>
      </c>
      <c r="K21" s="39">
        <f>'[33]Budget 2022'!N49</f>
        <v>500000</v>
      </c>
      <c r="L21" s="39">
        <f>'[33]Budget 2022'!O49</f>
        <v>500000</v>
      </c>
      <c r="M21" s="39">
        <f t="shared" si="10"/>
        <v>1500000</v>
      </c>
      <c r="N21" s="39">
        <f>'[33]Budget 2022'!Q49</f>
        <v>500000</v>
      </c>
      <c r="O21" s="39">
        <f>'[33]Budget 2022'!R49</f>
        <v>500000</v>
      </c>
      <c r="P21" s="39">
        <f>'[33]Budget 2022'!S49</f>
        <v>500000</v>
      </c>
      <c r="Q21" s="39">
        <f t="shared" si="11"/>
        <v>1500000</v>
      </c>
      <c r="R21" s="39">
        <f t="shared" si="12"/>
        <v>6000000</v>
      </c>
    </row>
    <row r="22" spans="1:20" ht="18" hidden="1" outlineLevel="1">
      <c r="A22" s="38" t="s">
        <v>205</v>
      </c>
      <c r="B22" s="39">
        <f>'[33]Budget 2022'!E51</f>
        <v>0</v>
      </c>
      <c r="C22" s="39">
        <f>'[33]Budget 2022'!F51</f>
        <v>0</v>
      </c>
      <c r="D22" s="39">
        <f>'[33]Budget 2022'!G51</f>
        <v>0</v>
      </c>
      <c r="E22" s="39">
        <f t="shared" si="8"/>
        <v>0</v>
      </c>
      <c r="F22" s="39">
        <f>'[33]Budget 2022'!I51</f>
        <v>0</v>
      </c>
      <c r="G22" s="39">
        <f>'[33]Budget 2022'!J51</f>
        <v>0</v>
      </c>
      <c r="H22" s="39">
        <f>'[33]Budget 2022'!K51</f>
        <v>0</v>
      </c>
      <c r="I22" s="39">
        <f t="shared" si="9"/>
        <v>0</v>
      </c>
      <c r="J22" s="39">
        <f>'[33]Budget 2022'!M51</f>
        <v>0</v>
      </c>
      <c r="K22" s="39">
        <f>'[33]Budget 2022'!N51</f>
        <v>0</v>
      </c>
      <c r="L22" s="39">
        <f>'[33]Budget 2022'!O51</f>
        <v>0</v>
      </c>
      <c r="M22" s="39">
        <f t="shared" si="10"/>
        <v>0</v>
      </c>
      <c r="N22" s="39">
        <f>'[33]Budget 2022'!Q51</f>
        <v>0</v>
      </c>
      <c r="O22" s="39">
        <f>'[33]Budget 2022'!R51</f>
        <v>0</v>
      </c>
      <c r="P22" s="39">
        <f>'[33]Budget 2022'!S51</f>
        <v>0</v>
      </c>
      <c r="Q22" s="39">
        <f t="shared" si="11"/>
        <v>0</v>
      </c>
      <c r="R22" s="39">
        <f t="shared" si="12"/>
        <v>0</v>
      </c>
    </row>
    <row r="23" spans="1:20" ht="18" hidden="1" outlineLevel="1">
      <c r="A23" s="38" t="s">
        <v>206</v>
      </c>
      <c r="B23" s="39">
        <f>'[33]Budget 2022'!E62</f>
        <v>416666.67</v>
      </c>
      <c r="C23" s="39">
        <f>'[33]Budget 2022'!F62</f>
        <v>416666.67</v>
      </c>
      <c r="D23" s="39">
        <f>'[33]Budget 2022'!G62</f>
        <v>416666.67</v>
      </c>
      <c r="E23" s="39">
        <f t="shared" si="8"/>
        <v>1250000.01</v>
      </c>
      <c r="F23" s="39">
        <f>'[33]Budget 2022'!I62</f>
        <v>416666.67</v>
      </c>
      <c r="G23" s="39">
        <f>'[33]Budget 2022'!J62</f>
        <v>416666.67</v>
      </c>
      <c r="H23" s="39">
        <f>'[33]Budget 2022'!K62</f>
        <v>416666.67</v>
      </c>
      <c r="I23" s="39">
        <f t="shared" si="9"/>
        <v>1250000.01</v>
      </c>
      <c r="J23" s="39">
        <f>'[33]Budget 2022'!M62</f>
        <v>416666.67</v>
      </c>
      <c r="K23" s="39">
        <f>'[33]Budget 2022'!N62</f>
        <v>416666.67</v>
      </c>
      <c r="L23" s="39">
        <f>'[33]Budget 2022'!O62</f>
        <v>416666.67</v>
      </c>
      <c r="M23" s="39">
        <f t="shared" si="10"/>
        <v>1250000.01</v>
      </c>
      <c r="N23" s="39">
        <f>'[33]Budget 2022'!Q62</f>
        <v>416666.67</v>
      </c>
      <c r="O23" s="39">
        <f>'[33]Budget 2022'!R62</f>
        <v>416666.67</v>
      </c>
      <c r="P23" s="39">
        <f>'[33]Budget 2022'!S62</f>
        <v>416666.67</v>
      </c>
      <c r="Q23" s="39">
        <f t="shared" si="11"/>
        <v>1250000.01</v>
      </c>
      <c r="R23" s="39">
        <f t="shared" si="12"/>
        <v>5000000.04</v>
      </c>
    </row>
    <row r="24" spans="1:20" ht="18" hidden="1" outlineLevel="1">
      <c r="A24" s="38" t="s">
        <v>207</v>
      </c>
      <c r="B24" s="39">
        <f>'[33]Budget 2022'!E64</f>
        <v>0</v>
      </c>
      <c r="C24" s="39">
        <f>'[33]Budget 2022'!F64</f>
        <v>0</v>
      </c>
      <c r="D24" s="39">
        <f>'[33]Budget 2022'!G64</f>
        <v>0</v>
      </c>
      <c r="E24" s="39">
        <f t="shared" si="8"/>
        <v>0</v>
      </c>
      <c r="F24" s="39">
        <f>'[33]Budget 2022'!I64</f>
        <v>0</v>
      </c>
      <c r="G24" s="39">
        <f>'[33]Budget 2022'!J64</f>
        <v>0</v>
      </c>
      <c r="H24" s="39">
        <f>'[33]Budget 2022'!K64</f>
        <v>0</v>
      </c>
      <c r="I24" s="39">
        <f t="shared" si="9"/>
        <v>0</v>
      </c>
      <c r="J24" s="39">
        <f>'[33]Budget 2022'!M64</f>
        <v>0</v>
      </c>
      <c r="K24" s="39">
        <f>'[33]Budget 2022'!N64</f>
        <v>0</v>
      </c>
      <c r="L24" s="39">
        <f>'[33]Budget 2022'!O64</f>
        <v>0</v>
      </c>
      <c r="M24" s="39">
        <f t="shared" si="10"/>
        <v>0</v>
      </c>
      <c r="N24" s="39">
        <f>'[33]Budget 2022'!Q64</f>
        <v>0</v>
      </c>
      <c r="O24" s="39">
        <f>'[33]Budget 2022'!R64</f>
        <v>0</v>
      </c>
      <c r="P24" s="39">
        <f>'[33]Budget 2022'!S64</f>
        <v>0</v>
      </c>
      <c r="Q24" s="39">
        <f t="shared" si="11"/>
        <v>0</v>
      </c>
      <c r="R24" s="39">
        <f t="shared" si="12"/>
        <v>0</v>
      </c>
    </row>
    <row r="25" spans="1:20" ht="18" hidden="1" outlineLevel="1">
      <c r="A25" s="38" t="s">
        <v>208</v>
      </c>
      <c r="B25" s="39">
        <f>'[33]Budget 2022'!E75</f>
        <v>3333333.33</v>
      </c>
      <c r="C25" s="39">
        <f>'[33]Budget 2022'!F75</f>
        <v>3333333.33</v>
      </c>
      <c r="D25" s="39">
        <f>'[33]Budget 2022'!G75</f>
        <v>3333333.33</v>
      </c>
      <c r="E25" s="39">
        <f t="shared" si="8"/>
        <v>9999999.9900000002</v>
      </c>
      <c r="F25" s="39">
        <f>'[33]Budget 2022'!I75</f>
        <v>3333333.33</v>
      </c>
      <c r="G25" s="39">
        <f>'[33]Budget 2022'!J75</f>
        <v>3333333.33</v>
      </c>
      <c r="H25" s="39">
        <f>'[33]Budget 2022'!K75</f>
        <v>3333333.33</v>
      </c>
      <c r="I25" s="39">
        <f t="shared" si="9"/>
        <v>9999999.9900000002</v>
      </c>
      <c r="J25" s="39">
        <f>'[33]Budget 2022'!M75</f>
        <v>3333333.33</v>
      </c>
      <c r="K25" s="39">
        <f>'[33]Budget 2022'!N75</f>
        <v>3333333.33</v>
      </c>
      <c r="L25" s="39">
        <f>'[33]Budget 2022'!O75</f>
        <v>3333333.33</v>
      </c>
      <c r="M25" s="39">
        <f t="shared" si="10"/>
        <v>9999999.9900000002</v>
      </c>
      <c r="N25" s="39">
        <f>'[33]Budget 2022'!Q75</f>
        <v>3333333.33</v>
      </c>
      <c r="O25" s="39">
        <f>'[33]Budget 2022'!R75</f>
        <v>3333333.33</v>
      </c>
      <c r="P25" s="39">
        <f>'[33]Budget 2022'!S75</f>
        <v>3333333.33</v>
      </c>
      <c r="Q25" s="39">
        <f t="shared" si="11"/>
        <v>9999999.9900000002</v>
      </c>
      <c r="R25" s="39">
        <f t="shared" si="12"/>
        <v>39999999.960000001</v>
      </c>
    </row>
    <row r="26" spans="1:20" s="35" customFormat="1" ht="31.2" collapsed="1">
      <c r="A26" s="31" t="s">
        <v>209</v>
      </c>
      <c r="B26" s="32">
        <f>B27+B40</f>
        <v>16289778.326666661</v>
      </c>
      <c r="C26" s="32">
        <f t="shared" ref="C26:D26" si="13">C27+C40</f>
        <v>12544515.326666661</v>
      </c>
      <c r="D26" s="32">
        <f t="shared" si="13"/>
        <v>16959643.266666662</v>
      </c>
      <c r="E26" s="32">
        <f>SUM(B26:D26)</f>
        <v>45793936.919999987</v>
      </c>
      <c r="F26" s="32">
        <f>F27+F40</f>
        <v>16694246.326666661</v>
      </c>
      <c r="G26" s="32">
        <f t="shared" ref="G26:H26" si="14">G27+G40</f>
        <v>13115273.326666661</v>
      </c>
      <c r="H26" s="32">
        <f t="shared" si="14"/>
        <v>12115273.326666661</v>
      </c>
      <c r="I26" s="32">
        <f>SUM(F26:H26)</f>
        <v>41924792.979999982</v>
      </c>
      <c r="J26" s="32">
        <f>J27+J40</f>
        <v>9860553.3266666606</v>
      </c>
      <c r="K26" s="32">
        <f t="shared" ref="K26:L26" si="15">K27+K40</f>
        <v>7225833.3266666606</v>
      </c>
      <c r="L26" s="32">
        <f t="shared" si="15"/>
        <v>7225833.3266666606</v>
      </c>
      <c r="M26" s="32">
        <f>SUM(J26:L26)</f>
        <v>24312219.979999982</v>
      </c>
      <c r="N26" s="32">
        <f>N27+N40</f>
        <v>7225833.3266666606</v>
      </c>
      <c r="O26" s="32">
        <f t="shared" ref="O26:P26" si="16">O27+O40</f>
        <v>7225833.3266666606</v>
      </c>
      <c r="P26" s="32">
        <f t="shared" si="16"/>
        <v>7212317.3266666606</v>
      </c>
      <c r="Q26" s="32">
        <f>SUM(N26:P26)</f>
        <v>21663983.979999982</v>
      </c>
      <c r="R26" s="33">
        <f>R27+R40</f>
        <v>133694933.85999992</v>
      </c>
      <c r="S26" s="40"/>
      <c r="T26" s="40"/>
    </row>
    <row r="27" spans="1:20" s="35" customFormat="1" ht="31.2" hidden="1" outlineLevel="1">
      <c r="A27" s="31" t="s">
        <v>210</v>
      </c>
      <c r="B27" s="32">
        <f>B28+B31</f>
        <v>15969153.326666661</v>
      </c>
      <c r="C27" s="32">
        <f>C28+C31</f>
        <v>12205315.326666661</v>
      </c>
      <c r="D27" s="32">
        <f>D28+D31</f>
        <v>16746628.726666661</v>
      </c>
      <c r="E27" s="32">
        <f>SUM(B27:D27)</f>
        <v>44921097.37999998</v>
      </c>
      <c r="F27" s="32">
        <f>F28+F31</f>
        <v>16590273.326666661</v>
      </c>
      <c r="G27" s="32">
        <f>G28+G31</f>
        <v>13090273.326666661</v>
      </c>
      <c r="H27" s="32">
        <f>H28+H31</f>
        <v>12090273.326666661</v>
      </c>
      <c r="I27" s="32">
        <f>SUM(F27:H27)</f>
        <v>41770819.979999982</v>
      </c>
      <c r="J27" s="32">
        <f>J28+J31</f>
        <v>9835553.3266666606</v>
      </c>
      <c r="K27" s="32">
        <f>K28+K31</f>
        <v>7200833.3266666606</v>
      </c>
      <c r="L27" s="32">
        <f>L28+L31</f>
        <v>7200833.3266666606</v>
      </c>
      <c r="M27" s="32">
        <f>SUM(J27:L27)</f>
        <v>24237219.979999982</v>
      </c>
      <c r="N27" s="32">
        <f>N28+N31</f>
        <v>7200833.3266666606</v>
      </c>
      <c r="O27" s="32">
        <f>O28+O31</f>
        <v>7200833.3266666606</v>
      </c>
      <c r="P27" s="32">
        <f>P28+P31</f>
        <v>7200833.3266666606</v>
      </c>
      <c r="Q27" s="32">
        <f>SUM(N27:P27)</f>
        <v>21602499.979999982</v>
      </c>
      <c r="R27" s="33">
        <f>R28+R31</f>
        <v>132531637.31999992</v>
      </c>
      <c r="S27" s="34">
        <f>R27+'[33]Budget 2022'!AL5</f>
        <v>0</v>
      </c>
    </row>
    <row r="28" spans="1:20" ht="18" hidden="1" outlineLevel="1">
      <c r="A28" s="36" t="s">
        <v>197</v>
      </c>
      <c r="B28" s="41">
        <f>SUM(B29:B30)</f>
        <v>13261653.33</v>
      </c>
      <c r="C28" s="41">
        <f>SUM(C29:C30)</f>
        <v>9497815.3300000001</v>
      </c>
      <c r="D28" s="41">
        <f>SUM(D29:D30)</f>
        <v>14039128.73</v>
      </c>
      <c r="E28" s="41">
        <f t="shared" si="8"/>
        <v>36798597.390000001</v>
      </c>
      <c r="F28" s="41">
        <f>SUM(F29:F30)</f>
        <v>13982773.33</v>
      </c>
      <c r="G28" s="41">
        <f>SUM(G29:G30)</f>
        <v>10482773.33</v>
      </c>
      <c r="H28" s="41">
        <f>SUM(H29:H30)</f>
        <v>9482773.3300000001</v>
      </c>
      <c r="I28" s="41">
        <f t="shared" si="9"/>
        <v>33948319.990000002</v>
      </c>
      <c r="J28" s="41">
        <f>SUM(J29:J30)</f>
        <v>7348053.3300000001</v>
      </c>
      <c r="K28" s="41">
        <f>SUM(K29:K30)</f>
        <v>4713333.33</v>
      </c>
      <c r="L28" s="41">
        <f>SUM(L29:L30)</f>
        <v>4713333.33</v>
      </c>
      <c r="M28" s="41">
        <f t="shared" si="10"/>
        <v>16774719.99</v>
      </c>
      <c r="N28" s="41">
        <f>SUM(N29:N30)</f>
        <v>4713333.33</v>
      </c>
      <c r="O28" s="41">
        <f>SUM(O29:O30)</f>
        <v>4713333.33</v>
      </c>
      <c r="P28" s="41">
        <f>SUM(P29:P30)</f>
        <v>4713333.33</v>
      </c>
      <c r="Q28" s="41">
        <f t="shared" si="11"/>
        <v>14139999.99</v>
      </c>
      <c r="R28" s="41">
        <f>SUM(R29:R30)</f>
        <v>101661637.36</v>
      </c>
    </row>
    <row r="29" spans="1:20" ht="18" hidden="1" outlineLevel="1">
      <c r="A29" s="38" t="s">
        <v>198</v>
      </c>
      <c r="B29" s="39">
        <f>-'[33]Budget 2022'!V7</f>
        <v>8728320</v>
      </c>
      <c r="C29" s="39">
        <f>-'[33]Budget 2022'!W7</f>
        <v>4964482</v>
      </c>
      <c r="D29" s="39">
        <f>-'[33]Budget 2022'!X7</f>
        <v>10325795.4</v>
      </c>
      <c r="E29" s="39">
        <f t="shared" si="8"/>
        <v>24018597.399999999</v>
      </c>
      <c r="F29" s="39">
        <f>-'[33]Budget 2022'!Z7</f>
        <v>8769440</v>
      </c>
      <c r="G29" s="39">
        <f>-'[33]Budget 2022'!AA7</f>
        <v>5769440</v>
      </c>
      <c r="H29" s="39">
        <f>-'[33]Budget 2022'!AB7</f>
        <v>4769440</v>
      </c>
      <c r="I29" s="39">
        <f>SUM(F29:H29)</f>
        <v>19308320</v>
      </c>
      <c r="J29" s="39">
        <f>-'[33]Budget 2022'!AD7</f>
        <v>2134720</v>
      </c>
      <c r="K29" s="39">
        <f>-'[33]Budget 2022'!AE7</f>
        <v>0</v>
      </c>
      <c r="L29" s="39">
        <f>-'[33]Budget 2022'!AF7</f>
        <v>0</v>
      </c>
      <c r="M29" s="39">
        <f t="shared" si="10"/>
        <v>2134720</v>
      </c>
      <c r="N29" s="39">
        <f>-'[33]Budget 2022'!AH7</f>
        <v>0</v>
      </c>
      <c r="O29" s="39">
        <f>-'[33]Budget 2022'!AI7</f>
        <v>0</v>
      </c>
      <c r="P29" s="39">
        <f>-'[33]Budget 2022'!AJ7</f>
        <v>0</v>
      </c>
      <c r="Q29" s="39">
        <f t="shared" si="11"/>
        <v>0</v>
      </c>
      <c r="R29" s="39">
        <f>SUM(E29,I29,M29,Q29)</f>
        <v>45461637.399999999</v>
      </c>
    </row>
    <row r="30" spans="1:20" ht="18" hidden="1" outlineLevel="1">
      <c r="A30" s="38" t="s">
        <v>199</v>
      </c>
      <c r="B30" s="39">
        <f>-'[33]Budget 2022'!V17</f>
        <v>4533333.33</v>
      </c>
      <c r="C30" s="39">
        <f>-'[33]Budget 2022'!W17</f>
        <v>4533333.33</v>
      </c>
      <c r="D30" s="39">
        <f>-'[33]Budget 2022'!X17</f>
        <v>3713333.33</v>
      </c>
      <c r="E30" s="39">
        <f t="shared" si="8"/>
        <v>12779999.99</v>
      </c>
      <c r="F30" s="39">
        <f>-'[33]Budget 2022'!Z17</f>
        <v>5213333.33</v>
      </c>
      <c r="G30" s="39">
        <f>-'[33]Budget 2022'!AA17</f>
        <v>4713333.33</v>
      </c>
      <c r="H30" s="39">
        <f>-'[33]Budget 2022'!AB17</f>
        <v>4713333.33</v>
      </c>
      <c r="I30" s="39">
        <f t="shared" si="9"/>
        <v>14639999.99</v>
      </c>
      <c r="J30" s="39">
        <f>-'[33]Budget 2022'!AD17</f>
        <v>5213333.33</v>
      </c>
      <c r="K30" s="39">
        <f>-'[33]Budget 2022'!AE17</f>
        <v>4713333.33</v>
      </c>
      <c r="L30" s="39">
        <f>-'[33]Budget 2022'!AF17</f>
        <v>4713333.33</v>
      </c>
      <c r="M30" s="39">
        <f t="shared" si="10"/>
        <v>14639999.99</v>
      </c>
      <c r="N30" s="39">
        <f>-'[33]Budget 2022'!AH17</f>
        <v>4713333.33</v>
      </c>
      <c r="O30" s="39">
        <f>-'[33]Budget 2022'!AI17</f>
        <v>4713333.33</v>
      </c>
      <c r="P30" s="39">
        <f>-'[33]Budget 2022'!AJ17</f>
        <v>4713333.33</v>
      </c>
      <c r="Q30" s="39">
        <f t="shared" si="11"/>
        <v>14139999.99</v>
      </c>
      <c r="R30" s="39">
        <f>SUM(E30,I30,M30,Q30)</f>
        <v>56199999.960000001</v>
      </c>
    </row>
    <row r="31" spans="1:20" ht="18" hidden="1" outlineLevel="1">
      <c r="A31" s="36" t="s">
        <v>200</v>
      </c>
      <c r="B31" s="41">
        <f>SUM(B32:B39)</f>
        <v>2707499.9966666601</v>
      </c>
      <c r="C31" s="41">
        <f>SUM(C32:C39)</f>
        <v>2707499.9966666601</v>
      </c>
      <c r="D31" s="41">
        <f>SUM(D32:D39)</f>
        <v>2707499.9966666601</v>
      </c>
      <c r="E31" s="41">
        <f t="shared" si="8"/>
        <v>8122499.9899999797</v>
      </c>
      <c r="F31" s="41">
        <f>SUM(F32:F39)</f>
        <v>2607499.9966666601</v>
      </c>
      <c r="G31" s="41">
        <f>SUM(G32:G39)</f>
        <v>2607499.9966666601</v>
      </c>
      <c r="H31" s="41">
        <f>SUM(H32:H39)</f>
        <v>2607499.9966666601</v>
      </c>
      <c r="I31" s="41">
        <f t="shared" si="9"/>
        <v>7822499.9899999797</v>
      </c>
      <c r="J31" s="41">
        <f>SUM(J32:J39)</f>
        <v>2487499.9966666601</v>
      </c>
      <c r="K31" s="41">
        <f>SUM(K32:K39)</f>
        <v>2487499.9966666601</v>
      </c>
      <c r="L31" s="41">
        <f>SUM(L32:L39)</f>
        <v>2487499.9966666601</v>
      </c>
      <c r="M31" s="41">
        <f t="shared" si="10"/>
        <v>7462499.9899999797</v>
      </c>
      <c r="N31" s="41">
        <f>SUM(N32:N39)</f>
        <v>2487499.9966666601</v>
      </c>
      <c r="O31" s="41">
        <f>SUM(O32:O39)</f>
        <v>2487499.9966666601</v>
      </c>
      <c r="P31" s="41">
        <f>SUM(P32:P39)</f>
        <v>2487499.9966666601</v>
      </c>
      <c r="Q31" s="41">
        <f t="shared" si="11"/>
        <v>7462499.9899999797</v>
      </c>
      <c r="R31" s="41">
        <f>SUM(R32:R39)</f>
        <v>30869999.959999919</v>
      </c>
      <c r="S31" s="16"/>
    </row>
    <row r="32" spans="1:20" ht="18" hidden="1" outlineLevel="1">
      <c r="A32" s="38" t="s">
        <v>201</v>
      </c>
      <c r="B32" s="39">
        <f>-'[33]Budget 2022'!V25</f>
        <v>220000</v>
      </c>
      <c r="C32" s="39">
        <f>-'[33]Budget 2022'!W25</f>
        <v>220000</v>
      </c>
      <c r="D32" s="39">
        <f>-'[33]Budget 2022'!X25</f>
        <v>220000</v>
      </c>
      <c r="E32" s="39">
        <f t="shared" si="8"/>
        <v>660000</v>
      </c>
      <c r="F32" s="39">
        <f>-'[33]Budget 2022'!Z25</f>
        <v>120000</v>
      </c>
      <c r="G32" s="39">
        <f>-'[33]Budget 2022'!AA25</f>
        <v>120000</v>
      </c>
      <c r="H32" s="39">
        <f>-'[33]Budget 2022'!AB25</f>
        <v>120000</v>
      </c>
      <c r="I32" s="39">
        <f t="shared" si="9"/>
        <v>360000</v>
      </c>
      <c r="J32" s="39">
        <f>-'[33]Budget 2022'!AD25</f>
        <v>0</v>
      </c>
      <c r="K32" s="39">
        <f>-'[33]Budget 2022'!AE25</f>
        <v>0</v>
      </c>
      <c r="L32" s="39">
        <f>-'[33]Budget 2022'!AF25</f>
        <v>0</v>
      </c>
      <c r="M32" s="39">
        <f t="shared" si="10"/>
        <v>0</v>
      </c>
      <c r="N32" s="39">
        <f>-'[33]Budget 2022'!AH25</f>
        <v>0</v>
      </c>
      <c r="O32" s="39">
        <f>-'[33]Budget 2022'!AI25</f>
        <v>0</v>
      </c>
      <c r="P32" s="39">
        <f>-'[33]Budget 2022'!AJ25</f>
        <v>0</v>
      </c>
      <c r="Q32" s="39">
        <f t="shared" si="11"/>
        <v>0</v>
      </c>
      <c r="R32" s="39">
        <f t="shared" ref="R32:R39" si="17">SUM(E32,I32,M32,Q32)</f>
        <v>1020000</v>
      </c>
    </row>
    <row r="33" spans="1:19" ht="18" hidden="1" outlineLevel="1">
      <c r="A33" s="38" t="s">
        <v>202</v>
      </c>
      <c r="B33" s="39">
        <f>-'[33]Budget 2022'!V31</f>
        <v>0</v>
      </c>
      <c r="C33" s="39">
        <f>-'[33]Budget 2022'!W31</f>
        <v>0</v>
      </c>
      <c r="D33" s="39">
        <f>-'[33]Budget 2022'!X31</f>
        <v>0</v>
      </c>
      <c r="E33" s="39">
        <f t="shared" si="8"/>
        <v>0</v>
      </c>
      <c r="F33" s="39">
        <f>-'[33]Budget 2022'!Z31</f>
        <v>0</v>
      </c>
      <c r="G33" s="39">
        <f>-'[33]Budget 2022'!AA31</f>
        <v>0</v>
      </c>
      <c r="H33" s="39">
        <f>-'[33]Budget 2022'!AB31</f>
        <v>0</v>
      </c>
      <c r="I33" s="39">
        <f t="shared" si="9"/>
        <v>0</v>
      </c>
      <c r="J33" s="39">
        <f>-'[33]Budget 2022'!AD31</f>
        <v>0</v>
      </c>
      <c r="K33" s="39">
        <f>-'[33]Budget 2022'!AE31</f>
        <v>0</v>
      </c>
      <c r="L33" s="39">
        <f>-'[33]Budget 2022'!AF31</f>
        <v>0</v>
      </c>
      <c r="M33" s="39">
        <f t="shared" si="10"/>
        <v>0</v>
      </c>
      <c r="N33" s="39">
        <f>-'[33]Budget 2022'!AH31</f>
        <v>0</v>
      </c>
      <c r="O33" s="39">
        <f>-'[33]Budget 2022'!AI31</f>
        <v>0</v>
      </c>
      <c r="P33" s="39">
        <f>-'[33]Budget 2022'!AJ31</f>
        <v>0</v>
      </c>
      <c r="Q33" s="39">
        <f t="shared" si="11"/>
        <v>0</v>
      </c>
      <c r="R33" s="39">
        <f t="shared" si="17"/>
        <v>0</v>
      </c>
    </row>
    <row r="34" spans="1:19" ht="18" hidden="1" outlineLevel="1">
      <c r="A34" s="38" t="s">
        <v>203</v>
      </c>
      <c r="B34" s="39">
        <f>-'[33]Budget 2022'!V38</f>
        <v>0</v>
      </c>
      <c r="C34" s="39">
        <f>-'[33]Budget 2022'!W38</f>
        <v>0</v>
      </c>
      <c r="D34" s="39">
        <f>-'[33]Budget 2022'!X38</f>
        <v>0</v>
      </c>
      <c r="E34" s="39">
        <f t="shared" si="8"/>
        <v>0</v>
      </c>
      <c r="F34" s="39">
        <f>-'[33]Budget 2022'!Z38</f>
        <v>0</v>
      </c>
      <c r="G34" s="39">
        <f>-'[33]Budget 2022'!AA38</f>
        <v>0</v>
      </c>
      <c r="H34" s="39">
        <f>-'[33]Budget 2022'!AB38</f>
        <v>0</v>
      </c>
      <c r="I34" s="39">
        <f t="shared" si="9"/>
        <v>0</v>
      </c>
      <c r="J34" s="39">
        <f>-'[33]Budget 2022'!AD38</f>
        <v>0</v>
      </c>
      <c r="K34" s="39">
        <f>-'[33]Budget 2022'!AE38</f>
        <v>0</v>
      </c>
      <c r="L34" s="39">
        <f>-'[33]Budget 2022'!AF38</f>
        <v>0</v>
      </c>
      <c r="M34" s="39">
        <f t="shared" si="10"/>
        <v>0</v>
      </c>
      <c r="N34" s="39">
        <f>-'[33]Budget 2022'!AH38</f>
        <v>0</v>
      </c>
      <c r="O34" s="39">
        <f>-'[33]Budget 2022'!AI38</f>
        <v>0</v>
      </c>
      <c r="P34" s="39">
        <f>-'[33]Budget 2022'!AJ38</f>
        <v>0</v>
      </c>
      <c r="Q34" s="39">
        <f t="shared" si="11"/>
        <v>0</v>
      </c>
      <c r="R34" s="39">
        <f t="shared" si="17"/>
        <v>0</v>
      </c>
    </row>
    <row r="35" spans="1:19" ht="18" hidden="1" outlineLevel="1">
      <c r="A35" s="38" t="s">
        <v>204</v>
      </c>
      <c r="B35" s="39">
        <f>-'[33]Budget 2022'!V49</f>
        <v>112500</v>
      </c>
      <c r="C35" s="39">
        <f>-'[33]Budget 2022'!W49</f>
        <v>112500</v>
      </c>
      <c r="D35" s="39">
        <f>-'[33]Budget 2022'!X49</f>
        <v>112500</v>
      </c>
      <c r="E35" s="39">
        <f t="shared" si="8"/>
        <v>337500</v>
      </c>
      <c r="F35" s="39">
        <f>-'[33]Budget 2022'!Z49</f>
        <v>112500</v>
      </c>
      <c r="G35" s="39">
        <f>-'[33]Budget 2022'!AA49</f>
        <v>112500</v>
      </c>
      <c r="H35" s="39">
        <f>-'[33]Budget 2022'!AB49</f>
        <v>112500</v>
      </c>
      <c r="I35" s="39">
        <f t="shared" si="9"/>
        <v>337500</v>
      </c>
      <c r="J35" s="39">
        <f>-'[33]Budget 2022'!AD49</f>
        <v>112500</v>
      </c>
      <c r="K35" s="39">
        <f>-'[33]Budget 2022'!AE49</f>
        <v>112500</v>
      </c>
      <c r="L35" s="39">
        <f>-'[33]Budget 2022'!AF49</f>
        <v>112500</v>
      </c>
      <c r="M35" s="39">
        <f t="shared" si="10"/>
        <v>337500</v>
      </c>
      <c r="N35" s="39">
        <f>-'[33]Budget 2022'!AH49</f>
        <v>112500</v>
      </c>
      <c r="O35" s="39">
        <f>-'[33]Budget 2022'!AI49</f>
        <v>112500</v>
      </c>
      <c r="P35" s="39">
        <f>-'[33]Budget 2022'!AJ49</f>
        <v>112500</v>
      </c>
      <c r="Q35" s="39">
        <f t="shared" si="11"/>
        <v>337500</v>
      </c>
      <c r="R35" s="39">
        <f t="shared" si="17"/>
        <v>1350000</v>
      </c>
    </row>
    <row r="36" spans="1:19" ht="18" hidden="1" outlineLevel="1">
      <c r="A36" s="38" t="s">
        <v>205</v>
      </c>
      <c r="B36" s="39">
        <f>-'[33]Budget 2022'!V51</f>
        <v>0</v>
      </c>
      <c r="C36" s="39">
        <f>-'[33]Budget 2022'!W51</f>
        <v>0</v>
      </c>
      <c r="D36" s="39">
        <f>-'[33]Budget 2022'!X51</f>
        <v>0</v>
      </c>
      <c r="E36" s="39">
        <f t="shared" si="8"/>
        <v>0</v>
      </c>
      <c r="F36" s="39">
        <f>-'[33]Budget 2022'!Z51</f>
        <v>0</v>
      </c>
      <c r="G36" s="39">
        <f>-'[33]Budget 2022'!AA51</f>
        <v>0</v>
      </c>
      <c r="H36" s="39">
        <f>-'[33]Budget 2022'!AB51</f>
        <v>0</v>
      </c>
      <c r="I36" s="39">
        <f t="shared" si="9"/>
        <v>0</v>
      </c>
      <c r="J36" s="39">
        <f>-'[33]Budget 2022'!AD51</f>
        <v>0</v>
      </c>
      <c r="K36" s="39">
        <f>-'[33]Budget 2022'!AE51</f>
        <v>0</v>
      </c>
      <c r="L36" s="39">
        <f>-'[33]Budget 2022'!AF51</f>
        <v>0</v>
      </c>
      <c r="M36" s="39">
        <f t="shared" si="10"/>
        <v>0</v>
      </c>
      <c r="N36" s="39">
        <f>-'[33]Budget 2022'!AH51</f>
        <v>0</v>
      </c>
      <c r="O36" s="39">
        <f>-'[33]Budget 2022'!AI51</f>
        <v>0</v>
      </c>
      <c r="P36" s="39">
        <f>-'[33]Budget 2022'!AJ51</f>
        <v>0</v>
      </c>
      <c r="Q36" s="39">
        <f t="shared" si="11"/>
        <v>0</v>
      </c>
      <c r="R36" s="39">
        <f t="shared" si="17"/>
        <v>0</v>
      </c>
    </row>
    <row r="37" spans="1:19" ht="18" hidden="1" outlineLevel="1">
      <c r="A37" s="38" t="s">
        <v>206</v>
      </c>
      <c r="B37" s="39">
        <f>-'[33]Budget 2022'!V62</f>
        <v>83333.33</v>
      </c>
      <c r="C37" s="39">
        <f>-'[33]Budget 2022'!W62</f>
        <v>83333.33</v>
      </c>
      <c r="D37" s="39">
        <f>-'[33]Budget 2022'!X62</f>
        <v>83333.33</v>
      </c>
      <c r="E37" s="39">
        <f t="shared" si="8"/>
        <v>249999.99</v>
      </c>
      <c r="F37" s="39">
        <f>-'[33]Budget 2022'!Z62</f>
        <v>83333.33</v>
      </c>
      <c r="G37" s="39">
        <f>-'[33]Budget 2022'!AA62</f>
        <v>83333.33</v>
      </c>
      <c r="H37" s="39">
        <f>-'[33]Budget 2022'!AB62</f>
        <v>83333.33</v>
      </c>
      <c r="I37" s="39">
        <f t="shared" si="9"/>
        <v>249999.99</v>
      </c>
      <c r="J37" s="39">
        <f>-'[33]Budget 2022'!AD62</f>
        <v>83333.33</v>
      </c>
      <c r="K37" s="39">
        <f>-'[33]Budget 2022'!AE62</f>
        <v>83333.33</v>
      </c>
      <c r="L37" s="39">
        <f>-'[33]Budget 2022'!AF62</f>
        <v>83333.33</v>
      </c>
      <c r="M37" s="39">
        <f t="shared" si="10"/>
        <v>249999.99</v>
      </c>
      <c r="N37" s="39">
        <f>-'[33]Budget 2022'!AH62</f>
        <v>83333.33</v>
      </c>
      <c r="O37" s="39">
        <f>-'[33]Budget 2022'!AI62</f>
        <v>83333.33</v>
      </c>
      <c r="P37" s="39">
        <f>-'[33]Budget 2022'!AJ62</f>
        <v>83333.33</v>
      </c>
      <c r="Q37" s="39">
        <f t="shared" si="11"/>
        <v>249999.99</v>
      </c>
      <c r="R37" s="39">
        <f t="shared" si="17"/>
        <v>999999.96</v>
      </c>
    </row>
    <row r="38" spans="1:19" ht="18" hidden="1" outlineLevel="1">
      <c r="A38" s="38" t="s">
        <v>207</v>
      </c>
      <c r="B38" s="39">
        <f>-'[33]Budget 2022'!V64</f>
        <v>0</v>
      </c>
      <c r="C38" s="39">
        <f>-'[33]Budget 2022'!W64</f>
        <v>0</v>
      </c>
      <c r="D38" s="39">
        <f>-'[33]Budget 2022'!X64</f>
        <v>0</v>
      </c>
      <c r="E38" s="39">
        <f t="shared" si="8"/>
        <v>0</v>
      </c>
      <c r="F38" s="39">
        <f>-'[33]Budget 2022'!Z64</f>
        <v>0</v>
      </c>
      <c r="G38" s="39">
        <f>-'[33]Budget 2022'!AA64</f>
        <v>0</v>
      </c>
      <c r="H38" s="39">
        <f>-'[33]Budget 2022'!AB64</f>
        <v>0</v>
      </c>
      <c r="I38" s="39">
        <f t="shared" si="9"/>
        <v>0</v>
      </c>
      <c r="J38" s="39">
        <f>-'[33]Budget 2022'!AD64</f>
        <v>0</v>
      </c>
      <c r="K38" s="39">
        <f>-'[33]Budget 2022'!AE64</f>
        <v>0</v>
      </c>
      <c r="L38" s="39">
        <f>-'[33]Budget 2022'!AF64</f>
        <v>0</v>
      </c>
      <c r="M38" s="39">
        <f t="shared" si="10"/>
        <v>0</v>
      </c>
      <c r="N38" s="39">
        <f>-'[33]Budget 2022'!AH64</f>
        <v>0</v>
      </c>
      <c r="O38" s="39">
        <f>-'[33]Budget 2022'!AI64</f>
        <v>0</v>
      </c>
      <c r="P38" s="39">
        <f>-'[33]Budget 2022'!AJ64</f>
        <v>0</v>
      </c>
      <c r="Q38" s="39">
        <f t="shared" si="11"/>
        <v>0</v>
      </c>
      <c r="R38" s="39">
        <f t="shared" si="17"/>
        <v>0</v>
      </c>
    </row>
    <row r="39" spans="1:19" ht="18" hidden="1" outlineLevel="1">
      <c r="A39" s="38" t="s">
        <v>208</v>
      </c>
      <c r="B39" s="39">
        <f>-'[33]Budget 2022'!V75</f>
        <v>2291666.66666666</v>
      </c>
      <c r="C39" s="39">
        <f>-'[33]Budget 2022'!W75</f>
        <v>2291666.66666666</v>
      </c>
      <c r="D39" s="39">
        <f>-'[33]Budget 2022'!X75</f>
        <v>2291666.66666666</v>
      </c>
      <c r="E39" s="39">
        <f t="shared" si="8"/>
        <v>6874999.9999999795</v>
      </c>
      <c r="F39" s="39">
        <f>-'[33]Budget 2022'!Z75</f>
        <v>2291666.66666666</v>
      </c>
      <c r="G39" s="39">
        <f>-'[33]Budget 2022'!AA75</f>
        <v>2291666.66666666</v>
      </c>
      <c r="H39" s="39">
        <f>-'[33]Budget 2022'!AB75</f>
        <v>2291666.66666666</v>
      </c>
      <c r="I39" s="39">
        <f t="shared" si="9"/>
        <v>6874999.9999999795</v>
      </c>
      <c r="J39" s="39">
        <f>-'[33]Budget 2022'!AD75</f>
        <v>2291666.66666666</v>
      </c>
      <c r="K39" s="39">
        <f>-'[33]Budget 2022'!AE75</f>
        <v>2291666.66666666</v>
      </c>
      <c r="L39" s="39">
        <f>-'[33]Budget 2022'!AF75</f>
        <v>2291666.66666666</v>
      </c>
      <c r="M39" s="39">
        <f t="shared" si="10"/>
        <v>6874999.9999999795</v>
      </c>
      <c r="N39" s="39">
        <f>-'[33]Budget 2022'!AH75</f>
        <v>2291666.66666666</v>
      </c>
      <c r="O39" s="39">
        <f>-'[33]Budget 2022'!AI75</f>
        <v>2291666.66666666</v>
      </c>
      <c r="P39" s="39">
        <f>-'[33]Budget 2022'!AJ75</f>
        <v>2291666.66666666</v>
      </c>
      <c r="Q39" s="39">
        <f t="shared" si="11"/>
        <v>6874999.9999999795</v>
      </c>
      <c r="R39" s="39">
        <f t="shared" si="17"/>
        <v>27499999.999999918</v>
      </c>
    </row>
    <row r="40" spans="1:19" s="35" customFormat="1" ht="31.2" hidden="1" outlineLevel="1">
      <c r="A40" s="31" t="s">
        <v>211</v>
      </c>
      <c r="B40" s="32">
        <f>B41+B44</f>
        <v>320625</v>
      </c>
      <c r="C40" s="32">
        <f t="shared" ref="C40:D40" si="18">C41+C44</f>
        <v>339200</v>
      </c>
      <c r="D40" s="32">
        <f t="shared" si="18"/>
        <v>213014.53999999998</v>
      </c>
      <c r="E40" s="32">
        <f>SUM(B40:D40)</f>
        <v>872839.54</v>
      </c>
      <c r="F40" s="32">
        <f>F41+F44</f>
        <v>103973</v>
      </c>
      <c r="G40" s="32">
        <f t="shared" ref="G40:H40" si="19">G41+G44</f>
        <v>25000</v>
      </c>
      <c r="H40" s="32">
        <f t="shared" si="19"/>
        <v>25000</v>
      </c>
      <c r="I40" s="32">
        <f>SUM(F40:H40)</f>
        <v>153973</v>
      </c>
      <c r="J40" s="32">
        <f>J41+J44</f>
        <v>25000</v>
      </c>
      <c r="K40" s="32">
        <f t="shared" ref="K40:L40" si="20">K41+K44</f>
        <v>25000</v>
      </c>
      <c r="L40" s="32">
        <f t="shared" si="20"/>
        <v>25000</v>
      </c>
      <c r="M40" s="32">
        <f>SUM(J40:L40)</f>
        <v>75000</v>
      </c>
      <c r="N40" s="32">
        <f>N41+N44</f>
        <v>25000</v>
      </c>
      <c r="O40" s="32">
        <f t="shared" ref="O40:P40" si="21">O41+O44</f>
        <v>25000</v>
      </c>
      <c r="P40" s="32">
        <f t="shared" si="21"/>
        <v>11484</v>
      </c>
      <c r="Q40" s="32">
        <f>SUM(N40:P40)</f>
        <v>61484</v>
      </c>
      <c r="R40" s="33">
        <f>R41+R44</f>
        <v>1163296.54</v>
      </c>
      <c r="S40" s="34">
        <f>R40+'[33]Budget 2022'!BC5</f>
        <v>0</v>
      </c>
    </row>
    <row r="41" spans="1:19" ht="18" hidden="1" outlineLevel="1">
      <c r="A41" s="36" t="s">
        <v>197</v>
      </c>
      <c r="B41" s="41">
        <f>SUM(B42:B43)</f>
        <v>315625</v>
      </c>
      <c r="C41" s="41">
        <f>SUM(C42:C43)</f>
        <v>334200</v>
      </c>
      <c r="D41" s="41">
        <f>SUM(D42:D43)</f>
        <v>208014.53999999998</v>
      </c>
      <c r="E41" s="41">
        <f t="shared" si="8"/>
        <v>857839.54</v>
      </c>
      <c r="F41" s="41">
        <f>SUM(F42:F43)</f>
        <v>98973</v>
      </c>
      <c r="G41" s="41">
        <f>SUM(G42:G43)</f>
        <v>20000</v>
      </c>
      <c r="H41" s="41">
        <f>SUM(H42:H43)</f>
        <v>20000</v>
      </c>
      <c r="I41" s="41">
        <f t="shared" si="9"/>
        <v>138973</v>
      </c>
      <c r="J41" s="41">
        <f>SUM(J42:J43)</f>
        <v>20000</v>
      </c>
      <c r="K41" s="41">
        <f>SUM(K42:K43)</f>
        <v>20000</v>
      </c>
      <c r="L41" s="41">
        <f>SUM(L42:L43)</f>
        <v>20000</v>
      </c>
      <c r="M41" s="41">
        <f t="shared" si="10"/>
        <v>60000</v>
      </c>
      <c r="N41" s="41">
        <f>SUM(N42:N43)</f>
        <v>20000</v>
      </c>
      <c r="O41" s="41">
        <f>SUM(O42:O43)</f>
        <v>20000</v>
      </c>
      <c r="P41" s="41">
        <f>SUM(P42:P43)</f>
        <v>6484</v>
      </c>
      <c r="Q41" s="41">
        <f t="shared" si="11"/>
        <v>46484</v>
      </c>
      <c r="R41" s="42">
        <f>SUM(R42:R43)</f>
        <v>1103296.54</v>
      </c>
      <c r="S41" s="1"/>
    </row>
    <row r="42" spans="1:19" ht="18" hidden="1" outlineLevel="1">
      <c r="A42" s="38" t="s">
        <v>198</v>
      </c>
      <c r="B42" s="39">
        <f>-'[33]Budget 2022'!AM7</f>
        <v>315625</v>
      </c>
      <c r="C42" s="39">
        <f>-'[33]Budget 2022'!AN7</f>
        <v>334200</v>
      </c>
      <c r="D42" s="39">
        <f>-'[33]Budget 2022'!AO7</f>
        <v>208014.53999999998</v>
      </c>
      <c r="E42" s="39">
        <f t="shared" si="8"/>
        <v>857839.54</v>
      </c>
      <c r="F42" s="39">
        <f>-'[33]Budget 2022'!AQ7</f>
        <v>98973</v>
      </c>
      <c r="G42" s="39">
        <f>-'[33]Budget 2022'!AR7</f>
        <v>20000</v>
      </c>
      <c r="H42" s="39">
        <f>-'[33]Budget 2022'!AS7</f>
        <v>20000</v>
      </c>
      <c r="I42" s="39">
        <f t="shared" si="9"/>
        <v>138973</v>
      </c>
      <c r="J42" s="39">
        <f>-'[33]Budget 2022'!AU7</f>
        <v>20000</v>
      </c>
      <c r="K42" s="39">
        <f>-'[33]Budget 2022'!AV7</f>
        <v>20000</v>
      </c>
      <c r="L42" s="39">
        <f>-'[33]Budget 2022'!AW7</f>
        <v>20000</v>
      </c>
      <c r="M42" s="39">
        <f t="shared" si="10"/>
        <v>60000</v>
      </c>
      <c r="N42" s="39">
        <f>-'[33]Budget 2022'!AY7</f>
        <v>20000</v>
      </c>
      <c r="O42" s="39">
        <f>-'[33]Budget 2022'!AZ7</f>
        <v>20000</v>
      </c>
      <c r="P42" s="39">
        <f>-'[33]Budget 2022'!BA7</f>
        <v>6484</v>
      </c>
      <c r="Q42" s="39">
        <f t="shared" si="11"/>
        <v>46484</v>
      </c>
      <c r="R42" s="39">
        <f>SUM(E42,I42,M42,Q42)</f>
        <v>1103296.54</v>
      </c>
      <c r="S42" s="15"/>
    </row>
    <row r="43" spans="1:19" ht="18" hidden="1" outlineLevel="1">
      <c r="A43" s="38" t="s">
        <v>199</v>
      </c>
      <c r="B43" s="39">
        <f>-'[33]Budget 2022'!AM17</f>
        <v>0</v>
      </c>
      <c r="C43" s="39">
        <f>-'[33]Budget 2022'!AN17</f>
        <v>0</v>
      </c>
      <c r="D43" s="39">
        <f>-'[33]Budget 2022'!AO17</f>
        <v>0</v>
      </c>
      <c r="E43" s="39">
        <f t="shared" si="8"/>
        <v>0</v>
      </c>
      <c r="F43" s="39">
        <f>-'[33]Budget 2022'!AQ17</f>
        <v>0</v>
      </c>
      <c r="G43" s="39">
        <f>-'[33]Budget 2022'!AR17</f>
        <v>0</v>
      </c>
      <c r="H43" s="39">
        <f>-'[33]Budget 2022'!AS17</f>
        <v>0</v>
      </c>
      <c r="I43" s="39">
        <f t="shared" si="9"/>
        <v>0</v>
      </c>
      <c r="J43" s="39">
        <f>-'[33]Budget 2022'!AU17</f>
        <v>0</v>
      </c>
      <c r="K43" s="39">
        <f>-'[33]Budget 2022'!AV17</f>
        <v>0</v>
      </c>
      <c r="L43" s="39">
        <f>-'[33]Budget 2022'!AW17</f>
        <v>0</v>
      </c>
      <c r="M43" s="39">
        <f t="shared" si="10"/>
        <v>0</v>
      </c>
      <c r="N43" s="39">
        <f>-'[33]Budget 2022'!AY17</f>
        <v>0</v>
      </c>
      <c r="O43" s="39">
        <f>-'[33]Budget 2022'!AZ17</f>
        <v>0</v>
      </c>
      <c r="P43" s="39">
        <f>-'[33]Budget 2022'!BA17</f>
        <v>0</v>
      </c>
      <c r="Q43" s="39">
        <f t="shared" si="11"/>
        <v>0</v>
      </c>
      <c r="R43" s="39">
        <f>SUM(E43,I43,M43,Q43)</f>
        <v>0</v>
      </c>
      <c r="S43" s="15"/>
    </row>
    <row r="44" spans="1:19" ht="18" hidden="1" outlineLevel="1">
      <c r="A44" s="36" t="s">
        <v>200</v>
      </c>
      <c r="B44" s="41">
        <f>SUM(B45:B52)</f>
        <v>5000</v>
      </c>
      <c r="C44" s="41">
        <f t="shared" ref="C44:D44" si="22">SUM(C45:C52)</f>
        <v>5000</v>
      </c>
      <c r="D44" s="41">
        <f t="shared" si="22"/>
        <v>5000</v>
      </c>
      <c r="E44" s="41">
        <f t="shared" si="8"/>
        <v>15000</v>
      </c>
      <c r="F44" s="41">
        <f>SUM(F45:F52)</f>
        <v>5000</v>
      </c>
      <c r="G44" s="41">
        <f t="shared" ref="G44:H44" si="23">SUM(G45:G52)</f>
        <v>5000</v>
      </c>
      <c r="H44" s="41">
        <f t="shared" si="23"/>
        <v>5000</v>
      </c>
      <c r="I44" s="41">
        <f t="shared" si="9"/>
        <v>15000</v>
      </c>
      <c r="J44" s="41">
        <f>SUM(J45:J52)</f>
        <v>5000</v>
      </c>
      <c r="K44" s="41">
        <f t="shared" ref="K44:L44" si="24">SUM(K45:K52)</f>
        <v>5000</v>
      </c>
      <c r="L44" s="41">
        <f t="shared" si="24"/>
        <v>5000</v>
      </c>
      <c r="M44" s="41">
        <f t="shared" si="10"/>
        <v>15000</v>
      </c>
      <c r="N44" s="41">
        <f>SUM(N45:N52)</f>
        <v>5000</v>
      </c>
      <c r="O44" s="41">
        <f t="shared" ref="O44:P44" si="25">SUM(O45:O52)</f>
        <v>5000</v>
      </c>
      <c r="P44" s="41">
        <f t="shared" si="25"/>
        <v>5000</v>
      </c>
      <c r="Q44" s="41">
        <f t="shared" si="11"/>
        <v>15000</v>
      </c>
      <c r="R44" s="42">
        <f>SUM(R45:R52)</f>
        <v>60000</v>
      </c>
    </row>
    <row r="45" spans="1:19" ht="18" hidden="1" outlineLevel="1">
      <c r="A45" s="38" t="s">
        <v>201</v>
      </c>
      <c r="B45" s="39">
        <f>-'[33]Budget 2022'!AM25</f>
        <v>0</v>
      </c>
      <c r="C45" s="39">
        <f>-'[33]Budget 2022'!AN25</f>
        <v>0</v>
      </c>
      <c r="D45" s="39">
        <f>-'[33]Budget 2022'!AO25</f>
        <v>0</v>
      </c>
      <c r="E45" s="39">
        <f t="shared" si="8"/>
        <v>0</v>
      </c>
      <c r="F45" s="39">
        <f>-'[33]Budget 2022'!AQ25</f>
        <v>0</v>
      </c>
      <c r="G45" s="39">
        <f>-'[33]Budget 2022'!AR25</f>
        <v>0</v>
      </c>
      <c r="H45" s="39">
        <f>-'[33]Budget 2022'!AS25</f>
        <v>0</v>
      </c>
      <c r="I45" s="39">
        <f t="shared" si="9"/>
        <v>0</v>
      </c>
      <c r="J45" s="39">
        <f>-'[33]Budget 2022'!AU25</f>
        <v>0</v>
      </c>
      <c r="K45" s="39">
        <f>-'[33]Budget 2022'!AV25</f>
        <v>0</v>
      </c>
      <c r="L45" s="39">
        <f>-'[33]Budget 2022'!AW25</f>
        <v>0</v>
      </c>
      <c r="M45" s="39">
        <f t="shared" si="10"/>
        <v>0</v>
      </c>
      <c r="N45" s="39">
        <f>-'[33]Budget 2022'!AZ25</f>
        <v>0</v>
      </c>
      <c r="O45" s="39">
        <f>-'[33]Budget 2022'!BA25</f>
        <v>0</v>
      </c>
      <c r="P45" s="39">
        <f>-'[33]Budget 2022'!BB25</f>
        <v>0</v>
      </c>
      <c r="Q45" s="39">
        <f t="shared" si="11"/>
        <v>0</v>
      </c>
      <c r="R45" s="39">
        <f>SUM(E45,I45,M45,Q45)</f>
        <v>0</v>
      </c>
    </row>
    <row r="46" spans="1:19" ht="18" hidden="1" outlineLevel="1">
      <c r="A46" s="38" t="s">
        <v>202</v>
      </c>
      <c r="B46" s="39">
        <f>-'[33]Budget 2022'!AM31</f>
        <v>0</v>
      </c>
      <c r="C46" s="39">
        <f>-'[33]Budget 2022'!AN31</f>
        <v>0</v>
      </c>
      <c r="D46" s="39">
        <f>-'[33]Budget 2022'!AO31</f>
        <v>0</v>
      </c>
      <c r="E46" s="39">
        <f t="shared" si="8"/>
        <v>0</v>
      </c>
      <c r="F46" s="39">
        <f>-'[33]Budget 2022'!AQ31</f>
        <v>0</v>
      </c>
      <c r="G46" s="39">
        <f>-'[33]Budget 2022'!AR31</f>
        <v>0</v>
      </c>
      <c r="H46" s="39">
        <f>-'[33]Budget 2022'!AS31</f>
        <v>0</v>
      </c>
      <c r="I46" s="39">
        <f t="shared" si="9"/>
        <v>0</v>
      </c>
      <c r="J46" s="39">
        <f>-'[33]Budget 2022'!AU31</f>
        <v>0</v>
      </c>
      <c r="K46" s="39">
        <f>-'[33]Budget 2022'!AV31</f>
        <v>0</v>
      </c>
      <c r="L46" s="39">
        <f>-'[33]Budget 2022'!AW31</f>
        <v>0</v>
      </c>
      <c r="M46" s="39">
        <f t="shared" si="10"/>
        <v>0</v>
      </c>
      <c r="N46" s="39">
        <f>-'[33]Budget 2022'!AZ31</f>
        <v>0</v>
      </c>
      <c r="O46" s="39">
        <f>-'[33]Budget 2022'!BA31</f>
        <v>0</v>
      </c>
      <c r="P46" s="39">
        <f>-'[33]Budget 2022'!BB31</f>
        <v>0</v>
      </c>
      <c r="Q46" s="39">
        <f t="shared" si="11"/>
        <v>0</v>
      </c>
      <c r="R46" s="39">
        <f t="shared" ref="R46:R52" si="26">SUM(E46,I46,M46,Q46)</f>
        <v>0</v>
      </c>
    </row>
    <row r="47" spans="1:19" ht="18" hidden="1" outlineLevel="1">
      <c r="A47" s="38" t="s">
        <v>203</v>
      </c>
      <c r="B47" s="39">
        <f>-'[33]Budget 2022'!AM38</f>
        <v>0</v>
      </c>
      <c r="C47" s="39">
        <f>-'[33]Budget 2022'!AN38</f>
        <v>0</v>
      </c>
      <c r="D47" s="39">
        <f>-'[33]Budget 2022'!AO38</f>
        <v>0</v>
      </c>
      <c r="E47" s="39">
        <f t="shared" si="8"/>
        <v>0</v>
      </c>
      <c r="F47" s="39">
        <f>-'[33]Budget 2022'!AQ38</f>
        <v>0</v>
      </c>
      <c r="G47" s="39">
        <f>-'[33]Budget 2022'!AR38</f>
        <v>0</v>
      </c>
      <c r="H47" s="39">
        <f>-'[33]Budget 2022'!AS38</f>
        <v>0</v>
      </c>
      <c r="I47" s="39">
        <f t="shared" si="9"/>
        <v>0</v>
      </c>
      <c r="J47" s="39">
        <f>-'[33]Budget 2022'!AU38</f>
        <v>0</v>
      </c>
      <c r="K47" s="39">
        <f>-'[33]Budget 2022'!AV38</f>
        <v>0</v>
      </c>
      <c r="L47" s="39">
        <f>-'[33]Budget 2022'!AW38</f>
        <v>0</v>
      </c>
      <c r="M47" s="39">
        <f t="shared" si="10"/>
        <v>0</v>
      </c>
      <c r="N47" s="39">
        <f>-'[33]Budget 2022'!AZ38</f>
        <v>0</v>
      </c>
      <c r="O47" s="39">
        <f>-'[33]Budget 2022'!BA38</f>
        <v>0</v>
      </c>
      <c r="P47" s="39">
        <f>-'[33]Budget 2022'!BB38</f>
        <v>0</v>
      </c>
      <c r="Q47" s="39">
        <f t="shared" si="11"/>
        <v>0</v>
      </c>
      <c r="R47" s="39">
        <f t="shared" si="26"/>
        <v>0</v>
      </c>
    </row>
    <row r="48" spans="1:19" ht="18" hidden="1" outlineLevel="1">
      <c r="A48" s="38" t="s">
        <v>204</v>
      </c>
      <c r="B48" s="39">
        <f>-'[33]Budget 2022'!AM49</f>
        <v>0</v>
      </c>
      <c r="C48" s="39">
        <f>-'[33]Budget 2022'!AN49</f>
        <v>0</v>
      </c>
      <c r="D48" s="39">
        <f>-'[33]Budget 2022'!AO49</f>
        <v>0</v>
      </c>
      <c r="E48" s="39">
        <f t="shared" si="8"/>
        <v>0</v>
      </c>
      <c r="F48" s="39">
        <f>-'[33]Budget 2022'!AQ49</f>
        <v>0</v>
      </c>
      <c r="G48" s="39">
        <f>-'[33]Budget 2022'!AR49</f>
        <v>0</v>
      </c>
      <c r="H48" s="39">
        <f>-'[33]Budget 2022'!AS49</f>
        <v>0</v>
      </c>
      <c r="I48" s="39">
        <f t="shared" si="9"/>
        <v>0</v>
      </c>
      <c r="J48" s="39">
        <f>-'[33]Budget 2022'!AU49</f>
        <v>0</v>
      </c>
      <c r="K48" s="39">
        <f>-'[33]Budget 2022'!AV49</f>
        <v>0</v>
      </c>
      <c r="L48" s="39">
        <f>-'[33]Budget 2022'!AW49</f>
        <v>0</v>
      </c>
      <c r="M48" s="39">
        <f t="shared" si="10"/>
        <v>0</v>
      </c>
      <c r="N48" s="39">
        <f>-'[33]Budget 2022'!AZ49</f>
        <v>0</v>
      </c>
      <c r="O48" s="39">
        <f>-'[33]Budget 2022'!BA49</f>
        <v>0</v>
      </c>
      <c r="P48" s="39">
        <f>-'[33]Budget 2022'!BB49</f>
        <v>0</v>
      </c>
      <c r="Q48" s="39">
        <f t="shared" si="11"/>
        <v>0</v>
      </c>
      <c r="R48" s="39">
        <f t="shared" si="26"/>
        <v>0</v>
      </c>
    </row>
    <row r="49" spans="1:19" ht="18" hidden="1" outlineLevel="1">
      <c r="A49" s="38" t="s">
        <v>205</v>
      </c>
      <c r="B49" s="39">
        <f>-'[33]Budget 2022'!AM51</f>
        <v>0</v>
      </c>
      <c r="C49" s="39">
        <f>-'[33]Budget 2022'!AN51</f>
        <v>0</v>
      </c>
      <c r="D49" s="39">
        <f>-'[33]Budget 2022'!AO51</f>
        <v>0</v>
      </c>
      <c r="E49" s="39">
        <f t="shared" si="8"/>
        <v>0</v>
      </c>
      <c r="F49" s="39">
        <f>-'[33]Budget 2022'!AQ51</f>
        <v>0</v>
      </c>
      <c r="G49" s="39">
        <f>-'[33]Budget 2022'!AR51</f>
        <v>0</v>
      </c>
      <c r="H49" s="39">
        <f>-'[33]Budget 2022'!AS51</f>
        <v>0</v>
      </c>
      <c r="I49" s="39">
        <f t="shared" si="9"/>
        <v>0</v>
      </c>
      <c r="J49" s="39">
        <f>-'[33]Budget 2022'!AU51</f>
        <v>0</v>
      </c>
      <c r="K49" s="39">
        <f>-'[33]Budget 2022'!AV51</f>
        <v>0</v>
      </c>
      <c r="L49" s="39">
        <f>-'[33]Budget 2022'!AW51</f>
        <v>0</v>
      </c>
      <c r="M49" s="39">
        <f t="shared" si="10"/>
        <v>0</v>
      </c>
      <c r="N49" s="39">
        <f>-'[33]Budget 2022'!AZ51</f>
        <v>0</v>
      </c>
      <c r="O49" s="39">
        <f>-'[33]Budget 2022'!BA51</f>
        <v>0</v>
      </c>
      <c r="P49" s="39">
        <f>-'[33]Budget 2022'!BB51</f>
        <v>0</v>
      </c>
      <c r="Q49" s="39">
        <f t="shared" si="11"/>
        <v>0</v>
      </c>
      <c r="R49" s="39">
        <f t="shared" si="26"/>
        <v>0</v>
      </c>
    </row>
    <row r="50" spans="1:19" ht="18" hidden="1" outlineLevel="1">
      <c r="A50" s="38" t="s">
        <v>206</v>
      </c>
      <c r="B50" s="39">
        <f>-'[33]Budget 2022'!AM62</f>
        <v>5000</v>
      </c>
      <c r="C50" s="39">
        <f>-'[33]Budget 2022'!AN62</f>
        <v>5000</v>
      </c>
      <c r="D50" s="39">
        <f>-'[33]Budget 2022'!AO62</f>
        <v>5000</v>
      </c>
      <c r="E50" s="39">
        <f t="shared" si="8"/>
        <v>15000</v>
      </c>
      <c r="F50" s="39">
        <f>-'[33]Budget 2022'!AQ62</f>
        <v>5000</v>
      </c>
      <c r="G50" s="39">
        <f>-'[33]Budget 2022'!AR62</f>
        <v>5000</v>
      </c>
      <c r="H50" s="39">
        <f>-'[33]Budget 2022'!AS62</f>
        <v>5000</v>
      </c>
      <c r="I50" s="39">
        <f t="shared" si="9"/>
        <v>15000</v>
      </c>
      <c r="J50" s="39">
        <f>-'[33]Budget 2022'!AU62</f>
        <v>5000</v>
      </c>
      <c r="K50" s="39">
        <f>-'[33]Budget 2022'!AV62</f>
        <v>5000</v>
      </c>
      <c r="L50" s="39">
        <f>-'[33]Budget 2022'!AW62</f>
        <v>5000</v>
      </c>
      <c r="M50" s="39">
        <f t="shared" si="10"/>
        <v>15000</v>
      </c>
      <c r="N50" s="39">
        <f>-'[33]Budget 2022'!AY62</f>
        <v>5000</v>
      </c>
      <c r="O50" s="39">
        <f>-'[33]Budget 2022'!AZ62</f>
        <v>5000</v>
      </c>
      <c r="P50" s="39">
        <f>-'[33]Budget 2022'!BA62</f>
        <v>5000</v>
      </c>
      <c r="Q50" s="39">
        <f t="shared" si="11"/>
        <v>15000</v>
      </c>
      <c r="R50" s="39">
        <f t="shared" si="26"/>
        <v>60000</v>
      </c>
    </row>
    <row r="51" spans="1:19" ht="18" hidden="1" outlineLevel="1">
      <c r="A51" s="38" t="s">
        <v>207</v>
      </c>
      <c r="B51" s="39">
        <f>-'[33]Budget 2022'!AM64</f>
        <v>0</v>
      </c>
      <c r="C51" s="39">
        <f>-'[33]Budget 2022'!AN64</f>
        <v>0</v>
      </c>
      <c r="D51" s="39">
        <f>-'[33]Budget 2022'!AO64</f>
        <v>0</v>
      </c>
      <c r="E51" s="39">
        <f t="shared" si="8"/>
        <v>0</v>
      </c>
      <c r="F51" s="39">
        <f>-'[33]Budget 2022'!AQ64</f>
        <v>0</v>
      </c>
      <c r="G51" s="39">
        <f>-'[33]Budget 2022'!AR64</f>
        <v>0</v>
      </c>
      <c r="H51" s="39">
        <f>-'[33]Budget 2022'!AS64</f>
        <v>0</v>
      </c>
      <c r="I51" s="39">
        <f t="shared" si="9"/>
        <v>0</v>
      </c>
      <c r="J51" s="39">
        <f>-'[33]Budget 2022'!AU64</f>
        <v>0</v>
      </c>
      <c r="K51" s="39">
        <f>-'[33]Budget 2022'!AV64</f>
        <v>0</v>
      </c>
      <c r="L51" s="39">
        <f>-'[33]Budget 2022'!AW64</f>
        <v>0</v>
      </c>
      <c r="M51" s="39">
        <f t="shared" si="10"/>
        <v>0</v>
      </c>
      <c r="N51" s="39">
        <f>-'[33]Budget 2022'!AZ64</f>
        <v>0</v>
      </c>
      <c r="O51" s="39">
        <f>-'[33]Budget 2022'!BA64</f>
        <v>0</v>
      </c>
      <c r="P51" s="39">
        <f>-'[33]Budget 2022'!BB64</f>
        <v>0</v>
      </c>
      <c r="Q51" s="39">
        <f t="shared" si="11"/>
        <v>0</v>
      </c>
      <c r="R51" s="39">
        <f t="shared" si="26"/>
        <v>0</v>
      </c>
    </row>
    <row r="52" spans="1:19" ht="18" hidden="1" outlineLevel="1">
      <c r="A52" s="38" t="s">
        <v>208</v>
      </c>
      <c r="B52" s="39">
        <f>-'[33]Budget 2022'!AM75</f>
        <v>0</v>
      </c>
      <c r="C52" s="39">
        <f>-'[33]Budget 2022'!AN75</f>
        <v>0</v>
      </c>
      <c r="D52" s="39">
        <f>-'[33]Budget 2022'!AO75</f>
        <v>0</v>
      </c>
      <c r="E52" s="39">
        <f t="shared" si="8"/>
        <v>0</v>
      </c>
      <c r="F52" s="39">
        <f>-'[33]Budget 2022'!AQ75</f>
        <v>0</v>
      </c>
      <c r="G52" s="39">
        <f>-'[33]Budget 2022'!AR75</f>
        <v>0</v>
      </c>
      <c r="H52" s="39">
        <f>-'[33]Budget 2022'!AS75</f>
        <v>0</v>
      </c>
      <c r="I52" s="39">
        <f t="shared" si="9"/>
        <v>0</v>
      </c>
      <c r="J52" s="39">
        <f>-'[33]Budget 2022'!AU75</f>
        <v>0</v>
      </c>
      <c r="K52" s="39">
        <f>-'[33]Budget 2022'!AV75</f>
        <v>0</v>
      </c>
      <c r="L52" s="39">
        <f>-'[33]Budget 2022'!AW75</f>
        <v>0</v>
      </c>
      <c r="M52" s="39">
        <f t="shared" si="10"/>
        <v>0</v>
      </c>
      <c r="N52" s="39">
        <f>-'[33]Budget 2022'!AZ75</f>
        <v>0</v>
      </c>
      <c r="O52" s="39">
        <f>-'[33]Budget 2022'!BA75</f>
        <v>0</v>
      </c>
      <c r="P52" s="39">
        <f>-'[33]Budget 2022'!BB75</f>
        <v>0</v>
      </c>
      <c r="Q52" s="39">
        <f t="shared" si="11"/>
        <v>0</v>
      </c>
      <c r="R52" s="39">
        <f t="shared" si="26"/>
        <v>0</v>
      </c>
    </row>
    <row r="53" spans="1:19" s="35" customFormat="1" ht="31.2" collapsed="1">
      <c r="A53" s="31" t="s">
        <v>212</v>
      </c>
      <c r="B53" s="32">
        <f>SUM(B54,B67)</f>
        <v>4230142.0600000005</v>
      </c>
      <c r="C53" s="32">
        <f>SUM(C54,C67)</f>
        <v>7852287.3999999994</v>
      </c>
      <c r="D53" s="32">
        <f>SUM(D54,D67)</f>
        <v>6372431.5199999996</v>
      </c>
      <c r="E53" s="32">
        <f t="shared" si="8"/>
        <v>18454860.98</v>
      </c>
      <c r="F53" s="32">
        <f>SUM(F54,F67)</f>
        <v>6330560.5</v>
      </c>
      <c r="G53" s="32">
        <f>SUM(G54,G67)</f>
        <v>6330560.5</v>
      </c>
      <c r="H53" s="32">
        <f>SUM(H54,H67)</f>
        <v>6330560.5</v>
      </c>
      <c r="I53" s="32">
        <f t="shared" si="9"/>
        <v>18991681.5</v>
      </c>
      <c r="J53" s="32">
        <f>SUM(J54,J67)</f>
        <v>5899023.8599999994</v>
      </c>
      <c r="K53" s="32">
        <f>SUM(K54,K67)</f>
        <v>5899023.8599999994</v>
      </c>
      <c r="L53" s="32">
        <f>SUM(L54,L67)</f>
        <v>4093336.32</v>
      </c>
      <c r="M53" s="32">
        <f t="shared" si="10"/>
        <v>15891384.039999999</v>
      </c>
      <c r="N53" s="32">
        <f>SUM(N54,N67)</f>
        <v>4097523.42</v>
      </c>
      <c r="O53" s="32">
        <f>SUM(O54,O67)</f>
        <v>2569976.6100000003</v>
      </c>
      <c r="P53" s="32">
        <f>SUM(P54,P67)</f>
        <v>2569976.6100000003</v>
      </c>
      <c r="Q53" s="32">
        <f t="shared" si="11"/>
        <v>9237476.6400000006</v>
      </c>
      <c r="R53" s="33">
        <f>SUM(R54,R67)</f>
        <v>62575403.159999996</v>
      </c>
      <c r="S53" s="40"/>
    </row>
    <row r="54" spans="1:19" s="35" customFormat="1" ht="31.2" hidden="1" outlineLevel="1">
      <c r="A54" s="31" t="s">
        <v>213</v>
      </c>
      <c r="B54" s="32">
        <f>B55+B58</f>
        <v>4230142.0600000005</v>
      </c>
      <c r="C54" s="32">
        <f>C55+C58</f>
        <v>7852287.3999999994</v>
      </c>
      <c r="D54" s="32">
        <f>D55+D58</f>
        <v>6372431.5199999996</v>
      </c>
      <c r="E54" s="32">
        <f>SUM(B54:D54)</f>
        <v>18454860.98</v>
      </c>
      <c r="F54" s="32">
        <f>F55+F58</f>
        <v>6330560.5</v>
      </c>
      <c r="G54" s="32">
        <f>G55+G58</f>
        <v>6330560.5</v>
      </c>
      <c r="H54" s="32">
        <f>H55+H58</f>
        <v>6330560.5</v>
      </c>
      <c r="I54" s="32">
        <f>SUM(F54:H54)</f>
        <v>18991681.5</v>
      </c>
      <c r="J54" s="32">
        <f>J55+J58</f>
        <v>5899023.8599999994</v>
      </c>
      <c r="K54" s="32">
        <f>K55+K58</f>
        <v>5899023.8599999994</v>
      </c>
      <c r="L54" s="32">
        <f>L55+L58</f>
        <v>4093336.32</v>
      </c>
      <c r="M54" s="32">
        <f>SUM(J54:L54)</f>
        <v>15891384.039999999</v>
      </c>
      <c r="N54" s="32">
        <f>N55+N58</f>
        <v>4097523.42</v>
      </c>
      <c r="O54" s="32">
        <f>O55+O58</f>
        <v>2569976.6100000003</v>
      </c>
      <c r="P54" s="32">
        <f>P55+P58</f>
        <v>2569976.6100000003</v>
      </c>
      <c r="Q54" s="32">
        <f>SUM(N54:P54)</f>
        <v>9237476.6400000006</v>
      </c>
      <c r="R54" s="33">
        <f>R55+R58</f>
        <v>62575403.159999996</v>
      </c>
      <c r="S54" s="34">
        <f>R54+'[33]Budget 2022'!BT5</f>
        <v>0</v>
      </c>
    </row>
    <row r="55" spans="1:19" ht="18" hidden="1" outlineLevel="1">
      <c r="A55" s="43" t="s">
        <v>197</v>
      </c>
      <c r="B55" s="42">
        <f>SUM(B56:B57)</f>
        <v>2196483.6800000002</v>
      </c>
      <c r="C55" s="42">
        <f>SUM(C56:C57)</f>
        <v>5818629.0199999996</v>
      </c>
      <c r="D55" s="42">
        <f>SUM(D56:D57)</f>
        <v>4338773.1399999997</v>
      </c>
      <c r="E55" s="42">
        <f t="shared" si="8"/>
        <v>12353885.84</v>
      </c>
      <c r="F55" s="42">
        <f>SUM(F56:F57)</f>
        <v>4338773.1399999997</v>
      </c>
      <c r="G55" s="42">
        <f>SUM(G56:G57)</f>
        <v>4338773.1399999997</v>
      </c>
      <c r="H55" s="42">
        <f>SUM(H56:H57)</f>
        <v>4338773.1399999997</v>
      </c>
      <c r="I55" s="42">
        <f t="shared" si="9"/>
        <v>13016319.419999998</v>
      </c>
      <c r="J55" s="42">
        <f>SUM(J56:J57)</f>
        <v>4094525.55</v>
      </c>
      <c r="K55" s="42">
        <f>SUM(K56:K57)</f>
        <v>4094525.55</v>
      </c>
      <c r="L55" s="42">
        <f>SUM(L56:L57)</f>
        <v>2288838.0099999998</v>
      </c>
      <c r="M55" s="42">
        <f t="shared" si="10"/>
        <v>10477889.109999999</v>
      </c>
      <c r="N55" s="42">
        <f>SUM(N56:N57)</f>
        <v>2288838.0099999998</v>
      </c>
      <c r="O55" s="42">
        <f>SUM(O56:O57)</f>
        <v>761291.2</v>
      </c>
      <c r="P55" s="42">
        <f>SUM(P56:P57)</f>
        <v>761291.2</v>
      </c>
      <c r="Q55" s="42">
        <f t="shared" si="11"/>
        <v>3811420.41</v>
      </c>
      <c r="R55" s="42">
        <f>SUM(R56:R57)</f>
        <v>39659514.779999994</v>
      </c>
    </row>
    <row r="56" spans="1:19" ht="18" hidden="1" outlineLevel="1">
      <c r="A56" s="38" t="s">
        <v>198</v>
      </c>
      <c r="B56" s="39">
        <f>-'[33]Budget 2022'!BD7</f>
        <v>390796.14</v>
      </c>
      <c r="C56" s="39">
        <f>-'[33]Budget 2022'!BE7</f>
        <v>3251650.28</v>
      </c>
      <c r="D56" s="39">
        <f>-'[33]Budget 2022'!BF7</f>
        <v>1771794.4</v>
      </c>
      <c r="E56" s="39">
        <f t="shared" si="8"/>
        <v>5414240.8200000003</v>
      </c>
      <c r="F56" s="39">
        <f>-'[33]Budget 2022'!BH7</f>
        <v>1771794.4</v>
      </c>
      <c r="G56" s="39">
        <f>-'[33]Budget 2022'!BI7</f>
        <v>1771794.4</v>
      </c>
      <c r="H56" s="39">
        <f>-'[33]Budget 2022'!BJ7</f>
        <v>1771794.4</v>
      </c>
      <c r="I56" s="39">
        <f t="shared" si="9"/>
        <v>5315383.1999999993</v>
      </c>
      <c r="J56" s="39">
        <f>-'[33]Budget 2022'!BL7</f>
        <v>1527546.81</v>
      </c>
      <c r="K56" s="39">
        <f>-'[33]Budget 2022'!BM7</f>
        <v>1527546.81</v>
      </c>
      <c r="L56" s="39">
        <f>-'[33]Budget 2022'!BN7</f>
        <v>1527546.81</v>
      </c>
      <c r="M56" s="39">
        <f t="shared" si="10"/>
        <v>4582640.43</v>
      </c>
      <c r="N56" s="39">
        <f>-'[33]Budget 2022'!BP7</f>
        <v>1527546.81</v>
      </c>
      <c r="O56" s="39">
        <f>-'[33]Budget 2022'!BQ7</f>
        <v>0</v>
      </c>
      <c r="P56" s="39">
        <f>-'[33]Budget 2022'!BR7</f>
        <v>0</v>
      </c>
      <c r="Q56" s="39">
        <f t="shared" si="11"/>
        <v>1527546.81</v>
      </c>
      <c r="R56" s="39">
        <f>SUM(E56,I56,M56,Q56)</f>
        <v>16839811.259999998</v>
      </c>
    </row>
    <row r="57" spans="1:19" ht="18" hidden="1" outlineLevel="1">
      <c r="A57" s="38" t="s">
        <v>199</v>
      </c>
      <c r="B57" s="39">
        <f>-'[33]Budget 2022'!BD17</f>
        <v>1805687.54</v>
      </c>
      <c r="C57" s="39">
        <f>-'[33]Budget 2022'!BE17</f>
        <v>2566978.7399999998</v>
      </c>
      <c r="D57" s="39">
        <f>-'[33]Budget 2022'!BF17</f>
        <v>2566978.7399999998</v>
      </c>
      <c r="E57" s="39">
        <f t="shared" si="8"/>
        <v>6939645.0199999996</v>
      </c>
      <c r="F57" s="39">
        <f>-'[33]Budget 2022'!BH17</f>
        <v>2566978.7399999998</v>
      </c>
      <c r="G57" s="39">
        <f>-'[33]Budget 2022'!BI17</f>
        <v>2566978.7399999998</v>
      </c>
      <c r="H57" s="39">
        <f>-'[33]Budget 2022'!BJ17</f>
        <v>2566978.7399999998</v>
      </c>
      <c r="I57" s="39">
        <f t="shared" si="9"/>
        <v>7700936.2199999988</v>
      </c>
      <c r="J57" s="39">
        <f>-'[33]Budget 2022'!BL17</f>
        <v>2566978.7399999998</v>
      </c>
      <c r="K57" s="39">
        <f>-'[33]Budget 2022'!BM17</f>
        <v>2566978.7399999998</v>
      </c>
      <c r="L57" s="39">
        <f>-'[33]Budget 2022'!BN17</f>
        <v>761291.2</v>
      </c>
      <c r="M57" s="39">
        <f t="shared" si="10"/>
        <v>5895248.6799999997</v>
      </c>
      <c r="N57" s="39">
        <f>-'[33]Budget 2022'!BP17</f>
        <v>761291.2</v>
      </c>
      <c r="O57" s="39">
        <f>-'[33]Budget 2022'!BQ17</f>
        <v>761291.2</v>
      </c>
      <c r="P57" s="39">
        <f>-'[33]Budget 2022'!BR17</f>
        <v>761291.2</v>
      </c>
      <c r="Q57" s="39">
        <f t="shared" si="11"/>
        <v>2283873.5999999996</v>
      </c>
      <c r="R57" s="39">
        <f>SUM(E57,I57,M57,Q57)</f>
        <v>22819703.519999996</v>
      </c>
    </row>
    <row r="58" spans="1:19" ht="18" hidden="1" outlineLevel="1">
      <c r="A58" s="36" t="s">
        <v>200</v>
      </c>
      <c r="B58" s="41">
        <f>SUM(B59:B66)</f>
        <v>2033658.3800000001</v>
      </c>
      <c r="C58" s="41">
        <f t="shared" ref="C58:D58" si="27">SUM(C59:C66)</f>
        <v>2033658.3800000001</v>
      </c>
      <c r="D58" s="41">
        <f t="shared" si="27"/>
        <v>2033658.3800000001</v>
      </c>
      <c r="E58" s="41">
        <f t="shared" si="8"/>
        <v>6100975.1400000006</v>
      </c>
      <c r="F58" s="41">
        <f>SUM(F59:F66)</f>
        <v>1991787.36</v>
      </c>
      <c r="G58" s="41">
        <f t="shared" ref="G58:H58" si="28">SUM(G59:G66)</f>
        <v>1991787.36</v>
      </c>
      <c r="H58" s="41">
        <f t="shared" si="28"/>
        <v>1991787.36</v>
      </c>
      <c r="I58" s="41">
        <f t="shared" si="9"/>
        <v>5975362.0800000001</v>
      </c>
      <c r="J58" s="41">
        <f>SUM(J59:J66)</f>
        <v>1804498.31</v>
      </c>
      <c r="K58" s="41">
        <f t="shared" ref="K58:L58" si="29">SUM(K59:K66)</f>
        <v>1804498.31</v>
      </c>
      <c r="L58" s="41">
        <f t="shared" si="29"/>
        <v>1804498.31</v>
      </c>
      <c r="M58" s="41">
        <f t="shared" si="10"/>
        <v>5413494.9299999997</v>
      </c>
      <c r="N58" s="41">
        <f>SUM(N59:N66)</f>
        <v>1808685.4100000001</v>
      </c>
      <c r="O58" s="41">
        <f t="shared" ref="O58:P58" si="30">SUM(O59:O66)</f>
        <v>1808685.4100000001</v>
      </c>
      <c r="P58" s="41">
        <f t="shared" si="30"/>
        <v>1808685.4100000001</v>
      </c>
      <c r="Q58" s="41">
        <f t="shared" si="11"/>
        <v>5426056.2300000004</v>
      </c>
      <c r="R58" s="42">
        <f>SUM(R59:R66)</f>
        <v>22915888.379999999</v>
      </c>
    </row>
    <row r="59" spans="1:19" ht="18" hidden="1" outlineLevel="1">
      <c r="A59" s="38" t="s">
        <v>201</v>
      </c>
      <c r="B59" s="39">
        <f>-'[33]Budget 2022'!BD25</f>
        <v>410119.47</v>
      </c>
      <c r="C59" s="39">
        <f>-'[33]Budget 2022'!BE25</f>
        <v>410119.47</v>
      </c>
      <c r="D59" s="39">
        <f>-'[33]Budget 2022'!BF25</f>
        <v>410119.47</v>
      </c>
      <c r="E59" s="39">
        <f t="shared" si="8"/>
        <v>1230358.4099999999</v>
      </c>
      <c r="F59" s="39">
        <f>-'[33]Budget 2022'!BH25</f>
        <v>368248.44999999995</v>
      </c>
      <c r="G59" s="39">
        <f>-'[33]Budget 2022'!BI25</f>
        <v>368248.44999999995</v>
      </c>
      <c r="H59" s="39">
        <f>-'[33]Budget 2022'!BJ25</f>
        <v>368248.44999999995</v>
      </c>
      <c r="I59" s="39">
        <f t="shared" si="9"/>
        <v>1104745.3499999999</v>
      </c>
      <c r="J59" s="39">
        <f>-'[33]Budget 2022'!BL25</f>
        <v>180959.4</v>
      </c>
      <c r="K59" s="39">
        <f>-'[33]Budget 2022'!BM25</f>
        <v>180959.4</v>
      </c>
      <c r="L59" s="39">
        <f>-'[33]Budget 2022'!BN25</f>
        <v>180959.4</v>
      </c>
      <c r="M59" s="39">
        <f t="shared" si="10"/>
        <v>542878.19999999995</v>
      </c>
      <c r="N59" s="39">
        <f>-'[33]Budget 2022'!BP25</f>
        <v>94209.78</v>
      </c>
      <c r="O59" s="39">
        <f>-'[33]Budget 2022'!BQ25</f>
        <v>94209.78</v>
      </c>
      <c r="P59" s="39">
        <f>-'[33]Budget 2022'!BR25</f>
        <v>94209.78</v>
      </c>
      <c r="Q59" s="39">
        <f t="shared" si="11"/>
        <v>282629.33999999997</v>
      </c>
      <c r="R59" s="39">
        <f>SUM(E59,I59,M59,Q59)</f>
        <v>3160611.3</v>
      </c>
    </row>
    <row r="60" spans="1:19" ht="18" hidden="1" outlineLevel="1">
      <c r="A60" s="38" t="s">
        <v>202</v>
      </c>
      <c r="B60" s="39">
        <f>-'[33]Budget 2022'!BD31</f>
        <v>751226.09</v>
      </c>
      <c r="C60" s="39">
        <f>-'[33]Budget 2022'!BE31</f>
        <v>751226.09</v>
      </c>
      <c r="D60" s="39">
        <f>-'[33]Budget 2022'!BF31</f>
        <v>751226.09</v>
      </c>
      <c r="E60" s="39">
        <f t="shared" si="8"/>
        <v>2253678.27</v>
      </c>
      <c r="F60" s="39">
        <f>-'[33]Budget 2022'!BH31</f>
        <v>751226.09</v>
      </c>
      <c r="G60" s="39">
        <f>-'[33]Budget 2022'!BI31</f>
        <v>751226.09</v>
      </c>
      <c r="H60" s="39">
        <f>-'[33]Budget 2022'!BJ31</f>
        <v>751226.09</v>
      </c>
      <c r="I60" s="39">
        <f t="shared" si="9"/>
        <v>2253678.27</v>
      </c>
      <c r="J60" s="39">
        <f>-'[33]Budget 2022'!BL31</f>
        <v>751226.09</v>
      </c>
      <c r="K60" s="39">
        <f>-'[33]Budget 2022'!BM31</f>
        <v>751226.09</v>
      </c>
      <c r="L60" s="39">
        <f>-'[33]Budget 2022'!BN31</f>
        <v>751226.09</v>
      </c>
      <c r="M60" s="39">
        <f t="shared" si="10"/>
        <v>2253678.27</v>
      </c>
      <c r="N60" s="39">
        <f>-'[33]Budget 2022'!BP31</f>
        <v>842162.81</v>
      </c>
      <c r="O60" s="39">
        <f>-'[33]Budget 2022'!BQ31</f>
        <v>842162.81</v>
      </c>
      <c r="P60" s="39">
        <f>-'[33]Budget 2022'!BR31</f>
        <v>842162.81</v>
      </c>
      <c r="Q60" s="39">
        <f t="shared" si="11"/>
        <v>2526488.4300000002</v>
      </c>
      <c r="R60" s="39">
        <f t="shared" ref="R60:R66" si="31">SUM(E60,I60,M60,Q60)</f>
        <v>9287523.2400000002</v>
      </c>
    </row>
    <row r="61" spans="1:19" ht="18" hidden="1" outlineLevel="1">
      <c r="A61" s="38" t="s">
        <v>203</v>
      </c>
      <c r="B61" s="39">
        <f>-'[33]Budget 2022'!BD38</f>
        <v>0</v>
      </c>
      <c r="C61" s="39">
        <f>-'[33]Budget 2022'!BE38</f>
        <v>0</v>
      </c>
      <c r="D61" s="39">
        <f>-'[33]Budget 2022'!BF38</f>
        <v>0</v>
      </c>
      <c r="E61" s="39">
        <f t="shared" si="8"/>
        <v>0</v>
      </c>
      <c r="F61" s="39">
        <f>-'[33]Budget 2022'!BH38</f>
        <v>0</v>
      </c>
      <c r="G61" s="39">
        <f>-'[33]Budget 2022'!BI38</f>
        <v>0</v>
      </c>
      <c r="H61" s="39">
        <f>-'[33]Budget 2022'!BJ38</f>
        <v>0</v>
      </c>
      <c r="I61" s="39">
        <f t="shared" si="9"/>
        <v>0</v>
      </c>
      <c r="J61" s="39">
        <f>-'[33]Budget 2022'!BL38</f>
        <v>0</v>
      </c>
      <c r="K61" s="39">
        <f>-'[33]Budget 2022'!BM38</f>
        <v>0</v>
      </c>
      <c r="L61" s="39">
        <f>-'[33]Budget 2022'!BN38</f>
        <v>0</v>
      </c>
      <c r="M61" s="39">
        <f t="shared" si="10"/>
        <v>0</v>
      </c>
      <c r="N61" s="39">
        <f>-'[33]Budget 2022'!BP38</f>
        <v>0</v>
      </c>
      <c r="O61" s="39">
        <f>-'[33]Budget 2022'!BQ38</f>
        <v>0</v>
      </c>
      <c r="P61" s="39">
        <f>-'[33]Budget 2022'!BR38</f>
        <v>0</v>
      </c>
      <c r="Q61" s="39">
        <f t="shared" si="11"/>
        <v>0</v>
      </c>
      <c r="R61" s="39">
        <f t="shared" si="31"/>
        <v>0</v>
      </c>
    </row>
    <row r="62" spans="1:19" ht="18" hidden="1" outlineLevel="1">
      <c r="A62" s="38" t="s">
        <v>204</v>
      </c>
      <c r="B62" s="39">
        <f>-'[33]Budget 2022'!BD49</f>
        <v>87231.28</v>
      </c>
      <c r="C62" s="39">
        <f>-'[33]Budget 2022'!BE49</f>
        <v>87231.28</v>
      </c>
      <c r="D62" s="39">
        <f>-'[33]Budget 2022'!BF49</f>
        <v>87231.28</v>
      </c>
      <c r="E62" s="39">
        <f t="shared" si="8"/>
        <v>261693.84</v>
      </c>
      <c r="F62" s="39">
        <f>-'[33]Budget 2022'!BH49</f>
        <v>87231.28</v>
      </c>
      <c r="G62" s="39">
        <f>-'[33]Budget 2022'!BI49</f>
        <v>87231.28</v>
      </c>
      <c r="H62" s="39">
        <f>-'[33]Budget 2022'!BJ49</f>
        <v>87231.28</v>
      </c>
      <c r="I62" s="39">
        <f t="shared" si="9"/>
        <v>261693.84</v>
      </c>
      <c r="J62" s="39">
        <f>-'[33]Budget 2022'!BL49</f>
        <v>87231.28</v>
      </c>
      <c r="K62" s="39">
        <f>-'[33]Budget 2022'!BM49</f>
        <v>87231.28</v>
      </c>
      <c r="L62" s="39">
        <f>-'[33]Budget 2022'!BN49</f>
        <v>87231.28</v>
      </c>
      <c r="M62" s="39">
        <f t="shared" si="10"/>
        <v>261693.84</v>
      </c>
      <c r="N62" s="39">
        <f>-'[33]Budget 2022'!BP49</f>
        <v>87231.28</v>
      </c>
      <c r="O62" s="39">
        <f>-'[33]Budget 2022'!BQ49</f>
        <v>87231.28</v>
      </c>
      <c r="P62" s="39">
        <f>-'[33]Budget 2022'!BR49</f>
        <v>87231.28</v>
      </c>
      <c r="Q62" s="39">
        <f t="shared" si="11"/>
        <v>261693.84</v>
      </c>
      <c r="R62" s="39">
        <f t="shared" si="31"/>
        <v>1046775.36</v>
      </c>
    </row>
    <row r="63" spans="1:19" ht="18" hidden="1" outlineLevel="1">
      <c r="A63" s="38" t="s">
        <v>205</v>
      </c>
      <c r="B63" s="39">
        <f>-'[33]Budget 2022'!BD51</f>
        <v>0</v>
      </c>
      <c r="C63" s="39">
        <f>-'[33]Budget 2022'!BE51</f>
        <v>0</v>
      </c>
      <c r="D63" s="39">
        <f>-'[33]Budget 2022'!BF51</f>
        <v>0</v>
      </c>
      <c r="E63" s="39">
        <f t="shared" si="8"/>
        <v>0</v>
      </c>
      <c r="F63" s="39">
        <f>-'[33]Budget 2022'!BH51</f>
        <v>0</v>
      </c>
      <c r="G63" s="39">
        <f>-'[33]Budget 2022'!BI51</f>
        <v>0</v>
      </c>
      <c r="H63" s="39">
        <f>-'[33]Budget 2022'!BJ51</f>
        <v>0</v>
      </c>
      <c r="I63" s="39">
        <f t="shared" si="9"/>
        <v>0</v>
      </c>
      <c r="J63" s="39">
        <f>-'[33]Budget 2022'!BL51</f>
        <v>0</v>
      </c>
      <c r="K63" s="39">
        <f>-'[33]Budget 2022'!BM51</f>
        <v>0</v>
      </c>
      <c r="L63" s="39">
        <f>-'[33]Budget 2022'!BN51</f>
        <v>0</v>
      </c>
      <c r="M63" s="39">
        <f t="shared" si="10"/>
        <v>0</v>
      </c>
      <c r="N63" s="39">
        <f>-'[33]Budget 2022'!BP51</f>
        <v>0</v>
      </c>
      <c r="O63" s="39">
        <f>-'[33]Budget 2022'!BQ51</f>
        <v>0</v>
      </c>
      <c r="P63" s="39">
        <f>-'[33]Budget 2022'!BR51</f>
        <v>0</v>
      </c>
      <c r="Q63" s="39">
        <f t="shared" si="11"/>
        <v>0</v>
      </c>
      <c r="R63" s="39">
        <f t="shared" si="31"/>
        <v>0</v>
      </c>
    </row>
    <row r="64" spans="1:19" ht="18" hidden="1" outlineLevel="1">
      <c r="A64" s="38" t="s">
        <v>206</v>
      </c>
      <c r="B64" s="39">
        <f>-'[33]Budget 2022'!BD62</f>
        <v>87231.28</v>
      </c>
      <c r="C64" s="39">
        <f>-'[33]Budget 2022'!BE62</f>
        <v>87231.28</v>
      </c>
      <c r="D64" s="39">
        <f>-'[33]Budget 2022'!BF62</f>
        <v>87231.28</v>
      </c>
      <c r="E64" s="39">
        <f t="shared" si="8"/>
        <v>261693.84</v>
      </c>
      <c r="F64" s="39">
        <f>-'[33]Budget 2022'!BH62</f>
        <v>87231.28</v>
      </c>
      <c r="G64" s="39">
        <f>-'[33]Budget 2022'!BI62</f>
        <v>87231.28</v>
      </c>
      <c r="H64" s="39">
        <f>-'[33]Budget 2022'!BJ62</f>
        <v>87231.28</v>
      </c>
      <c r="I64" s="39">
        <f t="shared" si="9"/>
        <v>261693.84</v>
      </c>
      <c r="J64" s="39">
        <f>-'[33]Budget 2022'!BL62</f>
        <v>87231.28</v>
      </c>
      <c r="K64" s="39">
        <f>-'[33]Budget 2022'!BM62</f>
        <v>87231.28</v>
      </c>
      <c r="L64" s="39">
        <f>-'[33]Budget 2022'!BN62</f>
        <v>87231.28</v>
      </c>
      <c r="M64" s="39">
        <f t="shared" si="10"/>
        <v>261693.84</v>
      </c>
      <c r="N64" s="39">
        <f>-'[33]Budget 2022'!BP62</f>
        <v>87231.28</v>
      </c>
      <c r="O64" s="39">
        <f>-'[33]Budget 2022'!BQ62</f>
        <v>87231.28</v>
      </c>
      <c r="P64" s="39">
        <f>-'[33]Budget 2022'!BR62</f>
        <v>87231.28</v>
      </c>
      <c r="Q64" s="39">
        <f t="shared" si="11"/>
        <v>261693.84</v>
      </c>
      <c r="R64" s="39">
        <f t="shared" si="31"/>
        <v>1046775.36</v>
      </c>
    </row>
    <row r="65" spans="1:19" ht="18" hidden="1" outlineLevel="1">
      <c r="A65" s="38" t="s">
        <v>207</v>
      </c>
      <c r="B65" s="39">
        <f>-'[33]Budget 2022'!BD64</f>
        <v>0</v>
      </c>
      <c r="C65" s="39">
        <f>-'[33]Budget 2022'!BE64</f>
        <v>0</v>
      </c>
      <c r="D65" s="39">
        <f>-'[33]Budget 2022'!BF64</f>
        <v>0</v>
      </c>
      <c r="E65" s="39">
        <f t="shared" si="8"/>
        <v>0</v>
      </c>
      <c r="F65" s="39">
        <f>-'[33]Budget 2022'!BH64</f>
        <v>0</v>
      </c>
      <c r="G65" s="39">
        <f>-'[33]Budget 2022'!BI64</f>
        <v>0</v>
      </c>
      <c r="H65" s="39">
        <f>-'[33]Budget 2022'!BJ64</f>
        <v>0</v>
      </c>
      <c r="I65" s="39">
        <f t="shared" si="9"/>
        <v>0</v>
      </c>
      <c r="J65" s="39">
        <f>-'[33]Budget 2022'!BL64</f>
        <v>0</v>
      </c>
      <c r="K65" s="39">
        <f>-'[33]Budget 2022'!BM64</f>
        <v>0</v>
      </c>
      <c r="L65" s="39">
        <f>-'[33]Budget 2022'!BN64</f>
        <v>0</v>
      </c>
      <c r="M65" s="39">
        <f t="shared" si="10"/>
        <v>0</v>
      </c>
      <c r="N65" s="39">
        <f>-'[33]Budget 2022'!BP64</f>
        <v>0</v>
      </c>
      <c r="O65" s="39">
        <f>-'[33]Budget 2022'!BQ64</f>
        <v>0</v>
      </c>
      <c r="P65" s="39">
        <f>-'[33]Budget 2022'!BR64</f>
        <v>0</v>
      </c>
      <c r="Q65" s="39">
        <f t="shared" si="11"/>
        <v>0</v>
      </c>
      <c r="R65" s="39">
        <f t="shared" si="31"/>
        <v>0</v>
      </c>
    </row>
    <row r="66" spans="1:19" ht="18" hidden="1" outlineLevel="1">
      <c r="A66" s="38" t="s">
        <v>208</v>
      </c>
      <c r="B66" s="39">
        <f>-'[33]Budget 2022'!BD75</f>
        <v>697850.26</v>
      </c>
      <c r="C66" s="39">
        <f>-'[33]Budget 2022'!BE75</f>
        <v>697850.26</v>
      </c>
      <c r="D66" s="39">
        <f>-'[33]Budget 2022'!BF75</f>
        <v>697850.26</v>
      </c>
      <c r="E66" s="39">
        <f t="shared" si="8"/>
        <v>2093550.78</v>
      </c>
      <c r="F66" s="39">
        <f>-'[33]Budget 2022'!BH75</f>
        <v>697850.26</v>
      </c>
      <c r="G66" s="39">
        <f>-'[33]Budget 2022'!BI75</f>
        <v>697850.26</v>
      </c>
      <c r="H66" s="39">
        <f>-'[33]Budget 2022'!BJ75</f>
        <v>697850.26</v>
      </c>
      <c r="I66" s="39">
        <f t="shared" si="9"/>
        <v>2093550.78</v>
      </c>
      <c r="J66" s="39">
        <f>-'[33]Budget 2022'!BL75</f>
        <v>697850.26</v>
      </c>
      <c r="K66" s="39">
        <f>-'[33]Budget 2022'!BM75</f>
        <v>697850.26</v>
      </c>
      <c r="L66" s="39">
        <f>-'[33]Budget 2022'!BN75</f>
        <v>697850.26</v>
      </c>
      <c r="M66" s="39">
        <f t="shared" si="10"/>
        <v>2093550.78</v>
      </c>
      <c r="N66" s="39">
        <f>-'[33]Budget 2022'!BP75</f>
        <v>697850.26</v>
      </c>
      <c r="O66" s="39">
        <f>-'[33]Budget 2022'!BQ75</f>
        <v>697850.26</v>
      </c>
      <c r="P66" s="39">
        <f>-'[33]Budget 2022'!BR75</f>
        <v>697850.26</v>
      </c>
      <c r="Q66" s="39">
        <f t="shared" si="11"/>
        <v>2093550.78</v>
      </c>
      <c r="R66" s="39">
        <f t="shared" si="31"/>
        <v>8374203.1200000001</v>
      </c>
    </row>
    <row r="67" spans="1:19" s="35" customFormat="1" ht="31.2" hidden="1" outlineLevel="1">
      <c r="A67" s="31" t="s">
        <v>214</v>
      </c>
      <c r="B67" s="32">
        <f>B68+B71</f>
        <v>0</v>
      </c>
      <c r="C67" s="32">
        <f>C68+C71</f>
        <v>0</v>
      </c>
      <c r="D67" s="32">
        <f>D68+D71</f>
        <v>0</v>
      </c>
      <c r="E67" s="32">
        <f>SUM(B67:D67)</f>
        <v>0</v>
      </c>
      <c r="F67" s="32">
        <f>F68+F71</f>
        <v>0</v>
      </c>
      <c r="G67" s="32">
        <f>G68+G71</f>
        <v>0</v>
      </c>
      <c r="H67" s="32">
        <f>H68+H71</f>
        <v>0</v>
      </c>
      <c r="I67" s="32">
        <f>SUM(F67:H67)</f>
        <v>0</v>
      </c>
      <c r="J67" s="32">
        <f>J68+J71</f>
        <v>0</v>
      </c>
      <c r="K67" s="32">
        <f>K68+K71</f>
        <v>0</v>
      </c>
      <c r="L67" s="32">
        <f>L68+L71</f>
        <v>0</v>
      </c>
      <c r="M67" s="32">
        <f>SUM(J67:L67)</f>
        <v>0</v>
      </c>
      <c r="N67" s="32">
        <f>N68+N71</f>
        <v>0</v>
      </c>
      <c r="O67" s="32">
        <f>O68+O71</f>
        <v>0</v>
      </c>
      <c r="P67" s="32">
        <f>P68+P71</f>
        <v>0</v>
      </c>
      <c r="Q67" s="32">
        <f>SUM(N67:P67)</f>
        <v>0</v>
      </c>
      <c r="R67" s="33">
        <f>R68+R71</f>
        <v>0</v>
      </c>
      <c r="S67" s="34">
        <f>R67+'[33]Budget 2022'!CK5</f>
        <v>0</v>
      </c>
    </row>
    <row r="68" spans="1:19" ht="18" hidden="1" outlineLevel="1">
      <c r="A68" s="43" t="s">
        <v>197</v>
      </c>
      <c r="B68" s="42">
        <f>SUM(B69:B70)</f>
        <v>0</v>
      </c>
      <c r="C68" s="42">
        <f>SUM(C69:C70)</f>
        <v>0</v>
      </c>
      <c r="D68" s="42">
        <f>SUM(D69:D70)</f>
        <v>0</v>
      </c>
      <c r="E68" s="42">
        <f t="shared" ref="E68:E80" si="32">SUM(B68:D68)</f>
        <v>0</v>
      </c>
      <c r="F68" s="42">
        <f>SUM(F69:F70)</f>
        <v>0</v>
      </c>
      <c r="G68" s="42">
        <f>SUM(G69:G70)</f>
        <v>0</v>
      </c>
      <c r="H68" s="42">
        <f>SUM(H69:H70)</f>
        <v>0</v>
      </c>
      <c r="I68" s="42">
        <f t="shared" ref="I68:I80" si="33">SUM(F68:H68)</f>
        <v>0</v>
      </c>
      <c r="J68" s="42">
        <f>SUM(J69:J70)</f>
        <v>0</v>
      </c>
      <c r="K68" s="42">
        <f>SUM(K69:K70)</f>
        <v>0</v>
      </c>
      <c r="L68" s="42">
        <f>SUM(L69:L70)</f>
        <v>0</v>
      </c>
      <c r="M68" s="42">
        <f t="shared" ref="M68:M80" si="34">SUM(J68:L68)</f>
        <v>0</v>
      </c>
      <c r="N68" s="42">
        <f>SUM(N69:N70)</f>
        <v>0</v>
      </c>
      <c r="O68" s="42">
        <f>SUM(O69:O70)</f>
        <v>0</v>
      </c>
      <c r="P68" s="42">
        <f>SUM(P69:P70)</f>
        <v>0</v>
      </c>
      <c r="Q68" s="42">
        <f t="shared" ref="Q68:Q80" si="35">SUM(N68:P68)</f>
        <v>0</v>
      </c>
      <c r="R68" s="42">
        <f>SUM(R69:R70)</f>
        <v>0</v>
      </c>
    </row>
    <row r="69" spans="1:19" ht="18" hidden="1" outlineLevel="1">
      <c r="A69" s="38" t="s">
        <v>198</v>
      </c>
      <c r="B69" s="39">
        <f>-'[33]Budget 2022'!BU7</f>
        <v>0</v>
      </c>
      <c r="C69" s="39">
        <f>-'[33]Budget 2022'!BV7</f>
        <v>0</v>
      </c>
      <c r="D69" s="39">
        <f>-'[33]Budget 2022'!BW7</f>
        <v>0</v>
      </c>
      <c r="E69" s="39">
        <f t="shared" si="32"/>
        <v>0</v>
      </c>
      <c r="F69" s="39">
        <f>-'[33]Budget 2022'!BY7</f>
        <v>0</v>
      </c>
      <c r="G69" s="39">
        <f>-'[33]Budget 2022'!BZ7</f>
        <v>0</v>
      </c>
      <c r="H69" s="39">
        <f>-'[33]Budget 2022'!CA7</f>
        <v>0</v>
      </c>
      <c r="I69" s="39">
        <f t="shared" si="33"/>
        <v>0</v>
      </c>
      <c r="J69" s="39">
        <f>-'[33]Budget 2022'!CC7</f>
        <v>0</v>
      </c>
      <c r="K69" s="39">
        <f>-'[33]Budget 2022'!CD7</f>
        <v>0</v>
      </c>
      <c r="L69" s="39">
        <f>-'[33]Budget 2022'!CE7</f>
        <v>0</v>
      </c>
      <c r="M69" s="39">
        <f t="shared" si="34"/>
        <v>0</v>
      </c>
      <c r="N69" s="39">
        <f>-'[33]Budget 2022'!CG7</f>
        <v>0</v>
      </c>
      <c r="O69" s="39">
        <f>-'[33]Budget 2022'!CH7</f>
        <v>0</v>
      </c>
      <c r="P69" s="39">
        <f>-'[33]Budget 2022'!CI7</f>
        <v>0</v>
      </c>
      <c r="Q69" s="39">
        <f t="shared" si="35"/>
        <v>0</v>
      </c>
      <c r="R69" s="39">
        <f>SUM(E69,I69,M69,Q69)</f>
        <v>0</v>
      </c>
    </row>
    <row r="70" spans="1:19" ht="18" hidden="1" outlineLevel="1">
      <c r="A70" s="38" t="s">
        <v>199</v>
      </c>
      <c r="B70" s="39">
        <f>-'[33]Budget 2022'!BU17</f>
        <v>0</v>
      </c>
      <c r="C70" s="39">
        <f>-'[33]Budget 2022'!BV17</f>
        <v>0</v>
      </c>
      <c r="D70" s="39">
        <f>-'[33]Budget 2022'!BW17</f>
        <v>0</v>
      </c>
      <c r="E70" s="39">
        <f t="shared" si="32"/>
        <v>0</v>
      </c>
      <c r="F70" s="39">
        <f>-'[33]Budget 2022'!BY17</f>
        <v>0</v>
      </c>
      <c r="G70" s="39">
        <f>-'[33]Budget 2022'!BZ17</f>
        <v>0</v>
      </c>
      <c r="H70" s="39">
        <f>-'[33]Budget 2022'!CA17</f>
        <v>0</v>
      </c>
      <c r="I70" s="39">
        <f t="shared" si="33"/>
        <v>0</v>
      </c>
      <c r="J70" s="39">
        <f>-'[33]Budget 2022'!CC17</f>
        <v>0</v>
      </c>
      <c r="K70" s="39">
        <f>-'[33]Budget 2022'!CD17</f>
        <v>0</v>
      </c>
      <c r="L70" s="39">
        <f>-'[33]Budget 2022'!CE17</f>
        <v>0</v>
      </c>
      <c r="M70" s="39">
        <f t="shared" si="34"/>
        <v>0</v>
      </c>
      <c r="N70" s="39">
        <f>-'[33]Budget 2022'!CG17</f>
        <v>0</v>
      </c>
      <c r="O70" s="39">
        <f>-'[33]Budget 2022'!CH17</f>
        <v>0</v>
      </c>
      <c r="P70" s="39">
        <f>-'[33]Budget 2022'!CI17</f>
        <v>0</v>
      </c>
      <c r="Q70" s="39">
        <f t="shared" si="35"/>
        <v>0</v>
      </c>
      <c r="R70" s="39">
        <f>SUM(E70,I70,M70,Q70)</f>
        <v>0</v>
      </c>
    </row>
    <row r="71" spans="1:19" ht="18" hidden="1" outlineLevel="1">
      <c r="A71" s="36" t="s">
        <v>200</v>
      </c>
      <c r="B71" s="41">
        <f>SUM(B72:B79)</f>
        <v>0</v>
      </c>
      <c r="C71" s="41">
        <f t="shared" ref="C71:D71" si="36">SUM(C72:C79)</f>
        <v>0</v>
      </c>
      <c r="D71" s="41">
        <f t="shared" si="36"/>
        <v>0</v>
      </c>
      <c r="E71" s="41">
        <f t="shared" si="32"/>
        <v>0</v>
      </c>
      <c r="F71" s="41">
        <f>SUM(F72:F79)</f>
        <v>0</v>
      </c>
      <c r="G71" s="41">
        <f t="shared" ref="G71:H71" si="37">SUM(G72:G79)</f>
        <v>0</v>
      </c>
      <c r="H71" s="41">
        <f t="shared" si="37"/>
        <v>0</v>
      </c>
      <c r="I71" s="41">
        <f t="shared" si="33"/>
        <v>0</v>
      </c>
      <c r="J71" s="41">
        <f>SUM(J72:J79)</f>
        <v>0</v>
      </c>
      <c r="K71" s="41">
        <f t="shared" ref="K71:L71" si="38">SUM(K72:K79)</f>
        <v>0</v>
      </c>
      <c r="L71" s="41">
        <f t="shared" si="38"/>
        <v>0</v>
      </c>
      <c r="M71" s="41">
        <f t="shared" si="34"/>
        <v>0</v>
      </c>
      <c r="N71" s="41">
        <f>SUM(N72:N79)</f>
        <v>0</v>
      </c>
      <c r="O71" s="41">
        <f t="shared" ref="O71:P71" si="39">SUM(O72:O79)</f>
        <v>0</v>
      </c>
      <c r="P71" s="41">
        <f t="shared" si="39"/>
        <v>0</v>
      </c>
      <c r="Q71" s="41">
        <f t="shared" si="35"/>
        <v>0</v>
      </c>
      <c r="R71" s="42">
        <f>SUM(R72:R79)</f>
        <v>0</v>
      </c>
    </row>
    <row r="72" spans="1:19" ht="18" hidden="1" outlineLevel="1">
      <c r="A72" s="38" t="s">
        <v>201</v>
      </c>
      <c r="B72" s="39">
        <f>-'[33]Budget 2022'!BU25</f>
        <v>0</v>
      </c>
      <c r="C72" s="39">
        <f>-'[33]Budget 2022'!BV25</f>
        <v>0</v>
      </c>
      <c r="D72" s="39">
        <f>-'[33]Budget 2022'!BW25</f>
        <v>0</v>
      </c>
      <c r="E72" s="39">
        <f t="shared" si="32"/>
        <v>0</v>
      </c>
      <c r="F72" s="39">
        <f>-'[33]Budget 2022'!BY25</f>
        <v>0</v>
      </c>
      <c r="G72" s="39">
        <f>-'[33]Budget 2022'!BZ25</f>
        <v>0</v>
      </c>
      <c r="H72" s="39">
        <f>-'[33]Budget 2022'!CA25</f>
        <v>0</v>
      </c>
      <c r="I72" s="39">
        <f t="shared" si="33"/>
        <v>0</v>
      </c>
      <c r="J72" s="39">
        <f>-'[33]Budget 2022'!CC25</f>
        <v>0</v>
      </c>
      <c r="K72" s="39">
        <f>-'[33]Budget 2022'!CD25</f>
        <v>0</v>
      </c>
      <c r="L72" s="39">
        <f>-'[33]Budget 2022'!CE25</f>
        <v>0</v>
      </c>
      <c r="M72" s="39">
        <f t="shared" si="34"/>
        <v>0</v>
      </c>
      <c r="N72" s="39">
        <f>-'[33]Budget 2022'!CG25</f>
        <v>0</v>
      </c>
      <c r="O72" s="39">
        <f>-'[33]Budget 2022'!CH25</f>
        <v>0</v>
      </c>
      <c r="P72" s="39">
        <f>-'[33]Budget 2022'!CI25</f>
        <v>0</v>
      </c>
      <c r="Q72" s="39">
        <f t="shared" si="35"/>
        <v>0</v>
      </c>
      <c r="R72" s="39">
        <f>SUM(E72,I72,M72,Q72)</f>
        <v>0</v>
      </c>
    </row>
    <row r="73" spans="1:19" ht="18" hidden="1" outlineLevel="1">
      <c r="A73" s="38" t="s">
        <v>202</v>
      </c>
      <c r="B73" s="39">
        <f>-'[33]Budget 2022'!BU31</f>
        <v>0</v>
      </c>
      <c r="C73" s="39">
        <f>-'[33]Budget 2022'!BV31</f>
        <v>0</v>
      </c>
      <c r="D73" s="39">
        <f>-'[33]Budget 2022'!BW31</f>
        <v>0</v>
      </c>
      <c r="E73" s="39">
        <f t="shared" si="32"/>
        <v>0</v>
      </c>
      <c r="F73" s="39">
        <f>-'[33]Budget 2022'!BY31</f>
        <v>0</v>
      </c>
      <c r="G73" s="39">
        <f>-'[33]Budget 2022'!BZ31</f>
        <v>0</v>
      </c>
      <c r="H73" s="39">
        <f>-'[33]Budget 2022'!CA31</f>
        <v>0</v>
      </c>
      <c r="I73" s="39">
        <f t="shared" si="33"/>
        <v>0</v>
      </c>
      <c r="J73" s="39">
        <f>-'[33]Budget 2022'!CC31</f>
        <v>0</v>
      </c>
      <c r="K73" s="39">
        <f>-'[33]Budget 2022'!CD31</f>
        <v>0</v>
      </c>
      <c r="L73" s="39">
        <f>-'[33]Budget 2022'!CE31</f>
        <v>0</v>
      </c>
      <c r="M73" s="39">
        <f t="shared" si="34"/>
        <v>0</v>
      </c>
      <c r="N73" s="39">
        <f>-'[33]Budget 2022'!CG31</f>
        <v>0</v>
      </c>
      <c r="O73" s="39">
        <f>-'[33]Budget 2022'!CH31</f>
        <v>0</v>
      </c>
      <c r="P73" s="39">
        <f>-'[33]Budget 2022'!CI31</f>
        <v>0</v>
      </c>
      <c r="Q73" s="39">
        <f t="shared" si="35"/>
        <v>0</v>
      </c>
      <c r="R73" s="39">
        <f t="shared" ref="R73:R79" si="40">SUM(E73,I73,M73,Q73)</f>
        <v>0</v>
      </c>
    </row>
    <row r="74" spans="1:19" ht="18" hidden="1" outlineLevel="1">
      <c r="A74" s="38" t="s">
        <v>203</v>
      </c>
      <c r="B74" s="39">
        <f>-'[33]Budget 2022'!BU38</f>
        <v>0</v>
      </c>
      <c r="C74" s="39">
        <f>-'[33]Budget 2022'!BV38</f>
        <v>0</v>
      </c>
      <c r="D74" s="39">
        <f>-'[33]Budget 2022'!BW38</f>
        <v>0</v>
      </c>
      <c r="E74" s="39">
        <f t="shared" si="32"/>
        <v>0</v>
      </c>
      <c r="F74" s="39">
        <f>-'[33]Budget 2022'!BY38</f>
        <v>0</v>
      </c>
      <c r="G74" s="39">
        <f>-'[33]Budget 2022'!BZ38</f>
        <v>0</v>
      </c>
      <c r="H74" s="39">
        <f>-'[33]Budget 2022'!CA38</f>
        <v>0</v>
      </c>
      <c r="I74" s="39">
        <f t="shared" si="33"/>
        <v>0</v>
      </c>
      <c r="J74" s="39">
        <f>-'[33]Budget 2022'!CC38</f>
        <v>0</v>
      </c>
      <c r="K74" s="39">
        <f>-'[33]Budget 2022'!CD38</f>
        <v>0</v>
      </c>
      <c r="L74" s="39">
        <f>-'[33]Budget 2022'!CE38</f>
        <v>0</v>
      </c>
      <c r="M74" s="39">
        <f t="shared" si="34"/>
        <v>0</v>
      </c>
      <c r="N74" s="39">
        <f>-'[33]Budget 2022'!CG38</f>
        <v>0</v>
      </c>
      <c r="O74" s="39">
        <f>-'[33]Budget 2022'!CH38</f>
        <v>0</v>
      </c>
      <c r="P74" s="39">
        <f>-'[33]Budget 2022'!CI38</f>
        <v>0</v>
      </c>
      <c r="Q74" s="39">
        <f t="shared" si="35"/>
        <v>0</v>
      </c>
      <c r="R74" s="39">
        <f t="shared" si="40"/>
        <v>0</v>
      </c>
    </row>
    <row r="75" spans="1:19" ht="18" hidden="1" outlineLevel="1">
      <c r="A75" s="38" t="s">
        <v>204</v>
      </c>
      <c r="B75" s="39">
        <f>-'[33]Budget 2022'!BU49</f>
        <v>0</v>
      </c>
      <c r="C75" s="39">
        <f>-'[33]Budget 2022'!BV49</f>
        <v>0</v>
      </c>
      <c r="D75" s="39">
        <f>-'[33]Budget 2022'!BW49</f>
        <v>0</v>
      </c>
      <c r="E75" s="39">
        <f t="shared" si="32"/>
        <v>0</v>
      </c>
      <c r="F75" s="39">
        <f>-'[33]Budget 2022'!BY49</f>
        <v>0</v>
      </c>
      <c r="G75" s="39">
        <f>-'[33]Budget 2022'!BZ49</f>
        <v>0</v>
      </c>
      <c r="H75" s="39">
        <f>-'[33]Budget 2022'!CA49</f>
        <v>0</v>
      </c>
      <c r="I75" s="39">
        <f t="shared" si="33"/>
        <v>0</v>
      </c>
      <c r="J75" s="39">
        <f>-'[33]Budget 2022'!CC49</f>
        <v>0</v>
      </c>
      <c r="K75" s="39">
        <f>-'[33]Budget 2022'!CD49</f>
        <v>0</v>
      </c>
      <c r="L75" s="39">
        <f>-'[33]Budget 2022'!CE49</f>
        <v>0</v>
      </c>
      <c r="M75" s="39">
        <f t="shared" si="34"/>
        <v>0</v>
      </c>
      <c r="N75" s="39">
        <f>-'[33]Budget 2022'!CG49</f>
        <v>0</v>
      </c>
      <c r="O75" s="39">
        <f>-'[33]Budget 2022'!CH49</f>
        <v>0</v>
      </c>
      <c r="P75" s="39">
        <f>-'[33]Budget 2022'!CI49</f>
        <v>0</v>
      </c>
      <c r="Q75" s="39">
        <f t="shared" si="35"/>
        <v>0</v>
      </c>
      <c r="R75" s="39">
        <f t="shared" si="40"/>
        <v>0</v>
      </c>
    </row>
    <row r="76" spans="1:19" ht="18" hidden="1" outlineLevel="1">
      <c r="A76" s="38" t="s">
        <v>205</v>
      </c>
      <c r="B76" s="39">
        <f>-'[33]Budget 2022'!BU51</f>
        <v>0</v>
      </c>
      <c r="C76" s="39">
        <f>-'[33]Budget 2022'!BV51</f>
        <v>0</v>
      </c>
      <c r="D76" s="39">
        <f>-'[33]Budget 2022'!BW51</f>
        <v>0</v>
      </c>
      <c r="E76" s="39">
        <f t="shared" si="32"/>
        <v>0</v>
      </c>
      <c r="F76" s="39">
        <f>-'[33]Budget 2022'!BY51</f>
        <v>0</v>
      </c>
      <c r="G76" s="39">
        <f>-'[33]Budget 2022'!BZ51</f>
        <v>0</v>
      </c>
      <c r="H76" s="39">
        <f>-'[33]Budget 2022'!CA51</f>
        <v>0</v>
      </c>
      <c r="I76" s="39">
        <f t="shared" si="33"/>
        <v>0</v>
      </c>
      <c r="J76" s="39">
        <f>-'[33]Budget 2022'!CC51</f>
        <v>0</v>
      </c>
      <c r="K76" s="39">
        <f>-'[33]Budget 2022'!CD51</f>
        <v>0</v>
      </c>
      <c r="L76" s="39">
        <f>-'[33]Budget 2022'!CE51</f>
        <v>0</v>
      </c>
      <c r="M76" s="39">
        <f t="shared" si="34"/>
        <v>0</v>
      </c>
      <c r="N76" s="39">
        <f>-'[33]Budget 2022'!CG51</f>
        <v>0</v>
      </c>
      <c r="O76" s="39">
        <f>-'[33]Budget 2022'!CH51</f>
        <v>0</v>
      </c>
      <c r="P76" s="39">
        <f>-'[33]Budget 2022'!CI51</f>
        <v>0</v>
      </c>
      <c r="Q76" s="39">
        <f t="shared" si="35"/>
        <v>0</v>
      </c>
      <c r="R76" s="39">
        <f t="shared" si="40"/>
        <v>0</v>
      </c>
    </row>
    <row r="77" spans="1:19" ht="18" hidden="1" outlineLevel="1">
      <c r="A77" s="38" t="s">
        <v>206</v>
      </c>
      <c r="B77" s="39">
        <f>-'[33]Budget 2022'!BU62</f>
        <v>0</v>
      </c>
      <c r="C77" s="39">
        <f>-'[33]Budget 2022'!BV62</f>
        <v>0</v>
      </c>
      <c r="D77" s="39">
        <f>-'[33]Budget 2022'!BW62</f>
        <v>0</v>
      </c>
      <c r="E77" s="39">
        <f t="shared" si="32"/>
        <v>0</v>
      </c>
      <c r="F77" s="39">
        <f>-'[33]Budget 2022'!BY62</f>
        <v>0</v>
      </c>
      <c r="G77" s="39">
        <f>-'[33]Budget 2022'!BZ62</f>
        <v>0</v>
      </c>
      <c r="H77" s="39">
        <f>-'[33]Budget 2022'!CA62</f>
        <v>0</v>
      </c>
      <c r="I77" s="39">
        <f t="shared" si="33"/>
        <v>0</v>
      </c>
      <c r="J77" s="39">
        <f>-'[33]Budget 2022'!CC62</f>
        <v>0</v>
      </c>
      <c r="K77" s="39">
        <f>-'[33]Budget 2022'!CD62</f>
        <v>0</v>
      </c>
      <c r="L77" s="39">
        <f>-'[33]Budget 2022'!CE62</f>
        <v>0</v>
      </c>
      <c r="M77" s="39">
        <f t="shared" si="34"/>
        <v>0</v>
      </c>
      <c r="N77" s="39">
        <f>-'[33]Budget 2022'!CG62</f>
        <v>0</v>
      </c>
      <c r="O77" s="39">
        <f>-'[33]Budget 2022'!CH62</f>
        <v>0</v>
      </c>
      <c r="P77" s="39">
        <f>-'[33]Budget 2022'!CI62</f>
        <v>0</v>
      </c>
      <c r="Q77" s="39">
        <f t="shared" si="35"/>
        <v>0</v>
      </c>
      <c r="R77" s="39">
        <f t="shared" si="40"/>
        <v>0</v>
      </c>
    </row>
    <row r="78" spans="1:19" ht="18" hidden="1" outlineLevel="1">
      <c r="A78" s="38" t="s">
        <v>207</v>
      </c>
      <c r="B78" s="39">
        <f>-'[33]Budget 2022'!BU64</f>
        <v>0</v>
      </c>
      <c r="C78" s="39">
        <f>-'[33]Budget 2022'!BV64</f>
        <v>0</v>
      </c>
      <c r="D78" s="39">
        <f>-'[33]Budget 2022'!BW64</f>
        <v>0</v>
      </c>
      <c r="E78" s="39">
        <f t="shared" si="32"/>
        <v>0</v>
      </c>
      <c r="F78" s="39">
        <f>-'[33]Budget 2022'!BY64</f>
        <v>0</v>
      </c>
      <c r="G78" s="39">
        <f>-'[33]Budget 2022'!BZ64</f>
        <v>0</v>
      </c>
      <c r="H78" s="39">
        <f>-'[33]Budget 2022'!CA64</f>
        <v>0</v>
      </c>
      <c r="I78" s="39">
        <f t="shared" si="33"/>
        <v>0</v>
      </c>
      <c r="J78" s="39">
        <f>-'[33]Budget 2022'!CC64</f>
        <v>0</v>
      </c>
      <c r="K78" s="39">
        <f>-'[33]Budget 2022'!CD64</f>
        <v>0</v>
      </c>
      <c r="L78" s="39">
        <f>-'[33]Budget 2022'!CE64</f>
        <v>0</v>
      </c>
      <c r="M78" s="39">
        <f t="shared" si="34"/>
        <v>0</v>
      </c>
      <c r="N78" s="39">
        <f>-'[33]Budget 2022'!CG64</f>
        <v>0</v>
      </c>
      <c r="O78" s="39">
        <f>-'[33]Budget 2022'!CH64</f>
        <v>0</v>
      </c>
      <c r="P78" s="39">
        <f>-'[33]Budget 2022'!CI64</f>
        <v>0</v>
      </c>
      <c r="Q78" s="39">
        <f t="shared" si="35"/>
        <v>0</v>
      </c>
      <c r="R78" s="39">
        <f t="shared" si="40"/>
        <v>0</v>
      </c>
    </row>
    <row r="79" spans="1:19" ht="18" hidden="1" outlineLevel="1">
      <c r="A79" s="38" t="s">
        <v>208</v>
      </c>
      <c r="B79" s="39">
        <f>-'[33]Budget 2022'!BU75</f>
        <v>0</v>
      </c>
      <c r="C79" s="39">
        <f>-'[33]Budget 2022'!BV75</f>
        <v>0</v>
      </c>
      <c r="D79" s="39">
        <f>-'[33]Budget 2022'!BW75</f>
        <v>0</v>
      </c>
      <c r="E79" s="39">
        <f t="shared" si="32"/>
        <v>0</v>
      </c>
      <c r="F79" s="39">
        <f>-'[33]Budget 2022'!BY75</f>
        <v>0</v>
      </c>
      <c r="G79" s="39">
        <f>-'[33]Budget 2022'!BZ75</f>
        <v>0</v>
      </c>
      <c r="H79" s="39">
        <f>-'[33]Budget 2022'!CA75</f>
        <v>0</v>
      </c>
      <c r="I79" s="39">
        <f t="shared" si="33"/>
        <v>0</v>
      </c>
      <c r="J79" s="39">
        <f>-'[33]Budget 2022'!CC75</f>
        <v>0</v>
      </c>
      <c r="K79" s="39">
        <f>-'[33]Budget 2022'!CD75</f>
        <v>0</v>
      </c>
      <c r="L79" s="39">
        <f>-'[33]Budget 2022'!CE75</f>
        <v>0</v>
      </c>
      <c r="M79" s="39">
        <f t="shared" si="34"/>
        <v>0</v>
      </c>
      <c r="N79" s="39">
        <f>-'[33]Budget 2022'!CG75</f>
        <v>0</v>
      </c>
      <c r="O79" s="39">
        <f>-'[33]Budget 2022'!CH75</f>
        <v>0</v>
      </c>
      <c r="P79" s="39">
        <f>-'[33]Budget 2022'!CI75</f>
        <v>0</v>
      </c>
      <c r="Q79" s="39">
        <f t="shared" si="35"/>
        <v>0</v>
      </c>
      <c r="R79" s="39">
        <f t="shared" si="40"/>
        <v>0</v>
      </c>
    </row>
    <row r="80" spans="1:19" s="35" customFormat="1" ht="31.2" collapsed="1">
      <c r="A80" s="31" t="s">
        <v>215</v>
      </c>
      <c r="B80" s="32">
        <f>SUM(B81,B84)</f>
        <v>2016666.67</v>
      </c>
      <c r="C80" s="32">
        <f>SUM(C81,C84)</f>
        <v>1678287.47</v>
      </c>
      <c r="D80" s="32">
        <f>SUM(D81,D84)</f>
        <v>1610611.63</v>
      </c>
      <c r="E80" s="32">
        <f t="shared" si="32"/>
        <v>5305565.7699999996</v>
      </c>
      <c r="F80" s="32">
        <f>SUM(F81,F84)</f>
        <v>1610611.63</v>
      </c>
      <c r="G80" s="32">
        <f>SUM(G81,G84)</f>
        <v>1610611.63</v>
      </c>
      <c r="H80" s="32">
        <f>SUM(H81,H84)</f>
        <v>1642935.79</v>
      </c>
      <c r="I80" s="32">
        <f t="shared" si="33"/>
        <v>4864159.05</v>
      </c>
      <c r="J80" s="32">
        <f>SUM(J81,J84)</f>
        <v>976269.12</v>
      </c>
      <c r="K80" s="32">
        <f>SUM(K81,K84)</f>
        <v>976269.12</v>
      </c>
      <c r="L80" s="32">
        <f>SUM(L81,L84)</f>
        <v>976269.12</v>
      </c>
      <c r="M80" s="32">
        <f t="shared" si="34"/>
        <v>2928807.36</v>
      </c>
      <c r="N80" s="32">
        <f>SUM(N81,N84)</f>
        <v>907522.87</v>
      </c>
      <c r="O80" s="32">
        <f>SUM(O81,O84)</f>
        <v>846972.48</v>
      </c>
      <c r="P80" s="32">
        <f>SUM(P81,P84)</f>
        <v>846972.48</v>
      </c>
      <c r="Q80" s="32">
        <f t="shared" si="35"/>
        <v>2601467.83</v>
      </c>
      <c r="R80" s="33">
        <f>SUM(R81,R84)</f>
        <v>15700000.01</v>
      </c>
    </row>
    <row r="81" spans="1:18" ht="18" hidden="1" outlineLevel="1">
      <c r="A81" s="36" t="s">
        <v>197</v>
      </c>
      <c r="B81" s="42">
        <f>SUM(B82:B83)</f>
        <v>2016666.67</v>
      </c>
      <c r="C81" s="42">
        <f>SUM(C82:C83)</f>
        <v>1678287.47</v>
      </c>
      <c r="D81" s="42">
        <f>SUM(D82:D83)</f>
        <v>1610611.63</v>
      </c>
      <c r="E81" s="42">
        <f t="shared" si="8"/>
        <v>5305565.7699999996</v>
      </c>
      <c r="F81" s="42">
        <f>SUM(F82:F83)</f>
        <v>1610611.63</v>
      </c>
      <c r="G81" s="42">
        <f>SUM(G82:G83)</f>
        <v>1610611.63</v>
      </c>
      <c r="H81" s="42">
        <f>SUM(H82:H83)</f>
        <v>1642935.79</v>
      </c>
      <c r="I81" s="42">
        <f t="shared" si="9"/>
        <v>4864159.05</v>
      </c>
      <c r="J81" s="42">
        <f>SUM(J82:J83)</f>
        <v>976269.12</v>
      </c>
      <c r="K81" s="42">
        <f>SUM(K82:K83)</f>
        <v>976269.12</v>
      </c>
      <c r="L81" s="42">
        <f>SUM(L82:L83)</f>
        <v>976269.12</v>
      </c>
      <c r="M81" s="42">
        <f t="shared" si="10"/>
        <v>2928807.36</v>
      </c>
      <c r="N81" s="42">
        <f>SUM(N82:N83)</f>
        <v>907522.87</v>
      </c>
      <c r="O81" s="42">
        <f>SUM(O82:O83)</f>
        <v>846972.48</v>
      </c>
      <c r="P81" s="42">
        <f>SUM(P82:P83)</f>
        <v>846972.48</v>
      </c>
      <c r="Q81" s="42">
        <f t="shared" si="11"/>
        <v>2601467.83</v>
      </c>
      <c r="R81" s="42">
        <f>SUM(R82:R83)</f>
        <v>15700000.01</v>
      </c>
    </row>
    <row r="82" spans="1:18" ht="18" hidden="1" outlineLevel="1">
      <c r="A82" s="38" t="s">
        <v>198</v>
      </c>
      <c r="B82" s="39">
        <f>-'[33]Budget 2022'!DC7</f>
        <v>1266666.67</v>
      </c>
      <c r="C82" s="39">
        <f>-'[33]Budget 2022'!DD7</f>
        <v>928287.47</v>
      </c>
      <c r="D82" s="39">
        <f>-'[33]Budget 2022'!DE7</f>
        <v>860611.63</v>
      </c>
      <c r="E82" s="39">
        <f t="shared" si="8"/>
        <v>3055565.7699999996</v>
      </c>
      <c r="F82" s="39">
        <f>-'[33]Budget 2022'!DG7</f>
        <v>860611.63</v>
      </c>
      <c r="G82" s="39">
        <f>-'[33]Budget 2022'!DH7</f>
        <v>860611.63</v>
      </c>
      <c r="H82" s="39">
        <f>-'[33]Budget 2022'!DI7</f>
        <v>892935.79</v>
      </c>
      <c r="I82" s="39">
        <f t="shared" si="9"/>
        <v>2614159.0499999998</v>
      </c>
      <c r="J82" s="39">
        <f>-'[33]Budget 2022'!DK7</f>
        <v>226269.12</v>
      </c>
      <c r="K82" s="39">
        <f>-'[33]Budget 2022'!DL7</f>
        <v>226269.12</v>
      </c>
      <c r="L82" s="39">
        <f>-'[33]Budget 2022'!DM7</f>
        <v>226269.12</v>
      </c>
      <c r="M82" s="39">
        <f t="shared" si="10"/>
        <v>678807.36</v>
      </c>
      <c r="N82" s="39">
        <f>-'[33]Budget 2022'!DO7</f>
        <v>157522.87</v>
      </c>
      <c r="O82" s="39">
        <f>-'[33]Budget 2022'!DP7</f>
        <v>96972.479999999996</v>
      </c>
      <c r="P82" s="39">
        <f>-'[33]Budget 2022'!DQ7</f>
        <v>96972.479999999996</v>
      </c>
      <c r="Q82" s="39">
        <f t="shared" si="11"/>
        <v>351467.82999999996</v>
      </c>
      <c r="R82" s="39">
        <f t="shared" ref="R82:R92" si="41">SUM(E82,I82,M82,Q82)</f>
        <v>6700000.0099999998</v>
      </c>
    </row>
    <row r="83" spans="1:18" ht="18" hidden="1" outlineLevel="1">
      <c r="A83" s="38" t="s">
        <v>199</v>
      </c>
      <c r="B83" s="39">
        <f>-'[33]Budget 2022'!DC17</f>
        <v>750000</v>
      </c>
      <c r="C83" s="39">
        <f>-'[33]Budget 2022'!DD17</f>
        <v>750000</v>
      </c>
      <c r="D83" s="39">
        <f>-'[33]Budget 2022'!DE17</f>
        <v>750000</v>
      </c>
      <c r="E83" s="39">
        <f>SUM(B83:D83)</f>
        <v>2250000</v>
      </c>
      <c r="F83" s="39">
        <f>-'[33]Budget 2022'!DG17</f>
        <v>750000</v>
      </c>
      <c r="G83" s="39">
        <f>-'[33]Budget 2022'!DH17</f>
        <v>750000</v>
      </c>
      <c r="H83" s="39">
        <f>-'[33]Budget 2022'!DI17</f>
        <v>750000</v>
      </c>
      <c r="I83" s="39">
        <f t="shared" si="9"/>
        <v>2250000</v>
      </c>
      <c r="J83" s="39">
        <f>-'[33]Budget 2022'!DK17</f>
        <v>750000</v>
      </c>
      <c r="K83" s="39">
        <f>-'[33]Budget 2022'!DL17</f>
        <v>750000</v>
      </c>
      <c r="L83" s="39">
        <f>-'[33]Budget 2022'!DM17</f>
        <v>750000</v>
      </c>
      <c r="M83" s="39">
        <f t="shared" si="10"/>
        <v>2250000</v>
      </c>
      <c r="N83" s="39">
        <f>-'[33]Budget 2022'!DO17</f>
        <v>750000</v>
      </c>
      <c r="O83" s="39">
        <f>-'[33]Budget 2022'!DP17</f>
        <v>750000</v>
      </c>
      <c r="P83" s="39">
        <f>-'[33]Budget 2022'!DQ17</f>
        <v>750000</v>
      </c>
      <c r="Q83" s="39">
        <f t="shared" si="11"/>
        <v>2250000</v>
      </c>
      <c r="R83" s="39">
        <f t="shared" si="41"/>
        <v>9000000</v>
      </c>
    </row>
    <row r="84" spans="1:18" ht="18" hidden="1" outlineLevel="1">
      <c r="A84" s="36" t="s">
        <v>200</v>
      </c>
      <c r="B84" s="42">
        <f>SUM(B85:B92)</f>
        <v>0</v>
      </c>
      <c r="C84" s="42">
        <f>SUM(C85:C92)</f>
        <v>0</v>
      </c>
      <c r="D84" s="42">
        <f>SUM(D85:D92)</f>
        <v>0</v>
      </c>
      <c r="E84" s="42">
        <f t="shared" si="8"/>
        <v>0</v>
      </c>
      <c r="F84" s="42">
        <f>SUM(F85:F92)</f>
        <v>0</v>
      </c>
      <c r="G84" s="42">
        <f>SUM(G85:G92)</f>
        <v>0</v>
      </c>
      <c r="H84" s="42">
        <f>SUM(H85:H92)</f>
        <v>0</v>
      </c>
      <c r="I84" s="42">
        <f t="shared" si="9"/>
        <v>0</v>
      </c>
      <c r="J84" s="42">
        <f>SUM(J85:J92)</f>
        <v>0</v>
      </c>
      <c r="K84" s="42">
        <f>SUM(K85:K92)</f>
        <v>0</v>
      </c>
      <c r="L84" s="42">
        <f>SUM(L85:L92)</f>
        <v>0</v>
      </c>
      <c r="M84" s="42">
        <f t="shared" si="10"/>
        <v>0</v>
      </c>
      <c r="N84" s="42">
        <f>SUM(N85:N92)</f>
        <v>0</v>
      </c>
      <c r="O84" s="42">
        <f>SUM(O85:O92)</f>
        <v>0</v>
      </c>
      <c r="P84" s="42">
        <f>SUM(P85:P92)</f>
        <v>0</v>
      </c>
      <c r="Q84" s="42">
        <f t="shared" si="11"/>
        <v>0</v>
      </c>
      <c r="R84" s="42">
        <f>SUM(R85:R92)</f>
        <v>0</v>
      </c>
    </row>
    <row r="85" spans="1:18" ht="18" hidden="1" outlineLevel="1">
      <c r="A85" s="38" t="s">
        <v>201</v>
      </c>
      <c r="B85" s="39">
        <f>-'[33]Budget 2022'!DC25</f>
        <v>0</v>
      </c>
      <c r="C85" s="39">
        <f>-'[33]Budget 2022'!DD25</f>
        <v>0</v>
      </c>
      <c r="D85" s="39">
        <f>-'[33]Budget 2022'!DE25</f>
        <v>0</v>
      </c>
      <c r="E85" s="39">
        <f t="shared" si="8"/>
        <v>0</v>
      </c>
      <c r="F85" s="39">
        <f>-'[33]Budget 2022'!DG25</f>
        <v>0</v>
      </c>
      <c r="G85" s="39">
        <f>-'[33]Budget 2022'!DH25</f>
        <v>0</v>
      </c>
      <c r="H85" s="39">
        <f>-'[33]Budget 2022'!DI25</f>
        <v>0</v>
      </c>
      <c r="I85" s="39">
        <f t="shared" si="9"/>
        <v>0</v>
      </c>
      <c r="J85" s="39">
        <f>-'[33]Budget 2022'!DK25</f>
        <v>0</v>
      </c>
      <c r="K85" s="39">
        <f>-'[33]Budget 2022'!DL25</f>
        <v>0</v>
      </c>
      <c r="L85" s="39">
        <f>-'[33]Budget 2022'!DM25</f>
        <v>0</v>
      </c>
      <c r="M85" s="39">
        <f t="shared" si="10"/>
        <v>0</v>
      </c>
      <c r="N85" s="39">
        <f>-'[33]Budget 2022'!DO25</f>
        <v>0</v>
      </c>
      <c r="O85" s="39">
        <f>-'[33]Budget 2022'!DP25</f>
        <v>0</v>
      </c>
      <c r="P85" s="39">
        <f>-'[33]Budget 2022'!DQ25</f>
        <v>0</v>
      </c>
      <c r="Q85" s="39">
        <f t="shared" si="11"/>
        <v>0</v>
      </c>
      <c r="R85" s="39">
        <f t="shared" si="41"/>
        <v>0</v>
      </c>
    </row>
    <row r="86" spans="1:18" ht="18" hidden="1" outlineLevel="1">
      <c r="A86" s="38" t="s">
        <v>202</v>
      </c>
      <c r="B86" s="39">
        <f>-'[33]Budget 2022'!DC31</f>
        <v>0</v>
      </c>
      <c r="C86" s="39">
        <f>-'[33]Budget 2022'!DD31</f>
        <v>0</v>
      </c>
      <c r="D86" s="39">
        <f>-'[33]Budget 2022'!DE31</f>
        <v>0</v>
      </c>
      <c r="E86" s="39">
        <f t="shared" si="8"/>
        <v>0</v>
      </c>
      <c r="F86" s="39">
        <f>-'[33]Budget 2022'!DG31</f>
        <v>0</v>
      </c>
      <c r="G86" s="39">
        <f>-'[33]Budget 2022'!DH31</f>
        <v>0</v>
      </c>
      <c r="H86" s="39">
        <f>-'[33]Budget 2022'!DI31</f>
        <v>0</v>
      </c>
      <c r="I86" s="39">
        <f t="shared" si="9"/>
        <v>0</v>
      </c>
      <c r="J86" s="39">
        <f>-'[33]Budget 2022'!DK31</f>
        <v>0</v>
      </c>
      <c r="K86" s="39">
        <f>-'[33]Budget 2022'!DL31</f>
        <v>0</v>
      </c>
      <c r="L86" s="39">
        <f>-'[33]Budget 2022'!DM31</f>
        <v>0</v>
      </c>
      <c r="M86" s="39">
        <f t="shared" si="10"/>
        <v>0</v>
      </c>
      <c r="N86" s="39">
        <f>-'[33]Budget 2022'!DO31</f>
        <v>0</v>
      </c>
      <c r="O86" s="39">
        <f>-'[33]Budget 2022'!DP31</f>
        <v>0</v>
      </c>
      <c r="P86" s="39">
        <f>-'[33]Budget 2022'!DQ31</f>
        <v>0</v>
      </c>
      <c r="Q86" s="39">
        <f t="shared" si="11"/>
        <v>0</v>
      </c>
      <c r="R86" s="39">
        <f t="shared" si="41"/>
        <v>0</v>
      </c>
    </row>
    <row r="87" spans="1:18" ht="18" hidden="1" outlineLevel="1">
      <c r="A87" s="38" t="s">
        <v>203</v>
      </c>
      <c r="B87" s="39">
        <f>-'[33]Budget 2022'!DC38</f>
        <v>0</v>
      </c>
      <c r="C87" s="39">
        <f>-'[33]Budget 2022'!DD38</f>
        <v>0</v>
      </c>
      <c r="D87" s="39">
        <f>-'[33]Budget 2022'!DE38</f>
        <v>0</v>
      </c>
      <c r="E87" s="39">
        <f t="shared" si="8"/>
        <v>0</v>
      </c>
      <c r="F87" s="39">
        <f>-'[33]Budget 2022'!DG38</f>
        <v>0</v>
      </c>
      <c r="G87" s="39">
        <f>-'[33]Budget 2022'!DH38</f>
        <v>0</v>
      </c>
      <c r="H87" s="39">
        <f>-'[33]Budget 2022'!DI38</f>
        <v>0</v>
      </c>
      <c r="I87" s="39">
        <f t="shared" si="9"/>
        <v>0</v>
      </c>
      <c r="J87" s="39">
        <f>-'[33]Budget 2022'!DK38</f>
        <v>0</v>
      </c>
      <c r="K87" s="39">
        <f>-'[33]Budget 2022'!DL38</f>
        <v>0</v>
      </c>
      <c r="L87" s="39">
        <f>-'[33]Budget 2022'!DM38</f>
        <v>0</v>
      </c>
      <c r="M87" s="39">
        <f t="shared" si="10"/>
        <v>0</v>
      </c>
      <c r="N87" s="39">
        <f>-'[33]Budget 2022'!DO38</f>
        <v>0</v>
      </c>
      <c r="O87" s="39">
        <f>-'[33]Budget 2022'!DP38</f>
        <v>0</v>
      </c>
      <c r="P87" s="39">
        <f>-'[33]Budget 2022'!DQ38</f>
        <v>0</v>
      </c>
      <c r="Q87" s="39">
        <f t="shared" si="11"/>
        <v>0</v>
      </c>
      <c r="R87" s="39">
        <f t="shared" si="41"/>
        <v>0</v>
      </c>
    </row>
    <row r="88" spans="1:18" ht="18" hidden="1" outlineLevel="1">
      <c r="A88" s="38" t="s">
        <v>204</v>
      </c>
      <c r="B88" s="39">
        <f>-'[33]Budget 2022'!DC49</f>
        <v>0</v>
      </c>
      <c r="C88" s="39">
        <f>-'[33]Budget 2022'!DD49</f>
        <v>0</v>
      </c>
      <c r="D88" s="39">
        <f>-'[33]Budget 2022'!DE49</f>
        <v>0</v>
      </c>
      <c r="E88" s="39">
        <f t="shared" si="8"/>
        <v>0</v>
      </c>
      <c r="F88" s="39">
        <f>-'[33]Budget 2022'!DG49</f>
        <v>0</v>
      </c>
      <c r="G88" s="39">
        <f>-'[33]Budget 2022'!DH49</f>
        <v>0</v>
      </c>
      <c r="H88" s="39">
        <f>-'[33]Budget 2022'!DI49</f>
        <v>0</v>
      </c>
      <c r="I88" s="39">
        <f t="shared" si="9"/>
        <v>0</v>
      </c>
      <c r="J88" s="39">
        <f>-'[33]Budget 2022'!DK49</f>
        <v>0</v>
      </c>
      <c r="K88" s="39">
        <f>-'[33]Budget 2022'!DL49</f>
        <v>0</v>
      </c>
      <c r="L88" s="39">
        <f>-'[33]Budget 2022'!DM49</f>
        <v>0</v>
      </c>
      <c r="M88" s="39">
        <f t="shared" si="10"/>
        <v>0</v>
      </c>
      <c r="N88" s="39">
        <f>-'[33]Budget 2022'!DO49</f>
        <v>0</v>
      </c>
      <c r="O88" s="39">
        <f>-'[33]Budget 2022'!DP49</f>
        <v>0</v>
      </c>
      <c r="P88" s="39">
        <f>-'[33]Budget 2022'!DQ49</f>
        <v>0</v>
      </c>
      <c r="Q88" s="39">
        <f t="shared" si="11"/>
        <v>0</v>
      </c>
      <c r="R88" s="39">
        <f t="shared" si="41"/>
        <v>0</v>
      </c>
    </row>
    <row r="89" spans="1:18" ht="18" hidden="1" outlineLevel="1">
      <c r="A89" s="38" t="s">
        <v>205</v>
      </c>
      <c r="B89" s="39">
        <f>-'[33]Budget 2022'!DC51</f>
        <v>0</v>
      </c>
      <c r="C89" s="39">
        <f>-'[33]Budget 2022'!DD51</f>
        <v>0</v>
      </c>
      <c r="D89" s="39">
        <f>-'[33]Budget 2022'!DE51</f>
        <v>0</v>
      </c>
      <c r="E89" s="39">
        <f t="shared" si="8"/>
        <v>0</v>
      </c>
      <c r="F89" s="39">
        <f>-'[33]Budget 2022'!DG51</f>
        <v>0</v>
      </c>
      <c r="G89" s="39">
        <f>-'[33]Budget 2022'!DH51</f>
        <v>0</v>
      </c>
      <c r="H89" s="39">
        <f>-'[33]Budget 2022'!DI51</f>
        <v>0</v>
      </c>
      <c r="I89" s="39">
        <f t="shared" si="9"/>
        <v>0</v>
      </c>
      <c r="J89" s="39">
        <f>-'[33]Budget 2022'!DK51</f>
        <v>0</v>
      </c>
      <c r="K89" s="39">
        <f>-'[33]Budget 2022'!DL51</f>
        <v>0</v>
      </c>
      <c r="L89" s="39">
        <f>-'[33]Budget 2022'!DM51</f>
        <v>0</v>
      </c>
      <c r="M89" s="39">
        <f t="shared" si="10"/>
        <v>0</v>
      </c>
      <c r="N89" s="39">
        <f>-'[33]Budget 2022'!DO51</f>
        <v>0</v>
      </c>
      <c r="O89" s="39">
        <f>-'[33]Budget 2022'!DP51</f>
        <v>0</v>
      </c>
      <c r="P89" s="39">
        <f>-'[33]Budget 2022'!DQ51</f>
        <v>0</v>
      </c>
      <c r="Q89" s="39">
        <f t="shared" si="11"/>
        <v>0</v>
      </c>
      <c r="R89" s="39">
        <f t="shared" si="41"/>
        <v>0</v>
      </c>
    </row>
    <row r="90" spans="1:18" ht="18" hidden="1" outlineLevel="1">
      <c r="A90" s="38" t="s">
        <v>206</v>
      </c>
      <c r="B90" s="39">
        <f>-'[33]Budget 2022'!DC62</f>
        <v>0</v>
      </c>
      <c r="C90" s="39">
        <f>-'[33]Budget 2022'!DD62</f>
        <v>0</v>
      </c>
      <c r="D90" s="39">
        <f>-'[33]Budget 2022'!DE62</f>
        <v>0</v>
      </c>
      <c r="E90" s="39">
        <f t="shared" si="8"/>
        <v>0</v>
      </c>
      <c r="F90" s="39">
        <f>-'[33]Budget 2022'!DG62</f>
        <v>0</v>
      </c>
      <c r="G90" s="39">
        <f>-'[33]Budget 2022'!DH62</f>
        <v>0</v>
      </c>
      <c r="H90" s="39">
        <f>-'[33]Budget 2022'!DI62</f>
        <v>0</v>
      </c>
      <c r="I90" s="39">
        <f t="shared" si="9"/>
        <v>0</v>
      </c>
      <c r="J90" s="39">
        <f>-'[33]Budget 2022'!DK62</f>
        <v>0</v>
      </c>
      <c r="K90" s="39">
        <f>-'[33]Budget 2022'!DL62</f>
        <v>0</v>
      </c>
      <c r="L90" s="39">
        <f>-'[33]Budget 2022'!DM62</f>
        <v>0</v>
      </c>
      <c r="M90" s="39">
        <f t="shared" si="10"/>
        <v>0</v>
      </c>
      <c r="N90" s="39">
        <f>-'[33]Budget 2022'!DO62</f>
        <v>0</v>
      </c>
      <c r="O90" s="39">
        <f>-'[33]Budget 2022'!DP62</f>
        <v>0</v>
      </c>
      <c r="P90" s="39">
        <f>-'[33]Budget 2022'!DQ62</f>
        <v>0</v>
      </c>
      <c r="Q90" s="39">
        <f t="shared" si="11"/>
        <v>0</v>
      </c>
      <c r="R90" s="39">
        <f t="shared" si="41"/>
        <v>0</v>
      </c>
    </row>
    <row r="91" spans="1:18" ht="18" hidden="1" outlineLevel="1">
      <c r="A91" s="38" t="s">
        <v>207</v>
      </c>
      <c r="B91" s="39">
        <f>-'[33]Budget 2022'!DC64</f>
        <v>0</v>
      </c>
      <c r="C91" s="39">
        <f>-'[33]Budget 2022'!DD64</f>
        <v>0</v>
      </c>
      <c r="D91" s="39">
        <f>-'[33]Budget 2022'!DE64</f>
        <v>0</v>
      </c>
      <c r="E91" s="39">
        <f t="shared" si="8"/>
        <v>0</v>
      </c>
      <c r="F91" s="39">
        <f>-'[33]Budget 2022'!DG64</f>
        <v>0</v>
      </c>
      <c r="G91" s="39">
        <f>-'[33]Budget 2022'!DH64</f>
        <v>0</v>
      </c>
      <c r="H91" s="39">
        <f>-'[33]Budget 2022'!DI64</f>
        <v>0</v>
      </c>
      <c r="I91" s="39">
        <f t="shared" si="9"/>
        <v>0</v>
      </c>
      <c r="J91" s="39">
        <f>-'[33]Budget 2022'!DK64</f>
        <v>0</v>
      </c>
      <c r="K91" s="39">
        <f>-'[33]Budget 2022'!DL64</f>
        <v>0</v>
      </c>
      <c r="L91" s="39">
        <f>-'[33]Budget 2022'!DM64</f>
        <v>0</v>
      </c>
      <c r="M91" s="39">
        <f t="shared" si="10"/>
        <v>0</v>
      </c>
      <c r="N91" s="39">
        <f>-'[33]Budget 2022'!DO64</f>
        <v>0</v>
      </c>
      <c r="O91" s="39">
        <f>-'[33]Budget 2022'!DP64</f>
        <v>0</v>
      </c>
      <c r="P91" s="39">
        <f>-'[33]Budget 2022'!DQ64</f>
        <v>0</v>
      </c>
      <c r="Q91" s="39">
        <f t="shared" si="11"/>
        <v>0</v>
      </c>
      <c r="R91" s="39">
        <f t="shared" si="41"/>
        <v>0</v>
      </c>
    </row>
    <row r="92" spans="1:18" ht="18" hidden="1" outlineLevel="1">
      <c r="A92" s="38" t="s">
        <v>208</v>
      </c>
      <c r="B92" s="39">
        <f>-'[33]Budget 2022'!DC75</f>
        <v>0</v>
      </c>
      <c r="C92" s="39">
        <f>-'[33]Budget 2022'!DD75</f>
        <v>0</v>
      </c>
      <c r="D92" s="39">
        <f>-'[33]Budget 2022'!DE75</f>
        <v>0</v>
      </c>
      <c r="E92" s="39">
        <f t="shared" si="8"/>
        <v>0</v>
      </c>
      <c r="F92" s="39">
        <f>-'[33]Budget 2022'!DG75</f>
        <v>0</v>
      </c>
      <c r="G92" s="39">
        <f>-'[33]Budget 2022'!DH75</f>
        <v>0</v>
      </c>
      <c r="H92" s="39">
        <f>-'[33]Budget 2022'!DI75</f>
        <v>0</v>
      </c>
      <c r="I92" s="39">
        <f t="shared" si="9"/>
        <v>0</v>
      </c>
      <c r="J92" s="39">
        <f>-'[33]Budget 2022'!DK75</f>
        <v>0</v>
      </c>
      <c r="K92" s="39">
        <f>-'[33]Budget 2022'!DL75</f>
        <v>0</v>
      </c>
      <c r="L92" s="39">
        <f>-'[33]Budget 2022'!DM75</f>
        <v>0</v>
      </c>
      <c r="M92" s="39">
        <f t="shared" si="10"/>
        <v>0</v>
      </c>
      <c r="N92" s="39">
        <f>-'[33]Budget 2022'!DO75</f>
        <v>0</v>
      </c>
      <c r="O92" s="39">
        <f>-'[33]Budget 2022'!DP75</f>
        <v>0</v>
      </c>
      <c r="P92" s="39">
        <f>-'[33]Budget 2022'!DQ75</f>
        <v>0</v>
      </c>
      <c r="Q92" s="39">
        <f t="shared" si="11"/>
        <v>0</v>
      </c>
      <c r="R92" s="39">
        <f t="shared" si="41"/>
        <v>0</v>
      </c>
    </row>
    <row r="93" spans="1:18" s="35" customFormat="1" ht="31.2" collapsed="1">
      <c r="A93" s="31" t="s">
        <v>216</v>
      </c>
      <c r="B93" s="32">
        <f>SUM(B94,B97)</f>
        <v>503125.29000000004</v>
      </c>
      <c r="C93" s="32">
        <f>SUM(C94,C97)</f>
        <v>503125.29000000004</v>
      </c>
      <c r="D93" s="32">
        <f>SUM(D94,D97)</f>
        <v>560674.29</v>
      </c>
      <c r="E93" s="32">
        <f t="shared" si="8"/>
        <v>1566924.87</v>
      </c>
      <c r="F93" s="32">
        <f>SUM(F94,F97)</f>
        <v>428559.38</v>
      </c>
      <c r="G93" s="32">
        <f>SUM(G94,G97)</f>
        <v>418559.35</v>
      </c>
      <c r="H93" s="32">
        <f>SUM(H94,H97)</f>
        <v>466108.35</v>
      </c>
      <c r="I93" s="32">
        <f t="shared" si="9"/>
        <v>1313227.08</v>
      </c>
      <c r="J93" s="32">
        <f>SUM(J94,J97)</f>
        <v>288582.34999999998</v>
      </c>
      <c r="K93" s="32">
        <f>SUM(K94,K97)</f>
        <v>288582.34999999998</v>
      </c>
      <c r="L93" s="32">
        <f>SUM(L94,L97)</f>
        <v>336131.35</v>
      </c>
      <c r="M93" s="32">
        <f t="shared" si="10"/>
        <v>913296.04999999993</v>
      </c>
      <c r="N93" s="32">
        <f>SUM(N94,N97)</f>
        <v>288582.34999999998</v>
      </c>
      <c r="O93" s="32">
        <f>SUM(O94,O97)</f>
        <v>288582.34999999998</v>
      </c>
      <c r="P93" s="32">
        <f>SUM(P94,P97)</f>
        <v>336131.35</v>
      </c>
      <c r="Q93" s="32">
        <f t="shared" si="11"/>
        <v>913296.04999999993</v>
      </c>
      <c r="R93" s="33">
        <f>SUM(R94,R97)</f>
        <v>4706744.05</v>
      </c>
    </row>
    <row r="94" spans="1:18" ht="18" hidden="1" outlineLevel="1">
      <c r="A94" s="36" t="s">
        <v>197</v>
      </c>
      <c r="B94" s="42">
        <f>SUM(B95:B96)</f>
        <v>301941.29000000004</v>
      </c>
      <c r="C94" s="42">
        <f>SUM(C95:C96)</f>
        <v>301941.29000000004</v>
      </c>
      <c r="D94" s="42">
        <f>SUM(D95:D96)</f>
        <v>311941.29000000004</v>
      </c>
      <c r="E94" s="42">
        <f t="shared" si="8"/>
        <v>915823.87000000011</v>
      </c>
      <c r="F94" s="42">
        <f>SUM(F95:F96)</f>
        <v>253457.38</v>
      </c>
      <c r="G94" s="42">
        <f>SUM(G95:G96)</f>
        <v>243457.35</v>
      </c>
      <c r="H94" s="42">
        <f>SUM(H95:H96)</f>
        <v>243457.35</v>
      </c>
      <c r="I94" s="42">
        <f t="shared" si="9"/>
        <v>740372.08</v>
      </c>
      <c r="J94" s="42">
        <f>SUM(J95:J96)</f>
        <v>233457.35</v>
      </c>
      <c r="K94" s="42">
        <f>SUM(K95:K96)</f>
        <v>233457.35</v>
      </c>
      <c r="L94" s="42">
        <f>SUM(L95:L96)</f>
        <v>233457.35</v>
      </c>
      <c r="M94" s="42">
        <f t="shared" si="10"/>
        <v>700372.05</v>
      </c>
      <c r="N94" s="42">
        <f>SUM(N95:N96)</f>
        <v>233457.35</v>
      </c>
      <c r="O94" s="42">
        <f>SUM(O95:O96)</f>
        <v>233457.35</v>
      </c>
      <c r="P94" s="42">
        <f>SUM(P95:P96)</f>
        <v>233457.35</v>
      </c>
      <c r="Q94" s="42">
        <f t="shared" si="11"/>
        <v>700372.05</v>
      </c>
      <c r="R94" s="42">
        <f>SUM(R95:R96)</f>
        <v>3056940.05</v>
      </c>
    </row>
    <row r="95" spans="1:18" ht="18" hidden="1" outlineLevel="1">
      <c r="A95" s="38" t="s">
        <v>198</v>
      </c>
      <c r="B95" s="39">
        <f>-'[33]Budget 2022'!DT7</f>
        <v>281941.30000000005</v>
      </c>
      <c r="C95" s="39">
        <f>-'[33]Budget 2022'!DU7</f>
        <v>281941.30000000005</v>
      </c>
      <c r="D95" s="39">
        <f>-'[33]Budget 2022'!DV7</f>
        <v>281941.30000000005</v>
      </c>
      <c r="E95" s="39">
        <f t="shared" si="8"/>
        <v>845823.90000000014</v>
      </c>
      <c r="F95" s="39">
        <f>-'[33]Budget 2022'!DX7</f>
        <v>223457.35</v>
      </c>
      <c r="G95" s="39">
        <f>-'[33]Budget 2022'!DY7</f>
        <v>223457.35</v>
      </c>
      <c r="H95" s="39">
        <f>-'[33]Budget 2022'!DZ7</f>
        <v>223457.35</v>
      </c>
      <c r="I95" s="39">
        <f t="shared" si="9"/>
        <v>670372.05000000005</v>
      </c>
      <c r="J95" s="39">
        <f>-'[33]Budget 2022'!EB7</f>
        <v>223457.35</v>
      </c>
      <c r="K95" s="39">
        <f>-'[33]Budget 2022'!EC7</f>
        <v>223457.35</v>
      </c>
      <c r="L95" s="39">
        <f>-'[33]Budget 2022'!ED7</f>
        <v>223457.35</v>
      </c>
      <c r="M95" s="39">
        <f t="shared" si="10"/>
        <v>670372.05000000005</v>
      </c>
      <c r="N95" s="39">
        <f>-'[33]Budget 2022'!EF7</f>
        <v>223457.35</v>
      </c>
      <c r="O95" s="39">
        <f>-'[33]Budget 2022'!EG7</f>
        <v>223457.35</v>
      </c>
      <c r="P95" s="39">
        <f>-'[33]Budget 2022'!EH7</f>
        <v>223457.35</v>
      </c>
      <c r="Q95" s="39">
        <f t="shared" si="11"/>
        <v>670372.05000000005</v>
      </c>
      <c r="R95" s="39">
        <f t="shared" ref="R95:R96" si="42">SUM(E95,I95,M95,Q95)</f>
        <v>2856940.05</v>
      </c>
    </row>
    <row r="96" spans="1:18" ht="18" hidden="1" outlineLevel="1">
      <c r="A96" s="38" t="s">
        <v>199</v>
      </c>
      <c r="B96" s="39">
        <f>-'[33]Budget 2022'!DT17</f>
        <v>19999.989999999998</v>
      </c>
      <c r="C96" s="39">
        <f>-'[33]Budget 2022'!DU17</f>
        <v>19999.989999999998</v>
      </c>
      <c r="D96" s="39">
        <f>-'[33]Budget 2022'!DV17</f>
        <v>29999.989999999998</v>
      </c>
      <c r="E96" s="39">
        <f>SUM(B96:D96)</f>
        <v>69999.97</v>
      </c>
      <c r="F96" s="39">
        <f>-'[33]Budget 2022'!DX17</f>
        <v>30000.030000000002</v>
      </c>
      <c r="G96" s="39">
        <f>-'[33]Budget 2022'!DY17</f>
        <v>20000</v>
      </c>
      <c r="H96" s="39">
        <f>-'[33]Budget 2022'!DZ17</f>
        <v>20000</v>
      </c>
      <c r="I96" s="39">
        <f t="shared" si="9"/>
        <v>70000.03</v>
      </c>
      <c r="J96" s="39">
        <f>-'[33]Budget 2022'!EB17</f>
        <v>10000</v>
      </c>
      <c r="K96" s="39">
        <f>-'[33]Budget 2022'!EC17</f>
        <v>10000</v>
      </c>
      <c r="L96" s="39">
        <f>-'[33]Budget 2022'!ED17</f>
        <v>10000</v>
      </c>
      <c r="M96" s="39">
        <f t="shared" si="10"/>
        <v>30000</v>
      </c>
      <c r="N96" s="39">
        <f>-'[33]Budget 2022'!EF17</f>
        <v>10000</v>
      </c>
      <c r="O96" s="39">
        <f>-'[33]Budget 2022'!EG17</f>
        <v>10000</v>
      </c>
      <c r="P96" s="39">
        <f>-'[33]Budget 2022'!EH17</f>
        <v>10000</v>
      </c>
      <c r="Q96" s="39">
        <f t="shared" si="11"/>
        <v>30000</v>
      </c>
      <c r="R96" s="39">
        <f t="shared" si="42"/>
        <v>200000</v>
      </c>
    </row>
    <row r="97" spans="1:19" ht="18" hidden="1" outlineLevel="1">
      <c r="A97" s="36" t="s">
        <v>200</v>
      </c>
      <c r="B97" s="42">
        <f>SUM(B98:B105)</f>
        <v>201184</v>
      </c>
      <c r="C97" s="42">
        <f>SUM(C98:C105)</f>
        <v>201184</v>
      </c>
      <c r="D97" s="42">
        <f>SUM(D98:D105)</f>
        <v>248733</v>
      </c>
      <c r="E97" s="42">
        <f t="shared" ref="E97:E105" si="43">SUM(B97:D97)</f>
        <v>651101</v>
      </c>
      <c r="F97" s="42">
        <f>SUM(F98:F105)</f>
        <v>175102</v>
      </c>
      <c r="G97" s="42">
        <f>SUM(G98:G105)</f>
        <v>175102</v>
      </c>
      <c r="H97" s="42">
        <f>SUM(H98:H105)</f>
        <v>222651</v>
      </c>
      <c r="I97" s="42">
        <f t="shared" si="9"/>
        <v>572855</v>
      </c>
      <c r="J97" s="42">
        <f>SUM(J98:J105)</f>
        <v>55125</v>
      </c>
      <c r="K97" s="42">
        <f>SUM(K98:K105)</f>
        <v>55125</v>
      </c>
      <c r="L97" s="42">
        <f>SUM(L98:L105)</f>
        <v>102674</v>
      </c>
      <c r="M97" s="42">
        <f t="shared" si="10"/>
        <v>212924</v>
      </c>
      <c r="N97" s="42">
        <f>SUM(N98:N105)</f>
        <v>55125</v>
      </c>
      <c r="O97" s="42">
        <f>SUM(O98:O105)</f>
        <v>55125</v>
      </c>
      <c r="P97" s="42">
        <f>SUM(P98:P105)</f>
        <v>102674</v>
      </c>
      <c r="Q97" s="42">
        <f t="shared" si="11"/>
        <v>212924</v>
      </c>
      <c r="R97" s="42">
        <f>SUM(R98:R105)</f>
        <v>1649804</v>
      </c>
    </row>
    <row r="98" spans="1:19" ht="18" hidden="1" outlineLevel="1">
      <c r="A98" s="38" t="s">
        <v>201</v>
      </c>
      <c r="B98" s="39">
        <f>-'[33]Budget 2022'!DT25</f>
        <v>146059</v>
      </c>
      <c r="C98" s="39">
        <f>-'[33]Budget 2022'!DU25</f>
        <v>146059</v>
      </c>
      <c r="D98" s="39">
        <f>-'[33]Budget 2022'!DV25</f>
        <v>193608</v>
      </c>
      <c r="E98" s="39">
        <f t="shared" si="43"/>
        <v>485726</v>
      </c>
      <c r="F98" s="39">
        <f>-'[33]Budget 2022'!DX25</f>
        <v>119977</v>
      </c>
      <c r="G98" s="39">
        <f>-'[33]Budget 2022'!DY25</f>
        <v>119977</v>
      </c>
      <c r="H98" s="39">
        <f>-'[33]Budget 2022'!DZ25</f>
        <v>167526</v>
      </c>
      <c r="I98" s="39">
        <f t="shared" si="9"/>
        <v>407480</v>
      </c>
      <c r="J98" s="39">
        <f>-'[33]Budget 2022'!EB25</f>
        <v>0</v>
      </c>
      <c r="K98" s="39">
        <f>-'[33]Budget 2022'!EC25</f>
        <v>0</v>
      </c>
      <c r="L98" s="39">
        <f>-'[33]Budget 2022'!ED25</f>
        <v>0</v>
      </c>
      <c r="M98" s="39">
        <f t="shared" si="10"/>
        <v>0</v>
      </c>
      <c r="N98" s="39">
        <f>-'[33]Budget 2022'!EF25</f>
        <v>0</v>
      </c>
      <c r="O98" s="39">
        <f>-'[33]Budget 2022'!EG25</f>
        <v>0</v>
      </c>
      <c r="P98" s="39">
        <f>-'[33]Budget 2022'!EH25</f>
        <v>0</v>
      </c>
      <c r="Q98" s="39">
        <f t="shared" si="11"/>
        <v>0</v>
      </c>
      <c r="R98" s="39">
        <f t="shared" ref="R98:R105" si="44">SUM(E98,I98,M98,Q98)</f>
        <v>893206</v>
      </c>
    </row>
    <row r="99" spans="1:19" ht="18" hidden="1" outlineLevel="1">
      <c r="A99" s="38" t="s">
        <v>202</v>
      </c>
      <c r="B99" s="39">
        <f>-'[33]Budget 2022'!DT31</f>
        <v>30000</v>
      </c>
      <c r="C99" s="39">
        <f>-'[33]Budget 2022'!DU31</f>
        <v>30000</v>
      </c>
      <c r="D99" s="39">
        <f>-'[33]Budget 2022'!DV31</f>
        <v>30000</v>
      </c>
      <c r="E99" s="39">
        <f t="shared" si="43"/>
        <v>90000</v>
      </c>
      <c r="F99" s="39">
        <f>-'[33]Budget 2022'!DX31</f>
        <v>30000</v>
      </c>
      <c r="G99" s="39">
        <f>-'[33]Budget 2022'!DY31</f>
        <v>30000</v>
      </c>
      <c r="H99" s="39">
        <f>-'[33]Budget 2022'!DZ31</f>
        <v>30000</v>
      </c>
      <c r="I99" s="39">
        <f t="shared" si="9"/>
        <v>90000</v>
      </c>
      <c r="J99" s="39">
        <f>-'[33]Budget 2022'!EB31</f>
        <v>30000</v>
      </c>
      <c r="K99" s="39">
        <f>-'[33]Budget 2022'!EC31</f>
        <v>30000</v>
      </c>
      <c r="L99" s="39">
        <f>-'[33]Budget 2022'!ED31</f>
        <v>77549</v>
      </c>
      <c r="M99" s="39">
        <f t="shared" si="10"/>
        <v>137549</v>
      </c>
      <c r="N99" s="39">
        <f>-'[33]Budget 2022'!EF31</f>
        <v>30000</v>
      </c>
      <c r="O99" s="39">
        <f>-'[33]Budget 2022'!EG31</f>
        <v>30000</v>
      </c>
      <c r="P99" s="39">
        <f>-'[33]Budget 2022'!EH31</f>
        <v>77549</v>
      </c>
      <c r="Q99" s="39">
        <f t="shared" si="11"/>
        <v>137549</v>
      </c>
      <c r="R99" s="39">
        <f t="shared" si="44"/>
        <v>455098</v>
      </c>
    </row>
    <row r="100" spans="1:19" ht="18" hidden="1" outlineLevel="1">
      <c r="A100" s="38" t="s">
        <v>203</v>
      </c>
      <c r="B100" s="39">
        <f>-'[33]Budget 2022'!DT38</f>
        <v>0</v>
      </c>
      <c r="C100" s="39">
        <f>-'[33]Budget 2022'!DU38</f>
        <v>0</v>
      </c>
      <c r="D100" s="39">
        <f>-'[33]Budget 2022'!DV38</f>
        <v>0</v>
      </c>
      <c r="E100" s="39">
        <f t="shared" si="43"/>
        <v>0</v>
      </c>
      <c r="F100" s="39">
        <f>-'[33]Budget 2022'!DX38</f>
        <v>0</v>
      </c>
      <c r="G100" s="39">
        <f>-'[33]Budget 2022'!DY38</f>
        <v>0</v>
      </c>
      <c r="H100" s="39">
        <f>-'[33]Budget 2022'!DZ38</f>
        <v>0</v>
      </c>
      <c r="I100" s="39">
        <f t="shared" si="9"/>
        <v>0</v>
      </c>
      <c r="J100" s="39">
        <f>-'[33]Budget 2022'!EB38</f>
        <v>0</v>
      </c>
      <c r="K100" s="39">
        <f>-'[33]Budget 2022'!EC38</f>
        <v>0</v>
      </c>
      <c r="L100" s="39">
        <f>-'[33]Budget 2022'!ED38</f>
        <v>0</v>
      </c>
      <c r="M100" s="39">
        <f t="shared" si="10"/>
        <v>0</v>
      </c>
      <c r="N100" s="39">
        <f>-'[33]Budget 2022'!EF38</f>
        <v>0</v>
      </c>
      <c r="O100" s="39">
        <f>-'[33]Budget 2022'!EG38</f>
        <v>0</v>
      </c>
      <c r="P100" s="39">
        <f>-'[33]Budget 2022'!EH38</f>
        <v>0</v>
      </c>
      <c r="Q100" s="39">
        <f t="shared" si="11"/>
        <v>0</v>
      </c>
      <c r="R100" s="39">
        <f t="shared" si="44"/>
        <v>0</v>
      </c>
    </row>
    <row r="101" spans="1:19" ht="18" hidden="1" outlineLevel="1">
      <c r="A101" s="38" t="s">
        <v>204</v>
      </c>
      <c r="B101" s="39">
        <f>-'[33]Budget 2022'!DT49</f>
        <v>0</v>
      </c>
      <c r="C101" s="39">
        <f>-'[33]Budget 2022'!DU49</f>
        <v>0</v>
      </c>
      <c r="D101" s="39">
        <f>-'[33]Budget 2022'!DV49</f>
        <v>0</v>
      </c>
      <c r="E101" s="39">
        <f t="shared" si="43"/>
        <v>0</v>
      </c>
      <c r="F101" s="39">
        <f>-'[33]Budget 2022'!DX49</f>
        <v>0</v>
      </c>
      <c r="G101" s="39">
        <f>-'[33]Budget 2022'!DY49</f>
        <v>0</v>
      </c>
      <c r="H101" s="39">
        <f>-'[33]Budget 2022'!DZ49</f>
        <v>0</v>
      </c>
      <c r="I101" s="39">
        <f t="shared" si="9"/>
        <v>0</v>
      </c>
      <c r="J101" s="39">
        <f>-'[33]Budget 2022'!EB49</f>
        <v>0</v>
      </c>
      <c r="K101" s="39">
        <f>-'[33]Budget 2022'!EC49</f>
        <v>0</v>
      </c>
      <c r="L101" s="39">
        <f>-'[33]Budget 2022'!ED49</f>
        <v>0</v>
      </c>
      <c r="M101" s="39">
        <f t="shared" si="10"/>
        <v>0</v>
      </c>
      <c r="N101" s="39">
        <f>-'[33]Budget 2022'!EF49</f>
        <v>0</v>
      </c>
      <c r="O101" s="39">
        <f>-'[33]Budget 2022'!EG49</f>
        <v>0</v>
      </c>
      <c r="P101" s="39">
        <f>-'[33]Budget 2022'!EH49</f>
        <v>0</v>
      </c>
      <c r="Q101" s="39">
        <f t="shared" si="11"/>
        <v>0</v>
      </c>
      <c r="R101" s="39">
        <f t="shared" si="44"/>
        <v>0</v>
      </c>
    </row>
    <row r="102" spans="1:19" ht="18" hidden="1" outlineLevel="1">
      <c r="A102" s="38" t="s">
        <v>205</v>
      </c>
      <c r="B102" s="39">
        <f>-'[33]Budget 2022'!DT51</f>
        <v>0</v>
      </c>
      <c r="C102" s="39">
        <f>-'[33]Budget 2022'!DU51</f>
        <v>0</v>
      </c>
      <c r="D102" s="39">
        <f>-'[33]Budget 2022'!DV51</f>
        <v>0</v>
      </c>
      <c r="E102" s="39">
        <f t="shared" si="43"/>
        <v>0</v>
      </c>
      <c r="F102" s="39">
        <f>-'[33]Budget 2022'!DX51</f>
        <v>0</v>
      </c>
      <c r="G102" s="39">
        <f>-'[33]Budget 2022'!DY51</f>
        <v>0</v>
      </c>
      <c r="H102" s="39">
        <f>-'[33]Budget 2022'!DZ51</f>
        <v>0</v>
      </c>
      <c r="I102" s="39">
        <f t="shared" si="9"/>
        <v>0</v>
      </c>
      <c r="J102" s="39">
        <f>-'[33]Budget 2022'!EB51</f>
        <v>0</v>
      </c>
      <c r="K102" s="39">
        <f>-'[33]Budget 2022'!EC51</f>
        <v>0</v>
      </c>
      <c r="L102" s="39">
        <f>-'[33]Budget 2022'!ED51</f>
        <v>0</v>
      </c>
      <c r="M102" s="39">
        <f t="shared" si="10"/>
        <v>0</v>
      </c>
      <c r="N102" s="39">
        <f>-'[33]Budget 2022'!EF51</f>
        <v>0</v>
      </c>
      <c r="O102" s="39">
        <f>-'[33]Budget 2022'!EG51</f>
        <v>0</v>
      </c>
      <c r="P102" s="39">
        <f>-'[33]Budget 2022'!EH51</f>
        <v>0</v>
      </c>
      <c r="Q102" s="39">
        <f t="shared" si="11"/>
        <v>0</v>
      </c>
      <c r="R102" s="39">
        <f t="shared" si="44"/>
        <v>0</v>
      </c>
    </row>
    <row r="103" spans="1:19" ht="18" hidden="1" outlineLevel="1">
      <c r="A103" s="38" t="s">
        <v>206</v>
      </c>
      <c r="B103" s="39">
        <f>-'[33]Budget 2022'!DT62</f>
        <v>25125</v>
      </c>
      <c r="C103" s="39">
        <f>-'[33]Budget 2022'!DU62</f>
        <v>25125</v>
      </c>
      <c r="D103" s="39">
        <f>-'[33]Budget 2022'!DV62</f>
        <v>25125</v>
      </c>
      <c r="E103" s="39">
        <f t="shared" si="43"/>
        <v>75375</v>
      </c>
      <c r="F103" s="39">
        <f>-'[33]Budget 2022'!DX62</f>
        <v>25125</v>
      </c>
      <c r="G103" s="39">
        <f>-'[33]Budget 2022'!DY62</f>
        <v>25125</v>
      </c>
      <c r="H103" s="39">
        <f>-'[33]Budget 2022'!DZ62</f>
        <v>25125</v>
      </c>
      <c r="I103" s="39">
        <f t="shared" si="9"/>
        <v>75375</v>
      </c>
      <c r="J103" s="39">
        <f>-'[33]Budget 2022'!EB62</f>
        <v>25125</v>
      </c>
      <c r="K103" s="39">
        <f>-'[33]Budget 2022'!EC62</f>
        <v>25125</v>
      </c>
      <c r="L103" s="39">
        <f>-'[33]Budget 2022'!ED62</f>
        <v>25125</v>
      </c>
      <c r="M103" s="39">
        <f t="shared" si="10"/>
        <v>75375</v>
      </c>
      <c r="N103" s="39">
        <f>-'[33]Budget 2022'!EF62</f>
        <v>25125</v>
      </c>
      <c r="O103" s="39">
        <f>-'[33]Budget 2022'!EG62</f>
        <v>25125</v>
      </c>
      <c r="P103" s="39">
        <f>-'[33]Budget 2022'!EH62</f>
        <v>25125</v>
      </c>
      <c r="Q103" s="39">
        <f t="shared" si="11"/>
        <v>75375</v>
      </c>
      <c r="R103" s="39">
        <f t="shared" si="44"/>
        <v>301500</v>
      </c>
    </row>
    <row r="104" spans="1:19" ht="18" hidden="1" outlineLevel="1">
      <c r="A104" s="38" t="s">
        <v>207</v>
      </c>
      <c r="B104" s="39">
        <f>-'[33]Budget 2022'!DT64</f>
        <v>0</v>
      </c>
      <c r="C104" s="39">
        <f>-'[33]Budget 2022'!DU64</f>
        <v>0</v>
      </c>
      <c r="D104" s="39">
        <f>-'[33]Budget 2022'!DV64</f>
        <v>0</v>
      </c>
      <c r="E104" s="39">
        <f t="shared" si="43"/>
        <v>0</v>
      </c>
      <c r="F104" s="39">
        <f>-'[33]Budget 2022'!DX64</f>
        <v>0</v>
      </c>
      <c r="G104" s="39">
        <f>-'[33]Budget 2022'!DY64</f>
        <v>0</v>
      </c>
      <c r="H104" s="39">
        <f>-'[33]Budget 2022'!DZ64</f>
        <v>0</v>
      </c>
      <c r="I104" s="39">
        <f t="shared" si="9"/>
        <v>0</v>
      </c>
      <c r="J104" s="39">
        <f>-'[33]Budget 2022'!EB64</f>
        <v>0</v>
      </c>
      <c r="K104" s="39">
        <f>-'[33]Budget 2022'!EC64</f>
        <v>0</v>
      </c>
      <c r="L104" s="39">
        <f>-'[33]Budget 2022'!ED64</f>
        <v>0</v>
      </c>
      <c r="M104" s="39">
        <f t="shared" si="10"/>
        <v>0</v>
      </c>
      <c r="N104" s="39">
        <f>-'[33]Budget 2022'!EF64</f>
        <v>0</v>
      </c>
      <c r="O104" s="39">
        <f>-'[33]Budget 2022'!EG64</f>
        <v>0</v>
      </c>
      <c r="P104" s="39">
        <f>-'[33]Budget 2022'!EH64</f>
        <v>0</v>
      </c>
      <c r="Q104" s="39">
        <f t="shared" si="11"/>
        <v>0</v>
      </c>
      <c r="R104" s="39">
        <f t="shared" si="44"/>
        <v>0</v>
      </c>
    </row>
    <row r="105" spans="1:19" ht="18" hidden="1" outlineLevel="1">
      <c r="A105" s="38" t="s">
        <v>208</v>
      </c>
      <c r="B105" s="39">
        <f>-'[33]Budget 2022'!DT75</f>
        <v>0</v>
      </c>
      <c r="C105" s="39">
        <f>-'[33]Budget 2022'!DU75</f>
        <v>0</v>
      </c>
      <c r="D105" s="39">
        <f>-'[33]Budget 2022'!DV75</f>
        <v>0</v>
      </c>
      <c r="E105" s="39">
        <f t="shared" si="43"/>
        <v>0</v>
      </c>
      <c r="F105" s="39">
        <f>-'[33]Budget 2022'!DX75</f>
        <v>0</v>
      </c>
      <c r="G105" s="39">
        <f>-'[33]Budget 2022'!DY75</f>
        <v>0</v>
      </c>
      <c r="H105" s="39">
        <f>-'[33]Budget 2022'!DZ75</f>
        <v>0</v>
      </c>
      <c r="I105" s="39">
        <f t="shared" si="9"/>
        <v>0</v>
      </c>
      <c r="J105" s="39">
        <f>-'[33]Budget 2022'!EB75</f>
        <v>0</v>
      </c>
      <c r="K105" s="39">
        <f>-'[33]Budget 2022'!EC75</f>
        <v>0</v>
      </c>
      <c r="L105" s="39">
        <f>-'[33]Budget 2022'!ED75</f>
        <v>0</v>
      </c>
      <c r="M105" s="39">
        <f t="shared" si="10"/>
        <v>0</v>
      </c>
      <c r="N105" s="39">
        <f>-'[33]Budget 2022'!EF75</f>
        <v>0</v>
      </c>
      <c r="O105" s="39">
        <f>-'[33]Budget 2022'!EG75</f>
        <v>0</v>
      </c>
      <c r="P105" s="39">
        <f>-'[33]Budget 2022'!EH75</f>
        <v>0</v>
      </c>
      <c r="Q105" s="39">
        <f t="shared" si="11"/>
        <v>0</v>
      </c>
      <c r="R105" s="39">
        <f t="shared" si="44"/>
        <v>0</v>
      </c>
    </row>
    <row r="106" spans="1:19" s="35" customFormat="1" ht="31.8" collapsed="1" thickBot="1">
      <c r="A106" s="31" t="s">
        <v>217</v>
      </c>
      <c r="B106" s="32">
        <f>SUM(B107,B110)</f>
        <v>1009808.49</v>
      </c>
      <c r="C106" s="32">
        <f>SUM(C107,C110)</f>
        <v>1868999.61</v>
      </c>
      <c r="D106" s="32">
        <f>SUM(D107,D110)</f>
        <v>1517970.35</v>
      </c>
      <c r="E106" s="32">
        <f t="shared" si="8"/>
        <v>4396778.45</v>
      </c>
      <c r="F106" s="32">
        <f>SUM(F107,F110)</f>
        <v>1508038.33</v>
      </c>
      <c r="G106" s="32">
        <f>SUM(G107,G110)</f>
        <v>1508038.33</v>
      </c>
      <c r="H106" s="32">
        <f>SUM(H107,H110)</f>
        <v>1508038.33</v>
      </c>
      <c r="I106" s="32">
        <f t="shared" si="9"/>
        <v>4524114.99</v>
      </c>
      <c r="J106" s="32">
        <f>SUM(J107,J110)</f>
        <v>1405675.6600000001</v>
      </c>
      <c r="K106" s="32">
        <f>SUM(K107,K110)</f>
        <v>1405675.6600000001</v>
      </c>
      <c r="L106" s="32">
        <f>SUM(L107,L110)</f>
        <v>977357.49</v>
      </c>
      <c r="M106" s="32">
        <f t="shared" si="10"/>
        <v>3788708.8100000005</v>
      </c>
      <c r="N106" s="32">
        <f>SUM(N107,N110)</f>
        <v>978350.69000000006</v>
      </c>
      <c r="O106" s="32">
        <f>SUM(O107,O110)</f>
        <v>616008.9</v>
      </c>
      <c r="P106" s="32">
        <f>SUM(P107,P110)</f>
        <v>616008.9</v>
      </c>
      <c r="Q106" s="32">
        <f t="shared" si="11"/>
        <v>2210368.4900000002</v>
      </c>
      <c r="R106" s="33">
        <f>SUM(R107,R110)</f>
        <v>14919970.74</v>
      </c>
      <c r="S106" s="34">
        <f>R106+'[33]Budget 2022'!DB5</f>
        <v>0</v>
      </c>
    </row>
    <row r="107" spans="1:19" ht="18.600000000000001" hidden="1" outlineLevel="1" thickBot="1">
      <c r="A107" s="36" t="s">
        <v>197</v>
      </c>
      <c r="B107" s="42">
        <f>SUM(B108:B109)</f>
        <v>521016.98</v>
      </c>
      <c r="C107" s="42">
        <f t="shared" ref="C107:D107" si="45">SUM(C108:C109)</f>
        <v>1380208.1</v>
      </c>
      <c r="D107" s="42">
        <f t="shared" si="45"/>
        <v>1029178.8400000001</v>
      </c>
      <c r="E107" s="42">
        <f t="shared" si="8"/>
        <v>2930403.92</v>
      </c>
      <c r="F107" s="42">
        <f>SUM(F108:F109)</f>
        <v>1029178.8400000001</v>
      </c>
      <c r="G107" s="42">
        <f>SUM(G108:G109)</f>
        <v>1029178.8400000001</v>
      </c>
      <c r="H107" s="42">
        <f>SUM(H108:H109)</f>
        <v>1029178.8400000001</v>
      </c>
      <c r="I107" s="42">
        <f t="shared" si="9"/>
        <v>3087536.5200000005</v>
      </c>
      <c r="J107" s="42">
        <f>SUM(J108:J109)</f>
        <v>971242.08000000007</v>
      </c>
      <c r="K107" s="42">
        <f>SUM(K108:K109)</f>
        <v>971242.08000000007</v>
      </c>
      <c r="L107" s="42">
        <f>SUM(L108:L109)</f>
        <v>542923.91</v>
      </c>
      <c r="M107" s="42">
        <f t="shared" si="10"/>
        <v>2485408.0700000003</v>
      </c>
      <c r="N107" s="42">
        <f>SUM(N108:N109)</f>
        <v>542923.91</v>
      </c>
      <c r="O107" s="42">
        <f>SUM(O108:O109)</f>
        <v>180582.12</v>
      </c>
      <c r="P107" s="42">
        <f>SUM(P108:P109)</f>
        <v>180582.12</v>
      </c>
      <c r="Q107" s="42">
        <f t="shared" si="11"/>
        <v>904088.15</v>
      </c>
      <c r="R107" s="42">
        <f>SUM(R108:R109)</f>
        <v>9407436.6600000001</v>
      </c>
    </row>
    <row r="108" spans="1:19" ht="18.600000000000001" hidden="1" outlineLevel="1" thickBot="1">
      <c r="A108" s="38" t="s">
        <v>198</v>
      </c>
      <c r="B108" s="39">
        <f>-'[33]Budget 2022'!CL7</f>
        <v>92698.81</v>
      </c>
      <c r="C108" s="39">
        <f>-'[33]Budget 2022'!CM7</f>
        <v>771307.81</v>
      </c>
      <c r="D108" s="39">
        <f>-'[33]Budget 2022'!CN7</f>
        <v>420278.55000000005</v>
      </c>
      <c r="E108" s="39">
        <f t="shared" si="8"/>
        <v>1284285.1700000002</v>
      </c>
      <c r="F108" s="39">
        <f>-'[33]Budget 2022'!CP7</f>
        <v>420278.55000000005</v>
      </c>
      <c r="G108" s="39">
        <f>-'[33]Budget 2022'!CQ7</f>
        <v>420278.55000000005</v>
      </c>
      <c r="H108" s="39">
        <f>-'[33]Budget 2022'!CR7</f>
        <v>420278.55000000005</v>
      </c>
      <c r="I108" s="39">
        <f t="shared" si="9"/>
        <v>1260835.6500000001</v>
      </c>
      <c r="J108" s="39">
        <f>-'[33]Budget 2022'!CT7</f>
        <v>362341.79000000004</v>
      </c>
      <c r="K108" s="39">
        <f>-'[33]Budget 2022'!CU7</f>
        <v>362341.79000000004</v>
      </c>
      <c r="L108" s="39">
        <f>-'[33]Budget 2022'!CV7</f>
        <v>362341.79000000004</v>
      </c>
      <c r="M108" s="39">
        <f t="shared" si="10"/>
        <v>1087025.3700000001</v>
      </c>
      <c r="N108" s="39">
        <f>-'[33]Budget 2022'!CX7</f>
        <v>362341.79000000004</v>
      </c>
      <c r="O108" s="39">
        <f>-'[33]Budget 2022'!CY7</f>
        <v>0</v>
      </c>
      <c r="P108" s="39">
        <f>-'[33]Budget 2022'!CZ7</f>
        <v>0</v>
      </c>
      <c r="Q108" s="39">
        <f t="shared" si="11"/>
        <v>362341.79000000004</v>
      </c>
      <c r="R108" s="39">
        <f>SUM(E108,I108,M108,Q108)</f>
        <v>3994487.9800000004</v>
      </c>
    </row>
    <row r="109" spans="1:19" ht="18.600000000000001" hidden="1" outlineLevel="1" thickBot="1">
      <c r="A109" s="38" t="s">
        <v>199</v>
      </c>
      <c r="B109" s="39">
        <f>-'[33]Budget 2022'!CL17</f>
        <v>428318.17</v>
      </c>
      <c r="C109" s="39">
        <f>-'[33]Budget 2022'!CM17</f>
        <v>608900.29</v>
      </c>
      <c r="D109" s="39">
        <f>-'[33]Budget 2022'!CN17</f>
        <v>608900.29</v>
      </c>
      <c r="E109" s="39">
        <f t="shared" si="8"/>
        <v>1646118.75</v>
      </c>
      <c r="F109" s="39">
        <f>-'[33]Budget 2022'!CP17</f>
        <v>608900.29</v>
      </c>
      <c r="G109" s="39">
        <f>-'[33]Budget 2022'!CQ17</f>
        <v>608900.29</v>
      </c>
      <c r="H109" s="39">
        <f>-'[33]Budget 2022'!CR17</f>
        <v>608900.29</v>
      </c>
      <c r="I109" s="39">
        <f t="shared" si="9"/>
        <v>1826700.87</v>
      </c>
      <c r="J109" s="39">
        <f>-'[33]Budget 2022'!CT17</f>
        <v>608900.29</v>
      </c>
      <c r="K109" s="39">
        <f>-'[33]Budget 2022'!CU17</f>
        <v>608900.29</v>
      </c>
      <c r="L109" s="39">
        <f>-'[33]Budget 2022'!CV17</f>
        <v>180582.12</v>
      </c>
      <c r="M109" s="39">
        <f t="shared" si="10"/>
        <v>1398382.7000000002</v>
      </c>
      <c r="N109" s="39">
        <f>-'[33]Budget 2022'!CX17</f>
        <v>180582.12</v>
      </c>
      <c r="O109" s="39">
        <f>-'[33]Budget 2022'!CY17</f>
        <v>180582.12</v>
      </c>
      <c r="P109" s="39">
        <f>-'[33]Budget 2022'!CZ17</f>
        <v>180582.12</v>
      </c>
      <c r="Q109" s="39">
        <f t="shared" si="11"/>
        <v>541746.36</v>
      </c>
      <c r="R109" s="39">
        <f>SUM(E109,I109,M109,Q109)</f>
        <v>5412948.6800000006</v>
      </c>
    </row>
    <row r="110" spans="1:19" ht="18.600000000000001" hidden="1" outlineLevel="1" thickBot="1">
      <c r="A110" s="36" t="s">
        <v>200</v>
      </c>
      <c r="B110" s="42">
        <f>SUM(B111:B118)</f>
        <v>488791.51</v>
      </c>
      <c r="C110" s="42">
        <f>SUM(C111:C118)</f>
        <v>488791.51</v>
      </c>
      <c r="D110" s="42">
        <f>SUM(D111:D118)</f>
        <v>488791.51</v>
      </c>
      <c r="E110" s="42">
        <f t="shared" si="8"/>
        <v>1466374.53</v>
      </c>
      <c r="F110" s="42">
        <f>SUM(F111:F118)</f>
        <v>478859.49</v>
      </c>
      <c r="G110" s="42">
        <f>SUM(G111:G118)</f>
        <v>478859.49</v>
      </c>
      <c r="H110" s="42">
        <f>SUM(H111:H118)</f>
        <v>478859.49</v>
      </c>
      <c r="I110" s="42">
        <f t="shared" si="9"/>
        <v>1436578.47</v>
      </c>
      <c r="J110" s="42">
        <f>SUM(J111:J118)</f>
        <v>434433.57999999996</v>
      </c>
      <c r="K110" s="42">
        <f>SUM(K111:K118)</f>
        <v>434433.57999999996</v>
      </c>
      <c r="L110" s="42">
        <f>SUM(L111:L118)</f>
        <v>434433.57999999996</v>
      </c>
      <c r="M110" s="42">
        <f t="shared" si="10"/>
        <v>1303300.7399999998</v>
      </c>
      <c r="N110" s="42">
        <f>SUM(N111:N118)</f>
        <v>435426.78</v>
      </c>
      <c r="O110" s="42">
        <f>SUM(O111:O118)</f>
        <v>435426.78</v>
      </c>
      <c r="P110" s="42">
        <f>SUM(P111:P118)</f>
        <v>435426.78</v>
      </c>
      <c r="Q110" s="42">
        <f t="shared" si="11"/>
        <v>1306280.3400000001</v>
      </c>
      <c r="R110" s="42">
        <f>SUM(R111:R118)</f>
        <v>5512534.0800000001</v>
      </c>
    </row>
    <row r="111" spans="1:19" ht="18.600000000000001" hidden="1" outlineLevel="1" thickBot="1">
      <c r="A111" s="38" t="s">
        <v>201</v>
      </c>
      <c r="B111" s="39">
        <f>-'[33]Budget 2022'!CL25</f>
        <v>97282.420000000013</v>
      </c>
      <c r="C111" s="39">
        <f>-'[33]Budget 2022'!CM25</f>
        <v>97282.420000000013</v>
      </c>
      <c r="D111" s="39">
        <f>-'[33]Budget 2022'!CN25</f>
        <v>97282.420000000013</v>
      </c>
      <c r="E111" s="39">
        <f t="shared" si="8"/>
        <v>291847.26</v>
      </c>
      <c r="F111" s="39">
        <f>-'[33]Budget 2022'!CP25</f>
        <v>87350.399999999994</v>
      </c>
      <c r="G111" s="39">
        <f>-'[33]Budget 2022'!CQ25</f>
        <v>87350.399999999994</v>
      </c>
      <c r="H111" s="39">
        <f>-'[33]Budget 2022'!CR25</f>
        <v>87350.399999999994</v>
      </c>
      <c r="I111" s="39">
        <f t="shared" si="9"/>
        <v>262051.19999999998</v>
      </c>
      <c r="J111" s="39">
        <f>-'[33]Budget 2022'!CT25</f>
        <v>42924.490000000005</v>
      </c>
      <c r="K111" s="39">
        <f>-'[33]Budget 2022'!CU25</f>
        <v>42924.490000000005</v>
      </c>
      <c r="L111" s="39">
        <f>-'[33]Budget 2022'!CV25</f>
        <v>42924.490000000005</v>
      </c>
      <c r="M111" s="39">
        <f t="shared" si="10"/>
        <v>128773.47000000002</v>
      </c>
      <c r="N111" s="39">
        <f>-'[33]Budget 2022'!CX25</f>
        <v>22347.040000000001</v>
      </c>
      <c r="O111" s="39">
        <f>-'[33]Budget 2022'!CY25</f>
        <v>22347.040000000001</v>
      </c>
      <c r="P111" s="39">
        <f>-'[33]Budget 2022'!CZ25</f>
        <v>22347.040000000001</v>
      </c>
      <c r="Q111" s="39">
        <f t="shared" si="11"/>
        <v>67041.119999999995</v>
      </c>
      <c r="R111" s="39">
        <f>SUM(E111,I111,M111,Q111)</f>
        <v>749713.04999999993</v>
      </c>
    </row>
    <row r="112" spans="1:19" ht="18.600000000000001" hidden="1" outlineLevel="1" thickBot="1">
      <c r="A112" s="38" t="s">
        <v>202</v>
      </c>
      <c r="B112" s="39">
        <f>-'[33]Budget 2022'!CL31</f>
        <v>184592.09999999998</v>
      </c>
      <c r="C112" s="39">
        <f>-'[33]Budget 2022'!CM31</f>
        <v>184592.09999999998</v>
      </c>
      <c r="D112" s="39">
        <f>-'[33]Budget 2022'!CN31</f>
        <v>184592.09999999998</v>
      </c>
      <c r="E112" s="39">
        <f t="shared" si="8"/>
        <v>553776.29999999993</v>
      </c>
      <c r="F112" s="39">
        <f>-'[33]Budget 2022'!CP31</f>
        <v>184592.09999999998</v>
      </c>
      <c r="G112" s="39">
        <f>-'[33]Budget 2022'!CQ31</f>
        <v>184592.09999999998</v>
      </c>
      <c r="H112" s="39">
        <f>-'[33]Budget 2022'!CR31</f>
        <v>184592.09999999998</v>
      </c>
      <c r="I112" s="39">
        <f t="shared" si="9"/>
        <v>553776.29999999993</v>
      </c>
      <c r="J112" s="39">
        <f>-'[33]Budget 2022'!CT31</f>
        <v>184592.09999999998</v>
      </c>
      <c r="K112" s="39">
        <f>-'[33]Budget 2022'!CU31</f>
        <v>184592.09999999998</v>
      </c>
      <c r="L112" s="39">
        <f>-'[33]Budget 2022'!CV31</f>
        <v>184592.09999999998</v>
      </c>
      <c r="M112" s="39">
        <f t="shared" si="10"/>
        <v>553776.29999999993</v>
      </c>
      <c r="N112" s="39">
        <f>-'[33]Budget 2022'!CX31</f>
        <v>206162.75</v>
      </c>
      <c r="O112" s="39">
        <f>-'[33]Budget 2022'!CY31</f>
        <v>206162.75</v>
      </c>
      <c r="P112" s="39">
        <f>-'[33]Budget 2022'!CZ31</f>
        <v>206162.75</v>
      </c>
      <c r="Q112" s="39">
        <f t="shared" si="11"/>
        <v>618488.25</v>
      </c>
      <c r="R112" s="39">
        <f t="shared" ref="R112:R113" si="46">SUM(E112,I112,M112,Q112)</f>
        <v>2279817.15</v>
      </c>
    </row>
    <row r="113" spans="1:28" ht="18.600000000000001" hidden="1" outlineLevel="1" thickBot="1">
      <c r="A113" s="38" t="s">
        <v>203</v>
      </c>
      <c r="B113" s="39">
        <f>-'[33]Budget 2022'!CL38</f>
        <v>0</v>
      </c>
      <c r="C113" s="39">
        <f>-'[33]Budget 2022'!CM38</f>
        <v>0</v>
      </c>
      <c r="D113" s="39">
        <f>-'[33]Budget 2022'!CN38</f>
        <v>0</v>
      </c>
      <c r="E113" s="39">
        <f t="shared" si="8"/>
        <v>0</v>
      </c>
      <c r="F113" s="39">
        <f>-'[33]Budget 2022'!CP38</f>
        <v>0</v>
      </c>
      <c r="G113" s="39">
        <f>-'[33]Budget 2022'!CQ38</f>
        <v>0</v>
      </c>
      <c r="H113" s="39">
        <f>-'[33]Budget 2022'!CR38</f>
        <v>0</v>
      </c>
      <c r="I113" s="39">
        <f t="shared" si="9"/>
        <v>0</v>
      </c>
      <c r="J113" s="39">
        <f>-'[33]Budget 2022'!CT38</f>
        <v>0</v>
      </c>
      <c r="K113" s="39">
        <f>-'[33]Budget 2022'!CU38</f>
        <v>0</v>
      </c>
      <c r="L113" s="39">
        <f>-'[33]Budget 2022'!CV38</f>
        <v>0</v>
      </c>
      <c r="M113" s="39">
        <f t="shared" si="10"/>
        <v>0</v>
      </c>
      <c r="N113" s="39">
        <f>-'[33]Budget 2022'!CX38</f>
        <v>0</v>
      </c>
      <c r="O113" s="39">
        <f>-'[33]Budget 2022'!CY38</f>
        <v>0</v>
      </c>
      <c r="P113" s="39">
        <f>-'[33]Budget 2022'!CZ38</f>
        <v>0</v>
      </c>
      <c r="Q113" s="39">
        <f t="shared" si="11"/>
        <v>0</v>
      </c>
      <c r="R113" s="39">
        <f t="shared" si="46"/>
        <v>0</v>
      </c>
    </row>
    <row r="114" spans="1:28" ht="18.600000000000001" hidden="1" outlineLevel="1" thickBot="1">
      <c r="A114" s="38" t="s">
        <v>204</v>
      </c>
      <c r="B114" s="39">
        <f>-'[33]Budget 2022'!CL49</f>
        <v>20691.7</v>
      </c>
      <c r="C114" s="39">
        <f>-'[33]Budget 2022'!CM49</f>
        <v>20691.7</v>
      </c>
      <c r="D114" s="39">
        <f>-'[33]Budget 2022'!CN49</f>
        <v>20691.7</v>
      </c>
      <c r="E114" s="39">
        <f t="shared" si="8"/>
        <v>62075.100000000006</v>
      </c>
      <c r="F114" s="39">
        <f>-'[33]Budget 2022'!CP49</f>
        <v>20691.7</v>
      </c>
      <c r="G114" s="39">
        <f>-'[33]Budget 2022'!CQ49</f>
        <v>20691.7</v>
      </c>
      <c r="H114" s="39">
        <f>-'[33]Budget 2022'!CR49</f>
        <v>20691.7</v>
      </c>
      <c r="I114" s="39">
        <f t="shared" si="9"/>
        <v>62075.100000000006</v>
      </c>
      <c r="J114" s="39">
        <f>-'[33]Budget 2022'!CT49</f>
        <v>20691.7</v>
      </c>
      <c r="K114" s="39">
        <f>-'[33]Budget 2022'!CU49</f>
        <v>20691.7</v>
      </c>
      <c r="L114" s="39">
        <f>-'[33]Budget 2022'!CV49</f>
        <v>20691.7</v>
      </c>
      <c r="M114" s="39">
        <f t="shared" si="10"/>
        <v>62075.100000000006</v>
      </c>
      <c r="N114" s="39">
        <f>-'[33]Budget 2022'!CX49</f>
        <v>20691.7</v>
      </c>
      <c r="O114" s="39">
        <f>-'[33]Budget 2022'!CY49</f>
        <v>20691.7</v>
      </c>
      <c r="P114" s="39">
        <f>-'[33]Budget 2022'!CZ49</f>
        <v>20691.7</v>
      </c>
      <c r="Q114" s="39">
        <f t="shared" si="11"/>
        <v>62075.100000000006</v>
      </c>
      <c r="R114" s="39">
        <f>SUM(E114,I114,M114,Q114)</f>
        <v>248300.40000000002</v>
      </c>
    </row>
    <row r="115" spans="1:28" ht="18.600000000000001" hidden="1" outlineLevel="1" thickBot="1">
      <c r="A115" s="38" t="s">
        <v>205</v>
      </c>
      <c r="B115" s="39">
        <f>-'[33]Budget 2022'!CL51</f>
        <v>0</v>
      </c>
      <c r="C115" s="39">
        <f>-'[33]Budget 2022'!CM51</f>
        <v>0</v>
      </c>
      <c r="D115" s="39">
        <f>-'[33]Budget 2022'!CN51</f>
        <v>0</v>
      </c>
      <c r="E115" s="39">
        <f t="shared" si="8"/>
        <v>0</v>
      </c>
      <c r="F115" s="39">
        <f>-'[33]Budget 2022'!CP51</f>
        <v>0</v>
      </c>
      <c r="G115" s="39">
        <f>-'[33]Budget 2022'!CQ51</f>
        <v>0</v>
      </c>
      <c r="H115" s="39">
        <f>-'[33]Budget 2022'!CR51</f>
        <v>0</v>
      </c>
      <c r="I115" s="39">
        <f t="shared" si="9"/>
        <v>0</v>
      </c>
      <c r="J115" s="39">
        <f>-'[33]Budget 2022'!CT51</f>
        <v>0</v>
      </c>
      <c r="K115" s="39">
        <f>-'[33]Budget 2022'!CU51</f>
        <v>0</v>
      </c>
      <c r="L115" s="39">
        <f>-'[33]Budget 2022'!CV51</f>
        <v>0</v>
      </c>
      <c r="M115" s="39">
        <f t="shared" si="10"/>
        <v>0</v>
      </c>
      <c r="N115" s="39">
        <f>-'[33]Budget 2022'!CX51</f>
        <v>0</v>
      </c>
      <c r="O115" s="39">
        <f>-'[33]Budget 2022'!CY51</f>
        <v>0</v>
      </c>
      <c r="P115" s="39">
        <f>-'[33]Budget 2022'!CZ51</f>
        <v>0</v>
      </c>
      <c r="Q115" s="39">
        <f t="shared" si="11"/>
        <v>0</v>
      </c>
      <c r="R115" s="39">
        <f>SUM(E115,I115,M115,Q115)</f>
        <v>0</v>
      </c>
    </row>
    <row r="116" spans="1:28" ht="18.600000000000001" hidden="1" outlineLevel="1" thickBot="1">
      <c r="A116" s="38" t="s">
        <v>206</v>
      </c>
      <c r="B116" s="39">
        <f>-'[33]Budget 2022'!CL62</f>
        <v>20691.7</v>
      </c>
      <c r="C116" s="39">
        <f>-'[33]Budget 2022'!CM62</f>
        <v>20691.7</v>
      </c>
      <c r="D116" s="39">
        <f>-'[33]Budget 2022'!CN62</f>
        <v>20691.7</v>
      </c>
      <c r="E116" s="39">
        <f t="shared" si="8"/>
        <v>62075.100000000006</v>
      </c>
      <c r="F116" s="39">
        <f>-'[33]Budget 2022'!CP62</f>
        <v>20691.7</v>
      </c>
      <c r="G116" s="39">
        <f>-'[33]Budget 2022'!CQ62</f>
        <v>20691.7</v>
      </c>
      <c r="H116" s="39">
        <f>-'[33]Budget 2022'!CR62</f>
        <v>20691.7</v>
      </c>
      <c r="I116" s="39">
        <f t="shared" si="9"/>
        <v>62075.100000000006</v>
      </c>
      <c r="J116" s="39">
        <f>-'[33]Budget 2022'!CT62</f>
        <v>20691.7</v>
      </c>
      <c r="K116" s="39">
        <f>-'[33]Budget 2022'!CU62</f>
        <v>20691.7</v>
      </c>
      <c r="L116" s="39">
        <f>-'[33]Budget 2022'!CV62</f>
        <v>20691.7</v>
      </c>
      <c r="M116" s="39">
        <f t="shared" si="10"/>
        <v>62075.100000000006</v>
      </c>
      <c r="N116" s="39">
        <f>-'[33]Budget 2022'!CX62</f>
        <v>20691.7</v>
      </c>
      <c r="O116" s="39">
        <f>-'[33]Budget 2022'!CY62</f>
        <v>20691.7</v>
      </c>
      <c r="P116" s="39">
        <f>-'[33]Budget 2022'!CZ62</f>
        <v>20691.7</v>
      </c>
      <c r="Q116" s="39">
        <f t="shared" si="11"/>
        <v>62075.100000000006</v>
      </c>
      <c r="R116" s="39">
        <f>SUM(E116,I116,M116,Q116)</f>
        <v>248300.40000000002</v>
      </c>
    </row>
    <row r="117" spans="1:28" ht="18.600000000000001" hidden="1" outlineLevel="1" thickBot="1">
      <c r="A117" s="38" t="s">
        <v>207</v>
      </c>
      <c r="B117" s="39">
        <f>-'[33]Budget 2022'!CL64</f>
        <v>0</v>
      </c>
      <c r="C117" s="39">
        <f>-'[33]Budget 2022'!CM64</f>
        <v>0</v>
      </c>
      <c r="D117" s="39">
        <f>-'[33]Budget 2022'!CN64</f>
        <v>0</v>
      </c>
      <c r="E117" s="39">
        <f t="shared" si="8"/>
        <v>0</v>
      </c>
      <c r="F117" s="39">
        <f>-'[33]Budget 2022'!CP64</f>
        <v>0</v>
      </c>
      <c r="G117" s="39">
        <f>-'[33]Budget 2022'!CQ64</f>
        <v>0</v>
      </c>
      <c r="H117" s="39">
        <f>-'[33]Budget 2022'!CR64</f>
        <v>0</v>
      </c>
      <c r="I117" s="39">
        <f t="shared" si="9"/>
        <v>0</v>
      </c>
      <c r="J117" s="39">
        <f>-'[33]Budget 2022'!CT64</f>
        <v>0</v>
      </c>
      <c r="K117" s="39">
        <f>-'[33]Budget 2022'!CU64</f>
        <v>0</v>
      </c>
      <c r="L117" s="39">
        <f>-'[33]Budget 2022'!CV64</f>
        <v>0</v>
      </c>
      <c r="M117" s="39">
        <f t="shared" si="10"/>
        <v>0</v>
      </c>
      <c r="N117" s="39">
        <f>-'[33]Budget 2022'!CX64</f>
        <v>0</v>
      </c>
      <c r="O117" s="39">
        <f>-'[33]Budget 2022'!CY64</f>
        <v>0</v>
      </c>
      <c r="P117" s="39">
        <f>-'[33]Budget 2022'!CZ64</f>
        <v>0</v>
      </c>
      <c r="Q117" s="39">
        <f t="shared" si="11"/>
        <v>0</v>
      </c>
      <c r="R117" s="39">
        <f>SUM(E117,I117,M117,Q117)</f>
        <v>0</v>
      </c>
    </row>
    <row r="118" spans="1:28" ht="18.600000000000001" hidden="1" outlineLevel="1" thickBot="1">
      <c r="A118" s="38" t="s">
        <v>208</v>
      </c>
      <c r="B118" s="39">
        <f>-'[33]Budget 2022'!CL75</f>
        <v>165533.59</v>
      </c>
      <c r="C118" s="39">
        <f>-'[33]Budget 2022'!CM75</f>
        <v>165533.59</v>
      </c>
      <c r="D118" s="39">
        <f>-'[33]Budget 2022'!CN75</f>
        <v>165533.59</v>
      </c>
      <c r="E118" s="39">
        <f>SUM(B118:D118)</f>
        <v>496600.77</v>
      </c>
      <c r="F118" s="39">
        <f>-'[33]Budget 2022'!CP75</f>
        <v>165533.59</v>
      </c>
      <c r="G118" s="39">
        <f>-'[33]Budget 2022'!CQ75</f>
        <v>165533.59</v>
      </c>
      <c r="H118" s="39">
        <f>-'[33]Budget 2022'!CR75</f>
        <v>165533.59</v>
      </c>
      <c r="I118" s="39">
        <f t="shared" si="9"/>
        <v>496600.77</v>
      </c>
      <c r="J118" s="39">
        <f>-'[33]Budget 2022'!CT75</f>
        <v>165533.59</v>
      </c>
      <c r="K118" s="39">
        <f>-'[33]Budget 2022'!CU75</f>
        <v>165533.59</v>
      </c>
      <c r="L118" s="39">
        <f>-'[33]Budget 2022'!CV75</f>
        <v>165533.59</v>
      </c>
      <c r="M118" s="39">
        <f t="shared" si="10"/>
        <v>496600.77</v>
      </c>
      <c r="N118" s="39">
        <f>-'[33]Budget 2022'!CX75</f>
        <v>165533.59</v>
      </c>
      <c r="O118" s="39">
        <f>-'[33]Budget 2022'!CY75</f>
        <v>165533.59</v>
      </c>
      <c r="P118" s="39">
        <f>-'[33]Budget 2022'!CZ75</f>
        <v>165533.59</v>
      </c>
      <c r="Q118" s="39">
        <f t="shared" si="11"/>
        <v>496600.77</v>
      </c>
      <c r="R118" s="39">
        <f>SUM(E118,I118,M118,Q118)</f>
        <v>1986403.08</v>
      </c>
    </row>
    <row r="119" spans="1:28" ht="24.6" collapsed="1" thickTop="1" thickBot="1">
      <c r="A119" s="44" t="s">
        <v>218</v>
      </c>
      <c r="B119" s="45">
        <f>SUM(B26,B53,B80,B93,B106)</f>
        <v>24049520.836666662</v>
      </c>
      <c r="C119" s="45">
        <f t="shared" ref="C119" si="47">SUM(C26,C53,C80,C93,C106)</f>
        <v>24447215.096666656</v>
      </c>
      <c r="D119" s="45">
        <f>SUM(D26,D53,D80,D93,D106)</f>
        <v>27021331.056666661</v>
      </c>
      <c r="E119" s="45">
        <f t="shared" si="8"/>
        <v>75518066.98999998</v>
      </c>
      <c r="F119" s="45">
        <f>SUM(F26,F53,F80,F93,F106)</f>
        <v>26572016.166666657</v>
      </c>
      <c r="G119" s="45">
        <f t="shared" ref="G119:H119" si="48">SUM(G26,G53,G80,G93,G106)</f>
        <v>22983043.136666663</v>
      </c>
      <c r="H119" s="45">
        <f t="shared" si="48"/>
        <v>22062916.296666659</v>
      </c>
      <c r="I119" s="45">
        <f t="shared" si="9"/>
        <v>71617975.599999979</v>
      </c>
      <c r="J119" s="45">
        <f>SUM(J26,J53,J80,J93,J106)</f>
        <v>18430104.316666659</v>
      </c>
      <c r="K119" s="45">
        <f t="shared" ref="K119:L119" si="49">SUM(K26,K53,K80,K93,K106)</f>
        <v>15795384.316666659</v>
      </c>
      <c r="L119" s="45">
        <f t="shared" si="49"/>
        <v>13608927.60666666</v>
      </c>
      <c r="M119" s="45">
        <f t="shared" si="10"/>
        <v>47834416.23999998</v>
      </c>
      <c r="N119" s="45">
        <f>SUM(N26,N53,N80,N93,N106)</f>
        <v>13497812.656666659</v>
      </c>
      <c r="O119" s="45">
        <f>SUM(O26,O53,O80,O93,O106)</f>
        <v>11547373.66666666</v>
      </c>
      <c r="P119" s="45">
        <f t="shared" ref="P119" si="50">SUM(P26,P53,P80,P93,P106)</f>
        <v>11581406.66666666</v>
      </c>
      <c r="Q119" s="45">
        <f t="shared" si="11"/>
        <v>36626592.98999998</v>
      </c>
      <c r="R119" s="45">
        <f>SUM(R26,R53,R80,R93,R106)</f>
        <v>231597051.81999993</v>
      </c>
    </row>
    <row r="120" spans="1:28" ht="30" thickTop="1" thickBot="1">
      <c r="A120" s="46" t="s">
        <v>219</v>
      </c>
      <c r="B120" s="47">
        <f>B13-B119</f>
        <v>2614670.1566666588</v>
      </c>
      <c r="C120" s="47">
        <f>C13-C119</f>
        <v>3966975.8966666646</v>
      </c>
      <c r="D120" s="47">
        <f>D13-D119</f>
        <v>3252859.93666666</v>
      </c>
      <c r="E120" s="47">
        <f t="shared" si="8"/>
        <v>9834505.9899999835</v>
      </c>
      <c r="F120" s="47">
        <f>F13-F119</f>
        <v>1944229.1533333436</v>
      </c>
      <c r="G120" s="47">
        <f>G13-G119</f>
        <v>4763919.1833333373</v>
      </c>
      <c r="H120" s="47">
        <f>H13-H119</f>
        <v>6175090.0233333409</v>
      </c>
      <c r="I120" s="47">
        <f t="shared" si="9"/>
        <v>12883238.360000022</v>
      </c>
      <c r="J120" s="47">
        <f>J13-J119</f>
        <v>1134261.6700000092</v>
      </c>
      <c r="K120" s="47">
        <f>K13-K119</f>
        <v>3768981.6700000092</v>
      </c>
      <c r="L120" s="47">
        <f>L13-L119</f>
        <v>5955438.3800000083</v>
      </c>
      <c r="M120" s="47">
        <f t="shared" si="10"/>
        <v>10858681.720000027</v>
      </c>
      <c r="N120" s="47">
        <f>N13-N119</f>
        <v>6023165.3300000094</v>
      </c>
      <c r="O120" s="47">
        <f>O13-O119</f>
        <v>7036992.3200000077</v>
      </c>
      <c r="P120" s="47">
        <f>P13-P119</f>
        <v>7002959.3200000077</v>
      </c>
      <c r="Q120" s="47">
        <f t="shared" si="11"/>
        <v>20063116.970000025</v>
      </c>
      <c r="R120" s="47">
        <f>R13-R119</f>
        <v>53639543.040000021</v>
      </c>
    </row>
    <row r="121" spans="1:28" ht="30" thickTop="1" thickBot="1">
      <c r="A121" s="46" t="s">
        <v>220</v>
      </c>
      <c r="B121" s="48">
        <f t="shared" ref="B121:Q121" si="51">B120/B13</f>
        <v>9.8059234473695009E-2</v>
      </c>
      <c r="C121" s="48">
        <f t="shared" si="51"/>
        <v>0.13961248791483863</v>
      </c>
      <c r="D121" s="48">
        <f t="shared" si="51"/>
        <v>0.10744663457342171</v>
      </c>
      <c r="E121" s="48">
        <f t="shared" si="51"/>
        <v>0.11522213855585152</v>
      </c>
      <c r="F121" s="48">
        <f t="shared" si="51"/>
        <v>6.8179703587054968E-2</v>
      </c>
      <c r="G121" s="48">
        <f t="shared" si="51"/>
        <v>0.17169155774214268</v>
      </c>
      <c r="H121" s="48">
        <f t="shared" si="51"/>
        <v>0.21868009920232007</v>
      </c>
      <c r="I121" s="48">
        <f t="shared" si="51"/>
        <v>0.15246216895888037</v>
      </c>
      <c r="J121" s="48">
        <f t="shared" si="51"/>
        <v>5.7975897137327176E-2</v>
      </c>
      <c r="K121" s="48">
        <f t="shared" si="51"/>
        <v>0.19264522410634782</v>
      </c>
      <c r="L121" s="48">
        <f t="shared" si="51"/>
        <v>0.30440231919903282</v>
      </c>
      <c r="M121" s="48">
        <f t="shared" si="51"/>
        <v>0.18500781348090262</v>
      </c>
      <c r="N121" s="48">
        <f t="shared" si="51"/>
        <v>0.30854833882369964</v>
      </c>
      <c r="O121" s="48">
        <f t="shared" si="51"/>
        <v>0.37865119127812535</v>
      </c>
      <c r="P121" s="48">
        <f t="shared" si="51"/>
        <v>0.37681992084229682</v>
      </c>
      <c r="Q121" s="48">
        <f t="shared" si="51"/>
        <v>0.35391108869945648</v>
      </c>
      <c r="R121" s="69">
        <f>R120/R13</f>
        <v>0.18805280951529876</v>
      </c>
    </row>
    <row r="122" spans="1:28" ht="24" thickTop="1">
      <c r="A122" s="50" t="str">
        <f>A176</f>
        <v>GA,  SM , OSS , DMCC and Depreciation</v>
      </c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1"/>
      <c r="T122" s="1"/>
      <c r="U122" s="1"/>
      <c r="V122" s="1"/>
      <c r="W122" s="1"/>
      <c r="X122" s="1"/>
      <c r="Y122" s="1"/>
      <c r="Z122" s="1"/>
      <c r="AA122" s="15"/>
      <c r="AB122" s="15"/>
    </row>
    <row r="123" spans="1:28" ht="23.4">
      <c r="A123" s="51" t="s">
        <v>221</v>
      </c>
      <c r="B123" s="42">
        <f>SUM(B124,B128,B132,B136,B140)</f>
        <v>999625.77</v>
      </c>
      <c r="C123" s="42">
        <f>SUM(C124,C128,C132,C136,C140)</f>
        <v>1025225.77</v>
      </c>
      <c r="D123" s="42">
        <f>SUM(D124,D128,D132,D136,D140)</f>
        <v>999625.77</v>
      </c>
      <c r="E123" s="42">
        <f t="shared" si="8"/>
        <v>3024477.31</v>
      </c>
      <c r="F123" s="42">
        <f>SUM(F124,F128,F132,F136,F140)</f>
        <v>1374025.77</v>
      </c>
      <c r="G123" s="42">
        <f>SUM(G124,G128,G132,G136,G140)</f>
        <v>1399625.77</v>
      </c>
      <c r="H123" s="42">
        <f>SUM(H124,H128,H132,H136,H140)</f>
        <v>1341200.77</v>
      </c>
      <c r="I123" s="42">
        <f t="shared" si="9"/>
        <v>4114852.31</v>
      </c>
      <c r="J123" s="42">
        <f>SUM(J124,J128,J132,J136,J140)</f>
        <v>1458050.77</v>
      </c>
      <c r="K123" s="42">
        <f>SUM(K124,K128,K132,K136,K140)</f>
        <v>1399625.77</v>
      </c>
      <c r="L123" s="42">
        <f>SUM(L124,L128,L132,L136,L140)</f>
        <v>1399625.77</v>
      </c>
      <c r="M123" s="42">
        <f t="shared" si="10"/>
        <v>4257302.3100000005</v>
      </c>
      <c r="N123" s="42">
        <f>SUM(N124,N128,N132,N136,N140)</f>
        <v>1399625.77</v>
      </c>
      <c r="O123" s="42">
        <f>SUM(O124,O128,O132,O136,O140)</f>
        <v>1399625.77</v>
      </c>
      <c r="P123" s="42">
        <f>SUM(P124,P128,P132,P136,P140)</f>
        <v>1399625.77</v>
      </c>
      <c r="Q123" s="42">
        <f t="shared" si="11"/>
        <v>4198877.3100000005</v>
      </c>
      <c r="R123" s="42">
        <f t="shared" ref="R123:R142" si="52">SUM(E123,I123,M123,Q123)</f>
        <v>15595509.24</v>
      </c>
      <c r="S123" s="15"/>
      <c r="T123" s="15"/>
      <c r="U123" s="15"/>
      <c r="V123" s="15"/>
      <c r="W123" s="15"/>
      <c r="X123" s="15"/>
      <c r="Y123" s="15"/>
      <c r="Z123" s="15"/>
      <c r="AA123" s="15"/>
      <c r="AB123" s="15"/>
    </row>
    <row r="124" spans="1:28" s="35" customFormat="1" ht="31.2" hidden="1" outlineLevel="1">
      <c r="A124" s="31" t="s">
        <v>222</v>
      </c>
      <c r="B124" s="32">
        <f>SUM(B125:B127)</f>
        <v>999625.77</v>
      </c>
      <c r="C124" s="32">
        <f>SUM(C125:C127)</f>
        <v>1025225.77</v>
      </c>
      <c r="D124" s="32">
        <f>SUM(D125:D127)</f>
        <v>999625.77</v>
      </c>
      <c r="E124" s="32">
        <f t="shared" si="8"/>
        <v>3024477.31</v>
      </c>
      <c r="F124" s="32">
        <f>SUM(F125:F127)</f>
        <v>1374025.77</v>
      </c>
      <c r="G124" s="32">
        <f>SUM(G125:G127)</f>
        <v>1399625.77</v>
      </c>
      <c r="H124" s="32">
        <f>SUM(H125:H127)</f>
        <v>1341200.77</v>
      </c>
      <c r="I124" s="32">
        <f t="shared" si="9"/>
        <v>4114852.31</v>
      </c>
      <c r="J124" s="32">
        <f>SUM(J125:J127)</f>
        <v>1458050.77</v>
      </c>
      <c r="K124" s="32">
        <f>SUM(K125:K127)</f>
        <v>1399625.77</v>
      </c>
      <c r="L124" s="32">
        <f>SUM(L125:L127)</f>
        <v>1399625.77</v>
      </c>
      <c r="M124" s="32">
        <f t="shared" si="10"/>
        <v>4257302.3100000005</v>
      </c>
      <c r="N124" s="32">
        <f>SUM(N125:N127)</f>
        <v>1399625.77</v>
      </c>
      <c r="O124" s="32">
        <f>SUM(O125:O127)</f>
        <v>1399625.77</v>
      </c>
      <c r="P124" s="32">
        <f>SUM(P125:P127)</f>
        <v>1399625.77</v>
      </c>
      <c r="Q124" s="32">
        <f t="shared" si="11"/>
        <v>4198877.3100000005</v>
      </c>
      <c r="R124" s="33">
        <f t="shared" si="52"/>
        <v>15595509.24</v>
      </c>
    </row>
    <row r="125" spans="1:28" ht="21" hidden="1" outlineLevel="1">
      <c r="A125" s="52" t="s">
        <v>212</v>
      </c>
      <c r="B125" s="39">
        <f>'[33]Budget Forms'!E289</f>
        <v>620875.11</v>
      </c>
      <c r="C125" s="39">
        <f>'[33]Budget Forms'!F289</f>
        <v>646475.11</v>
      </c>
      <c r="D125" s="39">
        <f>'[33]Budget Forms'!G289</f>
        <v>620875.11</v>
      </c>
      <c r="E125" s="39">
        <f t="shared" si="8"/>
        <v>1888225.33</v>
      </c>
      <c r="F125" s="39">
        <f>'[33]Budget Forms'!H289</f>
        <v>595275.11</v>
      </c>
      <c r="G125" s="39">
        <f>'[33]Budget Forms'!I289</f>
        <v>620875.11</v>
      </c>
      <c r="H125" s="39">
        <f>'[33]Budget Forms'!J289</f>
        <v>562450.11</v>
      </c>
      <c r="I125" s="39">
        <f t="shared" si="9"/>
        <v>1778600.33</v>
      </c>
      <c r="J125" s="39">
        <f>'[33]Budget Forms'!K289</f>
        <v>679300.11</v>
      </c>
      <c r="K125" s="39">
        <f>'[33]Budget Forms'!L289</f>
        <v>620875.11</v>
      </c>
      <c r="L125" s="39">
        <f>'[33]Budget Forms'!M289</f>
        <v>620875.11</v>
      </c>
      <c r="M125" s="39">
        <f t="shared" si="10"/>
        <v>1921050.33</v>
      </c>
      <c r="N125" s="39">
        <f>'[33]Budget Forms'!N289</f>
        <v>620875.11</v>
      </c>
      <c r="O125" s="39">
        <f>'[33]Budget Forms'!O289</f>
        <v>620875.11</v>
      </c>
      <c r="P125" s="39">
        <f>'[33]Budget Forms'!P289</f>
        <v>620875.11</v>
      </c>
      <c r="Q125" s="39">
        <f t="shared" si="11"/>
        <v>1862625.33</v>
      </c>
      <c r="R125" s="39">
        <f t="shared" si="52"/>
        <v>7450501.3200000003</v>
      </c>
      <c r="S125" s="16"/>
      <c r="T125" s="16"/>
      <c r="U125" s="16"/>
      <c r="V125" s="16"/>
      <c r="W125" s="16"/>
      <c r="X125" s="16"/>
      <c r="Y125" s="16"/>
      <c r="Z125" s="16"/>
    </row>
    <row r="126" spans="1:28" ht="21" hidden="1" outlineLevel="1">
      <c r="A126" s="52" t="s">
        <v>216</v>
      </c>
      <c r="B126" s="39">
        <f>'[33]Budget Forms'!E290</f>
        <v>22500</v>
      </c>
      <c r="C126" s="39">
        <f>'[33]Budget Forms'!F290</f>
        <v>22500</v>
      </c>
      <c r="D126" s="39">
        <f>'[33]Budget Forms'!G290</f>
        <v>22500</v>
      </c>
      <c r="E126" s="39">
        <f t="shared" ref="E126:E144" si="53">SUM(B126:D126)</f>
        <v>67500</v>
      </c>
      <c r="F126" s="39">
        <f>'[33]Budget Forms'!H290</f>
        <v>22500</v>
      </c>
      <c r="G126" s="39">
        <f>'[33]Budget Forms'!I290</f>
        <v>22500</v>
      </c>
      <c r="H126" s="39">
        <f>'[33]Budget Forms'!J290</f>
        <v>22500</v>
      </c>
      <c r="I126" s="39">
        <f t="shared" ref="I126:I144" si="54">SUM(F126:H126)</f>
        <v>67500</v>
      </c>
      <c r="J126" s="39">
        <f>'[33]Budget Forms'!K290</f>
        <v>22500</v>
      </c>
      <c r="K126" s="39">
        <f>'[33]Budget Forms'!L290</f>
        <v>22500</v>
      </c>
      <c r="L126" s="39">
        <f>'[33]Budget Forms'!M290</f>
        <v>22500</v>
      </c>
      <c r="M126" s="39">
        <f t="shared" ref="M126:M144" si="55">SUM(J126:L126)</f>
        <v>67500</v>
      </c>
      <c r="N126" s="39">
        <f>'[33]Budget Forms'!N290</f>
        <v>22500</v>
      </c>
      <c r="O126" s="39">
        <f>'[33]Budget Forms'!O290</f>
        <v>22500</v>
      </c>
      <c r="P126" s="39">
        <f>'[33]Budget Forms'!P290</f>
        <v>22500</v>
      </c>
      <c r="Q126" s="39">
        <f t="shared" ref="Q126:Q144" si="56">SUM(N126:P126)</f>
        <v>67500</v>
      </c>
      <c r="R126" s="39">
        <f t="shared" si="52"/>
        <v>270000</v>
      </c>
      <c r="S126" s="16"/>
      <c r="T126" s="16"/>
      <c r="U126" s="16"/>
      <c r="V126" s="16"/>
      <c r="W126" s="16"/>
      <c r="X126" s="16"/>
      <c r="Y126" s="16"/>
      <c r="Z126" s="16"/>
    </row>
    <row r="127" spans="1:28" ht="21" hidden="1" outlineLevel="1">
      <c r="A127" s="52" t="s">
        <v>112</v>
      </c>
      <c r="B127" s="39">
        <f>'[33]Budget Forms'!E291</f>
        <v>356250.66</v>
      </c>
      <c r="C127" s="39">
        <f>'[33]Budget Forms'!F291</f>
        <v>356250.66</v>
      </c>
      <c r="D127" s="39">
        <f>'[33]Budget Forms'!G291</f>
        <v>356250.66</v>
      </c>
      <c r="E127" s="39">
        <f t="shared" si="53"/>
        <v>1068751.98</v>
      </c>
      <c r="F127" s="39">
        <f>'[33]Budget Forms'!H291</f>
        <v>756250.65999999992</v>
      </c>
      <c r="G127" s="39">
        <f>'[33]Budget Forms'!I291</f>
        <v>756250.65999999992</v>
      </c>
      <c r="H127" s="39">
        <f>'[33]Budget Forms'!J291</f>
        <v>756250.65999999992</v>
      </c>
      <c r="I127" s="39">
        <f t="shared" si="54"/>
        <v>2268751.9799999995</v>
      </c>
      <c r="J127" s="39">
        <f>'[33]Budget Forms'!K291</f>
        <v>756250.65999999992</v>
      </c>
      <c r="K127" s="39">
        <f>'[33]Budget Forms'!L291</f>
        <v>756250.65999999992</v>
      </c>
      <c r="L127" s="39">
        <f>'[33]Budget Forms'!M291</f>
        <v>756250.65999999992</v>
      </c>
      <c r="M127" s="39">
        <f t="shared" si="55"/>
        <v>2268751.9799999995</v>
      </c>
      <c r="N127" s="39">
        <f>'[33]Budget Forms'!N291</f>
        <v>756250.65999999992</v>
      </c>
      <c r="O127" s="39">
        <f>'[33]Budget Forms'!O291</f>
        <v>756250.65999999992</v>
      </c>
      <c r="P127" s="39">
        <f>'[33]Budget Forms'!P291</f>
        <v>756250.65999999992</v>
      </c>
      <c r="Q127" s="39">
        <f t="shared" si="56"/>
        <v>2268751.9799999995</v>
      </c>
      <c r="R127" s="39">
        <f t="shared" si="52"/>
        <v>7875007.919999999</v>
      </c>
      <c r="S127" s="16"/>
      <c r="T127" s="16"/>
      <c r="U127" s="16"/>
      <c r="V127" s="16"/>
      <c r="W127" s="16"/>
      <c r="X127" s="16"/>
      <c r="Y127" s="16"/>
      <c r="Z127" s="16"/>
    </row>
    <row r="128" spans="1:28" s="35" customFormat="1" ht="31.2" hidden="1" outlineLevel="1">
      <c r="A128" s="31" t="s">
        <v>223</v>
      </c>
      <c r="B128" s="32">
        <f>SUM(B129:B131)</f>
        <v>0</v>
      </c>
      <c r="C128" s="32">
        <f>SUM(C129:C131)</f>
        <v>0</v>
      </c>
      <c r="D128" s="32">
        <f>SUM(D129:D131)</f>
        <v>0</v>
      </c>
      <c r="E128" s="32">
        <f t="shared" si="53"/>
        <v>0</v>
      </c>
      <c r="F128" s="32">
        <f>SUM(F129:F131)</f>
        <v>0</v>
      </c>
      <c r="G128" s="32">
        <f>SUM(G129:G131)</f>
        <v>0</v>
      </c>
      <c r="H128" s="32">
        <f>SUM(H129:H131)</f>
        <v>0</v>
      </c>
      <c r="I128" s="32">
        <f t="shared" si="54"/>
        <v>0</v>
      </c>
      <c r="J128" s="32">
        <f>SUM(J129:J131)</f>
        <v>0</v>
      </c>
      <c r="K128" s="32">
        <f>SUM(K129:K131)</f>
        <v>0</v>
      </c>
      <c r="L128" s="32">
        <f>SUM(L129:L131)</f>
        <v>0</v>
      </c>
      <c r="M128" s="32">
        <f t="shared" si="55"/>
        <v>0</v>
      </c>
      <c r="N128" s="32">
        <f>SUM(N129:N131)</f>
        <v>0</v>
      </c>
      <c r="O128" s="32">
        <f>SUM(O129:O131)</f>
        <v>0</v>
      </c>
      <c r="P128" s="32">
        <f>SUM(P129:P131)</f>
        <v>0</v>
      </c>
      <c r="Q128" s="32">
        <f t="shared" si="56"/>
        <v>0</v>
      </c>
      <c r="R128" s="33">
        <f t="shared" si="52"/>
        <v>0</v>
      </c>
    </row>
    <row r="129" spans="1:28" ht="21" hidden="1" outlineLevel="1">
      <c r="A129" s="52" t="s">
        <v>212</v>
      </c>
      <c r="B129" s="39">
        <f>'[33]Budget Forms'!E292</f>
        <v>0</v>
      </c>
      <c r="C129" s="39">
        <f>'[33]Budget Forms'!F292</f>
        <v>0</v>
      </c>
      <c r="D129" s="39">
        <f>'[33]Budget Forms'!G292</f>
        <v>0</v>
      </c>
      <c r="E129" s="39">
        <f t="shared" si="53"/>
        <v>0</v>
      </c>
      <c r="F129" s="39">
        <f>'[33]Budget Forms'!H293</f>
        <v>0</v>
      </c>
      <c r="G129" s="39">
        <f>'[33]Budget Forms'!I293</f>
        <v>0</v>
      </c>
      <c r="H129" s="39">
        <f>'[33]Budget Forms'!J293</f>
        <v>0</v>
      </c>
      <c r="I129" s="39">
        <f t="shared" si="54"/>
        <v>0</v>
      </c>
      <c r="J129" s="39">
        <f>'[33]Budget Forms'!K293</f>
        <v>0</v>
      </c>
      <c r="K129" s="39">
        <f>'[33]Budget Forms'!L293</f>
        <v>0</v>
      </c>
      <c r="L129" s="39">
        <f>'[33]Budget Forms'!M293</f>
        <v>0</v>
      </c>
      <c r="M129" s="39">
        <f t="shared" si="55"/>
        <v>0</v>
      </c>
      <c r="N129" s="39">
        <f>'[33]Budget Forms'!N293</f>
        <v>0</v>
      </c>
      <c r="O129" s="39">
        <f>'[33]Budget Forms'!O293</f>
        <v>0</v>
      </c>
      <c r="P129" s="39">
        <f>'[33]Budget Forms'!P293</f>
        <v>0</v>
      </c>
      <c r="Q129" s="39">
        <f t="shared" si="56"/>
        <v>0</v>
      </c>
      <c r="R129" s="39">
        <f t="shared" si="52"/>
        <v>0</v>
      </c>
      <c r="S129" s="16"/>
      <c r="T129" s="16"/>
      <c r="U129" s="16"/>
      <c r="V129" s="16"/>
      <c r="W129" s="16"/>
      <c r="X129" s="16"/>
      <c r="Y129" s="16"/>
      <c r="Z129" s="16"/>
    </row>
    <row r="130" spans="1:28" ht="21" hidden="1" outlineLevel="1">
      <c r="A130" s="52" t="s">
        <v>216</v>
      </c>
      <c r="B130" s="39">
        <f>'[33]Budget Forms'!E293</f>
        <v>0</v>
      </c>
      <c r="C130" s="39">
        <f>'[33]Budget Forms'!F293</f>
        <v>0</v>
      </c>
      <c r="D130" s="39">
        <f>'[33]Budget Forms'!G293</f>
        <v>0</v>
      </c>
      <c r="E130" s="39">
        <f t="shared" si="53"/>
        <v>0</v>
      </c>
      <c r="F130" s="39">
        <f>'[33]Budget Forms'!H294</f>
        <v>0</v>
      </c>
      <c r="G130" s="39">
        <f>'[33]Budget Forms'!I294</f>
        <v>0</v>
      </c>
      <c r="H130" s="39">
        <f>'[33]Budget Forms'!J294</f>
        <v>0</v>
      </c>
      <c r="I130" s="39">
        <f t="shared" si="54"/>
        <v>0</v>
      </c>
      <c r="J130" s="39">
        <f>'[33]Budget Forms'!K294</f>
        <v>0</v>
      </c>
      <c r="K130" s="39">
        <f>'[33]Budget Forms'!L294</f>
        <v>0</v>
      </c>
      <c r="L130" s="39">
        <f>'[33]Budget Forms'!M294</f>
        <v>0</v>
      </c>
      <c r="M130" s="39">
        <f t="shared" si="55"/>
        <v>0</v>
      </c>
      <c r="N130" s="39">
        <f>'[33]Budget Forms'!N294</f>
        <v>0</v>
      </c>
      <c r="O130" s="39">
        <f>'[33]Budget Forms'!O294</f>
        <v>0</v>
      </c>
      <c r="P130" s="39">
        <f>'[33]Budget Forms'!P294</f>
        <v>0</v>
      </c>
      <c r="Q130" s="39">
        <f t="shared" si="56"/>
        <v>0</v>
      </c>
      <c r="R130" s="39">
        <f t="shared" si="52"/>
        <v>0</v>
      </c>
      <c r="S130" s="16"/>
      <c r="T130" s="16"/>
      <c r="U130" s="16"/>
      <c r="V130" s="16"/>
      <c r="W130" s="16"/>
      <c r="X130" s="16"/>
      <c r="Y130" s="16"/>
      <c r="Z130" s="16"/>
    </row>
    <row r="131" spans="1:28" ht="21" hidden="1" outlineLevel="1">
      <c r="A131" s="52" t="s">
        <v>112</v>
      </c>
      <c r="B131" s="39">
        <f>'[33]Budget Forms'!E294</f>
        <v>0</v>
      </c>
      <c r="C131" s="39">
        <f>'[33]Budget Forms'!F294</f>
        <v>0</v>
      </c>
      <c r="D131" s="39">
        <f>'[33]Budget Forms'!G294</f>
        <v>0</v>
      </c>
      <c r="E131" s="39">
        <f t="shared" si="53"/>
        <v>0</v>
      </c>
      <c r="F131" s="39">
        <f>'[33]Budget Forms'!H295</f>
        <v>0</v>
      </c>
      <c r="G131" s="39">
        <f>'[33]Budget Forms'!I295</f>
        <v>0</v>
      </c>
      <c r="H131" s="39">
        <f>'[33]Budget Forms'!J295</f>
        <v>0</v>
      </c>
      <c r="I131" s="39">
        <f t="shared" si="54"/>
        <v>0</v>
      </c>
      <c r="J131" s="39">
        <f>'[33]Budget Forms'!K295</f>
        <v>0</v>
      </c>
      <c r="K131" s="39">
        <f>'[33]Budget Forms'!L295</f>
        <v>0</v>
      </c>
      <c r="L131" s="39">
        <f>'[33]Budget Forms'!M295</f>
        <v>0</v>
      </c>
      <c r="M131" s="39">
        <f t="shared" si="55"/>
        <v>0</v>
      </c>
      <c r="N131" s="39">
        <f>'[33]Budget Forms'!N295</f>
        <v>0</v>
      </c>
      <c r="O131" s="39">
        <f>'[33]Budget Forms'!O295</f>
        <v>0</v>
      </c>
      <c r="P131" s="39">
        <f>'[33]Budget Forms'!P295</f>
        <v>0</v>
      </c>
      <c r="Q131" s="39">
        <f t="shared" si="56"/>
        <v>0</v>
      </c>
      <c r="R131" s="39"/>
      <c r="S131" s="16"/>
      <c r="T131" s="16"/>
      <c r="U131" s="16"/>
      <c r="V131" s="16"/>
      <c r="W131" s="16"/>
      <c r="X131" s="16"/>
      <c r="Y131" s="16"/>
      <c r="Z131" s="16"/>
    </row>
    <row r="132" spans="1:28" s="35" customFormat="1" ht="31.2" hidden="1" outlineLevel="1">
      <c r="A132" s="31" t="s">
        <v>224</v>
      </c>
      <c r="B132" s="32">
        <f>SUM(B133:B135)</f>
        <v>0</v>
      </c>
      <c r="C132" s="32">
        <f>SUM(C133:C135)</f>
        <v>0</v>
      </c>
      <c r="D132" s="32">
        <f>SUM(D133:D135)</f>
        <v>0</v>
      </c>
      <c r="E132" s="32">
        <f t="shared" si="53"/>
        <v>0</v>
      </c>
      <c r="F132" s="32">
        <f>SUM(F133:F135)</f>
        <v>0</v>
      </c>
      <c r="G132" s="32">
        <f>SUM(G133:G135)</f>
        <v>0</v>
      </c>
      <c r="H132" s="32">
        <f>SUM(H133:H135)</f>
        <v>0</v>
      </c>
      <c r="I132" s="32">
        <f t="shared" si="54"/>
        <v>0</v>
      </c>
      <c r="J132" s="32">
        <f>SUM(J133:J135)</f>
        <v>0</v>
      </c>
      <c r="K132" s="32">
        <f>SUM(K133:K135)</f>
        <v>0</v>
      </c>
      <c r="L132" s="32">
        <f>SUM(L133:L135)</f>
        <v>0</v>
      </c>
      <c r="M132" s="32">
        <f t="shared" si="55"/>
        <v>0</v>
      </c>
      <c r="N132" s="32">
        <f>SUM(N133:N135)</f>
        <v>0</v>
      </c>
      <c r="O132" s="32">
        <f>SUM(O133:O135)</f>
        <v>0</v>
      </c>
      <c r="P132" s="32">
        <f>SUM(P133:P135)</f>
        <v>0</v>
      </c>
      <c r="Q132" s="32">
        <f t="shared" si="56"/>
        <v>0</v>
      </c>
      <c r="R132" s="33">
        <f t="shared" ref="R132" si="57">SUM(E132,I132,M132,Q132)</f>
        <v>0</v>
      </c>
    </row>
    <row r="133" spans="1:28" ht="21" hidden="1" outlineLevel="1">
      <c r="A133" s="52" t="s">
        <v>212</v>
      </c>
      <c r="B133" s="39">
        <f>'[33]Budget Forms'!E296</f>
        <v>0</v>
      </c>
      <c r="C133" s="39">
        <f>'[33]Budget Forms'!F296</f>
        <v>0</v>
      </c>
      <c r="D133" s="39">
        <f>'[33]Budget Forms'!G296</f>
        <v>0</v>
      </c>
      <c r="E133" s="39">
        <f t="shared" si="53"/>
        <v>0</v>
      </c>
      <c r="F133" s="39">
        <f>'[33]Budget Forms'!H297</f>
        <v>0</v>
      </c>
      <c r="G133" s="39">
        <f>'[33]Budget Forms'!I297</f>
        <v>0</v>
      </c>
      <c r="H133" s="39">
        <f>'[33]Budget Forms'!J297</f>
        <v>0</v>
      </c>
      <c r="I133" s="39">
        <f t="shared" si="54"/>
        <v>0</v>
      </c>
      <c r="J133" s="39">
        <f>'[33]Budget Forms'!K297</f>
        <v>0</v>
      </c>
      <c r="K133" s="39">
        <f>'[33]Budget Forms'!L297</f>
        <v>0</v>
      </c>
      <c r="L133" s="39">
        <f>'[33]Budget Forms'!M297</f>
        <v>0</v>
      </c>
      <c r="M133" s="39">
        <f t="shared" si="55"/>
        <v>0</v>
      </c>
      <c r="N133" s="39">
        <f>'[33]Budget Forms'!N297</f>
        <v>0</v>
      </c>
      <c r="O133" s="39">
        <f>'[33]Budget Forms'!O297</f>
        <v>0</v>
      </c>
      <c r="P133" s="39">
        <f>'[33]Budget Forms'!P297</f>
        <v>0</v>
      </c>
      <c r="Q133" s="39">
        <f t="shared" si="56"/>
        <v>0</v>
      </c>
      <c r="R133" s="39"/>
      <c r="S133" s="16"/>
      <c r="T133" s="16"/>
      <c r="U133" s="16"/>
      <c r="V133" s="16"/>
      <c r="W133" s="16"/>
      <c r="X133" s="16"/>
      <c r="Y133" s="16"/>
      <c r="Z133" s="16"/>
    </row>
    <row r="134" spans="1:28" ht="21" hidden="1" outlineLevel="1">
      <c r="A134" s="52" t="s">
        <v>216</v>
      </c>
      <c r="B134" s="39">
        <f>'[33]Budget Forms'!E297</f>
        <v>0</v>
      </c>
      <c r="C134" s="39">
        <f>'[33]Budget Forms'!F297</f>
        <v>0</v>
      </c>
      <c r="D134" s="39">
        <f>'[33]Budget Forms'!G297</f>
        <v>0</v>
      </c>
      <c r="E134" s="39">
        <f t="shared" si="53"/>
        <v>0</v>
      </c>
      <c r="F134" s="39">
        <f>'[33]Budget Forms'!H298</f>
        <v>0</v>
      </c>
      <c r="G134" s="39">
        <f>'[33]Budget Forms'!I298</f>
        <v>0</v>
      </c>
      <c r="H134" s="39">
        <f>'[33]Budget Forms'!J298</f>
        <v>0</v>
      </c>
      <c r="I134" s="39">
        <f t="shared" si="54"/>
        <v>0</v>
      </c>
      <c r="J134" s="39">
        <f>'[33]Budget Forms'!K298</f>
        <v>0</v>
      </c>
      <c r="K134" s="39">
        <f>'[33]Budget Forms'!L298</f>
        <v>0</v>
      </c>
      <c r="L134" s="39">
        <f>'[33]Budget Forms'!M298</f>
        <v>0</v>
      </c>
      <c r="M134" s="39">
        <f t="shared" si="55"/>
        <v>0</v>
      </c>
      <c r="N134" s="39">
        <f>'[33]Budget Forms'!N298</f>
        <v>0</v>
      </c>
      <c r="O134" s="39">
        <f>'[33]Budget Forms'!O298</f>
        <v>0</v>
      </c>
      <c r="P134" s="39">
        <f>'[33]Budget Forms'!P298</f>
        <v>0</v>
      </c>
      <c r="Q134" s="39">
        <f t="shared" si="56"/>
        <v>0</v>
      </c>
      <c r="R134" s="39"/>
      <c r="S134" s="16"/>
      <c r="T134" s="16"/>
      <c r="U134" s="16"/>
      <c r="V134" s="16"/>
      <c r="W134" s="16"/>
      <c r="X134" s="16"/>
      <c r="Y134" s="16"/>
      <c r="Z134" s="16"/>
    </row>
    <row r="135" spans="1:28" ht="21" hidden="1" outlineLevel="1">
      <c r="A135" s="52" t="s">
        <v>112</v>
      </c>
      <c r="B135" s="39">
        <f>'[33]Budget Forms'!E298</f>
        <v>0</v>
      </c>
      <c r="C135" s="39">
        <f>'[33]Budget Forms'!F298</f>
        <v>0</v>
      </c>
      <c r="D135" s="39">
        <f>'[33]Budget Forms'!G298</f>
        <v>0</v>
      </c>
      <c r="E135" s="39">
        <f t="shared" si="53"/>
        <v>0</v>
      </c>
      <c r="F135" s="39">
        <f>'[33]Budget Forms'!H299</f>
        <v>0</v>
      </c>
      <c r="G135" s="39">
        <f>'[33]Budget Forms'!I299</f>
        <v>0</v>
      </c>
      <c r="H135" s="39">
        <f>'[33]Budget Forms'!J299</f>
        <v>0</v>
      </c>
      <c r="I135" s="39">
        <f t="shared" si="54"/>
        <v>0</v>
      </c>
      <c r="J135" s="39">
        <f>'[33]Budget Forms'!K299</f>
        <v>0</v>
      </c>
      <c r="K135" s="39">
        <f>'[33]Budget Forms'!L299</f>
        <v>0</v>
      </c>
      <c r="L135" s="39">
        <f>'[33]Budget Forms'!M299</f>
        <v>0</v>
      </c>
      <c r="M135" s="39">
        <f t="shared" si="55"/>
        <v>0</v>
      </c>
      <c r="N135" s="39">
        <f>'[33]Budget Forms'!N299</f>
        <v>0</v>
      </c>
      <c r="O135" s="39">
        <f>'[33]Budget Forms'!O299</f>
        <v>0</v>
      </c>
      <c r="P135" s="39">
        <f>'[33]Budget Forms'!P299</f>
        <v>0</v>
      </c>
      <c r="Q135" s="39">
        <f t="shared" si="56"/>
        <v>0</v>
      </c>
      <c r="R135" s="39"/>
      <c r="S135" s="16"/>
      <c r="T135" s="16"/>
      <c r="U135" s="16"/>
      <c r="V135" s="16"/>
      <c r="W135" s="16"/>
      <c r="X135" s="16"/>
      <c r="Y135" s="16"/>
      <c r="Z135" s="16"/>
    </row>
    <row r="136" spans="1:28" s="35" customFormat="1" ht="31.2" hidden="1" outlineLevel="1">
      <c r="A136" s="31" t="s">
        <v>225</v>
      </c>
      <c r="B136" s="32">
        <f>SUM(B137:B139)</f>
        <v>0</v>
      </c>
      <c r="C136" s="32">
        <f>SUM(C137:C139)</f>
        <v>0</v>
      </c>
      <c r="D136" s="32">
        <f>SUM(D137:D139)</f>
        <v>0</v>
      </c>
      <c r="E136" s="32">
        <f t="shared" si="53"/>
        <v>0</v>
      </c>
      <c r="F136" s="32">
        <f>SUM(F137:F139)</f>
        <v>0</v>
      </c>
      <c r="G136" s="32">
        <f>SUM(G137:G139)</f>
        <v>0</v>
      </c>
      <c r="H136" s="32">
        <f>SUM(H137:H139)</f>
        <v>0</v>
      </c>
      <c r="I136" s="32">
        <f t="shared" si="54"/>
        <v>0</v>
      </c>
      <c r="J136" s="32">
        <f>SUM(J137:J139)</f>
        <v>0</v>
      </c>
      <c r="K136" s="32">
        <f>SUM(K137:K139)</f>
        <v>0</v>
      </c>
      <c r="L136" s="32">
        <f>SUM(L137:L139)</f>
        <v>0</v>
      </c>
      <c r="M136" s="32">
        <f t="shared" si="55"/>
        <v>0</v>
      </c>
      <c r="N136" s="32">
        <f>SUM(N137:N139)</f>
        <v>0</v>
      </c>
      <c r="O136" s="32">
        <f>SUM(O137:O139)</f>
        <v>0</v>
      </c>
      <c r="P136" s="32">
        <f>SUM(P137:P139)</f>
        <v>0</v>
      </c>
      <c r="Q136" s="32">
        <f t="shared" si="56"/>
        <v>0</v>
      </c>
      <c r="R136" s="33">
        <f t="shared" ref="R136" si="58">SUM(E136,I136,M136,Q136)</f>
        <v>0</v>
      </c>
    </row>
    <row r="137" spans="1:28" ht="21" hidden="1" outlineLevel="1">
      <c r="A137" s="52" t="s">
        <v>212</v>
      </c>
      <c r="B137" s="39">
        <f>'[33]Budget Forms'!E300</f>
        <v>0</v>
      </c>
      <c r="C137" s="39">
        <f>'[33]Budget Forms'!F300</f>
        <v>0</v>
      </c>
      <c r="D137" s="39">
        <f>'[33]Budget Forms'!G300</f>
        <v>0</v>
      </c>
      <c r="E137" s="39">
        <f t="shared" si="53"/>
        <v>0</v>
      </c>
      <c r="F137" s="39">
        <f>'[33]Budget Forms'!H301</f>
        <v>0</v>
      </c>
      <c r="G137" s="39">
        <f>'[33]Budget Forms'!I301</f>
        <v>0</v>
      </c>
      <c r="H137" s="39">
        <f>'[33]Budget Forms'!J301</f>
        <v>0</v>
      </c>
      <c r="I137" s="39">
        <f t="shared" si="54"/>
        <v>0</v>
      </c>
      <c r="J137" s="39">
        <f>'[33]Budget Forms'!K301</f>
        <v>0</v>
      </c>
      <c r="K137" s="39">
        <f>'[33]Budget Forms'!L301</f>
        <v>0</v>
      </c>
      <c r="L137" s="39">
        <f>'[33]Budget Forms'!M301</f>
        <v>0</v>
      </c>
      <c r="M137" s="39">
        <f t="shared" si="55"/>
        <v>0</v>
      </c>
      <c r="N137" s="39">
        <f>'[33]Budget Forms'!N301</f>
        <v>0</v>
      </c>
      <c r="O137" s="39">
        <f>'[33]Budget Forms'!O301</f>
        <v>0</v>
      </c>
      <c r="P137" s="39">
        <f>'[33]Budget Forms'!P301</f>
        <v>0</v>
      </c>
      <c r="Q137" s="39">
        <f t="shared" si="56"/>
        <v>0</v>
      </c>
      <c r="R137" s="39">
        <f t="shared" si="52"/>
        <v>0</v>
      </c>
      <c r="S137" s="16"/>
      <c r="T137" s="16"/>
      <c r="U137" s="16"/>
      <c r="V137" s="16"/>
      <c r="W137" s="16"/>
      <c r="X137" s="16"/>
      <c r="Y137" s="16"/>
      <c r="Z137" s="16"/>
    </row>
    <row r="138" spans="1:28" ht="21" hidden="1" outlineLevel="1">
      <c r="A138" s="52" t="s">
        <v>216</v>
      </c>
      <c r="B138" s="39">
        <f>'[33]Budget Forms'!E301</f>
        <v>0</v>
      </c>
      <c r="C138" s="39">
        <f>'[33]Budget Forms'!F301</f>
        <v>0</v>
      </c>
      <c r="D138" s="39">
        <f>'[33]Budget Forms'!G301</f>
        <v>0</v>
      </c>
      <c r="E138" s="39">
        <f t="shared" si="53"/>
        <v>0</v>
      </c>
      <c r="F138" s="39">
        <f>'[33]Budget Forms'!H302</f>
        <v>0</v>
      </c>
      <c r="G138" s="39">
        <f>'[33]Budget Forms'!I302</f>
        <v>0</v>
      </c>
      <c r="H138" s="39">
        <f>'[33]Budget Forms'!J302</f>
        <v>0</v>
      </c>
      <c r="I138" s="39">
        <f t="shared" si="54"/>
        <v>0</v>
      </c>
      <c r="J138" s="39">
        <f>'[33]Budget Forms'!K302</f>
        <v>0</v>
      </c>
      <c r="K138" s="39">
        <f>'[33]Budget Forms'!L302</f>
        <v>0</v>
      </c>
      <c r="L138" s="39">
        <f>'[33]Budget Forms'!M302</f>
        <v>0</v>
      </c>
      <c r="M138" s="39">
        <f t="shared" si="55"/>
        <v>0</v>
      </c>
      <c r="N138" s="39">
        <f>'[33]Budget Forms'!N302</f>
        <v>0</v>
      </c>
      <c r="O138" s="39">
        <f>'[33]Budget Forms'!O302</f>
        <v>0</v>
      </c>
      <c r="P138" s="39">
        <f>'[33]Budget Forms'!P302</f>
        <v>0</v>
      </c>
      <c r="Q138" s="39">
        <f t="shared" si="56"/>
        <v>0</v>
      </c>
      <c r="R138" s="39">
        <f t="shared" si="52"/>
        <v>0</v>
      </c>
      <c r="S138" s="16"/>
      <c r="T138" s="16"/>
      <c r="U138" s="16"/>
      <c r="V138" s="16"/>
      <c r="W138" s="16"/>
      <c r="X138" s="16"/>
      <c r="Y138" s="16"/>
      <c r="Z138" s="16"/>
    </row>
    <row r="139" spans="1:28" ht="21" hidden="1" outlineLevel="1">
      <c r="A139" s="52" t="s">
        <v>112</v>
      </c>
      <c r="B139" s="39">
        <f>'[33]Budget Forms'!E302</f>
        <v>0</v>
      </c>
      <c r="C139" s="39">
        <f>'[33]Budget Forms'!F302</f>
        <v>0</v>
      </c>
      <c r="D139" s="39">
        <f>'[33]Budget Forms'!G302</f>
        <v>0</v>
      </c>
      <c r="E139" s="39">
        <f t="shared" si="53"/>
        <v>0</v>
      </c>
      <c r="F139" s="39">
        <f>'[33]Budget Forms'!H303</f>
        <v>0</v>
      </c>
      <c r="G139" s="39">
        <f>'[33]Budget Forms'!I303</f>
        <v>0</v>
      </c>
      <c r="H139" s="39">
        <f>'[33]Budget Forms'!J303</f>
        <v>0</v>
      </c>
      <c r="I139" s="39">
        <f t="shared" si="54"/>
        <v>0</v>
      </c>
      <c r="J139" s="39">
        <f>'[33]Budget Forms'!K303</f>
        <v>0</v>
      </c>
      <c r="K139" s="39">
        <f>'[33]Budget Forms'!L303</f>
        <v>0</v>
      </c>
      <c r="L139" s="39">
        <f>'[33]Budget Forms'!M303</f>
        <v>0</v>
      </c>
      <c r="M139" s="39">
        <f t="shared" si="55"/>
        <v>0</v>
      </c>
      <c r="N139" s="39">
        <f>'[33]Budget Forms'!N303</f>
        <v>0</v>
      </c>
      <c r="O139" s="39">
        <f>'[33]Budget Forms'!O303</f>
        <v>0</v>
      </c>
      <c r="P139" s="39">
        <f>'[33]Budget Forms'!P303</f>
        <v>0</v>
      </c>
      <c r="Q139" s="39">
        <f t="shared" si="56"/>
        <v>0</v>
      </c>
      <c r="R139" s="39">
        <f t="shared" si="52"/>
        <v>0</v>
      </c>
      <c r="S139" s="16"/>
      <c r="T139" s="16"/>
      <c r="U139" s="16"/>
      <c r="V139" s="16"/>
      <c r="W139" s="16"/>
      <c r="X139" s="16"/>
      <c r="Y139" s="16"/>
      <c r="Z139" s="16"/>
    </row>
    <row r="140" spans="1:28" s="35" customFormat="1" ht="31.2" hidden="1" outlineLevel="1">
      <c r="A140" s="31" t="s">
        <v>226</v>
      </c>
      <c r="B140" s="32">
        <f>SUM(B141:B143)</f>
        <v>0</v>
      </c>
      <c r="C140" s="32">
        <f>SUM(C141:C143)</f>
        <v>0</v>
      </c>
      <c r="D140" s="32">
        <f>SUM(D141:D143)</f>
        <v>0</v>
      </c>
      <c r="E140" s="32">
        <f t="shared" si="53"/>
        <v>0</v>
      </c>
      <c r="F140" s="32">
        <f>SUM(F141:F143)</f>
        <v>0</v>
      </c>
      <c r="G140" s="32">
        <f>SUM(G141:G143)</f>
        <v>0</v>
      </c>
      <c r="H140" s="32">
        <f>SUM(H141:H143)</f>
        <v>0</v>
      </c>
      <c r="I140" s="32">
        <f t="shared" si="54"/>
        <v>0</v>
      </c>
      <c r="J140" s="32">
        <f>SUM(J141:J143)</f>
        <v>0</v>
      </c>
      <c r="K140" s="32">
        <f>SUM(K141:K143)</f>
        <v>0</v>
      </c>
      <c r="L140" s="32">
        <f>SUM(L141:L143)</f>
        <v>0</v>
      </c>
      <c r="M140" s="32">
        <f t="shared" si="55"/>
        <v>0</v>
      </c>
      <c r="N140" s="32">
        <f>SUM(N141:N143)</f>
        <v>0</v>
      </c>
      <c r="O140" s="32">
        <f>SUM(O141:O143)</f>
        <v>0</v>
      </c>
      <c r="P140" s="32">
        <f>SUM(P141:P143)</f>
        <v>0</v>
      </c>
      <c r="Q140" s="32">
        <f t="shared" si="56"/>
        <v>0</v>
      </c>
      <c r="R140" s="33">
        <f t="shared" si="52"/>
        <v>0</v>
      </c>
    </row>
    <row r="141" spans="1:28" ht="21" hidden="1" outlineLevel="1">
      <c r="A141" s="52" t="s">
        <v>212</v>
      </c>
      <c r="B141" s="39">
        <f>'[33]Budget Forms'!E304</f>
        <v>0</v>
      </c>
      <c r="C141" s="39">
        <f>'[33]Budget Forms'!F304</f>
        <v>0</v>
      </c>
      <c r="D141" s="39">
        <f>'[33]Budget Forms'!G304</f>
        <v>0</v>
      </c>
      <c r="E141" s="39">
        <f t="shared" si="53"/>
        <v>0</v>
      </c>
      <c r="F141" s="39">
        <f>'[33]Budget Forms'!H305</f>
        <v>0</v>
      </c>
      <c r="G141" s="39">
        <f>'[33]Budget Forms'!I305</f>
        <v>0</v>
      </c>
      <c r="H141" s="39">
        <f>'[33]Budget Forms'!J305</f>
        <v>0</v>
      </c>
      <c r="I141" s="39">
        <f t="shared" si="54"/>
        <v>0</v>
      </c>
      <c r="J141" s="39">
        <f>'[33]Budget Forms'!K305</f>
        <v>0</v>
      </c>
      <c r="K141" s="39">
        <f>'[33]Budget Forms'!L305</f>
        <v>0</v>
      </c>
      <c r="L141" s="39">
        <f>'[33]Budget Forms'!M305</f>
        <v>0</v>
      </c>
      <c r="M141" s="39">
        <f t="shared" si="55"/>
        <v>0</v>
      </c>
      <c r="N141" s="39">
        <f>'[33]Budget Forms'!N305</f>
        <v>0</v>
      </c>
      <c r="O141" s="39">
        <f>'[33]Budget Forms'!O305</f>
        <v>0</v>
      </c>
      <c r="P141" s="39">
        <f>'[33]Budget Forms'!P305</f>
        <v>0</v>
      </c>
      <c r="Q141" s="39">
        <f t="shared" si="56"/>
        <v>0</v>
      </c>
      <c r="R141" s="39">
        <f t="shared" si="52"/>
        <v>0</v>
      </c>
      <c r="S141" s="16"/>
      <c r="T141" s="16"/>
      <c r="U141" s="16"/>
      <c r="V141" s="16"/>
      <c r="W141" s="16"/>
      <c r="X141" s="16"/>
      <c r="Y141" s="16"/>
      <c r="Z141" s="16"/>
    </row>
    <row r="142" spans="1:28" ht="21" hidden="1" outlineLevel="1">
      <c r="A142" s="52" t="s">
        <v>216</v>
      </c>
      <c r="B142" s="39">
        <f>'[33]Budget Forms'!E305</f>
        <v>0</v>
      </c>
      <c r="C142" s="39">
        <f>'[33]Budget Forms'!F305</f>
        <v>0</v>
      </c>
      <c r="D142" s="39">
        <f>'[33]Budget Forms'!G305</f>
        <v>0</v>
      </c>
      <c r="E142" s="39">
        <f t="shared" si="53"/>
        <v>0</v>
      </c>
      <c r="F142" s="39">
        <f>'[33]Budget Forms'!H306</f>
        <v>0</v>
      </c>
      <c r="G142" s="39">
        <f>'[33]Budget Forms'!I306</f>
        <v>0</v>
      </c>
      <c r="H142" s="39">
        <f>'[33]Budget Forms'!J306</f>
        <v>0</v>
      </c>
      <c r="I142" s="39">
        <f t="shared" si="54"/>
        <v>0</v>
      </c>
      <c r="J142" s="39">
        <f>'[33]Budget Forms'!K306</f>
        <v>0</v>
      </c>
      <c r="K142" s="39">
        <f>'[33]Budget Forms'!L306</f>
        <v>0</v>
      </c>
      <c r="L142" s="39">
        <f>'[33]Budget Forms'!M306</f>
        <v>0</v>
      </c>
      <c r="M142" s="39">
        <f t="shared" si="55"/>
        <v>0</v>
      </c>
      <c r="N142" s="39">
        <f>'[33]Budget Forms'!N306</f>
        <v>0</v>
      </c>
      <c r="O142" s="39">
        <f>'[33]Budget Forms'!O306</f>
        <v>0</v>
      </c>
      <c r="P142" s="39">
        <f>'[33]Budget Forms'!P306</f>
        <v>0</v>
      </c>
      <c r="Q142" s="39">
        <f t="shared" si="56"/>
        <v>0</v>
      </c>
      <c r="R142" s="39">
        <f t="shared" si="52"/>
        <v>0</v>
      </c>
      <c r="S142" s="16"/>
      <c r="T142" s="16"/>
      <c r="U142" s="16"/>
      <c r="V142" s="16"/>
      <c r="W142" s="16"/>
      <c r="X142" s="16"/>
      <c r="Y142" s="16"/>
      <c r="Z142" s="16"/>
    </row>
    <row r="143" spans="1:28" ht="21" hidden="1" outlineLevel="1">
      <c r="A143" s="52" t="s">
        <v>112</v>
      </c>
      <c r="B143" s="39">
        <f>'[33]Budget Forms'!E306</f>
        <v>0</v>
      </c>
      <c r="C143" s="39">
        <f>'[33]Budget Forms'!F306</f>
        <v>0</v>
      </c>
      <c r="D143" s="39">
        <f>'[33]Budget Forms'!G306</f>
        <v>0</v>
      </c>
      <c r="E143" s="39">
        <f t="shared" si="53"/>
        <v>0</v>
      </c>
      <c r="F143" s="39">
        <f>'[33]Budget Forms'!H307</f>
        <v>0</v>
      </c>
      <c r="G143" s="39">
        <f>'[33]Budget Forms'!I307</f>
        <v>0</v>
      </c>
      <c r="H143" s="39">
        <f>'[33]Budget Forms'!J307</f>
        <v>0</v>
      </c>
      <c r="I143" s="39">
        <f t="shared" si="54"/>
        <v>0</v>
      </c>
      <c r="J143" s="39">
        <f>'[33]Budget Forms'!K307</f>
        <v>0</v>
      </c>
      <c r="K143" s="39">
        <f>'[33]Budget Forms'!L307</f>
        <v>0</v>
      </c>
      <c r="L143" s="39">
        <f>'[33]Budget Forms'!M307</f>
        <v>0</v>
      </c>
      <c r="M143" s="39">
        <f t="shared" si="55"/>
        <v>0</v>
      </c>
      <c r="N143" s="39">
        <f>'[33]Budget Forms'!N307</f>
        <v>0</v>
      </c>
      <c r="O143" s="39">
        <f>'[33]Budget Forms'!O307</f>
        <v>0</v>
      </c>
      <c r="P143" s="39">
        <f>'[33]Budget Forms'!P307</f>
        <v>0</v>
      </c>
      <c r="Q143" s="39">
        <f t="shared" si="56"/>
        <v>0</v>
      </c>
      <c r="R143" s="39">
        <f>SUM(E143,I143,M143,Q143)</f>
        <v>0</v>
      </c>
      <c r="S143" s="16"/>
      <c r="T143" s="16"/>
      <c r="U143" s="16"/>
      <c r="V143" s="16"/>
      <c r="W143" s="16"/>
      <c r="X143" s="16"/>
      <c r="Y143" s="16"/>
      <c r="Z143" s="16"/>
    </row>
    <row r="144" spans="1:28" ht="23.4" collapsed="1">
      <c r="A144" s="51" t="s">
        <v>30</v>
      </c>
      <c r="B144" s="42">
        <v>416666.67</v>
      </c>
      <c r="C144" s="42">
        <v>416666.67</v>
      </c>
      <c r="D144" s="42">
        <v>416666.67</v>
      </c>
      <c r="E144" s="42">
        <f t="shared" si="53"/>
        <v>1250000.01</v>
      </c>
      <c r="F144" s="42">
        <v>416666.67</v>
      </c>
      <c r="G144" s="42">
        <v>416666.67</v>
      </c>
      <c r="H144" s="42">
        <v>416666.67</v>
      </c>
      <c r="I144" s="42">
        <f t="shared" si="54"/>
        <v>1250000.01</v>
      </c>
      <c r="J144" s="42">
        <v>416666.67</v>
      </c>
      <c r="K144" s="42">
        <v>416666.67</v>
      </c>
      <c r="L144" s="42">
        <v>416666.67</v>
      </c>
      <c r="M144" s="42">
        <f t="shared" si="55"/>
        <v>1250000.01</v>
      </c>
      <c r="N144" s="42">
        <v>416666.67</v>
      </c>
      <c r="O144" s="42">
        <v>416666.67</v>
      </c>
      <c r="P144" s="42">
        <v>416666.67</v>
      </c>
      <c r="Q144" s="42">
        <f t="shared" si="56"/>
        <v>1250000.01</v>
      </c>
      <c r="R144" s="42">
        <f t="shared" ref="R144" si="59">SUM(E144,I144,M144,Q144)</f>
        <v>5000000.04</v>
      </c>
      <c r="S144" s="15"/>
      <c r="T144" s="15"/>
      <c r="U144" s="15"/>
      <c r="V144" s="15"/>
      <c r="W144" s="15"/>
      <c r="X144" s="15"/>
      <c r="Y144" s="15"/>
      <c r="Z144" s="15"/>
      <c r="AA144" s="15"/>
      <c r="AB144" s="15"/>
    </row>
    <row r="145" spans="1:28" ht="23.4">
      <c r="A145" s="51" t="s">
        <v>227</v>
      </c>
      <c r="B145" s="42">
        <f>SUM(B146,B150,B154)</f>
        <v>422634.27</v>
      </c>
      <c r="C145" s="42">
        <f>SUM(C146,C150,C154)</f>
        <v>397234.27</v>
      </c>
      <c r="D145" s="42">
        <f>SUM(D146,D150,D154)</f>
        <v>492154.27</v>
      </c>
      <c r="E145" s="42">
        <f>SUM(B145:D145)</f>
        <v>1312022.81</v>
      </c>
      <c r="F145" s="42">
        <f>SUM(F146,F150,F154)</f>
        <v>422634.27</v>
      </c>
      <c r="G145" s="42">
        <f>SUM(G146,G150,G154)</f>
        <v>353114.27</v>
      </c>
      <c r="H145" s="42">
        <f>SUM(H146,H150,H154)</f>
        <v>422634.27</v>
      </c>
      <c r="I145" s="42">
        <f>SUM(F145:H145)</f>
        <v>1198382.81</v>
      </c>
      <c r="J145" s="42">
        <f>SUM(J146,J150,J154)</f>
        <v>422634.27</v>
      </c>
      <c r="K145" s="42">
        <f>SUM(K146,K150,K154)</f>
        <v>422634.27</v>
      </c>
      <c r="L145" s="42">
        <f>SUM(L146,L150,L154)</f>
        <v>448034.27</v>
      </c>
      <c r="M145" s="42">
        <f>SUM(J145:L145)</f>
        <v>1293302.81</v>
      </c>
      <c r="N145" s="42">
        <f>SUM(N146,N150,N154)</f>
        <v>422634.27</v>
      </c>
      <c r="O145" s="42">
        <f>SUM(O146,O150,O154)</f>
        <v>422634.27</v>
      </c>
      <c r="P145" s="42">
        <f>SUM(P146,P150,P154)</f>
        <v>422634.27</v>
      </c>
      <c r="Q145" s="42">
        <f>SUM(N145:P145)</f>
        <v>1267902.81</v>
      </c>
      <c r="R145" s="42">
        <f>SUM(E145,I145,M145,Q145)</f>
        <v>5071611.24</v>
      </c>
      <c r="S145" s="15"/>
      <c r="T145" s="15"/>
      <c r="U145" s="15"/>
      <c r="V145" s="15"/>
      <c r="W145" s="15"/>
      <c r="X145" s="15"/>
      <c r="Y145" s="15"/>
      <c r="Z145" s="15"/>
      <c r="AA145" s="15"/>
      <c r="AB145" s="15"/>
    </row>
    <row r="146" spans="1:28" s="35" customFormat="1" ht="31.2" hidden="1" outlineLevel="1">
      <c r="A146" s="31" t="s">
        <v>228</v>
      </c>
      <c r="B146" s="32">
        <f>SUM(B147:B149)</f>
        <v>422634.27</v>
      </c>
      <c r="C146" s="32">
        <f>SUM(C147:C149)</f>
        <v>397234.27</v>
      </c>
      <c r="D146" s="32">
        <f>SUM(D147:D149)</f>
        <v>492154.27</v>
      </c>
      <c r="E146" s="32">
        <f t="shared" ref="E146:E174" si="60">SUM(B146:D146)</f>
        <v>1312022.81</v>
      </c>
      <c r="F146" s="32">
        <f>SUM(F147:F149)</f>
        <v>422634.27</v>
      </c>
      <c r="G146" s="32">
        <f>SUM(G147:G149)</f>
        <v>353114.27</v>
      </c>
      <c r="H146" s="32">
        <f>SUM(H147:H149)</f>
        <v>422634.27</v>
      </c>
      <c r="I146" s="32">
        <f t="shared" ref="I146:I192" si="61">SUM(F146:H146)</f>
        <v>1198382.81</v>
      </c>
      <c r="J146" s="32">
        <f>SUM(J147:J149)</f>
        <v>422634.27</v>
      </c>
      <c r="K146" s="32">
        <f>SUM(K147:K149)</f>
        <v>422634.27</v>
      </c>
      <c r="L146" s="32">
        <f>SUM(L147:L149)</f>
        <v>448034.27</v>
      </c>
      <c r="M146" s="32">
        <f t="shared" ref="M146:M192" si="62">SUM(J146:L146)</f>
        <v>1293302.81</v>
      </c>
      <c r="N146" s="32">
        <f>SUM(N147:N149)</f>
        <v>422634.27</v>
      </c>
      <c r="O146" s="32">
        <f>SUM(O147:O149)</f>
        <v>422634.27</v>
      </c>
      <c r="P146" s="32">
        <f>SUM(P147:P149)</f>
        <v>422634.27</v>
      </c>
      <c r="Q146" s="32">
        <f t="shared" ref="Q146:Q192" si="63">SUM(N146:P146)</f>
        <v>1267902.81</v>
      </c>
      <c r="R146" s="33">
        <f>SUM(E146,I146,M146,Q146)</f>
        <v>5071611.24</v>
      </c>
    </row>
    <row r="147" spans="1:28" ht="21" hidden="1" outlineLevel="1">
      <c r="A147" s="52" t="s">
        <v>212</v>
      </c>
      <c r="B147" s="39">
        <f>'[33]Budget Forms'!E308</f>
        <v>375459.71</v>
      </c>
      <c r="C147" s="39">
        <f>'[33]Budget Forms'!F308</f>
        <v>350059.71</v>
      </c>
      <c r="D147" s="39">
        <f>'[33]Budget Forms'!G308</f>
        <v>444979.71</v>
      </c>
      <c r="E147" s="39">
        <f t="shared" si="60"/>
        <v>1170499.1300000001</v>
      </c>
      <c r="F147" s="39">
        <f>'[33]Budget Forms'!H308</f>
        <v>375459.71</v>
      </c>
      <c r="G147" s="39">
        <f>'[33]Budget Forms'!I308</f>
        <v>305939.71000000002</v>
      </c>
      <c r="H147" s="39">
        <f>'[33]Budget Forms'!J308</f>
        <v>375459.71</v>
      </c>
      <c r="I147" s="39">
        <f t="shared" si="61"/>
        <v>1056859.1300000001</v>
      </c>
      <c r="J147" s="39">
        <f>'[33]Budget Forms'!K308</f>
        <v>375459.71</v>
      </c>
      <c r="K147" s="39">
        <f>'[33]Budget Forms'!L308</f>
        <v>375459.71</v>
      </c>
      <c r="L147" s="39">
        <f>'[33]Budget Forms'!M308</f>
        <v>400859.71</v>
      </c>
      <c r="M147" s="39">
        <f t="shared" si="62"/>
        <v>1151779.1300000001</v>
      </c>
      <c r="N147" s="39">
        <f>'[33]Budget Forms'!N308</f>
        <v>375459.71</v>
      </c>
      <c r="O147" s="39">
        <f>'[33]Budget Forms'!O308</f>
        <v>375459.71</v>
      </c>
      <c r="P147" s="39">
        <f>'[33]Budget Forms'!P308</f>
        <v>375459.71</v>
      </c>
      <c r="Q147" s="39">
        <f t="shared" si="63"/>
        <v>1126379.1300000001</v>
      </c>
      <c r="R147" s="39">
        <f t="shared" ref="R147:R148" si="64">SUM(E147,I147,M147,Q147)</f>
        <v>4505516.5200000005</v>
      </c>
      <c r="S147" s="16"/>
      <c r="T147" s="16"/>
      <c r="U147" s="16"/>
      <c r="V147" s="16"/>
      <c r="W147" s="16"/>
      <c r="X147" s="16"/>
      <c r="Y147" s="16"/>
      <c r="Z147" s="16"/>
    </row>
    <row r="148" spans="1:28" ht="21" hidden="1" outlineLevel="1">
      <c r="A148" s="52" t="s">
        <v>216</v>
      </c>
      <c r="B148" s="39">
        <f>'[33]Budget Forms'!E309</f>
        <v>0</v>
      </c>
      <c r="C148" s="39">
        <f>'[33]Budget Forms'!F309</f>
        <v>0</v>
      </c>
      <c r="D148" s="39">
        <f>'[33]Budget Forms'!G309</f>
        <v>0</v>
      </c>
      <c r="E148" s="39">
        <f t="shared" si="60"/>
        <v>0</v>
      </c>
      <c r="F148" s="39">
        <f>'[33]Budget Forms'!H309</f>
        <v>0</v>
      </c>
      <c r="G148" s="39">
        <f>'[33]Budget Forms'!I309</f>
        <v>0</v>
      </c>
      <c r="H148" s="39">
        <f>'[33]Budget Forms'!J309</f>
        <v>0</v>
      </c>
      <c r="I148" s="39">
        <f t="shared" si="61"/>
        <v>0</v>
      </c>
      <c r="J148" s="39">
        <f>'[33]Budget Forms'!K309</f>
        <v>0</v>
      </c>
      <c r="K148" s="39">
        <f>'[33]Budget Forms'!L309</f>
        <v>0</v>
      </c>
      <c r="L148" s="39">
        <f>'[33]Budget Forms'!M309</f>
        <v>0</v>
      </c>
      <c r="M148" s="39">
        <f t="shared" si="62"/>
        <v>0</v>
      </c>
      <c r="N148" s="39">
        <f>'[33]Budget Forms'!N309</f>
        <v>0</v>
      </c>
      <c r="O148" s="39">
        <f>'[33]Budget Forms'!O309</f>
        <v>0</v>
      </c>
      <c r="P148" s="39">
        <f>'[33]Budget Forms'!P309</f>
        <v>0</v>
      </c>
      <c r="Q148" s="39">
        <f t="shared" si="63"/>
        <v>0</v>
      </c>
      <c r="R148" s="39">
        <f t="shared" si="64"/>
        <v>0</v>
      </c>
      <c r="S148" s="16"/>
      <c r="T148" s="16"/>
      <c r="U148" s="16"/>
      <c r="V148" s="16"/>
      <c r="W148" s="16"/>
      <c r="X148" s="16"/>
      <c r="Y148" s="16"/>
      <c r="Z148" s="16"/>
    </row>
    <row r="149" spans="1:28" ht="21" hidden="1" outlineLevel="1">
      <c r="A149" s="52" t="s">
        <v>112</v>
      </c>
      <c r="B149" s="39">
        <f>'[33]Budget Forms'!E310</f>
        <v>47174.559999999998</v>
      </c>
      <c r="C149" s="39">
        <f>'[33]Budget Forms'!F310</f>
        <v>47174.559999999998</v>
      </c>
      <c r="D149" s="39">
        <f>'[33]Budget Forms'!G310</f>
        <v>47174.559999999998</v>
      </c>
      <c r="E149" s="39">
        <f t="shared" si="60"/>
        <v>141523.68</v>
      </c>
      <c r="F149" s="39">
        <f>'[33]Budget Forms'!H310</f>
        <v>47174.559999999998</v>
      </c>
      <c r="G149" s="39">
        <f>'[33]Budget Forms'!I310</f>
        <v>47174.559999999998</v>
      </c>
      <c r="H149" s="39">
        <f>'[33]Budget Forms'!J310</f>
        <v>47174.559999999998</v>
      </c>
      <c r="I149" s="39">
        <f t="shared" si="61"/>
        <v>141523.68</v>
      </c>
      <c r="J149" s="39">
        <f>'[33]Budget Forms'!K310</f>
        <v>47174.559999999998</v>
      </c>
      <c r="K149" s="39">
        <f>'[33]Budget Forms'!L310</f>
        <v>47174.559999999998</v>
      </c>
      <c r="L149" s="39">
        <f>'[33]Budget Forms'!M310</f>
        <v>47174.559999999998</v>
      </c>
      <c r="M149" s="39">
        <f t="shared" si="62"/>
        <v>141523.68</v>
      </c>
      <c r="N149" s="39">
        <f>'[33]Budget Forms'!N310</f>
        <v>47174.559999999998</v>
      </c>
      <c r="O149" s="39">
        <f>'[33]Budget Forms'!O310</f>
        <v>47174.559999999998</v>
      </c>
      <c r="P149" s="39">
        <f>'[33]Budget Forms'!P310</f>
        <v>47174.559999999998</v>
      </c>
      <c r="Q149" s="39">
        <f t="shared" si="63"/>
        <v>141523.68</v>
      </c>
      <c r="R149" s="39">
        <f>SUM(E149,I149,M149,Q149)</f>
        <v>566094.72</v>
      </c>
      <c r="S149" s="16"/>
      <c r="T149" s="16"/>
      <c r="U149" s="16"/>
      <c r="V149" s="16"/>
      <c r="W149" s="16"/>
      <c r="X149" s="16"/>
      <c r="Y149" s="16"/>
      <c r="Z149" s="16"/>
    </row>
    <row r="150" spans="1:28" s="35" customFormat="1" ht="31.2" hidden="1" outlineLevel="1">
      <c r="A150" s="31" t="s">
        <v>229</v>
      </c>
      <c r="B150" s="32">
        <f>SUM(B151:B153)</f>
        <v>0</v>
      </c>
      <c r="C150" s="32">
        <f>SUM(C151:C153)</f>
        <v>0</v>
      </c>
      <c r="D150" s="32">
        <f>SUM(D151:D153)</f>
        <v>0</v>
      </c>
      <c r="E150" s="32">
        <f t="shared" si="60"/>
        <v>0</v>
      </c>
      <c r="F150" s="32">
        <f>SUM(F151:F153)</f>
        <v>0</v>
      </c>
      <c r="G150" s="32">
        <f>SUM(G151:G153)</f>
        <v>0</v>
      </c>
      <c r="H150" s="32">
        <f>SUM(H151:H153)</f>
        <v>0</v>
      </c>
      <c r="I150" s="32">
        <f t="shared" si="61"/>
        <v>0</v>
      </c>
      <c r="J150" s="32">
        <f>SUM(J151:J153)</f>
        <v>0</v>
      </c>
      <c r="K150" s="32">
        <f>SUM(K151:K153)</f>
        <v>0</v>
      </c>
      <c r="L150" s="32">
        <f>SUM(L151:L153)</f>
        <v>0</v>
      </c>
      <c r="M150" s="32">
        <f t="shared" si="62"/>
        <v>0</v>
      </c>
      <c r="N150" s="32">
        <f>SUM(N151:N153)</f>
        <v>0</v>
      </c>
      <c r="O150" s="32">
        <f>SUM(O151:O153)</f>
        <v>0</v>
      </c>
      <c r="P150" s="32">
        <f>SUM(P151:P153)</f>
        <v>0</v>
      </c>
      <c r="Q150" s="32">
        <f t="shared" si="63"/>
        <v>0</v>
      </c>
      <c r="R150" s="33">
        <f t="shared" ref="R150:R152" si="65">SUM(E150,I150,M150,Q150)</f>
        <v>0</v>
      </c>
    </row>
    <row r="151" spans="1:28" ht="21" hidden="1" outlineLevel="1">
      <c r="A151" s="52" t="s">
        <v>212</v>
      </c>
      <c r="B151" s="39">
        <f>'[33]Budget Forms'!E312</f>
        <v>0</v>
      </c>
      <c r="C151" s="39">
        <f>'[33]Budget Forms'!F312</f>
        <v>0</v>
      </c>
      <c r="D151" s="39">
        <f>'[33]Budget Forms'!G312</f>
        <v>0</v>
      </c>
      <c r="E151" s="39">
        <f t="shared" si="60"/>
        <v>0</v>
      </c>
      <c r="F151" s="39">
        <f>'[33]Budget Forms'!H312</f>
        <v>0</v>
      </c>
      <c r="G151" s="39">
        <f>'[33]Budget Forms'!I312</f>
        <v>0</v>
      </c>
      <c r="H151" s="39">
        <f>'[33]Budget Forms'!J312</f>
        <v>0</v>
      </c>
      <c r="I151" s="39">
        <f t="shared" si="61"/>
        <v>0</v>
      </c>
      <c r="J151" s="39">
        <f>'[33]Budget Forms'!K312</f>
        <v>0</v>
      </c>
      <c r="K151" s="39">
        <f>'[33]Budget Forms'!L312</f>
        <v>0</v>
      </c>
      <c r="L151" s="39">
        <f>'[33]Budget Forms'!M312</f>
        <v>0</v>
      </c>
      <c r="M151" s="39">
        <f t="shared" si="62"/>
        <v>0</v>
      </c>
      <c r="N151" s="39">
        <f>-'[33]Budget Forms'!N311</f>
        <v>0</v>
      </c>
      <c r="O151" s="39">
        <f>'[33]Budget Forms'!O312</f>
        <v>0</v>
      </c>
      <c r="P151" s="39">
        <f>'[33]Budget Forms'!P312</f>
        <v>0</v>
      </c>
      <c r="Q151" s="39">
        <f t="shared" si="63"/>
        <v>0</v>
      </c>
      <c r="R151" s="39">
        <f t="shared" si="65"/>
        <v>0</v>
      </c>
      <c r="S151" s="16"/>
      <c r="T151" s="16"/>
      <c r="U151" s="16"/>
      <c r="V151" s="16"/>
      <c r="W151" s="16"/>
      <c r="X151" s="16"/>
      <c r="Y151" s="16"/>
      <c r="Z151" s="16"/>
    </row>
    <row r="152" spans="1:28" ht="21" hidden="1" outlineLevel="1">
      <c r="A152" s="52" t="s">
        <v>216</v>
      </c>
      <c r="B152" s="39">
        <f>'[33]Budget Forms'!E313</f>
        <v>0</v>
      </c>
      <c r="C152" s="39">
        <f>'[33]Budget Forms'!F313</f>
        <v>0</v>
      </c>
      <c r="D152" s="39">
        <f>'[33]Budget Forms'!G313</f>
        <v>0</v>
      </c>
      <c r="E152" s="39">
        <f t="shared" si="60"/>
        <v>0</v>
      </c>
      <c r="F152" s="39">
        <f>'[33]Budget Forms'!H313</f>
        <v>0</v>
      </c>
      <c r="G152" s="39">
        <f>'[33]Budget Forms'!I313</f>
        <v>0</v>
      </c>
      <c r="H152" s="39">
        <f>'[33]Budget Forms'!J313</f>
        <v>0</v>
      </c>
      <c r="I152" s="39">
        <f t="shared" si="61"/>
        <v>0</v>
      </c>
      <c r="J152" s="39">
        <f>'[33]Budget Forms'!K313</f>
        <v>0</v>
      </c>
      <c r="K152" s="39">
        <f>'[33]Budget Forms'!L313</f>
        <v>0</v>
      </c>
      <c r="L152" s="39">
        <f>'[33]Budget Forms'!M313</f>
        <v>0</v>
      </c>
      <c r="M152" s="39">
        <f t="shared" si="62"/>
        <v>0</v>
      </c>
      <c r="N152" s="39">
        <f>-'[33]Budget Forms'!N312</f>
        <v>0</v>
      </c>
      <c r="O152" s="39">
        <f>'[33]Budget Forms'!O313</f>
        <v>0</v>
      </c>
      <c r="P152" s="39">
        <f>'[33]Budget Forms'!P313</f>
        <v>0</v>
      </c>
      <c r="Q152" s="39">
        <f t="shared" si="63"/>
        <v>0</v>
      </c>
      <c r="R152" s="39">
        <f t="shared" si="65"/>
        <v>0</v>
      </c>
      <c r="S152" s="16"/>
      <c r="T152" s="16"/>
      <c r="U152" s="16"/>
      <c r="V152" s="16"/>
      <c r="W152" s="16"/>
      <c r="X152" s="16"/>
      <c r="Y152" s="16"/>
      <c r="Z152" s="16"/>
    </row>
    <row r="153" spans="1:28" ht="21" hidden="1" outlineLevel="1">
      <c r="A153" s="52" t="s">
        <v>112</v>
      </c>
      <c r="B153" s="39">
        <f>'[33]Budget Forms'!E314</f>
        <v>0</v>
      </c>
      <c r="C153" s="39">
        <f>'[33]Budget Forms'!F314</f>
        <v>0</v>
      </c>
      <c r="D153" s="39">
        <f>'[33]Budget Forms'!G314</f>
        <v>0</v>
      </c>
      <c r="E153" s="39">
        <f t="shared" si="60"/>
        <v>0</v>
      </c>
      <c r="F153" s="39">
        <f>'[33]Budget Forms'!H314</f>
        <v>0</v>
      </c>
      <c r="G153" s="39">
        <f>'[33]Budget Forms'!I314</f>
        <v>0</v>
      </c>
      <c r="H153" s="39">
        <f>'[33]Budget Forms'!J314</f>
        <v>0</v>
      </c>
      <c r="I153" s="39">
        <f t="shared" si="61"/>
        <v>0</v>
      </c>
      <c r="J153" s="39">
        <f>'[33]Budget Forms'!K314</f>
        <v>0</v>
      </c>
      <c r="K153" s="39">
        <f>'[33]Budget Forms'!L314</f>
        <v>0</v>
      </c>
      <c r="L153" s="39">
        <f>'[33]Budget Forms'!M314</f>
        <v>0</v>
      </c>
      <c r="M153" s="39">
        <f t="shared" si="62"/>
        <v>0</v>
      </c>
      <c r="N153" s="39">
        <f>-'[33]Budget Forms'!N313</f>
        <v>0</v>
      </c>
      <c r="O153" s="39">
        <f>'[33]Budget Forms'!O314</f>
        <v>0</v>
      </c>
      <c r="P153" s="39">
        <f>'[33]Budget Forms'!P314</f>
        <v>0</v>
      </c>
      <c r="Q153" s="39">
        <f t="shared" si="63"/>
        <v>0</v>
      </c>
      <c r="R153" s="39">
        <f>SUM(E153,I153,M153,Q153)</f>
        <v>0</v>
      </c>
      <c r="S153" s="16"/>
      <c r="T153" s="16"/>
      <c r="U153" s="16"/>
      <c r="V153" s="16"/>
      <c r="W153" s="16"/>
      <c r="X153" s="16"/>
      <c r="Y153" s="16"/>
      <c r="Z153" s="16"/>
    </row>
    <row r="154" spans="1:28" s="35" customFormat="1" ht="31.2" hidden="1" outlineLevel="1">
      <c r="A154" s="31" t="s">
        <v>230</v>
      </c>
      <c r="B154" s="32">
        <f>SUM(B155:B157)</f>
        <v>0</v>
      </c>
      <c r="C154" s="32">
        <f>SUM(C155:C157)</f>
        <v>0</v>
      </c>
      <c r="D154" s="32">
        <f>SUM(D155:D157)</f>
        <v>0</v>
      </c>
      <c r="E154" s="32">
        <f t="shared" si="60"/>
        <v>0</v>
      </c>
      <c r="F154" s="32">
        <f>SUM(F155:F157)</f>
        <v>0</v>
      </c>
      <c r="G154" s="32">
        <f>SUM(G155:G157)</f>
        <v>0</v>
      </c>
      <c r="H154" s="32">
        <f>SUM(H155:H157)</f>
        <v>0</v>
      </c>
      <c r="I154" s="32">
        <f t="shared" si="61"/>
        <v>0</v>
      </c>
      <c r="J154" s="32">
        <f>SUM(J155:J157)</f>
        <v>0</v>
      </c>
      <c r="K154" s="32">
        <f>SUM(K155:K157)</f>
        <v>0</v>
      </c>
      <c r="L154" s="32">
        <f>SUM(L155:L157)</f>
        <v>0</v>
      </c>
      <c r="M154" s="32">
        <f t="shared" si="62"/>
        <v>0</v>
      </c>
      <c r="N154" s="32">
        <f>SUM(N155:N157)</f>
        <v>0</v>
      </c>
      <c r="O154" s="32">
        <f>SUM(O155:O157)</f>
        <v>0</v>
      </c>
      <c r="P154" s="32">
        <f>SUM(P155:P157)</f>
        <v>0</v>
      </c>
      <c r="Q154" s="32">
        <f t="shared" si="63"/>
        <v>0</v>
      </c>
      <c r="R154" s="33">
        <f t="shared" ref="R154:R156" si="66">SUM(E154,I154,M154,Q154)</f>
        <v>0</v>
      </c>
    </row>
    <row r="155" spans="1:28" ht="21" hidden="1" outlineLevel="1">
      <c r="A155" s="52" t="s">
        <v>212</v>
      </c>
      <c r="B155" s="39">
        <f>'[33]Budget Forms'!E316</f>
        <v>0</v>
      </c>
      <c r="C155" s="39">
        <f>'[33]Budget Forms'!F316</f>
        <v>0</v>
      </c>
      <c r="D155" s="39">
        <f>'[33]Budget Forms'!G316</f>
        <v>0</v>
      </c>
      <c r="E155" s="39">
        <f t="shared" si="60"/>
        <v>0</v>
      </c>
      <c r="F155" s="39">
        <f>'[33]Budget Forms'!H316</f>
        <v>0</v>
      </c>
      <c r="G155" s="39">
        <f>'[33]Budget Forms'!I316</f>
        <v>0</v>
      </c>
      <c r="H155" s="39">
        <f>'[33]Budget Forms'!J316</f>
        <v>0</v>
      </c>
      <c r="I155" s="39">
        <f t="shared" si="61"/>
        <v>0</v>
      </c>
      <c r="J155" s="39">
        <f>'[33]Budget Forms'!K316</f>
        <v>0</v>
      </c>
      <c r="K155" s="39">
        <f>'[33]Budget Forms'!L316</f>
        <v>0</v>
      </c>
      <c r="L155" s="39">
        <f>'[33]Budget Forms'!M316</f>
        <v>0</v>
      </c>
      <c r="M155" s="39">
        <f t="shared" si="62"/>
        <v>0</v>
      </c>
      <c r="N155" s="39">
        <f>-'[33]Budget Forms'!N314</f>
        <v>0</v>
      </c>
      <c r="O155" s="39">
        <f>'[33]Budget Forms'!O316</f>
        <v>0</v>
      </c>
      <c r="P155" s="39">
        <f>'[33]Budget Forms'!P316</f>
        <v>0</v>
      </c>
      <c r="Q155" s="39">
        <f t="shared" si="63"/>
        <v>0</v>
      </c>
      <c r="R155" s="39">
        <f t="shared" si="66"/>
        <v>0</v>
      </c>
      <c r="S155" s="16"/>
      <c r="T155" s="16"/>
      <c r="U155" s="16"/>
      <c r="V155" s="16"/>
      <c r="W155" s="16"/>
      <c r="X155" s="16"/>
      <c r="Y155" s="16"/>
      <c r="Z155" s="16"/>
    </row>
    <row r="156" spans="1:28" ht="21" hidden="1" outlineLevel="1">
      <c r="A156" s="52" t="s">
        <v>216</v>
      </c>
      <c r="B156" s="39">
        <f>'[33]Budget Forms'!E317</f>
        <v>0</v>
      </c>
      <c r="C156" s="39">
        <f>'[33]Budget Forms'!F317</f>
        <v>0</v>
      </c>
      <c r="D156" s="39">
        <f>'[33]Budget Forms'!G317</f>
        <v>0</v>
      </c>
      <c r="E156" s="39">
        <f t="shared" si="60"/>
        <v>0</v>
      </c>
      <c r="F156" s="39">
        <f>'[33]Budget Forms'!H317</f>
        <v>0</v>
      </c>
      <c r="G156" s="39">
        <f>'[33]Budget Forms'!I317</f>
        <v>0</v>
      </c>
      <c r="H156" s="39">
        <f>'[33]Budget Forms'!J317</f>
        <v>0</v>
      </c>
      <c r="I156" s="39">
        <f t="shared" si="61"/>
        <v>0</v>
      </c>
      <c r="J156" s="39">
        <f>'[33]Budget Forms'!K317</f>
        <v>0</v>
      </c>
      <c r="K156" s="39">
        <f>'[33]Budget Forms'!L317</f>
        <v>0</v>
      </c>
      <c r="L156" s="39">
        <f>'[33]Budget Forms'!M317</f>
        <v>0</v>
      </c>
      <c r="M156" s="39">
        <f t="shared" si="62"/>
        <v>0</v>
      </c>
      <c r="N156" s="39">
        <f>-'[33]Budget Forms'!N315</f>
        <v>0</v>
      </c>
      <c r="O156" s="39">
        <f>'[33]Budget Forms'!O317</f>
        <v>0</v>
      </c>
      <c r="P156" s="39">
        <f>'[33]Budget Forms'!P317</f>
        <v>0</v>
      </c>
      <c r="Q156" s="39">
        <f t="shared" si="63"/>
        <v>0</v>
      </c>
      <c r="R156" s="39">
        <f t="shared" si="66"/>
        <v>0</v>
      </c>
      <c r="S156" s="16"/>
      <c r="T156" s="16"/>
      <c r="U156" s="16"/>
      <c r="V156" s="16"/>
      <c r="W156" s="16"/>
      <c r="X156" s="16"/>
      <c r="Y156" s="16"/>
      <c r="Z156" s="16"/>
    </row>
    <row r="157" spans="1:28" ht="21" hidden="1" outlineLevel="1">
      <c r="A157" s="52" t="s">
        <v>112</v>
      </c>
      <c r="B157" s="39">
        <f>'[33]Budget Forms'!E318</f>
        <v>0</v>
      </c>
      <c r="C157" s="39">
        <f>'[33]Budget Forms'!F318</f>
        <v>0</v>
      </c>
      <c r="D157" s="39">
        <f>'[33]Budget Forms'!G318</f>
        <v>0</v>
      </c>
      <c r="E157" s="39">
        <f t="shared" si="60"/>
        <v>0</v>
      </c>
      <c r="F157" s="39">
        <f>'[33]Budget Forms'!H318</f>
        <v>0</v>
      </c>
      <c r="G157" s="39">
        <f>'[33]Budget Forms'!I318</f>
        <v>0</v>
      </c>
      <c r="H157" s="39">
        <f>'[33]Budget Forms'!J318</f>
        <v>0</v>
      </c>
      <c r="I157" s="39">
        <f t="shared" si="61"/>
        <v>0</v>
      </c>
      <c r="J157" s="39">
        <f>'[33]Budget Forms'!K318</f>
        <v>0</v>
      </c>
      <c r="K157" s="39">
        <f>'[33]Budget Forms'!L318</f>
        <v>0</v>
      </c>
      <c r="L157" s="39">
        <f>'[33]Budget Forms'!M318</f>
        <v>0</v>
      </c>
      <c r="M157" s="39">
        <f t="shared" si="62"/>
        <v>0</v>
      </c>
      <c r="N157" s="39">
        <f>-'[33]Budget Forms'!N316</f>
        <v>0</v>
      </c>
      <c r="O157" s="39">
        <f>'[33]Budget Forms'!O318</f>
        <v>0</v>
      </c>
      <c r="P157" s="39">
        <f>'[33]Budget Forms'!P318</f>
        <v>0</v>
      </c>
      <c r="Q157" s="39">
        <f t="shared" si="63"/>
        <v>0</v>
      </c>
      <c r="R157" s="39">
        <f>SUM(E157,I157,M157,Q157)</f>
        <v>0</v>
      </c>
      <c r="S157" s="16"/>
      <c r="T157" s="16"/>
      <c r="U157" s="16"/>
      <c r="V157" s="16"/>
      <c r="W157" s="16"/>
      <c r="X157" s="16"/>
      <c r="Y157" s="16"/>
      <c r="Z157" s="16"/>
    </row>
    <row r="158" spans="1:28" ht="23.4" hidden="1" collapsed="1">
      <c r="A158" s="51" t="s">
        <v>231</v>
      </c>
      <c r="B158" s="42">
        <f>SUM(B159,B163,B167,B171)</f>
        <v>0</v>
      </c>
      <c r="C158" s="42">
        <f>SUM(C159,C163,C167,C171)</f>
        <v>0</v>
      </c>
      <c r="D158" s="42">
        <f>SUM(D159,D163,D167,D171)</f>
        <v>0</v>
      </c>
      <c r="E158" s="42">
        <f t="shared" si="60"/>
        <v>0</v>
      </c>
      <c r="F158" s="42">
        <f>SUM(F159,F163,F167,F171)</f>
        <v>0</v>
      </c>
      <c r="G158" s="42">
        <f>SUM(G159,G163,G167,G171)</f>
        <v>0</v>
      </c>
      <c r="H158" s="42">
        <f>SUM(H159,H163,H167,H171)</f>
        <v>0</v>
      </c>
      <c r="I158" s="42">
        <f t="shared" si="61"/>
        <v>0</v>
      </c>
      <c r="J158" s="42">
        <f>SUM(J159,J163,J167,J171)</f>
        <v>0</v>
      </c>
      <c r="K158" s="42">
        <f>SUM(K159,K163,K167,K171)</f>
        <v>0</v>
      </c>
      <c r="L158" s="42">
        <f>SUM(L159,L163,L167,L171)</f>
        <v>0</v>
      </c>
      <c r="M158" s="42">
        <f t="shared" si="62"/>
        <v>0</v>
      </c>
      <c r="N158" s="42">
        <f>SUM(N159,N163,N167,N171)</f>
        <v>0</v>
      </c>
      <c r="O158" s="42">
        <f>SUM(O159,O163,O167,O171)</f>
        <v>0</v>
      </c>
      <c r="P158" s="42">
        <f>SUM(P159,P163,P167,P171)</f>
        <v>0</v>
      </c>
      <c r="Q158" s="42">
        <f t="shared" si="63"/>
        <v>0</v>
      </c>
      <c r="R158" s="42">
        <f>SUM(E158,I158,M158,Q158)</f>
        <v>0</v>
      </c>
    </row>
    <row r="159" spans="1:28" s="35" customFormat="1" ht="31.2" hidden="1" outlineLevel="1">
      <c r="A159" s="31" t="s">
        <v>232</v>
      </c>
      <c r="B159" s="32">
        <f>SUM(B160:B162)</f>
        <v>0</v>
      </c>
      <c r="C159" s="32">
        <f>SUM(C160:C162)</f>
        <v>0</v>
      </c>
      <c r="D159" s="32">
        <f>SUM(D160:D162)</f>
        <v>0</v>
      </c>
      <c r="E159" s="32">
        <f t="shared" si="60"/>
        <v>0</v>
      </c>
      <c r="F159" s="32">
        <f>SUM(F160:F162)</f>
        <v>0</v>
      </c>
      <c r="G159" s="32">
        <f>SUM(G160:G162)</f>
        <v>0</v>
      </c>
      <c r="H159" s="32">
        <f>SUM(H160:H162)</f>
        <v>0</v>
      </c>
      <c r="I159" s="32">
        <f t="shared" si="61"/>
        <v>0</v>
      </c>
      <c r="J159" s="32">
        <f>SUM(J160:J162)</f>
        <v>0</v>
      </c>
      <c r="K159" s="32">
        <f>SUM(K160:K162)</f>
        <v>0</v>
      </c>
      <c r="L159" s="32">
        <f>SUM(L160:L162)</f>
        <v>0</v>
      </c>
      <c r="M159" s="32">
        <f t="shared" si="62"/>
        <v>0</v>
      </c>
      <c r="N159" s="32">
        <f>SUM(N160:N162)</f>
        <v>0</v>
      </c>
      <c r="O159" s="32">
        <f>SUM(O160:O162)</f>
        <v>0</v>
      </c>
      <c r="P159" s="32">
        <f>SUM(P160:P162)</f>
        <v>0</v>
      </c>
      <c r="Q159" s="32">
        <f t="shared" si="63"/>
        <v>0</v>
      </c>
      <c r="R159" s="33">
        <f t="shared" ref="R159:R161" si="67">SUM(E159,I159,M159,Q159)</f>
        <v>0</v>
      </c>
    </row>
    <row r="160" spans="1:28" ht="21" hidden="1" outlineLevel="1">
      <c r="A160" s="52" t="s">
        <v>212</v>
      </c>
      <c r="B160" s="39">
        <f>-'[33]Budget Forms'!E318</f>
        <v>0</v>
      </c>
      <c r="C160" s="39">
        <f>-'[33]Budget Forms'!F318</f>
        <v>0</v>
      </c>
      <c r="D160" s="39">
        <f>-'[33]Budget Forms'!G318</f>
        <v>0</v>
      </c>
      <c r="E160" s="39">
        <f t="shared" si="60"/>
        <v>0</v>
      </c>
      <c r="F160" s="39">
        <f>-'[33]Budget Forms'!H318</f>
        <v>0</v>
      </c>
      <c r="G160" s="39">
        <f>-'[33]Budget Forms'!I318</f>
        <v>0</v>
      </c>
      <c r="H160" s="39">
        <f>-'[33]Budget Forms'!J318</f>
        <v>0</v>
      </c>
      <c r="I160" s="39">
        <f t="shared" si="61"/>
        <v>0</v>
      </c>
      <c r="J160" s="39">
        <f>-'[33]Budget Forms'!K318</f>
        <v>0</v>
      </c>
      <c r="K160" s="39">
        <f>-'[33]Budget Forms'!L318</f>
        <v>0</v>
      </c>
      <c r="L160" s="39">
        <f>-'[33]Budget Forms'!M318</f>
        <v>0</v>
      </c>
      <c r="M160" s="39">
        <f t="shared" si="62"/>
        <v>0</v>
      </c>
      <c r="N160" s="39">
        <f>-'[33]Budget Forms'!N318</f>
        <v>0</v>
      </c>
      <c r="O160" s="39">
        <f>-'[33]Budget Forms'!O318</f>
        <v>0</v>
      </c>
      <c r="P160" s="39">
        <f>-'[33]Budget Forms'!P318</f>
        <v>0</v>
      </c>
      <c r="Q160" s="39">
        <f t="shared" si="63"/>
        <v>0</v>
      </c>
      <c r="R160" s="39">
        <f t="shared" si="67"/>
        <v>0</v>
      </c>
      <c r="S160" s="16"/>
      <c r="T160" s="16"/>
      <c r="U160" s="16"/>
      <c r="V160" s="16"/>
      <c r="W160" s="16"/>
      <c r="X160" s="16"/>
      <c r="Y160" s="16"/>
      <c r="Z160" s="16"/>
    </row>
    <row r="161" spans="1:26" ht="21" hidden="1" outlineLevel="1">
      <c r="A161" s="52" t="s">
        <v>216</v>
      </c>
      <c r="B161" s="39">
        <f>-'[33]Budget Forms'!E319</f>
        <v>0</v>
      </c>
      <c r="C161" s="39">
        <f>-'[33]Budget Forms'!F319</f>
        <v>0</v>
      </c>
      <c r="D161" s="39">
        <f>-'[33]Budget Forms'!G319</f>
        <v>0</v>
      </c>
      <c r="E161" s="39">
        <f t="shared" si="60"/>
        <v>0</v>
      </c>
      <c r="F161" s="39">
        <f>-'[33]Budget Forms'!H319</f>
        <v>0</v>
      </c>
      <c r="G161" s="39">
        <f>-'[33]Budget Forms'!I319</f>
        <v>0</v>
      </c>
      <c r="H161" s="39">
        <f>-'[33]Budget Forms'!J319</f>
        <v>0</v>
      </c>
      <c r="I161" s="39">
        <f t="shared" si="61"/>
        <v>0</v>
      </c>
      <c r="J161" s="39">
        <f>-'[33]Budget Forms'!K319</f>
        <v>0</v>
      </c>
      <c r="K161" s="39">
        <f>-'[33]Budget Forms'!L319</f>
        <v>0</v>
      </c>
      <c r="L161" s="39">
        <f>-'[33]Budget Forms'!M319</f>
        <v>0</v>
      </c>
      <c r="M161" s="39">
        <f t="shared" si="62"/>
        <v>0</v>
      </c>
      <c r="N161" s="39">
        <f>-'[33]Budget Forms'!N319</f>
        <v>0</v>
      </c>
      <c r="O161" s="39">
        <f>-'[33]Budget Forms'!O319</f>
        <v>0</v>
      </c>
      <c r="P161" s="39">
        <f>-'[33]Budget Forms'!P319</f>
        <v>0</v>
      </c>
      <c r="Q161" s="39">
        <f t="shared" si="63"/>
        <v>0</v>
      </c>
      <c r="R161" s="39">
        <f t="shared" si="67"/>
        <v>0</v>
      </c>
      <c r="S161" s="16"/>
      <c r="T161" s="16"/>
      <c r="U161" s="16"/>
      <c r="V161" s="16"/>
      <c r="W161" s="16"/>
      <c r="X161" s="16"/>
      <c r="Y161" s="16"/>
      <c r="Z161" s="16"/>
    </row>
    <row r="162" spans="1:26" ht="21" hidden="1" outlineLevel="1">
      <c r="A162" s="52" t="s">
        <v>112</v>
      </c>
      <c r="B162" s="39">
        <f>-'[33]Budget Forms'!E320</f>
        <v>0</v>
      </c>
      <c r="C162" s="39">
        <f>-'[33]Budget Forms'!F320</f>
        <v>0</v>
      </c>
      <c r="D162" s="39">
        <f>-'[33]Budget Forms'!G320</f>
        <v>0</v>
      </c>
      <c r="E162" s="39">
        <f t="shared" si="60"/>
        <v>0</v>
      </c>
      <c r="F162" s="39">
        <f>-'[33]Budget Forms'!H320</f>
        <v>0</v>
      </c>
      <c r="G162" s="39">
        <f>-'[33]Budget Forms'!I320</f>
        <v>0</v>
      </c>
      <c r="H162" s="39">
        <f>-'[33]Budget Forms'!J320</f>
        <v>0</v>
      </c>
      <c r="I162" s="39">
        <f t="shared" si="61"/>
        <v>0</v>
      </c>
      <c r="J162" s="39">
        <f>-'[33]Budget Forms'!K320</f>
        <v>0</v>
      </c>
      <c r="K162" s="39">
        <f>-'[33]Budget Forms'!L320</f>
        <v>0</v>
      </c>
      <c r="L162" s="39">
        <f>-'[33]Budget Forms'!M320</f>
        <v>0</v>
      </c>
      <c r="M162" s="39">
        <f t="shared" si="62"/>
        <v>0</v>
      </c>
      <c r="N162" s="39">
        <f>-'[33]Budget Forms'!N320</f>
        <v>0</v>
      </c>
      <c r="O162" s="39">
        <f>-'[33]Budget Forms'!O320</f>
        <v>0</v>
      </c>
      <c r="P162" s="39">
        <f>-'[33]Budget Forms'!P320</f>
        <v>0</v>
      </c>
      <c r="Q162" s="39">
        <f t="shared" si="63"/>
        <v>0</v>
      </c>
      <c r="R162" s="39">
        <f>SUM(E162,I162,M162,Q162)</f>
        <v>0</v>
      </c>
      <c r="S162" s="16"/>
      <c r="T162" s="16"/>
      <c r="U162" s="16"/>
      <c r="V162" s="16"/>
      <c r="W162" s="16"/>
      <c r="X162" s="16"/>
      <c r="Y162" s="16"/>
      <c r="Z162" s="16"/>
    </row>
    <row r="163" spans="1:26" s="35" customFormat="1" ht="31.2" hidden="1" outlineLevel="1">
      <c r="A163" s="31" t="s">
        <v>233</v>
      </c>
      <c r="B163" s="32">
        <f>SUM(B164:B166)</f>
        <v>0</v>
      </c>
      <c r="C163" s="32">
        <f>SUM(C164:C166)</f>
        <v>0</v>
      </c>
      <c r="D163" s="32">
        <f>SUM(D164:D166)</f>
        <v>0</v>
      </c>
      <c r="E163" s="32">
        <f t="shared" si="60"/>
        <v>0</v>
      </c>
      <c r="F163" s="32">
        <f>SUM(F164:F166)</f>
        <v>0</v>
      </c>
      <c r="G163" s="32">
        <f>SUM(G164:G166)</f>
        <v>0</v>
      </c>
      <c r="H163" s="32">
        <f>SUM(H164:H166)</f>
        <v>0</v>
      </c>
      <c r="I163" s="32">
        <f t="shared" si="61"/>
        <v>0</v>
      </c>
      <c r="J163" s="32">
        <f>SUM(J164:J166)</f>
        <v>0</v>
      </c>
      <c r="K163" s="32">
        <f>SUM(K164:K166)</f>
        <v>0</v>
      </c>
      <c r="L163" s="32">
        <f>SUM(L164:L166)</f>
        <v>0</v>
      </c>
      <c r="M163" s="32">
        <f t="shared" si="62"/>
        <v>0</v>
      </c>
      <c r="N163" s="32">
        <f>SUM(N164:N166)</f>
        <v>0</v>
      </c>
      <c r="O163" s="32">
        <f>SUM(O164:O166)</f>
        <v>0</v>
      </c>
      <c r="P163" s="32">
        <f>SUM(P164:P166)</f>
        <v>0</v>
      </c>
      <c r="Q163" s="32">
        <f t="shared" si="63"/>
        <v>0</v>
      </c>
      <c r="R163" s="33">
        <f t="shared" ref="R163:R165" si="68">SUM(E163,I163,M163,Q163)</f>
        <v>0</v>
      </c>
    </row>
    <row r="164" spans="1:26" ht="21" hidden="1" outlineLevel="1">
      <c r="A164" s="52" t="s">
        <v>212</v>
      </c>
      <c r="B164" s="39">
        <f>-'[33]Budget Forms'!E321</f>
        <v>0</v>
      </c>
      <c r="C164" s="39">
        <f>-'[33]Budget Forms'!F321</f>
        <v>0</v>
      </c>
      <c r="D164" s="39">
        <f>-'[33]Budget Forms'!G321</f>
        <v>0</v>
      </c>
      <c r="E164" s="39">
        <f t="shared" si="60"/>
        <v>0</v>
      </c>
      <c r="F164" s="39">
        <f>-'[33]Budget Forms'!H321</f>
        <v>0</v>
      </c>
      <c r="G164" s="39">
        <f>-'[33]Budget Forms'!I321</f>
        <v>0</v>
      </c>
      <c r="H164" s="39">
        <f>-'[33]Budget Forms'!J321</f>
        <v>0</v>
      </c>
      <c r="I164" s="39">
        <f t="shared" si="61"/>
        <v>0</v>
      </c>
      <c r="J164" s="39">
        <f>-'[33]Budget Forms'!K321</f>
        <v>0</v>
      </c>
      <c r="K164" s="39">
        <f>-'[33]Budget Forms'!L321</f>
        <v>0</v>
      </c>
      <c r="L164" s="39">
        <f>-'[33]Budget Forms'!M321</f>
        <v>0</v>
      </c>
      <c r="M164" s="39">
        <f t="shared" si="62"/>
        <v>0</v>
      </c>
      <c r="N164" s="39">
        <f>-'[33]Budget Forms'!N321</f>
        <v>0</v>
      </c>
      <c r="O164" s="39">
        <f>-'[33]Budget Forms'!O321</f>
        <v>0</v>
      </c>
      <c r="P164" s="39">
        <f>-'[33]Budget Forms'!P321</f>
        <v>0</v>
      </c>
      <c r="Q164" s="39">
        <f t="shared" si="63"/>
        <v>0</v>
      </c>
      <c r="R164" s="39">
        <f t="shared" si="68"/>
        <v>0</v>
      </c>
      <c r="S164" s="16"/>
      <c r="T164" s="16"/>
      <c r="U164" s="16"/>
      <c r="V164" s="16"/>
      <c r="W164" s="16"/>
      <c r="X164" s="16"/>
      <c r="Y164" s="16"/>
      <c r="Z164" s="16"/>
    </row>
    <row r="165" spans="1:26" ht="21" hidden="1" outlineLevel="1">
      <c r="A165" s="52" t="s">
        <v>216</v>
      </c>
      <c r="B165" s="39">
        <f>-'[33]Budget Forms'!E322</f>
        <v>0</v>
      </c>
      <c r="C165" s="39">
        <f>-'[33]Budget Forms'!F322</f>
        <v>0</v>
      </c>
      <c r="D165" s="39">
        <f>-'[33]Budget Forms'!G322</f>
        <v>0</v>
      </c>
      <c r="E165" s="39">
        <f t="shared" si="60"/>
        <v>0</v>
      </c>
      <c r="F165" s="39">
        <f>-'[33]Budget Forms'!H322</f>
        <v>0</v>
      </c>
      <c r="G165" s="39">
        <f>-'[33]Budget Forms'!I322</f>
        <v>0</v>
      </c>
      <c r="H165" s="39">
        <f>-'[33]Budget Forms'!J322</f>
        <v>0</v>
      </c>
      <c r="I165" s="39">
        <f t="shared" si="61"/>
        <v>0</v>
      </c>
      <c r="J165" s="39">
        <f>-'[33]Budget Forms'!K322</f>
        <v>0</v>
      </c>
      <c r="K165" s="39">
        <f>-'[33]Budget Forms'!L322</f>
        <v>0</v>
      </c>
      <c r="L165" s="39">
        <f>-'[33]Budget Forms'!M322</f>
        <v>0</v>
      </c>
      <c r="M165" s="39">
        <f t="shared" si="62"/>
        <v>0</v>
      </c>
      <c r="N165" s="39">
        <f>-'[33]Budget Forms'!N322</f>
        <v>0</v>
      </c>
      <c r="O165" s="39">
        <f>-'[33]Budget Forms'!O322</f>
        <v>0</v>
      </c>
      <c r="P165" s="39">
        <f>-'[33]Budget Forms'!P322</f>
        <v>0</v>
      </c>
      <c r="Q165" s="39">
        <f t="shared" si="63"/>
        <v>0</v>
      </c>
      <c r="R165" s="39">
        <f t="shared" si="68"/>
        <v>0</v>
      </c>
      <c r="S165" s="16"/>
      <c r="T165" s="16"/>
      <c r="U165" s="16"/>
      <c r="V165" s="16"/>
      <c r="W165" s="16"/>
      <c r="X165" s="16"/>
      <c r="Y165" s="16"/>
      <c r="Z165" s="16"/>
    </row>
    <row r="166" spans="1:26" ht="21" hidden="1" outlineLevel="1">
      <c r="A166" s="52" t="s">
        <v>112</v>
      </c>
      <c r="B166" s="39">
        <f>-'[33]Budget Forms'!E323</f>
        <v>0</v>
      </c>
      <c r="C166" s="39">
        <f>-'[33]Budget Forms'!F323</f>
        <v>0</v>
      </c>
      <c r="D166" s="39">
        <f>-'[33]Budget Forms'!G323</f>
        <v>0</v>
      </c>
      <c r="E166" s="39">
        <f t="shared" si="60"/>
        <v>0</v>
      </c>
      <c r="F166" s="39">
        <f>-'[33]Budget Forms'!H323</f>
        <v>0</v>
      </c>
      <c r="G166" s="39">
        <f>-'[33]Budget Forms'!I323</f>
        <v>0</v>
      </c>
      <c r="H166" s="39">
        <f>-'[33]Budget Forms'!J323</f>
        <v>0</v>
      </c>
      <c r="I166" s="39">
        <f t="shared" si="61"/>
        <v>0</v>
      </c>
      <c r="J166" s="39">
        <f>-'[33]Budget Forms'!K323</f>
        <v>0</v>
      </c>
      <c r="K166" s="39">
        <f>-'[33]Budget Forms'!L323</f>
        <v>0</v>
      </c>
      <c r="L166" s="39">
        <f>-'[33]Budget Forms'!M323</f>
        <v>0</v>
      </c>
      <c r="M166" s="39">
        <f t="shared" si="62"/>
        <v>0</v>
      </c>
      <c r="N166" s="39">
        <f>-'[33]Budget Forms'!N323</f>
        <v>0</v>
      </c>
      <c r="O166" s="39">
        <f>-'[33]Budget Forms'!O323</f>
        <v>0</v>
      </c>
      <c r="P166" s="39">
        <f>-'[33]Budget Forms'!P323</f>
        <v>0</v>
      </c>
      <c r="Q166" s="39">
        <f t="shared" si="63"/>
        <v>0</v>
      </c>
      <c r="R166" s="39">
        <f>SUM(E166,I166,M166,Q166)</f>
        <v>0</v>
      </c>
      <c r="S166" s="16"/>
      <c r="T166" s="16"/>
      <c r="U166" s="16"/>
      <c r="V166" s="16"/>
      <c r="W166" s="16"/>
      <c r="X166" s="16"/>
      <c r="Y166" s="16"/>
      <c r="Z166" s="16"/>
    </row>
    <row r="167" spans="1:26" s="35" customFormat="1" ht="31.2" hidden="1" outlineLevel="1">
      <c r="A167" s="31" t="s">
        <v>234</v>
      </c>
      <c r="B167" s="32">
        <f>SUM(B168:B170)</f>
        <v>0</v>
      </c>
      <c r="C167" s="32">
        <f>SUM(C168:C170)</f>
        <v>0</v>
      </c>
      <c r="D167" s="32">
        <f>SUM(D168:D170)</f>
        <v>0</v>
      </c>
      <c r="E167" s="32">
        <f t="shared" si="60"/>
        <v>0</v>
      </c>
      <c r="F167" s="32">
        <f>SUM(F168:F170)</f>
        <v>0</v>
      </c>
      <c r="G167" s="32">
        <f>SUM(G168:G170)</f>
        <v>0</v>
      </c>
      <c r="H167" s="32">
        <f>SUM(H168:H170)</f>
        <v>0</v>
      </c>
      <c r="I167" s="32">
        <f t="shared" si="61"/>
        <v>0</v>
      </c>
      <c r="J167" s="32">
        <f>SUM(J168:J170)</f>
        <v>0</v>
      </c>
      <c r="K167" s="32">
        <f>SUM(K168:K170)</f>
        <v>0</v>
      </c>
      <c r="L167" s="32">
        <f>SUM(L168:L170)</f>
        <v>0</v>
      </c>
      <c r="M167" s="32">
        <f t="shared" si="62"/>
        <v>0</v>
      </c>
      <c r="N167" s="32">
        <f>SUM(N168:N170)</f>
        <v>0</v>
      </c>
      <c r="O167" s="32">
        <f>SUM(O168:O170)</f>
        <v>0</v>
      </c>
      <c r="P167" s="32">
        <f>SUM(P168:P170)</f>
        <v>0</v>
      </c>
      <c r="Q167" s="32">
        <f t="shared" si="63"/>
        <v>0</v>
      </c>
      <c r="R167" s="33">
        <f t="shared" ref="R167:R169" si="69">SUM(E167,I167,M167,Q167)</f>
        <v>0</v>
      </c>
    </row>
    <row r="168" spans="1:26" ht="21" hidden="1" outlineLevel="1">
      <c r="A168" s="52" t="s">
        <v>212</v>
      </c>
      <c r="B168" s="39">
        <f>-'[33]Budget Forms'!E324</f>
        <v>0</v>
      </c>
      <c r="C168" s="39">
        <f>-'[33]Budget Forms'!F324</f>
        <v>0</v>
      </c>
      <c r="D168" s="39">
        <f>-'[33]Budget Forms'!G324</f>
        <v>0</v>
      </c>
      <c r="E168" s="39">
        <f t="shared" si="60"/>
        <v>0</v>
      </c>
      <c r="F168" s="39">
        <f>-'[33]Budget Forms'!H324</f>
        <v>0</v>
      </c>
      <c r="G168" s="39">
        <f>-'[33]Budget Forms'!I324</f>
        <v>0</v>
      </c>
      <c r="H168" s="39">
        <f>-'[33]Budget Forms'!J324</f>
        <v>0</v>
      </c>
      <c r="I168" s="39">
        <f t="shared" si="61"/>
        <v>0</v>
      </c>
      <c r="J168" s="39">
        <f>-'[33]Budget Forms'!K324</f>
        <v>0</v>
      </c>
      <c r="K168" s="39">
        <f>-'[33]Budget Forms'!L324</f>
        <v>0</v>
      </c>
      <c r="L168" s="39">
        <f>-'[33]Budget Forms'!M324</f>
        <v>0</v>
      </c>
      <c r="M168" s="39">
        <f t="shared" si="62"/>
        <v>0</v>
      </c>
      <c r="N168" s="39">
        <f>-'[33]Budget Forms'!N324</f>
        <v>0</v>
      </c>
      <c r="O168" s="39">
        <f>-'[33]Budget Forms'!O324</f>
        <v>0</v>
      </c>
      <c r="P168" s="39">
        <f>-'[33]Budget Forms'!P324</f>
        <v>0</v>
      </c>
      <c r="Q168" s="39">
        <f t="shared" si="63"/>
        <v>0</v>
      </c>
      <c r="R168" s="39">
        <f t="shared" si="69"/>
        <v>0</v>
      </c>
      <c r="S168" s="16"/>
      <c r="T168" s="16"/>
      <c r="U168" s="16"/>
      <c r="V168" s="16"/>
      <c r="W168" s="16"/>
      <c r="X168" s="16"/>
      <c r="Y168" s="16"/>
      <c r="Z168" s="16"/>
    </row>
    <row r="169" spans="1:26" ht="21" hidden="1" outlineLevel="1">
      <c r="A169" s="52" t="s">
        <v>216</v>
      </c>
      <c r="B169" s="39">
        <f>-'[33]Budget Forms'!E325</f>
        <v>0</v>
      </c>
      <c r="C169" s="39">
        <f>-'[33]Budget Forms'!F325</f>
        <v>0</v>
      </c>
      <c r="D169" s="39">
        <f>-'[33]Budget Forms'!G325</f>
        <v>0</v>
      </c>
      <c r="E169" s="39">
        <f t="shared" si="60"/>
        <v>0</v>
      </c>
      <c r="F169" s="39">
        <f>-'[33]Budget Forms'!H325</f>
        <v>0</v>
      </c>
      <c r="G169" s="39">
        <f>-'[33]Budget Forms'!I325</f>
        <v>0</v>
      </c>
      <c r="H169" s="39">
        <f>-'[33]Budget Forms'!J325</f>
        <v>0</v>
      </c>
      <c r="I169" s="39">
        <f t="shared" si="61"/>
        <v>0</v>
      </c>
      <c r="J169" s="39">
        <f>-'[33]Budget Forms'!K325</f>
        <v>0</v>
      </c>
      <c r="K169" s="39">
        <f>-'[33]Budget Forms'!L325</f>
        <v>0</v>
      </c>
      <c r="L169" s="39">
        <f>-'[33]Budget Forms'!M325</f>
        <v>0</v>
      </c>
      <c r="M169" s="39">
        <f t="shared" si="62"/>
        <v>0</v>
      </c>
      <c r="N169" s="39">
        <f>-'[33]Budget Forms'!N325</f>
        <v>0</v>
      </c>
      <c r="O169" s="39">
        <f>-'[33]Budget Forms'!O325</f>
        <v>0</v>
      </c>
      <c r="P169" s="39">
        <f>-'[33]Budget Forms'!P325</f>
        <v>0</v>
      </c>
      <c r="Q169" s="39">
        <f t="shared" si="63"/>
        <v>0</v>
      </c>
      <c r="R169" s="39">
        <f t="shared" si="69"/>
        <v>0</v>
      </c>
      <c r="S169" s="16"/>
      <c r="T169" s="16"/>
      <c r="U169" s="16"/>
      <c r="V169" s="16"/>
      <c r="W169" s="16"/>
      <c r="X169" s="16"/>
      <c r="Y169" s="16"/>
      <c r="Z169" s="16"/>
    </row>
    <row r="170" spans="1:26" ht="21" hidden="1" outlineLevel="1">
      <c r="A170" s="52" t="s">
        <v>112</v>
      </c>
      <c r="B170" s="39">
        <f>-'[33]Budget Forms'!E326</f>
        <v>0</v>
      </c>
      <c r="C170" s="39">
        <f>-'[33]Budget Forms'!F326</f>
        <v>0</v>
      </c>
      <c r="D170" s="39">
        <f>-'[33]Budget Forms'!G326</f>
        <v>0</v>
      </c>
      <c r="E170" s="39">
        <f t="shared" si="60"/>
        <v>0</v>
      </c>
      <c r="F170" s="39">
        <f>-'[33]Budget Forms'!H326</f>
        <v>0</v>
      </c>
      <c r="G170" s="39">
        <f>-'[33]Budget Forms'!I326</f>
        <v>0</v>
      </c>
      <c r="H170" s="39">
        <f>-'[33]Budget Forms'!J326</f>
        <v>0</v>
      </c>
      <c r="I170" s="39">
        <f t="shared" si="61"/>
        <v>0</v>
      </c>
      <c r="J170" s="39">
        <f>-'[33]Budget Forms'!K326</f>
        <v>0</v>
      </c>
      <c r="K170" s="39">
        <f>-'[33]Budget Forms'!L326</f>
        <v>0</v>
      </c>
      <c r="L170" s="39">
        <f>-'[33]Budget Forms'!M326</f>
        <v>0</v>
      </c>
      <c r="M170" s="39">
        <f t="shared" si="62"/>
        <v>0</v>
      </c>
      <c r="N170" s="39">
        <f>-'[33]Budget Forms'!N326</f>
        <v>0</v>
      </c>
      <c r="O170" s="39">
        <f>-'[33]Budget Forms'!O326</f>
        <v>0</v>
      </c>
      <c r="P170" s="39">
        <f>-'[33]Budget Forms'!P326</f>
        <v>0</v>
      </c>
      <c r="Q170" s="39">
        <f t="shared" si="63"/>
        <v>0</v>
      </c>
      <c r="R170" s="39">
        <f>SUM(E170,I170,M170,Q170)</f>
        <v>0</v>
      </c>
      <c r="S170" s="16"/>
      <c r="T170" s="16"/>
      <c r="U170" s="16"/>
      <c r="V170" s="16"/>
      <c r="W170" s="16"/>
      <c r="X170" s="16"/>
      <c r="Y170" s="16"/>
      <c r="Z170" s="16"/>
    </row>
    <row r="171" spans="1:26" s="35" customFormat="1" ht="31.2" hidden="1" outlineLevel="1">
      <c r="A171" s="31" t="s">
        <v>235</v>
      </c>
      <c r="B171" s="32">
        <f>SUM(B172:B174)</f>
        <v>0</v>
      </c>
      <c r="C171" s="32">
        <f>SUM(C172:C174)</f>
        <v>0</v>
      </c>
      <c r="D171" s="32">
        <f>SUM(D172:D174)</f>
        <v>0</v>
      </c>
      <c r="E171" s="32">
        <f t="shared" si="60"/>
        <v>0</v>
      </c>
      <c r="F171" s="32">
        <f>SUM(F172:F174)</f>
        <v>0</v>
      </c>
      <c r="G171" s="32">
        <f>SUM(G172:G174)</f>
        <v>0</v>
      </c>
      <c r="H171" s="32">
        <f>SUM(H172:H174)</f>
        <v>0</v>
      </c>
      <c r="I171" s="32">
        <f t="shared" si="61"/>
        <v>0</v>
      </c>
      <c r="J171" s="32">
        <f>SUM(J172:J174)</f>
        <v>0</v>
      </c>
      <c r="K171" s="32">
        <f>SUM(K172:K174)</f>
        <v>0</v>
      </c>
      <c r="L171" s="32">
        <f>SUM(L172:L174)</f>
        <v>0</v>
      </c>
      <c r="M171" s="32">
        <f t="shared" si="62"/>
        <v>0</v>
      </c>
      <c r="N171" s="32">
        <f>SUM(N172:N174)</f>
        <v>0</v>
      </c>
      <c r="O171" s="32">
        <f>SUM(O172:O174)</f>
        <v>0</v>
      </c>
      <c r="P171" s="32">
        <f>SUM(P172:P174)</f>
        <v>0</v>
      </c>
      <c r="Q171" s="32">
        <f t="shared" si="63"/>
        <v>0</v>
      </c>
      <c r="R171" s="33">
        <f t="shared" ref="R171:R173" si="70">SUM(E171,I171,M171,Q171)</f>
        <v>0</v>
      </c>
    </row>
    <row r="172" spans="1:26" ht="21" hidden="1" outlineLevel="1">
      <c r="A172" s="52" t="s">
        <v>212</v>
      </c>
      <c r="B172" s="39">
        <f>-'[33]Budget Forms'!E327</f>
        <v>0</v>
      </c>
      <c r="C172" s="39">
        <f>-'[33]Budget Forms'!F327</f>
        <v>0</v>
      </c>
      <c r="D172" s="39">
        <f>-'[33]Budget Forms'!G327</f>
        <v>0</v>
      </c>
      <c r="E172" s="39">
        <f t="shared" si="60"/>
        <v>0</v>
      </c>
      <c r="F172" s="39">
        <f>-'[33]Budget Forms'!H327</f>
        <v>0</v>
      </c>
      <c r="G172" s="39">
        <f>-'[33]Budget Forms'!I327</f>
        <v>0</v>
      </c>
      <c r="H172" s="39">
        <f>-'[33]Budget Forms'!J327</f>
        <v>0</v>
      </c>
      <c r="I172" s="39">
        <f t="shared" si="61"/>
        <v>0</v>
      </c>
      <c r="J172" s="39">
        <f>-'[33]Budget Forms'!K327</f>
        <v>0</v>
      </c>
      <c r="K172" s="39">
        <f>-'[33]Budget Forms'!L327</f>
        <v>0</v>
      </c>
      <c r="L172" s="39">
        <f>-'[33]Budget Forms'!M327</f>
        <v>0</v>
      </c>
      <c r="M172" s="39">
        <f t="shared" si="62"/>
        <v>0</v>
      </c>
      <c r="N172" s="39">
        <f>-'[33]Budget Forms'!N327</f>
        <v>0</v>
      </c>
      <c r="O172" s="39">
        <f>-'[33]Budget Forms'!O327</f>
        <v>0</v>
      </c>
      <c r="P172" s="39">
        <f>-'[33]Budget Forms'!P327</f>
        <v>0</v>
      </c>
      <c r="Q172" s="39">
        <f t="shared" si="63"/>
        <v>0</v>
      </c>
      <c r="R172" s="39">
        <f t="shared" si="70"/>
        <v>0</v>
      </c>
      <c r="S172" s="16"/>
      <c r="T172" s="16"/>
      <c r="U172" s="16"/>
      <c r="V172" s="16"/>
      <c r="W172" s="16"/>
      <c r="X172" s="16"/>
      <c r="Y172" s="16"/>
      <c r="Z172" s="16"/>
    </row>
    <row r="173" spans="1:26" ht="21" hidden="1" outlineLevel="1">
      <c r="A173" s="52" t="s">
        <v>216</v>
      </c>
      <c r="B173" s="39">
        <f>-'[33]Budget Forms'!E328</f>
        <v>0</v>
      </c>
      <c r="C173" s="39">
        <f>-'[33]Budget Forms'!F328</f>
        <v>0</v>
      </c>
      <c r="D173" s="39">
        <f>-'[33]Budget Forms'!G328</f>
        <v>0</v>
      </c>
      <c r="E173" s="39">
        <f t="shared" si="60"/>
        <v>0</v>
      </c>
      <c r="F173" s="39">
        <f>-'[33]Budget Forms'!H328</f>
        <v>0</v>
      </c>
      <c r="G173" s="39">
        <f>-'[33]Budget Forms'!I328</f>
        <v>0</v>
      </c>
      <c r="H173" s="39">
        <f>-'[33]Budget Forms'!J328</f>
        <v>0</v>
      </c>
      <c r="I173" s="39">
        <f t="shared" si="61"/>
        <v>0</v>
      </c>
      <c r="J173" s="39">
        <f>-'[33]Budget Forms'!K328</f>
        <v>0</v>
      </c>
      <c r="K173" s="39">
        <f>-'[33]Budget Forms'!L328</f>
        <v>0</v>
      </c>
      <c r="L173" s="39">
        <f>-'[33]Budget Forms'!M328</f>
        <v>0</v>
      </c>
      <c r="M173" s="39">
        <f t="shared" si="62"/>
        <v>0</v>
      </c>
      <c r="N173" s="39">
        <f>-'[33]Budget Forms'!N328</f>
        <v>0</v>
      </c>
      <c r="O173" s="39">
        <f>-'[33]Budget Forms'!O328</f>
        <v>0</v>
      </c>
      <c r="P173" s="39">
        <f>-'[33]Budget Forms'!P328</f>
        <v>0</v>
      </c>
      <c r="Q173" s="39">
        <f t="shared" si="63"/>
        <v>0</v>
      </c>
      <c r="R173" s="39">
        <f t="shared" si="70"/>
        <v>0</v>
      </c>
      <c r="S173" s="16"/>
      <c r="T173" s="16"/>
      <c r="U173" s="16"/>
      <c r="V173" s="16"/>
      <c r="W173" s="16"/>
      <c r="X173" s="16"/>
      <c r="Y173" s="16"/>
      <c r="Z173" s="16"/>
    </row>
    <row r="174" spans="1:26" ht="21" hidden="1" outlineLevel="1">
      <c r="A174" s="52" t="s">
        <v>112</v>
      </c>
      <c r="B174" s="39">
        <f>-'[33]Budget Forms'!E329</f>
        <v>0</v>
      </c>
      <c r="C174" s="39">
        <f>-'[33]Budget Forms'!F329</f>
        <v>0</v>
      </c>
      <c r="D174" s="39">
        <f>-'[33]Budget Forms'!G329</f>
        <v>0</v>
      </c>
      <c r="E174" s="39">
        <f t="shared" si="60"/>
        <v>0</v>
      </c>
      <c r="F174" s="39">
        <f>-'[33]Budget Forms'!H329</f>
        <v>0</v>
      </c>
      <c r="G174" s="39">
        <f>-'[33]Budget Forms'!I329</f>
        <v>0</v>
      </c>
      <c r="H174" s="39">
        <f>-'[33]Budget Forms'!J329</f>
        <v>0</v>
      </c>
      <c r="I174" s="39">
        <f t="shared" si="61"/>
        <v>0</v>
      </c>
      <c r="J174" s="39">
        <f>-'[33]Budget Forms'!K329</f>
        <v>0</v>
      </c>
      <c r="K174" s="39">
        <f>-'[33]Budget Forms'!L329</f>
        <v>0</v>
      </c>
      <c r="L174" s="39">
        <f>-'[33]Budget Forms'!M329</f>
        <v>0</v>
      </c>
      <c r="M174" s="39">
        <f t="shared" si="62"/>
        <v>0</v>
      </c>
      <c r="N174" s="39">
        <f>-'[33]Budget Forms'!N329</f>
        <v>0</v>
      </c>
      <c r="O174" s="39">
        <f>-'[33]Budget Forms'!O329</f>
        <v>0</v>
      </c>
      <c r="P174" s="39">
        <f>-'[33]Budget Forms'!P329</f>
        <v>0</v>
      </c>
      <c r="Q174" s="39">
        <f t="shared" si="63"/>
        <v>0</v>
      </c>
      <c r="R174" s="39">
        <f>SUM(E174,I174,M174,Q174)</f>
        <v>0</v>
      </c>
      <c r="S174" s="16"/>
      <c r="T174" s="16"/>
      <c r="U174" s="16"/>
      <c r="V174" s="16"/>
      <c r="W174" s="16"/>
      <c r="X174" s="16"/>
      <c r="Y174" s="16"/>
      <c r="Z174" s="16"/>
    </row>
    <row r="175" spans="1:26" ht="21.6" collapsed="1" thickBot="1">
      <c r="A175" s="52" t="s">
        <v>236</v>
      </c>
      <c r="B175" s="39">
        <f>'[33]Budget Forms'!E331</f>
        <v>120000</v>
      </c>
      <c r="C175" s="39">
        <f>'[33]Budget Forms'!F331</f>
        <v>120000</v>
      </c>
      <c r="D175" s="39">
        <f>'[33]Budget Forms'!G331</f>
        <v>120000</v>
      </c>
      <c r="E175" s="39">
        <f>SUM(B175:D175)</f>
        <v>360000</v>
      </c>
      <c r="F175" s="39">
        <f>'[33]Budget Forms'!H331</f>
        <v>120000</v>
      </c>
      <c r="G175" s="39">
        <f>'[33]Budget Forms'!I331</f>
        <v>120000</v>
      </c>
      <c r="H175" s="39">
        <f>'[33]Budget Forms'!J331</f>
        <v>120000</v>
      </c>
      <c r="I175" s="39">
        <f>SUM(F175:H175)</f>
        <v>360000</v>
      </c>
      <c r="J175" s="39">
        <f>'[33]Budget Forms'!K331</f>
        <v>120000</v>
      </c>
      <c r="K175" s="39">
        <f>'[33]Budget Forms'!L331</f>
        <v>120000</v>
      </c>
      <c r="L175" s="39">
        <f>'[33]Budget Forms'!M331</f>
        <v>120000</v>
      </c>
      <c r="M175" s="39">
        <f>SUM(J175:L175)</f>
        <v>360000</v>
      </c>
      <c r="N175" s="39">
        <f>'[33]Budget Forms'!N331</f>
        <v>120000</v>
      </c>
      <c r="O175" s="39">
        <f>'[33]Budget Forms'!O331</f>
        <v>120000</v>
      </c>
      <c r="P175" s="39">
        <f>'[33]Budget Forms'!P331</f>
        <v>120000</v>
      </c>
      <c r="Q175" s="39">
        <f>SUM(N175:P175)</f>
        <v>360000</v>
      </c>
      <c r="R175" s="39">
        <f t="shared" ref="R175" si="71">SUM(E175,I175,M175,Q175)</f>
        <v>1440000</v>
      </c>
      <c r="S175" s="16"/>
      <c r="T175" s="16"/>
      <c r="U175" s="16"/>
      <c r="V175" s="16"/>
      <c r="W175" s="16"/>
      <c r="X175" s="16"/>
      <c r="Y175" s="16"/>
      <c r="Z175" s="16"/>
    </row>
    <row r="176" spans="1:26" ht="24.6" thickTop="1" thickBot="1">
      <c r="A176" s="53" t="s">
        <v>237</v>
      </c>
      <c r="B176" s="45">
        <f>SUM(B145,B123,B144,B158,B175)</f>
        <v>1958926.71</v>
      </c>
      <c r="C176" s="45">
        <f>SUM(C145,C123,C144,C158,C175)</f>
        <v>1959126.71</v>
      </c>
      <c r="D176" s="45">
        <f>SUM(D145,D123,D144,D158,D175)</f>
        <v>2028446.71</v>
      </c>
      <c r="E176" s="45">
        <f t="shared" ref="E176:E192" si="72">SUM(B176:D176)</f>
        <v>5946500.1299999999</v>
      </c>
      <c r="F176" s="45">
        <f>SUM(F145,F123,F144,F158,F175)</f>
        <v>2333326.71</v>
      </c>
      <c r="G176" s="45">
        <f>SUM(G145,G123,G144,G158,G175)</f>
        <v>2289406.71</v>
      </c>
      <c r="H176" s="45">
        <f>SUM(H145,H123,H144,H158,H175)</f>
        <v>2300501.71</v>
      </c>
      <c r="I176" s="45">
        <f t="shared" si="61"/>
        <v>6923235.1299999999</v>
      </c>
      <c r="J176" s="45">
        <f>SUM(J145,J123,J144,J158,J175)</f>
        <v>2417351.71</v>
      </c>
      <c r="K176" s="45">
        <f>SUM(K145,K123,K144,K158,K175)</f>
        <v>2358926.71</v>
      </c>
      <c r="L176" s="45">
        <f>SUM(L145,L123,L144,L158,L175)</f>
        <v>2384326.71</v>
      </c>
      <c r="M176" s="45">
        <f t="shared" si="62"/>
        <v>7160605.1299999999</v>
      </c>
      <c r="N176" s="45">
        <f>SUM(N145,N123,N144,N158,N175)</f>
        <v>2358926.71</v>
      </c>
      <c r="O176" s="45">
        <f>SUM(O145,O123,O144,O158,O175)</f>
        <v>2358926.71</v>
      </c>
      <c r="P176" s="45">
        <f>SUM(P145,P123,P144,P158,P175)</f>
        <v>2358926.71</v>
      </c>
      <c r="Q176" s="45">
        <f>SUM(N176:P176)</f>
        <v>7076780.1299999999</v>
      </c>
      <c r="R176" s="45">
        <f>SUM(R145,R123,R144,R158,R175)</f>
        <v>27107120.52</v>
      </c>
    </row>
    <row r="177" spans="1:26" ht="30" thickTop="1" thickBot="1">
      <c r="A177" s="46" t="s">
        <v>128</v>
      </c>
      <c r="B177" s="47">
        <f>B120-B176</f>
        <v>655743.44666665886</v>
      </c>
      <c r="C177" s="47">
        <f>C120-C176</f>
        <v>2007849.1866666647</v>
      </c>
      <c r="D177" s="47">
        <f>D120-D176</f>
        <v>1224413.22666666</v>
      </c>
      <c r="E177" s="47">
        <f t="shared" si="72"/>
        <v>3888005.8599999836</v>
      </c>
      <c r="F177" s="47">
        <f>F120-F176</f>
        <v>-389097.5566666564</v>
      </c>
      <c r="G177" s="47">
        <f>G120-G176</f>
        <v>2474512.4733333373</v>
      </c>
      <c r="H177" s="47">
        <f>H120-H176</f>
        <v>3874588.3133333409</v>
      </c>
      <c r="I177" s="47">
        <f t="shared" si="61"/>
        <v>5960003.2300000219</v>
      </c>
      <c r="J177" s="47">
        <f>J120-J176</f>
        <v>-1283090.0399999907</v>
      </c>
      <c r="K177" s="47">
        <f>K120-K176</f>
        <v>1410054.9600000093</v>
      </c>
      <c r="L177" s="47">
        <f>L120-L176</f>
        <v>3571111.6700000083</v>
      </c>
      <c r="M177" s="47">
        <f t="shared" si="62"/>
        <v>3698076.5900000269</v>
      </c>
      <c r="N177" s="47">
        <f>N120-N176</f>
        <v>3664238.6200000094</v>
      </c>
      <c r="O177" s="47">
        <f>O120-O176</f>
        <v>4678065.6100000078</v>
      </c>
      <c r="P177" s="47">
        <f>P120-P176</f>
        <v>4644032.6100000078</v>
      </c>
      <c r="Q177" s="47">
        <f t="shared" si="63"/>
        <v>12986336.840000026</v>
      </c>
      <c r="R177" s="47">
        <f>R120-R176</f>
        <v>26532422.520000022</v>
      </c>
    </row>
    <row r="178" spans="1:26" ht="30" thickTop="1" thickBot="1">
      <c r="A178" s="46" t="s">
        <v>123</v>
      </c>
      <c r="B178" s="47">
        <f>B177+B175</f>
        <v>775743.44666665886</v>
      </c>
      <c r="C178" s="47">
        <f>C177+C175</f>
        <v>2127849.1866666647</v>
      </c>
      <c r="D178" s="47">
        <f>D177+D175</f>
        <v>1344413.22666666</v>
      </c>
      <c r="E178" s="47">
        <f t="shared" si="72"/>
        <v>4248005.8599999836</v>
      </c>
      <c r="F178" s="47">
        <f>F177+F175</f>
        <v>-269097.5566666564</v>
      </c>
      <c r="G178" s="47">
        <f>G177+G175</f>
        <v>2594512.4733333373</v>
      </c>
      <c r="H178" s="47">
        <f>H177+H175</f>
        <v>3994588.3133333409</v>
      </c>
      <c r="I178" s="47">
        <f t="shared" si="61"/>
        <v>6320003.2300000219</v>
      </c>
      <c r="J178" s="47">
        <f>J177+J175</f>
        <v>-1163090.0399999907</v>
      </c>
      <c r="K178" s="47">
        <f>K177+K175</f>
        <v>1530054.9600000093</v>
      </c>
      <c r="L178" s="47">
        <f>L177+L175</f>
        <v>3691111.6700000083</v>
      </c>
      <c r="M178" s="47">
        <f t="shared" si="62"/>
        <v>4058076.5900000269</v>
      </c>
      <c r="N178" s="47">
        <f>N177+N175</f>
        <v>3784238.6200000094</v>
      </c>
      <c r="O178" s="47">
        <f>O177+O175</f>
        <v>4798065.6100000078</v>
      </c>
      <c r="P178" s="47">
        <f>P177+P175</f>
        <v>4764032.6100000078</v>
      </c>
      <c r="Q178" s="47">
        <f t="shared" si="63"/>
        <v>13346336.840000026</v>
      </c>
      <c r="R178" s="47">
        <f>R177+R175</f>
        <v>27972422.520000022</v>
      </c>
      <c r="S178" s="70"/>
    </row>
    <row r="179" spans="1:26" ht="26.4" thickTop="1">
      <c r="A179" s="54" t="s">
        <v>238</v>
      </c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</row>
    <row r="180" spans="1:26" ht="21">
      <c r="A180" s="52" t="s">
        <v>239</v>
      </c>
      <c r="B180" s="39">
        <f>'[33]Budget Forms'!E333</f>
        <v>588291.74555555172</v>
      </c>
      <c r="C180" s="39">
        <f>'[33]Budget Forms'!F333</f>
        <v>874549.88555555232</v>
      </c>
      <c r="D180" s="39">
        <f>'[33]Budget Forms'!G333</f>
        <v>1366229.9755555512</v>
      </c>
      <c r="E180" s="39">
        <f t="shared" si="72"/>
        <v>2829071.6066666553</v>
      </c>
      <c r="F180" s="39">
        <f>'[33]Budget Forms'!H333</f>
        <v>788210.79555555596</v>
      </c>
      <c r="G180" s="39">
        <f>'[33]Budget Forms'!I333</f>
        <v>950292.55555555539</v>
      </c>
      <c r="H180" s="39">
        <f>'[33]Budget Forms'!J333</f>
        <v>1474496.2955555557</v>
      </c>
      <c r="I180" s="39">
        <f t="shared" si="61"/>
        <v>3212999.646666667</v>
      </c>
      <c r="J180" s="39">
        <f>'[33]Budget Forms'!K333</f>
        <v>546969.37555555534</v>
      </c>
      <c r="K180" s="39">
        <f>'[33]Budget Forms'!L333</f>
        <v>546969.37555555534</v>
      </c>
      <c r="L180" s="39">
        <f>'[33]Budget Forms'!M333</f>
        <v>446969.37555555999</v>
      </c>
      <c r="M180" s="39">
        <f t="shared" si="62"/>
        <v>1540908.1266666707</v>
      </c>
      <c r="N180" s="39">
        <f>'[33]Budget Forms'!N333</f>
        <v>2506651.5066666701</v>
      </c>
      <c r="O180" s="39">
        <f>'[33]Budget Forms'!O333</f>
        <v>2460485.5566666699</v>
      </c>
      <c r="P180" s="39">
        <f>'[33]Budget Forms'!P333</f>
        <v>2960485.5566666666</v>
      </c>
      <c r="Q180" s="39">
        <f t="shared" si="63"/>
        <v>7927622.6200000066</v>
      </c>
      <c r="R180" s="39">
        <f>SUM(E180,I180,M180,Q180)</f>
        <v>15510602</v>
      </c>
      <c r="S180" s="16"/>
      <c r="T180" s="16"/>
      <c r="U180" s="16"/>
      <c r="V180" s="16"/>
      <c r="W180" s="16"/>
      <c r="X180" s="16"/>
      <c r="Y180" s="16"/>
      <c r="Z180" s="16"/>
    </row>
    <row r="181" spans="1:26" ht="21" hidden="1">
      <c r="A181" s="52" t="s">
        <v>240</v>
      </c>
      <c r="B181" s="39">
        <f>'[33]Budget Forms'!E334</f>
        <v>0</v>
      </c>
      <c r="C181" s="39">
        <f>'[33]Budget Forms'!F334</f>
        <v>0</v>
      </c>
      <c r="D181" s="39">
        <f>'[33]Budget Forms'!G334</f>
        <v>0</v>
      </c>
      <c r="E181" s="39">
        <f t="shared" si="72"/>
        <v>0</v>
      </c>
      <c r="F181" s="39">
        <f>'[33]Budget Forms'!H334</f>
        <v>0</v>
      </c>
      <c r="G181" s="39">
        <f>'[33]Budget Forms'!I334</f>
        <v>0</v>
      </c>
      <c r="H181" s="39">
        <f>'[33]Budget Forms'!J334</f>
        <v>0</v>
      </c>
      <c r="I181" s="39">
        <f t="shared" si="61"/>
        <v>0</v>
      </c>
      <c r="J181" s="39">
        <f>'[33]Budget Forms'!K334</f>
        <v>0</v>
      </c>
      <c r="K181" s="39">
        <f>'[33]Budget Forms'!L334</f>
        <v>0</v>
      </c>
      <c r="L181" s="39">
        <f>'[33]Budget Forms'!M334</f>
        <v>0</v>
      </c>
      <c r="M181" s="39">
        <f t="shared" si="62"/>
        <v>0</v>
      </c>
      <c r="N181" s="39">
        <f>'[33]Budget Forms'!N334</f>
        <v>0</v>
      </c>
      <c r="O181" s="39">
        <f>'[33]Budget Forms'!O334</f>
        <v>0</v>
      </c>
      <c r="P181" s="39">
        <f>'[33]Budget Forms'!P334</f>
        <v>0</v>
      </c>
      <c r="Q181" s="39">
        <f t="shared" si="63"/>
        <v>0</v>
      </c>
      <c r="R181" s="39">
        <f t="shared" ref="R181:R191" si="73">SUM(E181,I181,M181,Q181)</f>
        <v>0</v>
      </c>
      <c r="S181" s="16"/>
      <c r="T181" s="16"/>
      <c r="U181" s="16"/>
      <c r="V181" s="16"/>
      <c r="W181" s="16"/>
      <c r="X181" s="16"/>
      <c r="Y181" s="16"/>
      <c r="Z181" s="16"/>
    </row>
    <row r="182" spans="1:26" ht="21">
      <c r="A182" s="52" t="s">
        <v>241</v>
      </c>
      <c r="B182" s="39">
        <f>'[33]Budget Forms'!E335</f>
        <v>28041.716666666645</v>
      </c>
      <c r="C182" s="39">
        <f>'[33]Budget Forms'!F335</f>
        <v>53944.946666666685</v>
      </c>
      <c r="D182" s="39">
        <f>'[33]Budget Forms'!G335</f>
        <v>81476.376666666678</v>
      </c>
      <c r="E182" s="39">
        <f t="shared" si="72"/>
        <v>163463.04000000001</v>
      </c>
      <c r="F182" s="39">
        <f>'[33]Budget Forms'!H335</f>
        <v>80125.276666666643</v>
      </c>
      <c r="G182" s="39">
        <f>'[33]Budget Forms'!I335</f>
        <v>68738.476666666655</v>
      </c>
      <c r="H182" s="39">
        <f>'[33]Budget Forms'!J335</f>
        <v>76006.826666666631</v>
      </c>
      <c r="I182" s="39">
        <f t="shared" si="61"/>
        <v>224870.57999999993</v>
      </c>
      <c r="J182" s="39">
        <f>'[33]Budget Forms'!K335</f>
        <v>-52379.043333333364</v>
      </c>
      <c r="K182" s="39">
        <f>'[33]Budget Forms'!L335</f>
        <v>-52379.043333333364</v>
      </c>
      <c r="L182" s="39">
        <f>'[33]Budget Forms'!M335</f>
        <v>-52379.043333333364</v>
      </c>
      <c r="M182" s="39">
        <f t="shared" si="62"/>
        <v>-157137.13000000009</v>
      </c>
      <c r="N182" s="39">
        <f>'[33]Budget Forms'!N335</f>
        <v>265510.21999999997</v>
      </c>
      <c r="O182" s="39">
        <f>'[33]Budget Forms'!O335</f>
        <v>251646.64</v>
      </c>
      <c r="P182" s="39">
        <f>'[33]Budget Forms'!P335</f>
        <v>251646.64</v>
      </c>
      <c r="Q182" s="39">
        <f t="shared" si="63"/>
        <v>768803.5</v>
      </c>
      <c r="R182" s="39">
        <f t="shared" si="73"/>
        <v>999999.98999999987</v>
      </c>
      <c r="S182" s="16"/>
      <c r="T182" s="16"/>
      <c r="U182" s="16"/>
      <c r="V182" s="16"/>
      <c r="W182" s="16"/>
      <c r="X182" s="16"/>
      <c r="Y182" s="16"/>
      <c r="Z182" s="16"/>
    </row>
    <row r="183" spans="1:26" ht="21" hidden="1">
      <c r="A183" s="52" t="s">
        <v>116</v>
      </c>
      <c r="B183" s="39">
        <f>'[33]Budget Forms'!E336</f>
        <v>0</v>
      </c>
      <c r="C183" s="39">
        <f>'[33]Budget Forms'!F336</f>
        <v>0</v>
      </c>
      <c r="D183" s="39">
        <f>'[33]Budget Forms'!G336</f>
        <v>0</v>
      </c>
      <c r="E183" s="39">
        <f t="shared" si="72"/>
        <v>0</v>
      </c>
      <c r="F183" s="39">
        <f>'[33]Budget Forms'!H336</f>
        <v>0</v>
      </c>
      <c r="G183" s="39">
        <f>'[33]Budget Forms'!I336</f>
        <v>0</v>
      </c>
      <c r="H183" s="39">
        <f>'[33]Budget Forms'!J336</f>
        <v>0</v>
      </c>
      <c r="I183" s="39">
        <f t="shared" si="61"/>
        <v>0</v>
      </c>
      <c r="J183" s="39">
        <f>'[33]Budget Forms'!K336</f>
        <v>0</v>
      </c>
      <c r="K183" s="39">
        <f>'[33]Budget Forms'!L336</f>
        <v>0</v>
      </c>
      <c r="L183" s="39">
        <f>'[33]Budget Forms'!M336</f>
        <v>0</v>
      </c>
      <c r="M183" s="39">
        <f t="shared" si="62"/>
        <v>0</v>
      </c>
      <c r="N183" s="39">
        <f>'[33]Budget Forms'!N336</f>
        <v>0</v>
      </c>
      <c r="O183" s="39">
        <f>'[33]Budget Forms'!O336</f>
        <v>0</v>
      </c>
      <c r="P183" s="39">
        <f>'[33]Budget Forms'!P336</f>
        <v>0</v>
      </c>
      <c r="Q183" s="39">
        <f t="shared" si="63"/>
        <v>0</v>
      </c>
      <c r="R183" s="39">
        <f t="shared" si="73"/>
        <v>0</v>
      </c>
      <c r="S183" s="16"/>
      <c r="T183" s="16"/>
      <c r="U183" s="16"/>
      <c r="V183" s="16"/>
      <c r="W183" s="16"/>
      <c r="X183" s="16"/>
      <c r="Y183" s="16"/>
      <c r="Z183" s="16"/>
    </row>
    <row r="184" spans="1:26" ht="21">
      <c r="A184" s="52" t="s">
        <v>242</v>
      </c>
      <c r="B184" s="39">
        <f>'[33]Budget Forms'!E337</f>
        <v>233333.33</v>
      </c>
      <c r="C184" s="39">
        <f>'[33]Budget Forms'!F337</f>
        <v>233333.33</v>
      </c>
      <c r="D184" s="39">
        <f>'[33]Budget Forms'!G337</f>
        <v>233333.33</v>
      </c>
      <c r="E184" s="39">
        <f t="shared" si="72"/>
        <v>699999.99</v>
      </c>
      <c r="F184" s="39">
        <f>'[33]Budget Forms'!H337</f>
        <v>233333.33</v>
      </c>
      <c r="G184" s="39">
        <f>'[33]Budget Forms'!I337</f>
        <v>233333.33</v>
      </c>
      <c r="H184" s="39">
        <f>'[33]Budget Forms'!J337</f>
        <v>233333.33</v>
      </c>
      <c r="I184" s="39">
        <f t="shared" si="61"/>
        <v>699999.99</v>
      </c>
      <c r="J184" s="39">
        <f>'[33]Budget Forms'!K337</f>
        <v>233333.33</v>
      </c>
      <c r="K184" s="39">
        <f>'[33]Budget Forms'!L337</f>
        <v>233333.33</v>
      </c>
      <c r="L184" s="39">
        <f>'[33]Budget Forms'!M337</f>
        <v>233333.34</v>
      </c>
      <c r="M184" s="39">
        <f t="shared" si="62"/>
        <v>700000</v>
      </c>
      <c r="N184" s="39">
        <f>'[33]Budget Forms'!N337</f>
        <v>233333.34</v>
      </c>
      <c r="O184" s="39">
        <f>'[33]Budget Forms'!O337</f>
        <v>233333.34</v>
      </c>
      <c r="P184" s="39">
        <f>'[33]Budget Forms'!P337</f>
        <v>233333.34</v>
      </c>
      <c r="Q184" s="39">
        <f t="shared" si="63"/>
        <v>700000.02</v>
      </c>
      <c r="R184" s="39">
        <f t="shared" si="73"/>
        <v>2800000</v>
      </c>
      <c r="S184" s="16"/>
      <c r="T184" s="16"/>
      <c r="U184" s="16"/>
      <c r="V184" s="16"/>
      <c r="W184" s="16"/>
      <c r="X184" s="16"/>
      <c r="Y184" s="16"/>
      <c r="Z184" s="16"/>
    </row>
    <row r="185" spans="1:26" ht="21.6" thickBot="1">
      <c r="A185" s="52" t="s">
        <v>243</v>
      </c>
      <c r="B185" s="39">
        <f>'[33]Budget Forms'!E338</f>
        <v>342224.63</v>
      </c>
      <c r="C185" s="39">
        <f>'[33]Budget Forms'!F338</f>
        <v>674541.02</v>
      </c>
      <c r="D185" s="39">
        <f>'[33]Budget Forms'!G338</f>
        <v>538770.55000000005</v>
      </c>
      <c r="E185" s="39">
        <f t="shared" si="72"/>
        <v>1555536.2000000002</v>
      </c>
      <c r="F185" s="39">
        <f>'[33]Budget Forms'!H338</f>
        <v>534929.06000000006</v>
      </c>
      <c r="G185" s="39">
        <f>'[33]Budget Forms'!I338</f>
        <v>534929.06000000006</v>
      </c>
      <c r="H185" s="39">
        <f>'[33]Budget Forms'!J338</f>
        <v>534929.06000000006</v>
      </c>
      <c r="I185" s="39">
        <f t="shared" si="61"/>
        <v>1604787.1800000002</v>
      </c>
      <c r="J185" s="39">
        <f>'[33]Budget Forms'!K338</f>
        <v>495337.42</v>
      </c>
      <c r="K185" s="39">
        <f>'[33]Budget Forms'!L338</f>
        <v>495337.42</v>
      </c>
      <c r="L185" s="39">
        <f>'[33]Budget Forms'!M338</f>
        <v>329673.28000000003</v>
      </c>
      <c r="M185" s="39">
        <f t="shared" si="62"/>
        <v>1320348.1200000001</v>
      </c>
      <c r="N185" s="39">
        <f>'[33]Budget Forms'!N338</f>
        <v>330057.43</v>
      </c>
      <c r="O185" s="39">
        <f>'[33]Budget Forms'!O338</f>
        <v>189911.53</v>
      </c>
      <c r="P185" s="39">
        <f>'[33]Budget Forms'!P338</f>
        <v>189911.53</v>
      </c>
      <c r="Q185" s="39">
        <f t="shared" si="63"/>
        <v>709880.49</v>
      </c>
      <c r="R185" s="39">
        <f t="shared" si="73"/>
        <v>5190551.99</v>
      </c>
      <c r="S185" s="16"/>
      <c r="T185" s="16"/>
      <c r="U185" s="16"/>
      <c r="V185" s="16"/>
      <c r="W185" s="16"/>
      <c r="X185" s="16"/>
      <c r="Y185" s="16"/>
      <c r="Z185" s="16"/>
    </row>
    <row r="186" spans="1:26" ht="24.6" thickTop="1" thickBot="1">
      <c r="A186" s="44" t="s">
        <v>238</v>
      </c>
      <c r="B186" s="45">
        <f t="shared" ref="B186:R186" si="74">SUM(B180:B185)</f>
        <v>1191891.4222222185</v>
      </c>
      <c r="C186" s="45">
        <f t="shared" si="74"/>
        <v>1836369.182222219</v>
      </c>
      <c r="D186" s="45">
        <f t="shared" si="74"/>
        <v>2219810.2322222181</v>
      </c>
      <c r="E186" s="45">
        <f t="shared" si="74"/>
        <v>5248070.8366666557</v>
      </c>
      <c r="F186" s="45">
        <f t="shared" si="74"/>
        <v>1636598.4622222227</v>
      </c>
      <c r="G186" s="45">
        <f t="shared" si="74"/>
        <v>1787293.4222222222</v>
      </c>
      <c r="H186" s="45">
        <f t="shared" si="74"/>
        <v>2318765.5122222225</v>
      </c>
      <c r="I186" s="45">
        <f t="shared" si="74"/>
        <v>5742657.3966666665</v>
      </c>
      <c r="J186" s="45">
        <f t="shared" si="74"/>
        <v>1223261.0822222219</v>
      </c>
      <c r="K186" s="45">
        <f t="shared" si="74"/>
        <v>1223261.0822222219</v>
      </c>
      <c r="L186" s="45">
        <f t="shared" si="74"/>
        <v>957596.95222222665</v>
      </c>
      <c r="M186" s="45">
        <f t="shared" si="74"/>
        <v>3404119.1166666709</v>
      </c>
      <c r="N186" s="45">
        <f t="shared" si="74"/>
        <v>3335552.4966666703</v>
      </c>
      <c r="O186" s="45">
        <f t="shared" si="74"/>
        <v>3135377.0666666697</v>
      </c>
      <c r="P186" s="45">
        <f>SUM(P180:P185)</f>
        <v>3635377.0666666664</v>
      </c>
      <c r="Q186" s="45">
        <f t="shared" si="74"/>
        <v>10106306.630000006</v>
      </c>
      <c r="R186" s="45">
        <f t="shared" si="74"/>
        <v>24501153.980000004</v>
      </c>
      <c r="S186" s="21"/>
    </row>
    <row r="187" spans="1:26" ht="30" thickTop="1" thickBot="1">
      <c r="A187" s="46" t="s">
        <v>156</v>
      </c>
      <c r="B187" s="47">
        <f t="shared" ref="B187:Q187" si="75">B177-B186</f>
        <v>-536147.97555555962</v>
      </c>
      <c r="C187" s="47">
        <f t="shared" si="75"/>
        <v>171480.00444444572</v>
      </c>
      <c r="D187" s="47">
        <f t="shared" si="75"/>
        <v>-995397.00555555802</v>
      </c>
      <c r="E187" s="47">
        <f t="shared" si="75"/>
        <v>-1360064.9766666722</v>
      </c>
      <c r="F187" s="47">
        <f t="shared" si="75"/>
        <v>-2025696.0188888791</v>
      </c>
      <c r="G187" s="47">
        <f t="shared" si="75"/>
        <v>687219.05111111514</v>
      </c>
      <c r="H187" s="47">
        <f t="shared" si="75"/>
        <v>1555822.8011111184</v>
      </c>
      <c r="I187" s="47">
        <f t="shared" si="75"/>
        <v>217345.83333335537</v>
      </c>
      <c r="J187" s="47">
        <f t="shared" si="75"/>
        <v>-2506351.1222222126</v>
      </c>
      <c r="K187" s="47">
        <f t="shared" si="75"/>
        <v>186793.87777778739</v>
      </c>
      <c r="L187" s="47">
        <f t="shared" si="75"/>
        <v>2613514.7177777817</v>
      </c>
      <c r="M187" s="47">
        <f t="shared" si="75"/>
        <v>293957.47333335597</v>
      </c>
      <c r="N187" s="47">
        <f>N177-N186</f>
        <v>328686.12333333911</v>
      </c>
      <c r="O187" s="47">
        <f t="shared" si="75"/>
        <v>1542688.5433333381</v>
      </c>
      <c r="P187" s="47">
        <f>P177-P186</f>
        <v>1008655.5433333414</v>
      </c>
      <c r="Q187" s="47">
        <f t="shared" si="75"/>
        <v>2880030.2100000195</v>
      </c>
      <c r="R187" s="47">
        <f>R177-R186</f>
        <v>2031268.5400000177</v>
      </c>
      <c r="S187" s="16"/>
    </row>
    <row r="188" spans="1:26" ht="24.6" thickTop="1" thickBot="1">
      <c r="A188" s="44" t="s">
        <v>244</v>
      </c>
      <c r="B188" s="56">
        <v>0</v>
      </c>
      <c r="C188" s="56">
        <v>0</v>
      </c>
      <c r="D188" s="56">
        <v>0</v>
      </c>
      <c r="E188" s="56">
        <f t="shared" si="72"/>
        <v>0</v>
      </c>
      <c r="F188" s="56"/>
      <c r="G188" s="56"/>
      <c r="H188" s="56"/>
      <c r="I188" s="56">
        <f t="shared" si="61"/>
        <v>0</v>
      </c>
      <c r="J188" s="56"/>
      <c r="K188" s="56"/>
      <c r="L188" s="56"/>
      <c r="M188" s="56">
        <f>SUM(J188:L188)</f>
        <v>0</v>
      </c>
      <c r="N188" s="56">
        <f>(N187)*0.225</f>
        <v>73954.377750001309</v>
      </c>
      <c r="O188" s="56">
        <f>(O187)*0.225</f>
        <v>347104.92225000111</v>
      </c>
      <c r="P188" s="56">
        <f>(P187)*0.225</f>
        <v>226947.49725000182</v>
      </c>
      <c r="Q188" s="56">
        <f>SUM(N188:P188)</f>
        <v>648006.79725000425</v>
      </c>
      <c r="R188" s="56">
        <f t="shared" si="73"/>
        <v>648006.79725000425</v>
      </c>
    </row>
    <row r="189" spans="1:26" ht="24.6" thickTop="1" thickBot="1">
      <c r="A189" s="44" t="s">
        <v>160</v>
      </c>
      <c r="B189" s="56">
        <v>0</v>
      </c>
      <c r="C189" s="56">
        <v>0</v>
      </c>
      <c r="D189" s="56">
        <v>0</v>
      </c>
      <c r="E189" s="56">
        <f t="shared" si="72"/>
        <v>0</v>
      </c>
      <c r="F189" s="56">
        <v>0</v>
      </c>
      <c r="G189" s="56">
        <v>0</v>
      </c>
      <c r="H189" s="56">
        <v>0</v>
      </c>
      <c r="I189" s="56">
        <f t="shared" si="61"/>
        <v>0</v>
      </c>
      <c r="J189" s="56">
        <v>0</v>
      </c>
      <c r="K189" s="56">
        <v>0</v>
      </c>
      <c r="L189" s="56">
        <v>0</v>
      </c>
      <c r="M189" s="56">
        <f t="shared" si="62"/>
        <v>0</v>
      </c>
      <c r="N189" s="56">
        <v>0</v>
      </c>
      <c r="O189" s="56">
        <v>0</v>
      </c>
      <c r="P189" s="56">
        <v>0</v>
      </c>
      <c r="Q189" s="56">
        <f t="shared" si="63"/>
        <v>0</v>
      </c>
      <c r="R189" s="56">
        <f t="shared" si="73"/>
        <v>0</v>
      </c>
      <c r="S189" s="16"/>
    </row>
    <row r="190" spans="1:26" ht="24.6" thickTop="1" thickBot="1">
      <c r="A190" s="44" t="s">
        <v>245</v>
      </c>
      <c r="B190" s="57">
        <v>0</v>
      </c>
      <c r="C190" s="57">
        <v>0</v>
      </c>
      <c r="D190" s="57">
        <v>0</v>
      </c>
      <c r="E190" s="57">
        <f t="shared" si="72"/>
        <v>0</v>
      </c>
      <c r="F190" s="56">
        <v>0</v>
      </c>
      <c r="G190" s="56">
        <v>0</v>
      </c>
      <c r="H190" s="56">
        <v>0</v>
      </c>
      <c r="I190" s="57">
        <f t="shared" si="61"/>
        <v>0</v>
      </c>
      <c r="J190" s="56">
        <v>0</v>
      </c>
      <c r="K190" s="56">
        <v>0</v>
      </c>
      <c r="L190" s="56">
        <v>0</v>
      </c>
      <c r="M190" s="57">
        <f t="shared" si="62"/>
        <v>0</v>
      </c>
      <c r="N190" s="56">
        <v>0</v>
      </c>
      <c r="O190" s="56">
        <v>0</v>
      </c>
      <c r="P190" s="56">
        <v>0</v>
      </c>
      <c r="Q190" s="57">
        <f t="shared" si="63"/>
        <v>0</v>
      </c>
      <c r="R190" s="56">
        <f t="shared" si="73"/>
        <v>0</v>
      </c>
    </row>
    <row r="191" spans="1:26" ht="24.6" thickTop="1" thickBot="1">
      <c r="A191" s="44" t="s">
        <v>246</v>
      </c>
      <c r="B191" s="57">
        <v>0</v>
      </c>
      <c r="C191" s="57">
        <v>0</v>
      </c>
      <c r="D191" s="57">
        <v>0</v>
      </c>
      <c r="E191" s="57">
        <f t="shared" si="72"/>
        <v>0</v>
      </c>
      <c r="F191" s="56">
        <v>0</v>
      </c>
      <c r="G191" s="56">
        <v>0</v>
      </c>
      <c r="H191" s="56">
        <v>0</v>
      </c>
      <c r="I191" s="57">
        <f t="shared" si="61"/>
        <v>0</v>
      </c>
      <c r="J191" s="56">
        <v>0</v>
      </c>
      <c r="K191" s="56">
        <v>0</v>
      </c>
      <c r="L191" s="56">
        <v>0</v>
      </c>
      <c r="M191" s="57">
        <f t="shared" si="62"/>
        <v>0</v>
      </c>
      <c r="N191" s="56">
        <v>0</v>
      </c>
      <c r="O191" s="56">
        <v>0</v>
      </c>
      <c r="P191" s="56">
        <v>0</v>
      </c>
      <c r="Q191" s="57">
        <f t="shared" si="63"/>
        <v>0</v>
      </c>
      <c r="R191" s="56">
        <f t="shared" si="73"/>
        <v>0</v>
      </c>
    </row>
    <row r="192" spans="1:26" ht="30" thickTop="1" thickBot="1">
      <c r="A192" s="58" t="s">
        <v>247</v>
      </c>
      <c r="B192" s="59">
        <f>B187-B188-B189-B190-B191</f>
        <v>-536147.97555555962</v>
      </c>
      <c r="C192" s="59">
        <f>C187-C188-C189-C190-C191</f>
        <v>171480.00444444572</v>
      </c>
      <c r="D192" s="59">
        <f>D187-D188-D189-D190-D191</f>
        <v>-995397.00555555802</v>
      </c>
      <c r="E192" s="59">
        <f t="shared" si="72"/>
        <v>-1360064.9766666719</v>
      </c>
      <c r="F192" s="59">
        <f>F187-F188-F189-F190-F191</f>
        <v>-2025696.0188888791</v>
      </c>
      <c r="G192" s="59">
        <f>G187-G188-G189-G190-G191</f>
        <v>687219.05111111514</v>
      </c>
      <c r="H192" s="59">
        <f>H187-H188-H189-H190-H191</f>
        <v>1555822.8011111184</v>
      </c>
      <c r="I192" s="59">
        <f t="shared" si="61"/>
        <v>217345.83333335444</v>
      </c>
      <c r="J192" s="59">
        <f>J187-J188-J189-J190-J191</f>
        <v>-2506351.1222222126</v>
      </c>
      <c r="K192" s="59">
        <f>K187-K188-K189-K190-K191</f>
        <v>186793.87777778739</v>
      </c>
      <c r="L192" s="59">
        <f>L187-L188-L189-L190-L191</f>
        <v>2613514.7177777817</v>
      </c>
      <c r="M192" s="59">
        <f t="shared" si="62"/>
        <v>293957.47333335644</v>
      </c>
      <c r="N192" s="59">
        <f>N187-N188-N189-N190-N191</f>
        <v>254731.74558333779</v>
      </c>
      <c r="O192" s="59">
        <f>O187-O188-O189-O190-O191</f>
        <v>1195583.6210833369</v>
      </c>
      <c r="P192" s="59">
        <f>P187-P188-P189-P190-P191</f>
        <v>781708.04608333949</v>
      </c>
      <c r="Q192" s="59">
        <f t="shared" si="63"/>
        <v>2232023.4127500141</v>
      </c>
      <c r="R192" s="59">
        <f>R187-R188-R189-R190-R191</f>
        <v>1383261.7427500135</v>
      </c>
    </row>
    <row r="193" spans="6:18">
      <c r="M193" s="16"/>
      <c r="N193" s="21"/>
      <c r="O193" s="21"/>
      <c r="P193" s="21"/>
      <c r="Q193" s="21"/>
    </row>
    <row r="194" spans="6:18">
      <c r="G194" s="60"/>
      <c r="R194" s="21"/>
    </row>
    <row r="195" spans="6:18">
      <c r="F195" s="12"/>
      <c r="G195" s="12"/>
      <c r="H195" s="12"/>
    </row>
    <row r="196" spans="6:18">
      <c r="H196" s="12"/>
    </row>
    <row r="197" spans="6:18">
      <c r="F197" s="12"/>
      <c r="G197" s="12"/>
      <c r="H197" s="12"/>
    </row>
  </sheetData>
  <printOptions horizontalCentered="1"/>
  <pageMargins left="0" right="0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  <pageSetUpPr fitToPage="1"/>
  </sheetPr>
  <dimension ref="B1:IO157"/>
  <sheetViews>
    <sheetView zoomScale="90" zoomScaleNormal="9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B4" sqref="B4:AH29"/>
    </sheetView>
  </sheetViews>
  <sheetFormatPr defaultColWidth="8.88671875" defaultRowHeight="14.4" outlineLevelRow="1" outlineLevelCol="1"/>
  <cols>
    <col min="1" max="1" width="7" customWidth="1"/>
    <col min="2" max="2" width="24.109375" customWidth="1"/>
    <col min="3" max="3" width="13" hidden="1" customWidth="1"/>
    <col min="4" max="4" width="6.6640625" hidden="1" customWidth="1"/>
    <col min="5" max="5" width="2.6640625" customWidth="1"/>
    <col min="6" max="6" width="12.6640625" hidden="1" customWidth="1" outlineLevel="1"/>
    <col min="7" max="7" width="5.6640625" hidden="1" customWidth="1" outlineLevel="1"/>
    <col min="8" max="8" width="11.77734375" hidden="1" customWidth="1" outlineLevel="1"/>
    <col min="9" max="9" width="6.77734375" hidden="1" customWidth="1" outlineLevel="1"/>
    <col min="10" max="10" width="11.77734375" hidden="1" customWidth="1" outlineLevel="1"/>
    <col min="11" max="11" width="5" hidden="1" customWidth="1" outlineLevel="1"/>
    <col min="12" max="12" width="14.6640625" hidden="1" customWidth="1" outlineLevel="1"/>
    <col min="13" max="13" width="5.88671875" hidden="1" customWidth="1" outlineLevel="1"/>
    <col min="14" max="14" width="13.109375" style="5" hidden="1" customWidth="1" outlineLevel="1"/>
    <col min="15" max="15" width="5.88671875" hidden="1" customWidth="1" outlineLevel="1"/>
    <col min="16" max="16" width="15" hidden="1" customWidth="1" outlineLevel="1"/>
    <col min="17" max="17" width="5.88671875" hidden="1" customWidth="1" outlineLevel="1"/>
    <col min="18" max="18" width="14" style="72" hidden="1" customWidth="1" collapsed="1"/>
    <col min="19" max="19" width="6" hidden="1" customWidth="1"/>
    <col min="20" max="20" width="2.6640625" hidden="1" customWidth="1"/>
    <col min="21" max="21" width="14.21875" customWidth="1" outlineLevel="1"/>
    <col min="22" max="22" width="5" bestFit="1" customWidth="1" outlineLevel="1"/>
    <col min="23" max="23" width="14.88671875" customWidth="1" outlineLevel="1"/>
    <col min="24" max="24" width="5" bestFit="1" customWidth="1" outlineLevel="1"/>
    <col min="25" max="25" width="15.33203125" customWidth="1" outlineLevel="1"/>
    <col min="26" max="26" width="5" bestFit="1" customWidth="1" outlineLevel="1"/>
    <col min="27" max="27" width="15.88671875" customWidth="1" outlineLevel="1"/>
    <col min="28" max="28" width="5" bestFit="1" customWidth="1" outlineLevel="1"/>
    <col min="29" max="29" width="17" style="5" customWidth="1" outlineLevel="1"/>
    <col min="30" max="30" width="5" bestFit="1" customWidth="1" outlineLevel="1"/>
    <col min="31" max="31" width="15" customWidth="1" outlineLevel="1"/>
    <col min="32" max="32" width="5" bestFit="1" customWidth="1" outlineLevel="1"/>
    <col min="33" max="33" width="13.109375" style="72" bestFit="1" customWidth="1"/>
    <col min="34" max="34" width="6.21875" style="72" bestFit="1" customWidth="1"/>
    <col min="35" max="35" width="2.6640625" hidden="1" customWidth="1"/>
    <col min="36" max="36" width="12.6640625" hidden="1" customWidth="1" outlineLevel="1"/>
    <col min="37" max="37" width="6.33203125" hidden="1" customWidth="1" outlineLevel="1"/>
    <col min="38" max="38" width="11.21875" hidden="1" customWidth="1" outlineLevel="1"/>
    <col min="39" max="39" width="5.88671875" hidden="1" customWidth="1" outlineLevel="1"/>
    <col min="40" max="40" width="15.88671875" hidden="1" customWidth="1" outlineLevel="1"/>
    <col min="41" max="41" width="8.6640625" hidden="1" customWidth="1" outlineLevel="1"/>
    <col min="42" max="42" width="15" hidden="1" customWidth="1" outlineLevel="1"/>
    <col min="43" max="43" width="5.88671875" hidden="1" customWidth="1" outlineLevel="1"/>
    <col min="44" max="44" width="18.6640625" style="5" hidden="1" customWidth="1" outlineLevel="1"/>
    <col min="45" max="45" width="5.88671875" hidden="1" customWidth="1" outlineLevel="1"/>
    <col min="46" max="46" width="19.6640625" hidden="1" customWidth="1" outlineLevel="1"/>
    <col min="47" max="47" width="5.88671875" hidden="1" customWidth="1" outlineLevel="1"/>
    <col min="48" max="48" width="13.109375" style="72" hidden="1" customWidth="1" collapsed="1"/>
    <col min="49" max="49" width="5.88671875" style="72" hidden="1" customWidth="1"/>
    <col min="50" max="50" width="2.6640625" hidden="1" customWidth="1"/>
    <col min="51" max="51" width="14.33203125" hidden="1" customWidth="1" outlineLevel="1"/>
    <col min="52" max="52" width="6.109375" hidden="1" customWidth="1" outlineLevel="1"/>
    <col min="53" max="53" width="11.77734375" hidden="1" customWidth="1" outlineLevel="1"/>
    <col min="54" max="54" width="5.88671875" hidden="1" customWidth="1" outlineLevel="1"/>
    <col min="55" max="55" width="15.88671875" hidden="1" customWidth="1" outlineLevel="1"/>
    <col min="56" max="56" width="8.6640625" hidden="1" customWidth="1" outlineLevel="1"/>
    <col min="57" max="57" width="22.109375" hidden="1" customWidth="1" outlineLevel="1"/>
    <col min="58" max="58" width="5.88671875" hidden="1" customWidth="1" outlineLevel="1"/>
    <col min="59" max="59" width="26.109375" style="5" hidden="1" customWidth="1" outlineLevel="1"/>
    <col min="60" max="60" width="5.88671875" hidden="1" customWidth="1" outlineLevel="1"/>
    <col min="61" max="61" width="23" hidden="1" customWidth="1" outlineLevel="1"/>
    <col min="62" max="62" width="5.88671875" hidden="1" customWidth="1" outlineLevel="1"/>
    <col min="63" max="63" width="13.109375" style="72" hidden="1" customWidth="1" collapsed="1"/>
    <col min="64" max="64" width="5.21875" style="72" hidden="1" customWidth="1"/>
    <col min="65" max="65" width="2.6640625" hidden="1" customWidth="1"/>
    <col min="66" max="66" width="11.88671875" hidden="1" customWidth="1" outlineLevel="1"/>
    <col min="67" max="67" width="5.6640625" hidden="1" customWidth="1" outlineLevel="1"/>
    <col min="68" max="68" width="11.21875" hidden="1" customWidth="1" outlineLevel="1"/>
    <col min="69" max="69" width="5.88671875" hidden="1" customWidth="1" outlineLevel="1"/>
    <col min="70" max="70" width="15.88671875" hidden="1" customWidth="1" outlineLevel="1"/>
    <col min="71" max="71" width="8.6640625" hidden="1" customWidth="1" outlineLevel="1"/>
    <col min="72" max="72" width="22.109375" hidden="1" customWidth="1" outlineLevel="1"/>
    <col min="73" max="73" width="5.88671875" hidden="1" customWidth="1" outlineLevel="1"/>
    <col min="74" max="74" width="26.109375" style="5" hidden="1" customWidth="1" outlineLevel="1"/>
    <col min="75" max="75" width="5.88671875" hidden="1" customWidth="1" outlineLevel="1"/>
    <col min="76" max="76" width="23" hidden="1" customWidth="1" outlineLevel="1"/>
    <col min="77" max="77" width="5.88671875" hidden="1" customWidth="1" outlineLevel="1"/>
    <col min="78" max="78" width="13.109375" style="72" hidden="1" customWidth="1" collapsed="1"/>
    <col min="79" max="79" width="5.21875" style="72" hidden="1" customWidth="1"/>
    <col min="80" max="80" width="2.6640625" hidden="1" customWidth="1"/>
    <col min="81" max="81" width="12.6640625" hidden="1" customWidth="1" outlineLevel="1"/>
    <col min="82" max="82" width="5.6640625" hidden="1" customWidth="1" outlineLevel="1"/>
    <col min="83" max="83" width="11.21875" hidden="1" customWidth="1" outlineLevel="1"/>
    <col min="84" max="84" width="5.88671875" hidden="1" customWidth="1" outlineLevel="1"/>
    <col min="85" max="85" width="15.88671875" hidden="1" customWidth="1" outlineLevel="1"/>
    <col min="86" max="86" width="8.6640625" hidden="1" customWidth="1" outlineLevel="1"/>
    <col min="87" max="87" width="22.109375" hidden="1" customWidth="1" outlineLevel="1"/>
    <col min="88" max="88" width="5.88671875" hidden="1" customWidth="1" outlineLevel="1"/>
    <col min="89" max="89" width="26.109375" style="5" hidden="1" customWidth="1" outlineLevel="1"/>
    <col min="90" max="90" width="5.88671875" hidden="1" customWidth="1" outlineLevel="1"/>
    <col min="91" max="91" width="23" hidden="1" customWidth="1" outlineLevel="1"/>
    <col min="92" max="92" width="5.88671875" hidden="1" customWidth="1" outlineLevel="1"/>
    <col min="93" max="93" width="13.109375" style="72" hidden="1" customWidth="1" collapsed="1"/>
    <col min="94" max="94" width="5.21875" style="72" hidden="1" customWidth="1"/>
    <col min="95" max="95" width="2.6640625" hidden="1" customWidth="1"/>
    <col min="96" max="96" width="12.21875" hidden="1" customWidth="1" outlineLevel="1"/>
    <col min="97" max="97" width="5.6640625" hidden="1" customWidth="1" outlineLevel="1"/>
    <col min="98" max="98" width="11.77734375" hidden="1" customWidth="1" outlineLevel="1"/>
    <col min="99" max="99" width="5.88671875" hidden="1" customWidth="1" outlineLevel="1"/>
    <col min="100" max="100" width="15.88671875" hidden="1" customWidth="1" outlineLevel="1"/>
    <col min="101" max="101" width="8.6640625" hidden="1" customWidth="1" outlineLevel="1"/>
    <col min="102" max="102" width="22.109375" hidden="1" customWidth="1" outlineLevel="1"/>
    <col min="103" max="103" width="5.88671875" hidden="1" customWidth="1" outlineLevel="1"/>
    <col min="104" max="104" width="20" style="5" hidden="1" customWidth="1" outlineLevel="1"/>
    <col min="105" max="105" width="5.88671875" hidden="1" customWidth="1" outlineLevel="1"/>
    <col min="106" max="106" width="23" hidden="1" customWidth="1" outlineLevel="1"/>
    <col min="107" max="107" width="5.88671875" hidden="1" customWidth="1" outlineLevel="1"/>
    <col min="108" max="108" width="13.109375" style="72" hidden="1" customWidth="1" collapsed="1"/>
    <col min="109" max="109" width="5.21875" style="72" hidden="1" customWidth="1"/>
    <col min="110" max="110" width="2.6640625" hidden="1" customWidth="1"/>
    <col min="111" max="111" width="13.109375" hidden="1" customWidth="1" outlineLevel="1"/>
    <col min="112" max="112" width="5.6640625" hidden="1" customWidth="1" outlineLevel="1"/>
    <col min="113" max="113" width="11.77734375" hidden="1" customWidth="1" outlineLevel="1"/>
    <col min="114" max="114" width="5.88671875" hidden="1" customWidth="1" outlineLevel="1"/>
    <col min="115" max="115" width="15.88671875" hidden="1" customWidth="1" outlineLevel="1"/>
    <col min="116" max="116" width="8.6640625" hidden="1" customWidth="1" outlineLevel="1"/>
    <col min="117" max="117" width="22.109375" hidden="1" customWidth="1" outlineLevel="1"/>
    <col min="118" max="118" width="5.88671875" hidden="1" customWidth="1" outlineLevel="1"/>
    <col min="119" max="119" width="26.109375" style="5" hidden="1" customWidth="1" outlineLevel="1"/>
    <col min="120" max="120" width="5.88671875" hidden="1" customWidth="1" outlineLevel="1"/>
    <col min="121" max="121" width="23" hidden="1" customWidth="1" outlineLevel="1"/>
    <col min="122" max="122" width="5.88671875" hidden="1" customWidth="1" outlineLevel="1"/>
    <col min="123" max="123" width="13.109375" style="72" hidden="1" customWidth="1" collapsed="1"/>
    <col min="124" max="124" width="5.21875" style="72" hidden="1" customWidth="1"/>
    <col min="125" max="125" width="2.6640625" hidden="1" customWidth="1"/>
    <col min="126" max="126" width="13.109375" hidden="1" customWidth="1" outlineLevel="1"/>
    <col min="127" max="127" width="5.6640625" hidden="1" customWidth="1" outlineLevel="1"/>
    <col min="128" max="128" width="11.77734375" hidden="1" customWidth="1" outlineLevel="1"/>
    <col min="129" max="129" width="5.88671875" hidden="1" customWidth="1" outlineLevel="1"/>
    <col min="130" max="130" width="15.88671875" hidden="1" customWidth="1" outlineLevel="1"/>
    <col min="131" max="131" width="8.6640625" hidden="1" customWidth="1" outlineLevel="1"/>
    <col min="132" max="132" width="22.109375" hidden="1" customWidth="1" outlineLevel="1"/>
    <col min="133" max="133" width="5.88671875" hidden="1" customWidth="1" outlineLevel="1"/>
    <col min="134" max="134" width="26.109375" style="5" hidden="1" customWidth="1" outlineLevel="1"/>
    <col min="135" max="135" width="5.88671875" hidden="1" customWidth="1" outlineLevel="1"/>
    <col min="136" max="136" width="23" hidden="1" customWidth="1" outlineLevel="1"/>
    <col min="137" max="137" width="5.88671875" hidden="1" customWidth="1" outlineLevel="1"/>
    <col min="138" max="138" width="13.109375" style="72" hidden="1" customWidth="1" collapsed="1"/>
    <col min="139" max="139" width="5.21875" style="72" hidden="1" customWidth="1"/>
    <col min="140" max="140" width="2.6640625" hidden="1" customWidth="1"/>
    <col min="141" max="141" width="13.109375" hidden="1" customWidth="1" outlineLevel="1"/>
    <col min="142" max="142" width="5.6640625" hidden="1" customWidth="1" outlineLevel="1"/>
    <col min="143" max="143" width="11.77734375" hidden="1" customWidth="1" outlineLevel="1"/>
    <col min="144" max="144" width="5.88671875" hidden="1" customWidth="1" outlineLevel="1"/>
    <col min="145" max="145" width="15.88671875" hidden="1" customWidth="1" outlineLevel="1"/>
    <col min="146" max="146" width="8.6640625" hidden="1" customWidth="1" outlineLevel="1"/>
    <col min="147" max="147" width="22.109375" hidden="1" customWidth="1" outlineLevel="1"/>
    <col min="148" max="148" width="5.88671875" hidden="1" customWidth="1" outlineLevel="1"/>
    <col min="149" max="149" width="26.109375" style="5" hidden="1" customWidth="1" outlineLevel="1"/>
    <col min="150" max="150" width="5.88671875" hidden="1" customWidth="1" outlineLevel="1"/>
    <col min="151" max="151" width="23" hidden="1" customWidth="1" outlineLevel="1"/>
    <col min="152" max="152" width="5.88671875" hidden="1" customWidth="1" outlineLevel="1"/>
    <col min="153" max="153" width="13.109375" style="72" hidden="1" customWidth="1" collapsed="1"/>
    <col min="154" max="154" width="5.21875" style="72" hidden="1" customWidth="1"/>
    <col min="155" max="155" width="2.6640625" hidden="1" customWidth="1"/>
    <col min="156" max="156" width="12.6640625" hidden="1" customWidth="1" outlineLevel="1"/>
    <col min="157" max="157" width="5.6640625" hidden="1" customWidth="1" outlineLevel="1"/>
    <col min="158" max="158" width="11.77734375" hidden="1" customWidth="1" outlineLevel="1"/>
    <col min="159" max="159" width="5.88671875" hidden="1" customWidth="1" outlineLevel="1"/>
    <col min="160" max="160" width="15.88671875" hidden="1" customWidth="1" outlineLevel="1"/>
    <col min="161" max="161" width="8.6640625" hidden="1" customWidth="1" outlineLevel="1"/>
    <col min="162" max="162" width="22.109375" hidden="1" customWidth="1" outlineLevel="1"/>
    <col min="163" max="163" width="5.88671875" hidden="1" customWidth="1" outlineLevel="1"/>
    <col min="164" max="164" width="26.109375" style="5" hidden="1" customWidth="1" outlineLevel="1"/>
    <col min="165" max="165" width="5.88671875" hidden="1" customWidth="1" outlineLevel="1"/>
    <col min="166" max="166" width="23" hidden="1" customWidth="1" outlineLevel="1"/>
    <col min="167" max="167" width="5.88671875" hidden="1" customWidth="1" outlineLevel="1"/>
    <col min="168" max="168" width="13.109375" style="72" hidden="1" customWidth="1" collapsed="1"/>
    <col min="169" max="169" width="5.21875" style="72" hidden="1" customWidth="1"/>
    <col min="170" max="170" width="2.6640625" hidden="1" customWidth="1"/>
    <col min="171" max="171" width="13.109375" hidden="1" customWidth="1" outlineLevel="1"/>
    <col min="172" max="172" width="5.6640625" hidden="1" customWidth="1" outlineLevel="1"/>
    <col min="173" max="173" width="11.77734375" hidden="1" customWidth="1" outlineLevel="1"/>
    <col min="174" max="174" width="5.88671875" hidden="1" customWidth="1" outlineLevel="1"/>
    <col min="175" max="175" width="15.88671875" hidden="1" customWidth="1" outlineLevel="1"/>
    <col min="176" max="176" width="8.6640625" hidden="1" customWidth="1" outlineLevel="1"/>
    <col min="177" max="177" width="22.109375" hidden="1" customWidth="1" outlineLevel="1"/>
    <col min="178" max="178" width="5.88671875" hidden="1" customWidth="1" outlineLevel="1"/>
    <col min="179" max="179" width="26.109375" style="5" hidden="1" customWidth="1" outlineLevel="1"/>
    <col min="180" max="180" width="5.88671875" hidden="1" customWidth="1" outlineLevel="1"/>
    <col min="181" max="181" width="23" hidden="1" customWidth="1" outlineLevel="1"/>
    <col min="182" max="182" width="5.88671875" hidden="1" customWidth="1" outlineLevel="1"/>
    <col min="183" max="183" width="13.109375" style="72" hidden="1" customWidth="1" collapsed="1"/>
    <col min="184" max="184" width="5.21875" style="72" hidden="1" customWidth="1"/>
    <col min="185" max="185" width="2.6640625" hidden="1" customWidth="1"/>
    <col min="186" max="186" width="12.6640625" hidden="1" customWidth="1" outlineLevel="1"/>
    <col min="187" max="187" width="5.6640625" hidden="1" customWidth="1" outlineLevel="1"/>
    <col min="188" max="188" width="11.21875" hidden="1" customWidth="1" outlineLevel="1"/>
    <col min="189" max="189" width="5.88671875" hidden="1" customWidth="1" outlineLevel="1"/>
    <col min="190" max="190" width="12.109375" hidden="1" customWidth="1" outlineLevel="1"/>
    <col min="191" max="191" width="5" hidden="1" customWidth="1" outlineLevel="1"/>
    <col min="192" max="192" width="17" hidden="1" customWidth="1" outlineLevel="1"/>
    <col min="193" max="193" width="5.88671875" hidden="1" customWidth="1" outlineLevel="1"/>
    <col min="194" max="194" width="13.109375" style="5" hidden="1" customWidth="1" outlineLevel="1"/>
    <col min="195" max="195" width="5.33203125" hidden="1" customWidth="1" outlineLevel="1"/>
    <col min="196" max="196" width="11.88671875" hidden="1" customWidth="1" outlineLevel="1"/>
    <col min="197" max="197" width="5.88671875" hidden="1" customWidth="1" outlineLevel="1"/>
    <col min="198" max="198" width="13.109375" style="72" hidden="1" customWidth="1" collapsed="1"/>
    <col min="199" max="199" width="4.33203125" style="72" hidden="1" customWidth="1"/>
    <col min="200" max="200" width="2.6640625" hidden="1" customWidth="1"/>
    <col min="201" max="201" width="12.6640625" hidden="1" customWidth="1" outlineLevel="1"/>
    <col min="202" max="202" width="5.6640625" hidden="1" customWidth="1" outlineLevel="1"/>
    <col min="203" max="203" width="12.88671875" hidden="1" customWidth="1" outlineLevel="1"/>
    <col min="204" max="204" width="5.88671875" hidden="1" customWidth="1" outlineLevel="1"/>
    <col min="205" max="205" width="12.109375" hidden="1" customWidth="1" outlineLevel="1"/>
    <col min="206" max="206" width="8.6640625" hidden="1" customWidth="1" outlineLevel="1"/>
    <col min="207" max="207" width="17" hidden="1" customWidth="1" outlineLevel="1"/>
    <col min="208" max="208" width="5.88671875" hidden="1" customWidth="1" outlineLevel="1"/>
    <col min="209" max="209" width="13.109375" style="5" hidden="1" customWidth="1" outlineLevel="1"/>
    <col min="210" max="210" width="5.33203125" hidden="1" customWidth="1" outlineLevel="1"/>
    <col min="211" max="211" width="23" hidden="1" customWidth="1" outlineLevel="1"/>
    <col min="212" max="212" width="5.88671875" hidden="1" customWidth="1" outlineLevel="1"/>
    <col min="213" max="213" width="13.109375" style="72" hidden="1" customWidth="1" collapsed="1"/>
    <col min="214" max="214" width="7.88671875" style="72" hidden="1" customWidth="1"/>
    <col min="215" max="215" width="2.6640625" hidden="1" customWidth="1"/>
    <col min="216" max="216" width="12.6640625" hidden="1" customWidth="1" outlineLevel="1"/>
    <col min="217" max="217" width="5.6640625" hidden="1" customWidth="1" outlineLevel="1"/>
    <col min="218" max="218" width="11.21875" hidden="1" customWidth="1" outlineLevel="1"/>
    <col min="219" max="219" width="5.88671875" hidden="1" customWidth="1" outlineLevel="1"/>
    <col min="220" max="220" width="12.109375" hidden="1" customWidth="1" outlineLevel="1"/>
    <col min="221" max="221" width="8.6640625" hidden="1" customWidth="1" outlineLevel="1"/>
    <col min="222" max="222" width="17" hidden="1" customWidth="1" outlineLevel="1"/>
    <col min="223" max="223" width="5.88671875" hidden="1" customWidth="1" outlineLevel="1"/>
    <col min="224" max="224" width="13.109375" style="5" hidden="1" customWidth="1" outlineLevel="1"/>
    <col min="225" max="225" width="5.33203125" hidden="1" customWidth="1" outlineLevel="1"/>
    <col min="226" max="226" width="17.88671875" hidden="1" customWidth="1" outlineLevel="1"/>
    <col min="227" max="227" width="5.88671875" hidden="1" customWidth="1" outlineLevel="1"/>
    <col min="228" max="228" width="13.109375" style="74" hidden="1" customWidth="1" collapsed="1"/>
    <col min="229" max="229" width="7.88671875" style="72" hidden="1" customWidth="1"/>
    <col min="230" max="230" width="3.88671875" hidden="1" customWidth="1"/>
    <col min="231" max="231" width="4.88671875" hidden="1" customWidth="1"/>
    <col min="232" max="232" width="41.33203125" hidden="1" customWidth="1"/>
    <col min="233" max="233" width="1.88671875" style="6" hidden="1" customWidth="1"/>
    <col min="234" max="234" width="12.109375" style="6" hidden="1" customWidth="1"/>
    <col min="235" max="235" width="12.109375" hidden="1" customWidth="1" collapsed="1"/>
    <col min="236" max="249" width="12.109375" hidden="1" customWidth="1"/>
    <col min="250" max="250" width="0" hidden="1" customWidth="1"/>
  </cols>
  <sheetData>
    <row r="1" spans="2:249">
      <c r="E1" s="71"/>
      <c r="L1" s="15"/>
      <c r="T1" s="71"/>
      <c r="W1" s="15"/>
      <c r="AE1" s="73"/>
      <c r="AI1" s="71"/>
      <c r="AX1" s="71"/>
      <c r="BM1" s="71"/>
      <c r="CB1" s="71"/>
      <c r="CQ1" s="71"/>
      <c r="DF1" s="71"/>
      <c r="DU1" s="71"/>
      <c r="EJ1" s="71"/>
      <c r="EY1" s="71"/>
      <c r="FN1" s="71"/>
      <c r="GC1" s="71"/>
      <c r="GR1" s="71"/>
      <c r="HG1" s="71"/>
      <c r="IA1" s="75"/>
    </row>
    <row r="2" spans="2:249" ht="18" hidden="1">
      <c r="E2" s="71"/>
      <c r="H2" s="15"/>
      <c r="J2" s="15"/>
      <c r="L2" s="15"/>
      <c r="N2" s="76"/>
      <c r="P2" s="60"/>
      <c r="R2" s="218" t="s">
        <v>278</v>
      </c>
      <c r="S2" s="77"/>
      <c r="T2" s="71"/>
      <c r="U2" s="78">
        <v>0.05</v>
      </c>
      <c r="V2" s="78">
        <v>0.05</v>
      </c>
      <c r="W2" s="78">
        <v>0.05</v>
      </c>
      <c r="X2" s="78"/>
      <c r="Y2" s="78">
        <v>0.05</v>
      </c>
      <c r="Z2" s="78">
        <v>0.05</v>
      </c>
      <c r="AA2" s="78">
        <v>0.05</v>
      </c>
      <c r="AB2" s="78">
        <v>0.05</v>
      </c>
      <c r="AC2" s="78">
        <v>0.05</v>
      </c>
      <c r="AD2" s="78">
        <v>0.05</v>
      </c>
      <c r="AE2" s="78">
        <v>0.05</v>
      </c>
      <c r="AF2" s="78">
        <v>0.05</v>
      </c>
      <c r="AG2" s="218" t="s">
        <v>279</v>
      </c>
      <c r="AH2" s="77"/>
      <c r="AI2" s="71"/>
      <c r="AJ2" s="78">
        <v>0.05</v>
      </c>
      <c r="AK2" s="78">
        <v>0.05</v>
      </c>
      <c r="AL2" s="78">
        <v>0.05</v>
      </c>
      <c r="AM2" s="78">
        <v>0.05</v>
      </c>
      <c r="AN2" s="78">
        <v>0.05</v>
      </c>
      <c r="AO2" s="78">
        <v>0.05</v>
      </c>
      <c r="AP2" s="78">
        <v>0.05</v>
      </c>
      <c r="AQ2" s="78">
        <v>0.05</v>
      </c>
      <c r="AR2" s="78">
        <v>0.05</v>
      </c>
      <c r="AS2" s="78">
        <v>0.05</v>
      </c>
      <c r="AT2" s="78">
        <v>0.05</v>
      </c>
      <c r="AU2" s="78">
        <v>0.05</v>
      </c>
      <c r="AV2" s="218" t="s">
        <v>280</v>
      </c>
      <c r="AW2" s="77"/>
      <c r="AX2" s="71"/>
      <c r="AY2" s="78">
        <v>0.05</v>
      </c>
      <c r="AZ2" s="78">
        <v>0.05</v>
      </c>
      <c r="BA2" s="78">
        <v>0.05</v>
      </c>
      <c r="BB2" s="78">
        <v>0.05</v>
      </c>
      <c r="BC2" s="78">
        <v>0.05</v>
      </c>
      <c r="BD2" s="78">
        <v>0.05</v>
      </c>
      <c r="BE2" s="78">
        <v>0.05</v>
      </c>
      <c r="BF2" s="78">
        <v>0.05</v>
      </c>
      <c r="BG2" s="78">
        <v>0.05</v>
      </c>
      <c r="BH2" s="78">
        <v>0.05</v>
      </c>
      <c r="BI2" s="78">
        <v>0.05</v>
      </c>
      <c r="BJ2" s="78">
        <v>0.05</v>
      </c>
      <c r="BK2" s="218" t="s">
        <v>281</v>
      </c>
      <c r="BL2" s="77"/>
      <c r="BM2" s="71"/>
      <c r="BN2" s="78">
        <v>0.05</v>
      </c>
      <c r="BO2" s="78">
        <v>0.05</v>
      </c>
      <c r="BP2" s="78">
        <v>0.05</v>
      </c>
      <c r="BQ2" s="78">
        <v>0.05</v>
      </c>
      <c r="BR2" s="78">
        <v>0.05</v>
      </c>
      <c r="BS2" s="78">
        <v>0.05</v>
      </c>
      <c r="BT2" s="78">
        <v>0.05</v>
      </c>
      <c r="BU2" s="78">
        <v>0.05</v>
      </c>
      <c r="BV2" s="78">
        <v>0.05</v>
      </c>
      <c r="BW2" s="78">
        <v>0.05</v>
      </c>
      <c r="BX2" s="78">
        <v>0.05</v>
      </c>
      <c r="BY2" s="78">
        <v>0.05</v>
      </c>
      <c r="BZ2" s="218" t="s">
        <v>282</v>
      </c>
      <c r="CA2" s="77"/>
      <c r="CB2" s="71"/>
      <c r="CC2" s="78">
        <v>0.05</v>
      </c>
      <c r="CD2" s="78">
        <v>0.05</v>
      </c>
      <c r="CE2" s="78">
        <v>0.05</v>
      </c>
      <c r="CF2" s="78">
        <v>0.05</v>
      </c>
      <c r="CG2" s="78">
        <v>0.05</v>
      </c>
      <c r="CH2" s="78">
        <v>0.05</v>
      </c>
      <c r="CI2" s="78">
        <v>0.05</v>
      </c>
      <c r="CJ2" s="78">
        <v>0.05</v>
      </c>
      <c r="CK2" s="78">
        <v>0.05</v>
      </c>
      <c r="CL2" s="78">
        <v>0.05</v>
      </c>
      <c r="CM2" s="78">
        <v>0.05</v>
      </c>
      <c r="CN2" s="78">
        <v>0.05</v>
      </c>
      <c r="CO2" s="218" t="s">
        <v>283</v>
      </c>
      <c r="CP2" s="77"/>
      <c r="CQ2" s="71"/>
      <c r="CR2" s="78">
        <v>0.05</v>
      </c>
      <c r="CS2" s="78">
        <v>0.05</v>
      </c>
      <c r="CT2" s="78">
        <v>0.05</v>
      </c>
      <c r="CU2" s="78">
        <v>0.05</v>
      </c>
      <c r="CV2" s="78">
        <v>0.05</v>
      </c>
      <c r="CW2" s="78">
        <v>0.05</v>
      </c>
      <c r="CX2" s="78">
        <v>0.05</v>
      </c>
      <c r="CY2" s="78">
        <v>0.05</v>
      </c>
      <c r="CZ2" s="78">
        <v>0.05</v>
      </c>
      <c r="DA2" s="78">
        <v>0.05</v>
      </c>
      <c r="DB2" s="78">
        <v>0.05</v>
      </c>
      <c r="DC2" s="78">
        <v>0.05</v>
      </c>
      <c r="DD2" s="218" t="s">
        <v>284</v>
      </c>
      <c r="DE2" s="77"/>
      <c r="DF2" s="71"/>
      <c r="DG2" s="78">
        <v>0.05</v>
      </c>
      <c r="DH2" s="78">
        <v>0.05</v>
      </c>
      <c r="DI2" s="78">
        <v>0.05</v>
      </c>
      <c r="DJ2" s="78">
        <v>0.05</v>
      </c>
      <c r="DK2" s="78">
        <v>0.05</v>
      </c>
      <c r="DL2" s="78">
        <v>0.05</v>
      </c>
      <c r="DM2" s="78">
        <v>0.05</v>
      </c>
      <c r="DN2" s="78">
        <v>0.05</v>
      </c>
      <c r="DO2" s="78">
        <v>0.05</v>
      </c>
      <c r="DP2" s="78">
        <v>0.05</v>
      </c>
      <c r="DQ2" s="78">
        <v>0.05</v>
      </c>
      <c r="DR2" s="78">
        <v>0.05</v>
      </c>
      <c r="DS2" s="218" t="s">
        <v>285</v>
      </c>
      <c r="DT2" s="77"/>
      <c r="DU2" s="71"/>
      <c r="DV2" s="78">
        <v>0.05</v>
      </c>
      <c r="DW2" s="78">
        <v>0.05</v>
      </c>
      <c r="DX2" s="78">
        <v>0.05</v>
      </c>
      <c r="DY2" s="78">
        <v>0.05</v>
      </c>
      <c r="DZ2" s="78">
        <v>0.05</v>
      </c>
      <c r="EA2" s="78">
        <v>0.05</v>
      </c>
      <c r="EB2" s="78">
        <v>0.05</v>
      </c>
      <c r="EC2" s="78">
        <v>0.05</v>
      </c>
      <c r="ED2" s="78">
        <v>0.05</v>
      </c>
      <c r="EE2" s="78">
        <v>0.05</v>
      </c>
      <c r="EF2" s="78">
        <v>0.05</v>
      </c>
      <c r="EG2" s="78">
        <v>0.05</v>
      </c>
      <c r="EH2" s="218" t="s">
        <v>286</v>
      </c>
      <c r="EI2" s="77"/>
      <c r="EJ2" s="71"/>
      <c r="EK2" s="79">
        <v>0.05</v>
      </c>
      <c r="EL2" s="79">
        <v>0.05</v>
      </c>
      <c r="EM2" s="79">
        <v>0.05</v>
      </c>
      <c r="EN2" s="79">
        <v>0.05</v>
      </c>
      <c r="EO2" s="79">
        <v>0.05</v>
      </c>
      <c r="EP2" s="79">
        <v>0.05</v>
      </c>
      <c r="EQ2" s="79">
        <v>0.05</v>
      </c>
      <c r="ER2" s="79"/>
      <c r="ES2" s="79">
        <v>0.05</v>
      </c>
      <c r="ET2" s="79"/>
      <c r="EU2" s="79">
        <v>0.05</v>
      </c>
      <c r="EV2" s="79">
        <v>0.05</v>
      </c>
      <c r="EW2" s="218" t="s">
        <v>287</v>
      </c>
      <c r="EX2" s="77"/>
      <c r="EY2" s="71"/>
      <c r="EZ2" s="79">
        <v>0.05</v>
      </c>
      <c r="FA2" s="79"/>
      <c r="FB2" s="79">
        <v>0.05</v>
      </c>
      <c r="FC2" s="79">
        <v>0.05</v>
      </c>
      <c r="FD2" s="79">
        <v>0.05</v>
      </c>
      <c r="FE2" s="79">
        <v>0.05</v>
      </c>
      <c r="FF2" s="79">
        <v>0.05</v>
      </c>
      <c r="FG2" s="79">
        <v>0.05</v>
      </c>
      <c r="FH2" s="79">
        <v>0.05</v>
      </c>
      <c r="FI2" s="79">
        <v>0.05</v>
      </c>
      <c r="FJ2" s="79">
        <v>0.05</v>
      </c>
      <c r="FK2" s="79">
        <v>0.05</v>
      </c>
      <c r="FL2" s="218" t="s">
        <v>288</v>
      </c>
      <c r="FM2" s="77"/>
      <c r="FN2" s="71"/>
      <c r="FO2" s="79">
        <v>0.05</v>
      </c>
      <c r="FP2" s="79"/>
      <c r="FQ2" s="79">
        <v>0.05</v>
      </c>
      <c r="FR2" s="79"/>
      <c r="FS2" s="79">
        <v>0.05</v>
      </c>
      <c r="FT2" s="79"/>
      <c r="FU2" s="79">
        <v>0.05</v>
      </c>
      <c r="FV2" s="79"/>
      <c r="FW2" s="79">
        <v>0.05</v>
      </c>
      <c r="FX2" s="79"/>
      <c r="FY2" s="79">
        <v>0.05</v>
      </c>
      <c r="FZ2" s="79"/>
      <c r="GA2" s="218" t="s">
        <v>289</v>
      </c>
      <c r="GB2" s="77"/>
      <c r="GC2" s="71"/>
      <c r="GD2" s="79">
        <v>0.05</v>
      </c>
      <c r="GE2" s="79"/>
      <c r="GF2" s="79">
        <v>0.05</v>
      </c>
      <c r="GG2" s="79"/>
      <c r="GH2" s="79">
        <v>0.05</v>
      </c>
      <c r="GI2" s="79"/>
      <c r="GJ2" s="79">
        <v>0.05</v>
      </c>
      <c r="GK2" s="79"/>
      <c r="GL2" s="79">
        <v>0.05</v>
      </c>
      <c r="GM2" s="79"/>
      <c r="GN2" s="79">
        <v>0.05</v>
      </c>
      <c r="GO2" s="79"/>
      <c r="GP2" s="218" t="s">
        <v>290</v>
      </c>
      <c r="GQ2" s="218"/>
      <c r="GR2" s="71"/>
      <c r="GS2" s="79">
        <v>0.05</v>
      </c>
      <c r="GT2" s="79"/>
      <c r="GU2" s="79">
        <v>0.05</v>
      </c>
      <c r="GV2" s="79"/>
      <c r="GW2" s="79">
        <v>0.05</v>
      </c>
      <c r="GX2" s="79"/>
      <c r="GY2" s="79">
        <v>0.05</v>
      </c>
      <c r="GZ2" s="79"/>
      <c r="HA2" s="79">
        <v>0.05</v>
      </c>
      <c r="HB2" s="79"/>
      <c r="HC2" s="79">
        <v>0.05</v>
      </c>
      <c r="HD2" s="79"/>
      <c r="HE2" s="218" t="s">
        <v>291</v>
      </c>
      <c r="HF2" s="218"/>
      <c r="HG2" s="71"/>
      <c r="HH2" s="79">
        <v>0.05</v>
      </c>
      <c r="HI2" s="79"/>
      <c r="HJ2" s="79">
        <v>0.05</v>
      </c>
      <c r="HK2" s="79"/>
      <c r="HL2" s="79">
        <v>0.05</v>
      </c>
      <c r="HM2" s="79"/>
      <c r="HN2" s="79">
        <v>0.05</v>
      </c>
      <c r="HO2" s="79"/>
      <c r="HP2" s="79">
        <v>0.05</v>
      </c>
      <c r="HQ2" s="79"/>
      <c r="HR2" s="79">
        <v>0.05</v>
      </c>
      <c r="HS2" s="79"/>
      <c r="HT2" s="218" t="s">
        <v>292</v>
      </c>
      <c r="HU2" s="218"/>
      <c r="IB2" s="6"/>
    </row>
    <row r="3" spans="2:249" ht="18" hidden="1">
      <c r="C3" s="218" t="s">
        <v>293</v>
      </c>
      <c r="D3" s="218"/>
      <c r="E3" s="71"/>
      <c r="J3" s="16"/>
      <c r="R3" s="77"/>
      <c r="S3" s="77"/>
      <c r="T3" s="71"/>
      <c r="U3" s="80">
        <v>0.1</v>
      </c>
      <c r="V3" s="81"/>
      <c r="W3" s="82">
        <v>0.03</v>
      </c>
      <c r="X3" s="82"/>
      <c r="Y3" s="82">
        <v>0.1</v>
      </c>
      <c r="Z3" s="81"/>
      <c r="AA3" s="82">
        <v>0.1</v>
      </c>
      <c r="AB3" s="81"/>
      <c r="AC3" s="82">
        <v>0.1</v>
      </c>
      <c r="AD3" s="81"/>
      <c r="AE3" s="82">
        <v>0.1</v>
      </c>
      <c r="AF3" s="81"/>
      <c r="AG3" s="77"/>
      <c r="AH3" s="77"/>
      <c r="AI3" s="71"/>
      <c r="AJ3" s="80">
        <v>0.1</v>
      </c>
      <c r="AK3" s="81"/>
      <c r="AL3" s="82">
        <v>0.03</v>
      </c>
      <c r="AM3" s="81"/>
      <c r="AN3" s="82">
        <v>0.1</v>
      </c>
      <c r="AO3" s="81"/>
      <c r="AP3" s="82">
        <v>0.1</v>
      </c>
      <c r="AQ3" s="81"/>
      <c r="AR3" s="82">
        <v>0.1</v>
      </c>
      <c r="AS3" s="81"/>
      <c r="AT3" s="82">
        <v>0.1</v>
      </c>
      <c r="AU3" s="81"/>
      <c r="AV3" s="77"/>
      <c r="AW3" s="77"/>
      <c r="AX3" s="71"/>
      <c r="AY3" s="80">
        <f>AJ3</f>
        <v>0.1</v>
      </c>
      <c r="AZ3" s="81"/>
      <c r="BA3" s="82">
        <f>AL3</f>
        <v>0.03</v>
      </c>
      <c r="BB3" s="81"/>
      <c r="BC3" s="82">
        <f>+AN3</f>
        <v>0.1</v>
      </c>
      <c r="BD3" s="81"/>
      <c r="BE3" s="82">
        <f>AP3</f>
        <v>0.1</v>
      </c>
      <c r="BF3" s="81"/>
      <c r="BG3" s="82">
        <f>+AR3</f>
        <v>0.1</v>
      </c>
      <c r="BH3" s="81"/>
      <c r="BI3" s="82">
        <f>+AT3</f>
        <v>0.1</v>
      </c>
      <c r="BJ3" s="81"/>
      <c r="BK3" s="77"/>
      <c r="BL3" s="77"/>
      <c r="BM3" s="71"/>
      <c r="BN3" s="80">
        <f>AY3</f>
        <v>0.1</v>
      </c>
      <c r="BO3" s="81"/>
      <c r="BP3" s="82">
        <f>BA3</f>
        <v>0.03</v>
      </c>
      <c r="BQ3" s="81"/>
      <c r="BR3" s="82">
        <f>+BC3</f>
        <v>0.1</v>
      </c>
      <c r="BS3" s="81"/>
      <c r="BT3" s="82">
        <f>BE3</f>
        <v>0.1</v>
      </c>
      <c r="BU3" s="81"/>
      <c r="BV3" s="82">
        <f>+BG3</f>
        <v>0.1</v>
      </c>
      <c r="BW3" s="81"/>
      <c r="BX3" s="82">
        <f>+BI3</f>
        <v>0.1</v>
      </c>
      <c r="BY3" s="80"/>
      <c r="BZ3" s="77"/>
      <c r="CA3" s="77"/>
      <c r="CB3" s="71"/>
      <c r="CC3" s="80">
        <f>BN3</f>
        <v>0.1</v>
      </c>
      <c r="CD3" s="81"/>
      <c r="CE3" s="82">
        <f>BP3</f>
        <v>0.03</v>
      </c>
      <c r="CF3" s="81"/>
      <c r="CG3" s="82">
        <f>+BR3</f>
        <v>0.1</v>
      </c>
      <c r="CH3" s="81"/>
      <c r="CI3" s="82">
        <f>BT3</f>
        <v>0.1</v>
      </c>
      <c r="CJ3" s="81"/>
      <c r="CK3" s="82">
        <f>+BV3</f>
        <v>0.1</v>
      </c>
      <c r="CL3" s="81"/>
      <c r="CM3" s="82">
        <f>+BX3</f>
        <v>0.1</v>
      </c>
      <c r="CN3" s="80"/>
      <c r="CO3" s="77"/>
      <c r="CP3" s="77"/>
      <c r="CQ3" s="71"/>
      <c r="CR3" s="80">
        <f>CC3</f>
        <v>0.1</v>
      </c>
      <c r="CS3" s="81"/>
      <c r="CT3" s="82">
        <f>CE3</f>
        <v>0.03</v>
      </c>
      <c r="CU3" s="81"/>
      <c r="CV3" s="82">
        <f>+CG3</f>
        <v>0.1</v>
      </c>
      <c r="CW3" s="81"/>
      <c r="CX3" s="82">
        <f>CI3</f>
        <v>0.1</v>
      </c>
      <c r="CY3" s="81"/>
      <c r="CZ3" s="82">
        <f>+CK3</f>
        <v>0.1</v>
      </c>
      <c r="DA3" s="81"/>
      <c r="DB3" s="82">
        <f>+CM3</f>
        <v>0.1</v>
      </c>
      <c r="DC3" s="80"/>
      <c r="DD3" s="77"/>
      <c r="DE3" s="77"/>
      <c r="DF3" s="71"/>
      <c r="DG3" s="80">
        <f>CR3</f>
        <v>0.1</v>
      </c>
      <c r="DH3" s="81"/>
      <c r="DI3" s="82">
        <f>CT3</f>
        <v>0.03</v>
      </c>
      <c r="DJ3" s="81"/>
      <c r="DK3" s="82">
        <f>+CV3</f>
        <v>0.1</v>
      </c>
      <c r="DL3" s="81"/>
      <c r="DM3" s="82">
        <f>CX3</f>
        <v>0.1</v>
      </c>
      <c r="DN3" s="81"/>
      <c r="DO3" s="82">
        <f>+CZ3</f>
        <v>0.1</v>
      </c>
      <c r="DP3" s="81"/>
      <c r="DQ3" s="82">
        <f>+DB3</f>
        <v>0.1</v>
      </c>
      <c r="DR3" s="80"/>
      <c r="DS3" s="77"/>
      <c r="DT3" s="77"/>
      <c r="DU3" s="71"/>
      <c r="DV3" s="80">
        <f>DG3</f>
        <v>0.1</v>
      </c>
      <c r="DW3" s="81"/>
      <c r="DX3" s="82">
        <f>DI3</f>
        <v>0.03</v>
      </c>
      <c r="DY3" s="81"/>
      <c r="DZ3" s="82">
        <f>+DK3</f>
        <v>0.1</v>
      </c>
      <c r="EA3" s="81"/>
      <c r="EB3" s="82">
        <f>DM3</f>
        <v>0.1</v>
      </c>
      <c r="EC3" s="81"/>
      <c r="ED3" s="82">
        <f>+DO3</f>
        <v>0.1</v>
      </c>
      <c r="EE3" s="81"/>
      <c r="EF3" s="82">
        <f>+DQ3</f>
        <v>0.1</v>
      </c>
      <c r="EG3" s="80"/>
      <c r="EH3" s="77"/>
      <c r="EI3" s="77"/>
      <c r="EJ3" s="71"/>
      <c r="EK3" s="80">
        <f>DV3</f>
        <v>0.1</v>
      </c>
      <c r="EL3" s="81"/>
      <c r="EM3" s="82">
        <f>DX3</f>
        <v>0.03</v>
      </c>
      <c r="EN3" s="81"/>
      <c r="EO3" s="82">
        <f>+DZ3</f>
        <v>0.1</v>
      </c>
      <c r="EP3" s="81"/>
      <c r="EQ3" s="82">
        <f>EB3</f>
        <v>0.1</v>
      </c>
      <c r="ER3" s="81"/>
      <c r="ES3" s="82">
        <f>+ED3</f>
        <v>0.1</v>
      </c>
      <c r="ET3" s="81"/>
      <c r="EU3" s="82">
        <f>+EF3</f>
        <v>0.1</v>
      </c>
      <c r="EV3" s="80"/>
      <c r="EW3" s="77"/>
      <c r="EX3" s="77"/>
      <c r="EY3" s="71"/>
      <c r="EZ3" s="80">
        <f>EK3</f>
        <v>0.1</v>
      </c>
      <c r="FA3" s="81"/>
      <c r="FB3" s="82">
        <f>EM3</f>
        <v>0.03</v>
      </c>
      <c r="FC3" s="81"/>
      <c r="FD3" s="82">
        <f>+EO3</f>
        <v>0.1</v>
      </c>
      <c r="FE3" s="81"/>
      <c r="FF3" s="82">
        <f>EQ3</f>
        <v>0.1</v>
      </c>
      <c r="FG3" s="81"/>
      <c r="FH3" s="82">
        <f>+ES3</f>
        <v>0.1</v>
      </c>
      <c r="FI3" s="81"/>
      <c r="FJ3" s="82">
        <f>+EU3</f>
        <v>0.1</v>
      </c>
      <c r="FK3" s="80"/>
      <c r="FL3" s="77"/>
      <c r="FM3" s="77"/>
      <c r="FN3" s="71"/>
      <c r="FO3" s="80">
        <f>EZ3</f>
        <v>0.1</v>
      </c>
      <c r="FP3" s="81"/>
      <c r="FQ3" s="82">
        <f>FB3</f>
        <v>0.03</v>
      </c>
      <c r="FR3" s="81"/>
      <c r="FS3" s="82">
        <f>+FD3</f>
        <v>0.1</v>
      </c>
      <c r="FT3" s="81"/>
      <c r="FU3" s="82">
        <f>FF3</f>
        <v>0.1</v>
      </c>
      <c r="FV3" s="81"/>
      <c r="FW3" s="82">
        <f>+FH3</f>
        <v>0.1</v>
      </c>
      <c r="FX3" s="81"/>
      <c r="FY3" s="82">
        <f>+FJ3</f>
        <v>0.1</v>
      </c>
      <c r="FZ3" s="80"/>
      <c r="GA3" s="77"/>
      <c r="GB3" s="77"/>
      <c r="GC3" s="71"/>
      <c r="GD3" s="80">
        <f>FO3</f>
        <v>0.1</v>
      </c>
      <c r="GE3" s="81"/>
      <c r="GF3" s="82">
        <f>FQ3</f>
        <v>0.03</v>
      </c>
      <c r="GG3" s="81"/>
      <c r="GH3" s="82">
        <f>+FS3</f>
        <v>0.1</v>
      </c>
      <c r="GI3" s="81"/>
      <c r="GJ3" s="82">
        <f>FU3</f>
        <v>0.1</v>
      </c>
      <c r="GK3" s="81"/>
      <c r="GL3" s="82">
        <f>+FW3</f>
        <v>0.1</v>
      </c>
      <c r="GM3" s="81"/>
      <c r="GN3" s="82">
        <f>+FY3</f>
        <v>0.1</v>
      </c>
      <c r="GO3" s="80"/>
      <c r="GP3" s="77"/>
      <c r="GQ3" s="77"/>
      <c r="GR3" s="71"/>
      <c r="GS3" s="80">
        <f>GD3</f>
        <v>0.1</v>
      </c>
      <c r="GT3" s="81"/>
      <c r="GU3" s="82">
        <f>GF3</f>
        <v>0.03</v>
      </c>
      <c r="GV3" s="81"/>
      <c r="GW3" s="82">
        <f>+GH3</f>
        <v>0.1</v>
      </c>
      <c r="GX3" s="81"/>
      <c r="GY3" s="82">
        <f>GJ3</f>
        <v>0.1</v>
      </c>
      <c r="GZ3" s="81"/>
      <c r="HA3" s="82">
        <f>+GL3</f>
        <v>0.1</v>
      </c>
      <c r="HB3" s="81"/>
      <c r="HC3" s="82">
        <f>+GN3</f>
        <v>0.1</v>
      </c>
      <c r="HD3" s="80"/>
      <c r="HE3" s="77"/>
      <c r="HF3" s="77"/>
      <c r="HG3" s="71"/>
      <c r="HH3" s="80">
        <f>GS3</f>
        <v>0.1</v>
      </c>
      <c r="HI3" s="81"/>
      <c r="HJ3" s="82">
        <f>GU3</f>
        <v>0.03</v>
      </c>
      <c r="HK3" s="81"/>
      <c r="HL3" s="82">
        <f>+GW3</f>
        <v>0.1</v>
      </c>
      <c r="HM3" s="81"/>
      <c r="HN3" s="82">
        <f>GY3</f>
        <v>0.1</v>
      </c>
      <c r="HO3" s="81"/>
      <c r="HP3" s="82">
        <f>+HA3</f>
        <v>0.1</v>
      </c>
      <c r="HQ3" s="81"/>
      <c r="HR3" s="82">
        <f>+HC3</f>
        <v>0.1</v>
      </c>
      <c r="HS3" s="80"/>
      <c r="HT3" s="77"/>
      <c r="HU3" s="77"/>
      <c r="HZ3" s="83"/>
      <c r="IA3" s="83"/>
      <c r="IB3" s="6"/>
    </row>
    <row r="4" spans="2:249" ht="41.1" customHeight="1">
      <c r="B4" s="77" t="s">
        <v>294</v>
      </c>
      <c r="E4" s="71"/>
      <c r="F4" s="84" t="s">
        <v>295</v>
      </c>
      <c r="G4" s="85"/>
      <c r="H4" s="84" t="s">
        <v>296</v>
      </c>
      <c r="I4" s="85"/>
      <c r="J4" s="84" t="s">
        <v>297</v>
      </c>
      <c r="K4" s="85"/>
      <c r="L4" s="86" t="s">
        <v>298</v>
      </c>
      <c r="M4" s="85"/>
      <c r="N4" s="86" t="s">
        <v>299</v>
      </c>
      <c r="O4" s="85"/>
      <c r="P4" s="86" t="s">
        <v>300</v>
      </c>
      <c r="Q4" s="85"/>
      <c r="R4" s="85" t="s">
        <v>301</v>
      </c>
      <c r="S4" s="77"/>
      <c r="T4" s="71"/>
      <c r="U4" s="84" t="s">
        <v>295</v>
      </c>
      <c r="V4" s="85"/>
      <c r="W4" s="84" t="s">
        <v>296</v>
      </c>
      <c r="X4" s="85"/>
      <c r="Y4" s="84" t="s">
        <v>297</v>
      </c>
      <c r="Z4" s="85"/>
      <c r="AA4" s="86" t="s">
        <v>298</v>
      </c>
      <c r="AB4" s="85"/>
      <c r="AC4" s="86" t="s">
        <v>299</v>
      </c>
      <c r="AD4" s="85"/>
      <c r="AE4" s="86" t="s">
        <v>302</v>
      </c>
      <c r="AF4" s="85"/>
      <c r="AG4" s="85" t="s">
        <v>301</v>
      </c>
      <c r="AH4" s="77"/>
      <c r="AI4" s="71"/>
      <c r="AJ4" s="84" t="str">
        <f>+U4</f>
        <v>Projects (IND. Non)</v>
      </c>
      <c r="AK4" s="85"/>
      <c r="AL4" s="84" t="str">
        <f>+W4</f>
        <v>Maint. Industrial</v>
      </c>
      <c r="AM4" s="85"/>
      <c r="AN4" s="84" t="str">
        <f>+Y4</f>
        <v>Maint. Non Industrial</v>
      </c>
      <c r="AO4" s="85"/>
      <c r="AP4" s="86" t="str">
        <f>+AA4</f>
        <v>Workshop Panels</v>
      </c>
      <c r="AQ4" s="85"/>
      <c r="AR4" s="86" t="str">
        <f>+AC4</f>
        <v>Rewinding Workshop</v>
      </c>
      <c r="AS4" s="85"/>
      <c r="AT4" s="86" t="str">
        <f>+AE4</f>
        <v>Solar</v>
      </c>
      <c r="AU4" s="85"/>
      <c r="AV4" s="85" t="s">
        <v>301</v>
      </c>
      <c r="AW4" s="77"/>
      <c r="AX4" s="71"/>
      <c r="AY4" s="84" t="str">
        <f>+AJ4</f>
        <v>Projects (IND. Non)</v>
      </c>
      <c r="AZ4" s="85"/>
      <c r="BA4" s="84" t="str">
        <f>+AL4</f>
        <v>Maint. Industrial</v>
      </c>
      <c r="BB4" s="85"/>
      <c r="BC4" s="84" t="str">
        <f>+AN4</f>
        <v>Maint. Non Industrial</v>
      </c>
      <c r="BD4" s="85"/>
      <c r="BE4" s="86" t="str">
        <f>+AP4</f>
        <v>Workshop Panels</v>
      </c>
      <c r="BF4" s="85"/>
      <c r="BG4" s="86" t="str">
        <f>+AR4</f>
        <v>Rewinding Workshop</v>
      </c>
      <c r="BH4" s="85"/>
      <c r="BI4" s="86" t="str">
        <f>+AT4</f>
        <v>Solar</v>
      </c>
      <c r="BJ4" s="85"/>
      <c r="BK4" s="85" t="s">
        <v>301</v>
      </c>
      <c r="BL4" s="77"/>
      <c r="BM4" s="71"/>
      <c r="BN4" s="84" t="str">
        <f>+AY4</f>
        <v>Projects (IND. Non)</v>
      </c>
      <c r="BO4" s="85"/>
      <c r="BP4" s="84" t="str">
        <f>+BA4</f>
        <v>Maint. Industrial</v>
      </c>
      <c r="BQ4" s="85"/>
      <c r="BR4" s="84" t="str">
        <f>+BC4</f>
        <v>Maint. Non Industrial</v>
      </c>
      <c r="BS4" s="85"/>
      <c r="BT4" s="86" t="str">
        <f>+BE4</f>
        <v>Workshop Panels</v>
      </c>
      <c r="BU4" s="85"/>
      <c r="BV4" s="86" t="str">
        <f>+BG4</f>
        <v>Rewinding Workshop</v>
      </c>
      <c r="BW4" s="85"/>
      <c r="BX4" s="86" t="str">
        <f>+BI4</f>
        <v>Solar</v>
      </c>
      <c r="BY4" s="85"/>
      <c r="BZ4" s="85" t="s">
        <v>301</v>
      </c>
      <c r="CA4" s="77"/>
      <c r="CB4" s="71"/>
      <c r="CC4" s="84" t="str">
        <f>+BN4</f>
        <v>Projects (IND. Non)</v>
      </c>
      <c r="CD4" s="85"/>
      <c r="CE4" s="84" t="str">
        <f>+BP4</f>
        <v>Maint. Industrial</v>
      </c>
      <c r="CF4" s="85"/>
      <c r="CG4" s="84" t="str">
        <f>+BR4</f>
        <v>Maint. Non Industrial</v>
      </c>
      <c r="CH4" s="85"/>
      <c r="CI4" s="86" t="str">
        <f>+BT4</f>
        <v>Workshop Panels</v>
      </c>
      <c r="CJ4" s="85"/>
      <c r="CK4" s="86" t="str">
        <f>+BV4</f>
        <v>Rewinding Workshop</v>
      </c>
      <c r="CL4" s="85"/>
      <c r="CM4" s="86" t="str">
        <f>+BX4</f>
        <v>Solar</v>
      </c>
      <c r="CN4" s="85"/>
      <c r="CO4" s="85" t="s">
        <v>301</v>
      </c>
      <c r="CP4" s="77"/>
      <c r="CQ4" s="71"/>
      <c r="CR4" s="84" t="str">
        <f>+CC4</f>
        <v>Projects (IND. Non)</v>
      </c>
      <c r="CS4" s="85"/>
      <c r="CT4" s="84" t="str">
        <f>+CE4</f>
        <v>Maint. Industrial</v>
      </c>
      <c r="CU4" s="85"/>
      <c r="CV4" s="84" t="str">
        <f>+CG4</f>
        <v>Maint. Non Industrial</v>
      </c>
      <c r="CW4" s="85"/>
      <c r="CX4" s="86" t="str">
        <f>+CI4</f>
        <v>Workshop Panels</v>
      </c>
      <c r="CY4" s="85"/>
      <c r="CZ4" s="86" t="str">
        <f>+CK4</f>
        <v>Rewinding Workshop</v>
      </c>
      <c r="DA4" s="85"/>
      <c r="DB4" s="86" t="str">
        <f>+CM4</f>
        <v>Solar</v>
      </c>
      <c r="DC4" s="85"/>
      <c r="DD4" s="85" t="s">
        <v>301</v>
      </c>
      <c r="DE4" s="77"/>
      <c r="DF4" s="71"/>
      <c r="DG4" s="84" t="str">
        <f>+CR4</f>
        <v>Projects (IND. Non)</v>
      </c>
      <c r="DH4" s="85"/>
      <c r="DI4" s="84" t="str">
        <f>+CT4</f>
        <v>Maint. Industrial</v>
      </c>
      <c r="DJ4" s="85"/>
      <c r="DK4" s="84" t="str">
        <f>+CV4</f>
        <v>Maint. Non Industrial</v>
      </c>
      <c r="DL4" s="85"/>
      <c r="DM4" s="86" t="str">
        <f>+CX4</f>
        <v>Workshop Panels</v>
      </c>
      <c r="DN4" s="85"/>
      <c r="DO4" s="86" t="str">
        <f>+CZ4</f>
        <v>Rewinding Workshop</v>
      </c>
      <c r="DP4" s="85"/>
      <c r="DQ4" s="86" t="str">
        <f>+DB4</f>
        <v>Solar</v>
      </c>
      <c r="DR4" s="85"/>
      <c r="DS4" s="85" t="s">
        <v>301</v>
      </c>
      <c r="DT4" s="77"/>
      <c r="DU4" s="71"/>
      <c r="DV4" s="84" t="str">
        <f>+DG4</f>
        <v>Projects (IND. Non)</v>
      </c>
      <c r="DW4" s="85"/>
      <c r="DX4" s="84" t="str">
        <f>+DI4</f>
        <v>Maint. Industrial</v>
      </c>
      <c r="DY4" s="85"/>
      <c r="DZ4" s="84" t="str">
        <f>+DK4</f>
        <v>Maint. Non Industrial</v>
      </c>
      <c r="EA4" s="85"/>
      <c r="EB4" s="86" t="str">
        <f>+DM4</f>
        <v>Workshop Panels</v>
      </c>
      <c r="EC4" s="85"/>
      <c r="ED4" s="86" t="str">
        <f>+DO4</f>
        <v>Rewinding Workshop</v>
      </c>
      <c r="EE4" s="85"/>
      <c r="EF4" s="86" t="str">
        <f>+DQ4</f>
        <v>Solar</v>
      </c>
      <c r="EG4" s="85"/>
      <c r="EH4" s="85" t="s">
        <v>301</v>
      </c>
      <c r="EI4" s="77"/>
      <c r="EJ4" s="71"/>
      <c r="EK4" s="84" t="str">
        <f>+DV4</f>
        <v>Projects (IND. Non)</v>
      </c>
      <c r="EL4" s="85"/>
      <c r="EM4" s="84" t="str">
        <f>+DX4</f>
        <v>Maint. Industrial</v>
      </c>
      <c r="EN4" s="85"/>
      <c r="EO4" s="84" t="str">
        <f>+DZ4</f>
        <v>Maint. Non Industrial</v>
      </c>
      <c r="EP4" s="85"/>
      <c r="EQ4" s="86" t="str">
        <f>+EB4</f>
        <v>Workshop Panels</v>
      </c>
      <c r="ER4" s="85"/>
      <c r="ES4" s="86" t="str">
        <f>+ED4</f>
        <v>Rewinding Workshop</v>
      </c>
      <c r="ET4" s="85"/>
      <c r="EU4" s="86" t="str">
        <f>+EF4</f>
        <v>Solar</v>
      </c>
      <c r="EV4" s="85"/>
      <c r="EW4" s="85" t="s">
        <v>301</v>
      </c>
      <c r="EX4" s="77"/>
      <c r="EY4" s="71"/>
      <c r="EZ4" s="84" t="str">
        <f>+EK4</f>
        <v>Projects (IND. Non)</v>
      </c>
      <c r="FA4" s="85"/>
      <c r="FB4" s="84" t="str">
        <f>+EM4</f>
        <v>Maint. Industrial</v>
      </c>
      <c r="FC4" s="85"/>
      <c r="FD4" s="84" t="str">
        <f>+EO4</f>
        <v>Maint. Non Industrial</v>
      </c>
      <c r="FE4" s="85"/>
      <c r="FF4" s="86" t="str">
        <f>+EQ4</f>
        <v>Workshop Panels</v>
      </c>
      <c r="FG4" s="85"/>
      <c r="FH4" s="86" t="str">
        <f>+ES4</f>
        <v>Rewinding Workshop</v>
      </c>
      <c r="FI4" s="85"/>
      <c r="FJ4" s="86" t="str">
        <f>+EU4</f>
        <v>Solar</v>
      </c>
      <c r="FK4" s="85"/>
      <c r="FL4" s="85" t="s">
        <v>301</v>
      </c>
      <c r="FM4" s="77"/>
      <c r="FN4" s="71"/>
      <c r="FO4" s="84" t="str">
        <f>+EZ4</f>
        <v>Projects (IND. Non)</v>
      </c>
      <c r="FP4" s="85"/>
      <c r="FQ4" s="84" t="str">
        <f>+FB4</f>
        <v>Maint. Industrial</v>
      </c>
      <c r="FR4" s="85"/>
      <c r="FS4" s="84" t="str">
        <f>+FD4</f>
        <v>Maint. Non Industrial</v>
      </c>
      <c r="FT4" s="85"/>
      <c r="FU4" s="86" t="str">
        <f>+FF4</f>
        <v>Workshop Panels</v>
      </c>
      <c r="FV4" s="85"/>
      <c r="FW4" s="86" t="str">
        <f>+FH4</f>
        <v>Rewinding Workshop</v>
      </c>
      <c r="FX4" s="85"/>
      <c r="FY4" s="86" t="str">
        <f>+FJ4</f>
        <v>Solar</v>
      </c>
      <c r="FZ4" s="85"/>
      <c r="GA4" s="85" t="s">
        <v>301</v>
      </c>
      <c r="GB4" s="77"/>
      <c r="GC4" s="71"/>
      <c r="GD4" s="84" t="str">
        <f>+FO4</f>
        <v>Projects (IND. Non)</v>
      </c>
      <c r="GE4" s="85"/>
      <c r="GF4" s="84" t="str">
        <f>+FQ4</f>
        <v>Maint. Industrial</v>
      </c>
      <c r="GG4" s="85"/>
      <c r="GH4" s="84" t="str">
        <f>+FS4</f>
        <v>Maint. Non Industrial</v>
      </c>
      <c r="GI4" s="85"/>
      <c r="GJ4" s="86" t="str">
        <f>+FU4</f>
        <v>Workshop Panels</v>
      </c>
      <c r="GK4" s="85"/>
      <c r="GL4" s="86" t="str">
        <f>+FW4</f>
        <v>Rewinding Workshop</v>
      </c>
      <c r="GM4" s="85"/>
      <c r="GN4" s="86" t="str">
        <f>+FY4</f>
        <v>Solar</v>
      </c>
      <c r="GO4" s="85"/>
      <c r="GP4" s="85" t="s">
        <v>301</v>
      </c>
      <c r="GQ4" s="77"/>
      <c r="GR4" s="71"/>
      <c r="GS4" s="84" t="str">
        <f>+GD4</f>
        <v>Projects (IND. Non)</v>
      </c>
      <c r="GT4" s="85"/>
      <c r="GU4" s="84" t="str">
        <f>+GF4</f>
        <v>Maint. Industrial</v>
      </c>
      <c r="GV4" s="85"/>
      <c r="GW4" s="84" t="str">
        <f>+GH4</f>
        <v>Maint. Non Industrial</v>
      </c>
      <c r="GX4" s="85"/>
      <c r="GY4" s="86" t="str">
        <f>+GJ4</f>
        <v>Workshop Panels</v>
      </c>
      <c r="GZ4" s="85"/>
      <c r="HA4" s="86" t="str">
        <f>+GL4</f>
        <v>Rewinding Workshop</v>
      </c>
      <c r="HB4" s="85"/>
      <c r="HC4" s="86" t="str">
        <f>+GN4</f>
        <v>Solar</v>
      </c>
      <c r="HD4" s="85"/>
      <c r="HE4" s="85" t="s">
        <v>301</v>
      </c>
      <c r="HF4" s="77"/>
      <c r="HG4" s="71"/>
      <c r="HH4" s="84" t="str">
        <f>+GS4</f>
        <v>Projects (IND. Non)</v>
      </c>
      <c r="HI4" s="85"/>
      <c r="HJ4" s="84" t="str">
        <f>+GU4</f>
        <v>Maint. Industrial</v>
      </c>
      <c r="HK4" s="85"/>
      <c r="HL4" s="84" t="str">
        <f>+GW4</f>
        <v>Maint. Non Industrial</v>
      </c>
      <c r="HM4" s="85"/>
      <c r="HN4" s="86" t="str">
        <f>+GY4</f>
        <v>Workshop Panels</v>
      </c>
      <c r="HO4" s="85"/>
      <c r="HP4" s="86" t="str">
        <f>+HA4</f>
        <v>Rewinding Workshop</v>
      </c>
      <c r="HQ4" s="85"/>
      <c r="HR4" s="86" t="str">
        <f>+HC4</f>
        <v>Solar</v>
      </c>
      <c r="HS4" s="85"/>
      <c r="HT4" s="85" t="s">
        <v>301</v>
      </c>
      <c r="HU4" s="77"/>
      <c r="HX4" s="87" t="s">
        <v>303</v>
      </c>
      <c r="HZ4" s="85" t="s">
        <v>293</v>
      </c>
      <c r="IA4" s="85" t="s">
        <v>304</v>
      </c>
      <c r="IB4" s="85" t="s">
        <v>279</v>
      </c>
      <c r="IC4" s="85" t="s">
        <v>280</v>
      </c>
      <c r="ID4" s="85" t="s">
        <v>281</v>
      </c>
      <c r="IE4" s="85" t="s">
        <v>282</v>
      </c>
      <c r="IF4" s="85" t="s">
        <v>283</v>
      </c>
      <c r="IG4" s="85" t="s">
        <v>284</v>
      </c>
      <c r="IH4" s="85" t="s">
        <v>285</v>
      </c>
      <c r="II4" s="85" t="s">
        <v>286</v>
      </c>
      <c r="IJ4" s="85" t="s">
        <v>287</v>
      </c>
      <c r="IK4" s="85" t="s">
        <v>288</v>
      </c>
      <c r="IL4" s="85" t="s">
        <v>289</v>
      </c>
      <c r="IM4" s="85" t="s">
        <v>290</v>
      </c>
      <c r="IN4" s="85" t="s">
        <v>291</v>
      </c>
      <c r="IO4" s="85" t="s">
        <v>292</v>
      </c>
    </row>
    <row r="5" spans="2:249" ht="15.6">
      <c r="B5" s="85" t="s">
        <v>188</v>
      </c>
      <c r="C5" s="88">
        <f>+'[33]Financial Statements'!AO9</f>
        <v>71720</v>
      </c>
      <c r="D5" s="88"/>
      <c r="E5" s="71"/>
      <c r="F5" s="88">
        <f>('[34]IS Assumption'!R14/1000)-1600-4500</f>
        <v>79441.937028284752</v>
      </c>
      <c r="G5" s="88"/>
      <c r="H5" s="88">
        <v>1600.9908346084258</v>
      </c>
      <c r="I5" s="88"/>
      <c r="J5" s="88">
        <v>4600</v>
      </c>
      <c r="K5" s="88"/>
      <c r="L5" s="88">
        <v>4500</v>
      </c>
      <c r="M5" s="88"/>
      <c r="N5" s="88">
        <v>1800</v>
      </c>
      <c r="O5" s="88"/>
      <c r="P5" s="88">
        <v>1600</v>
      </c>
      <c r="Q5" s="88"/>
      <c r="R5" s="88">
        <f>SUM(F5:P5)</f>
        <v>93542.927862893179</v>
      </c>
      <c r="S5" s="88"/>
      <c r="T5" s="71"/>
      <c r="U5" s="89">
        <f>('[33]Budget 2022'!U8+'[33]Budget 2022'!U9+'[33]Budget 2022'!U10+'[33]Budget 2022'!U11+'[33]Budget 2022'!U12+'[33]Budget 2022'!U13+'[33]Budget 2022'!U14+'[33]Budget 2022'!U15+'[33]Budget 2022'!U16+'[33]Budget 2022'!U18+'[33]Budget 2022'!U19)/1000</f>
        <v>151436.60303999999</v>
      </c>
      <c r="V5" s="89"/>
      <c r="W5" s="89">
        <v>5032.3919599999999</v>
      </c>
      <c r="X5" s="89"/>
      <c r="Y5" s="89">
        <f>('[33]Budget 2022'!U35+'[33]Budget 2022'!U37+'[33]Budget 2022'!U36)/1000</f>
        <v>14399.999960000003</v>
      </c>
      <c r="Z5" s="89"/>
      <c r="AA5" s="89">
        <f>('[33]Budget 2022'!U64+'[33]Budget 2022'!U75)/1000</f>
        <v>39999.999960000001</v>
      </c>
      <c r="AB5" s="89"/>
      <c r="AC5" s="89">
        <f>('[33]Budget 2022'!U38+'[33]Budget 2022'!U49+'[33]Budget 2022'!U51+'[33]Budget 2022'!U62)/1000</f>
        <v>11000.000039999999</v>
      </c>
      <c r="AD5" s="89"/>
      <c r="AE5" s="89">
        <f>('[33]Budget 2022'!U20+'[33]Budget 2022'!U21+'[33]Budget 2022'!U22+'[33]Budget 2022'!U23)/1000</f>
        <v>41999.999899999952</v>
      </c>
      <c r="AF5" s="89"/>
      <c r="AG5" s="89">
        <f>SUM(U5:AE5)</f>
        <v>263868.99485999998</v>
      </c>
      <c r="AH5" s="88"/>
      <c r="AI5" s="71"/>
      <c r="AJ5" s="88">
        <f>U5+(U5*AJ3)</f>
        <v>166580.26334399998</v>
      </c>
      <c r="AK5" s="88"/>
      <c r="AL5" s="88">
        <f t="shared" ref="AL5:AT5" si="0">W5+(W5*AL3)</f>
        <v>5183.3637188000002</v>
      </c>
      <c r="AM5" s="88">
        <f t="shared" si="0"/>
        <v>0</v>
      </c>
      <c r="AN5" s="88">
        <f t="shared" si="0"/>
        <v>15839.999956000003</v>
      </c>
      <c r="AO5" s="88">
        <f t="shared" si="0"/>
        <v>0</v>
      </c>
      <c r="AP5" s="88">
        <f t="shared" si="0"/>
        <v>43999.999956</v>
      </c>
      <c r="AQ5" s="88">
        <f t="shared" si="0"/>
        <v>0</v>
      </c>
      <c r="AR5" s="88">
        <f t="shared" si="0"/>
        <v>12100.000043999999</v>
      </c>
      <c r="AS5" s="88">
        <f t="shared" si="0"/>
        <v>0</v>
      </c>
      <c r="AT5" s="88">
        <f t="shared" si="0"/>
        <v>46199.999889999948</v>
      </c>
      <c r="AU5" s="88"/>
      <c r="AV5" s="88">
        <f>SUM(AJ5:AT5)</f>
        <v>289903.62690879998</v>
      </c>
      <c r="AW5" s="88"/>
      <c r="AX5" s="71"/>
      <c r="AY5" s="90">
        <f>AJ5+(AJ5*AY3)</f>
        <v>183238.28967839997</v>
      </c>
      <c r="AZ5" s="88"/>
      <c r="BA5" s="88">
        <f t="shared" ref="BA5:BI5" si="1">AL5+(AL5*BA3)</f>
        <v>5338.8646303639998</v>
      </c>
      <c r="BB5" s="88">
        <f t="shared" si="1"/>
        <v>0</v>
      </c>
      <c r="BC5" s="88">
        <f t="shared" si="1"/>
        <v>17423.999951600003</v>
      </c>
      <c r="BD5" s="88">
        <f t="shared" si="1"/>
        <v>0</v>
      </c>
      <c r="BE5" s="88">
        <f t="shared" si="1"/>
        <v>48399.999951600003</v>
      </c>
      <c r="BF5" s="88">
        <f t="shared" si="1"/>
        <v>0</v>
      </c>
      <c r="BG5" s="88">
        <f t="shared" si="1"/>
        <v>13310.000048399997</v>
      </c>
      <c r="BH5" s="88">
        <f t="shared" si="1"/>
        <v>0</v>
      </c>
      <c r="BI5" s="88">
        <f t="shared" si="1"/>
        <v>50819.999878999944</v>
      </c>
      <c r="BJ5" s="88"/>
      <c r="BK5" s="88">
        <f>SUM(AY5:BI5)</f>
        <v>318531.15413936396</v>
      </c>
      <c r="BL5" s="88"/>
      <c r="BM5" s="71"/>
      <c r="BN5" s="88">
        <f>AY5+(AY5*BN3)</f>
        <v>201562.11864623998</v>
      </c>
      <c r="BO5" s="88"/>
      <c r="BP5" s="88">
        <f t="shared" ref="BP5:BX5" si="2">BA5+(BA5*BP3)</f>
        <v>5499.0305692749198</v>
      </c>
      <c r="BQ5" s="88">
        <f t="shared" si="2"/>
        <v>0</v>
      </c>
      <c r="BR5" s="88">
        <f t="shared" si="2"/>
        <v>19166.399946760004</v>
      </c>
      <c r="BS5" s="88">
        <f t="shared" si="2"/>
        <v>0</v>
      </c>
      <c r="BT5" s="88">
        <f t="shared" si="2"/>
        <v>53239.999946759999</v>
      </c>
      <c r="BU5" s="88">
        <f t="shared" si="2"/>
        <v>0</v>
      </c>
      <c r="BV5" s="88">
        <f t="shared" si="2"/>
        <v>14641.000053239997</v>
      </c>
      <c r="BW5" s="88">
        <f t="shared" si="2"/>
        <v>0</v>
      </c>
      <c r="BX5" s="88">
        <f t="shared" si="2"/>
        <v>55901.99986689994</v>
      </c>
      <c r="BY5" s="88"/>
      <c r="BZ5" s="88">
        <f>SUM(BN5:BX5)</f>
        <v>350010.54902917478</v>
      </c>
      <c r="CA5" s="88"/>
      <c r="CB5" s="71"/>
      <c r="CC5" s="88">
        <f>BN5+(BN5*CC3)</f>
        <v>221718.33051086398</v>
      </c>
      <c r="CD5" s="88"/>
      <c r="CE5" s="88">
        <f t="shared" ref="CE5:CM5" si="3">BP5+(BP5*CE3)</f>
        <v>5664.0014863531678</v>
      </c>
      <c r="CF5" s="88">
        <f t="shared" si="3"/>
        <v>0</v>
      </c>
      <c r="CG5" s="88">
        <f t="shared" si="3"/>
        <v>21083.039941436004</v>
      </c>
      <c r="CH5" s="88">
        <f t="shared" si="3"/>
        <v>0</v>
      </c>
      <c r="CI5" s="88">
        <f t="shared" si="3"/>
        <v>58563.999941435999</v>
      </c>
      <c r="CJ5" s="88">
        <f t="shared" si="3"/>
        <v>0</v>
      </c>
      <c r="CK5" s="88">
        <f t="shared" si="3"/>
        <v>16105.100058563998</v>
      </c>
      <c r="CL5" s="88">
        <f t="shared" si="3"/>
        <v>0</v>
      </c>
      <c r="CM5" s="88">
        <f t="shared" si="3"/>
        <v>61492.199853589933</v>
      </c>
      <c r="CN5" s="88"/>
      <c r="CO5" s="88">
        <f>SUM(CC5:CM5)</f>
        <v>384626.67179224308</v>
      </c>
      <c r="CP5" s="88"/>
      <c r="CQ5" s="71"/>
      <c r="CR5" s="88">
        <f>CC5+(CC5*CR3)</f>
        <v>243890.16356195038</v>
      </c>
      <c r="CS5" s="88"/>
      <c r="CT5" s="88">
        <f t="shared" ref="CT5:DB5" si="4">CE5+(CE5*CT3)</f>
        <v>5833.9215309437632</v>
      </c>
      <c r="CU5" s="88">
        <f t="shared" si="4"/>
        <v>0</v>
      </c>
      <c r="CV5" s="88">
        <f t="shared" si="4"/>
        <v>23191.343935579604</v>
      </c>
      <c r="CW5" s="88">
        <f t="shared" si="4"/>
        <v>0</v>
      </c>
      <c r="CX5" s="88">
        <f t="shared" si="4"/>
        <v>64420.399935579597</v>
      </c>
      <c r="CY5" s="88">
        <f t="shared" si="4"/>
        <v>0</v>
      </c>
      <c r="CZ5" s="88">
        <f t="shared" si="4"/>
        <v>17715.610064420398</v>
      </c>
      <c r="DA5" s="88">
        <f t="shared" si="4"/>
        <v>0</v>
      </c>
      <c r="DB5" s="88">
        <f t="shared" si="4"/>
        <v>67641.419838948932</v>
      </c>
      <c r="DC5" s="88"/>
      <c r="DD5" s="88">
        <f>SUM(CR5:DB5)</f>
        <v>422692.85886742262</v>
      </c>
      <c r="DE5" s="88"/>
      <c r="DF5" s="71"/>
      <c r="DG5" s="88">
        <f>CR5+(CR5*DG3)</f>
        <v>268279.17991814541</v>
      </c>
      <c r="DH5" s="88"/>
      <c r="DI5" s="88">
        <f t="shared" ref="DI5:DQ5" si="5">CT5+(CT5*DI3)</f>
        <v>6008.9391768720761</v>
      </c>
      <c r="DJ5" s="88">
        <f t="shared" si="5"/>
        <v>0</v>
      </c>
      <c r="DK5" s="88">
        <f t="shared" si="5"/>
        <v>25510.478329137564</v>
      </c>
      <c r="DL5" s="88">
        <f t="shared" si="5"/>
        <v>0</v>
      </c>
      <c r="DM5" s="88">
        <f t="shared" si="5"/>
        <v>70862.439929137559</v>
      </c>
      <c r="DN5" s="88">
        <f t="shared" si="5"/>
        <v>0</v>
      </c>
      <c r="DO5" s="88">
        <f t="shared" si="5"/>
        <v>19487.171070862438</v>
      </c>
      <c r="DP5" s="88">
        <f t="shared" si="5"/>
        <v>0</v>
      </c>
      <c r="DQ5" s="88">
        <f t="shared" si="5"/>
        <v>74405.561822843825</v>
      </c>
      <c r="DR5" s="88"/>
      <c r="DS5" s="88">
        <f>SUM(DG5:DQ5)</f>
        <v>464553.77024699887</v>
      </c>
      <c r="DT5" s="88"/>
      <c r="DU5" s="71"/>
      <c r="DV5" s="88">
        <f>DG5+(DG5*DV3)</f>
        <v>295107.09790995996</v>
      </c>
      <c r="DW5" s="88"/>
      <c r="DX5" s="88">
        <f t="shared" ref="DX5:EF5" si="6">DI5+(DI5*DX3)</f>
        <v>6189.2073521782386</v>
      </c>
      <c r="DY5" s="88">
        <f t="shared" si="6"/>
        <v>0</v>
      </c>
      <c r="DZ5" s="88">
        <f t="shared" si="6"/>
        <v>28061.526162051319</v>
      </c>
      <c r="EA5" s="88">
        <f t="shared" si="6"/>
        <v>0</v>
      </c>
      <c r="EB5" s="88">
        <f t="shared" si="6"/>
        <v>77948.683922051321</v>
      </c>
      <c r="EC5" s="88">
        <f t="shared" si="6"/>
        <v>0</v>
      </c>
      <c r="ED5" s="88">
        <f t="shared" si="6"/>
        <v>21435.88817794868</v>
      </c>
      <c r="EE5" s="88">
        <f t="shared" si="6"/>
        <v>0</v>
      </c>
      <c r="EF5" s="88">
        <f t="shared" si="6"/>
        <v>81846.118005128214</v>
      </c>
      <c r="EG5" s="88"/>
      <c r="EH5" s="88">
        <f>SUM(DV5:EF5)</f>
        <v>510588.52152931772</v>
      </c>
      <c r="EI5" s="88"/>
      <c r="EJ5" s="71"/>
      <c r="EK5" s="88">
        <f>DV5+(DV5*EK3)</f>
        <v>324617.80770095595</v>
      </c>
      <c r="EL5" s="88"/>
      <c r="EM5" s="88">
        <f t="shared" ref="EM5:EU5" si="7">DX5+(DX5*EM3)</f>
        <v>6374.8835727435853</v>
      </c>
      <c r="EN5" s="88">
        <f t="shared" si="7"/>
        <v>0</v>
      </c>
      <c r="EO5" s="88">
        <f t="shared" si="7"/>
        <v>30867.67877825645</v>
      </c>
      <c r="EP5" s="88">
        <f t="shared" si="7"/>
        <v>0</v>
      </c>
      <c r="EQ5" s="88">
        <f t="shared" si="7"/>
        <v>85743.552314256449</v>
      </c>
      <c r="ER5" s="88">
        <f t="shared" si="7"/>
        <v>0</v>
      </c>
      <c r="ES5" s="88">
        <f t="shared" si="7"/>
        <v>23579.476995743549</v>
      </c>
      <c r="ET5" s="88">
        <f t="shared" si="7"/>
        <v>0</v>
      </c>
      <c r="EU5" s="88">
        <f t="shared" si="7"/>
        <v>90030.729805641036</v>
      </c>
      <c r="EV5" s="88"/>
      <c r="EW5" s="88">
        <f>SUM(EK5:EU5)</f>
        <v>561214.12916759693</v>
      </c>
      <c r="EX5" s="88"/>
      <c r="EY5" s="71"/>
      <c r="EZ5" s="88">
        <f>EK5+(EK5*EZ3)</f>
        <v>357079.58847105154</v>
      </c>
      <c r="FA5" s="88"/>
      <c r="FB5" s="88">
        <f t="shared" ref="FB5:FJ5" si="8">EM5+(EM5*FB3)</f>
        <v>6566.1300799258925</v>
      </c>
      <c r="FC5" s="88">
        <f t="shared" si="8"/>
        <v>0</v>
      </c>
      <c r="FD5" s="88">
        <f t="shared" si="8"/>
        <v>33954.446656082095</v>
      </c>
      <c r="FE5" s="88">
        <f t="shared" si="8"/>
        <v>0</v>
      </c>
      <c r="FF5" s="88">
        <f t="shared" si="8"/>
        <v>94317.907545682101</v>
      </c>
      <c r="FG5" s="88">
        <f t="shared" si="8"/>
        <v>0</v>
      </c>
      <c r="FH5" s="88">
        <f t="shared" si="8"/>
        <v>25937.424695317903</v>
      </c>
      <c r="FI5" s="88">
        <f t="shared" si="8"/>
        <v>0</v>
      </c>
      <c r="FJ5" s="88">
        <f t="shared" si="8"/>
        <v>99033.802786205139</v>
      </c>
      <c r="FK5" s="88"/>
      <c r="FL5" s="88">
        <f>SUM(EZ5:FJ5)</f>
        <v>616889.30023426469</v>
      </c>
      <c r="FM5" s="88"/>
      <c r="FN5" s="71"/>
      <c r="FO5" s="88">
        <f>EZ5+(EZ5*FO3)</f>
        <v>392787.54731815669</v>
      </c>
      <c r="FP5" s="88"/>
      <c r="FQ5" s="88">
        <f t="shared" ref="FQ5:FY5" si="9">FB5+(FB5*FQ3)</f>
        <v>6763.113982323669</v>
      </c>
      <c r="FR5" s="88">
        <f t="shared" si="9"/>
        <v>0</v>
      </c>
      <c r="FS5" s="88">
        <f t="shared" si="9"/>
        <v>37349.891321690302</v>
      </c>
      <c r="FT5" s="88">
        <f t="shared" si="9"/>
        <v>0</v>
      </c>
      <c r="FU5" s="88">
        <f t="shared" si="9"/>
        <v>103749.69830025031</v>
      </c>
      <c r="FV5" s="88">
        <f t="shared" si="9"/>
        <v>0</v>
      </c>
      <c r="FW5" s="88">
        <f t="shared" si="9"/>
        <v>28531.167164849692</v>
      </c>
      <c r="FX5" s="88">
        <f t="shared" si="9"/>
        <v>0</v>
      </c>
      <c r="FY5" s="88">
        <f t="shared" si="9"/>
        <v>108937.18306482566</v>
      </c>
      <c r="FZ5" s="88"/>
      <c r="GA5" s="88">
        <f>SUM(FO5:FY5)</f>
        <v>678118.60115209641</v>
      </c>
      <c r="GB5" s="88"/>
      <c r="GC5" s="71"/>
      <c r="GD5" s="88">
        <f>FO5+(FO5*GD3)</f>
        <v>432066.30204997235</v>
      </c>
      <c r="GE5" s="88"/>
      <c r="GF5" s="88">
        <f t="shared" ref="GF5:GN5" si="10">FQ5+(FQ5*GF3)</f>
        <v>6966.0074017933794</v>
      </c>
      <c r="GG5" s="88">
        <f t="shared" si="10"/>
        <v>0</v>
      </c>
      <c r="GH5" s="90">
        <f>FS5+(FS5*GH3)</f>
        <v>41084.880453859332</v>
      </c>
      <c r="GI5" s="88">
        <f t="shared" si="10"/>
        <v>0</v>
      </c>
      <c r="GJ5" s="88">
        <f t="shared" si="10"/>
        <v>114124.66813027534</v>
      </c>
      <c r="GK5" s="88">
        <f t="shared" si="10"/>
        <v>0</v>
      </c>
      <c r="GL5" s="88">
        <f t="shared" si="10"/>
        <v>31384.283881334661</v>
      </c>
      <c r="GM5" s="88">
        <f t="shared" si="10"/>
        <v>0</v>
      </c>
      <c r="GN5" s="88">
        <f t="shared" si="10"/>
        <v>119830.90137130822</v>
      </c>
      <c r="GO5" s="88"/>
      <c r="GP5" s="88">
        <f>SUM(GD5:GN5)</f>
        <v>745457.04328854335</v>
      </c>
      <c r="GQ5" s="88"/>
      <c r="GR5" s="71"/>
      <c r="GS5" s="90">
        <f>GD5+(GD5*GS3)</f>
        <v>475272.93225496961</v>
      </c>
      <c r="GT5" s="88"/>
      <c r="GU5" s="90">
        <f>GF5+(GF5*GU3)</f>
        <v>7174.9876238471807</v>
      </c>
      <c r="GV5" s="88"/>
      <c r="GW5" s="90">
        <f>GH5+(GH5*GW3)</f>
        <v>45193.368499245262</v>
      </c>
      <c r="GX5" s="88"/>
      <c r="GY5" s="90">
        <f>GJ5+(GJ5*GY3)</f>
        <v>125537.13494330288</v>
      </c>
      <c r="GZ5" s="88"/>
      <c r="HA5" s="88">
        <f>GL5+(GL5*HA3)</f>
        <v>34522.712269468124</v>
      </c>
      <c r="HB5" s="88">
        <f>GM5+(GM5*HB3)</f>
        <v>0</v>
      </c>
      <c r="HC5" s="88">
        <f>GN5+(GN5*HC3)</f>
        <v>131813.99150843904</v>
      </c>
      <c r="HD5" s="88"/>
      <c r="HE5" s="88">
        <f>SUM(GS5:HC5)</f>
        <v>819515.1270992721</v>
      </c>
      <c r="HF5" s="88"/>
      <c r="HG5" s="71"/>
      <c r="HH5" s="88">
        <f>GS5+(GS5*HH3)</f>
        <v>522800.22548046656</v>
      </c>
      <c r="HI5" s="88"/>
      <c r="HJ5" s="88">
        <f>GU5+(GU5*HJ3)</f>
        <v>7390.237252562596</v>
      </c>
      <c r="HK5" s="88"/>
      <c r="HL5" s="88">
        <f>GW5+(GW5*HL3)</f>
        <v>49712.705349169788</v>
      </c>
      <c r="HM5" s="88"/>
      <c r="HN5" s="88">
        <f>GY5+(GY5*HN3)</f>
        <v>138090.84843763316</v>
      </c>
      <c r="HO5" s="88"/>
      <c r="HP5" s="88">
        <f>HA5+(HA5*HP3)</f>
        <v>37974.983496414934</v>
      </c>
      <c r="HQ5" s="88">
        <f>HB5+(HB5*HQ3)</f>
        <v>0</v>
      </c>
      <c r="HR5" s="88">
        <f>HC5+(HC5*HR3)</f>
        <v>144995.39065928294</v>
      </c>
      <c r="HS5" s="88"/>
      <c r="HT5" s="88">
        <f>SUM(HH5:HR5)</f>
        <v>900964.39067552995</v>
      </c>
      <c r="HU5" s="88"/>
      <c r="HX5" s="91" t="s">
        <v>188</v>
      </c>
      <c r="HZ5" s="88">
        <f>C5</f>
        <v>71720</v>
      </c>
      <c r="IA5" s="88">
        <f>R5</f>
        <v>93542.927862893179</v>
      </c>
      <c r="IB5" s="88">
        <f>+AG5</f>
        <v>263868.99485999998</v>
      </c>
      <c r="IC5" s="88">
        <f>+AV5</f>
        <v>289903.62690879998</v>
      </c>
      <c r="ID5" s="88">
        <f>+BK5</f>
        <v>318531.15413936396</v>
      </c>
      <c r="IE5" s="88">
        <f>+BZ5</f>
        <v>350010.54902917478</v>
      </c>
      <c r="IF5" s="88">
        <f>+CO5</f>
        <v>384626.67179224308</v>
      </c>
      <c r="IG5" s="88">
        <f>+DD5</f>
        <v>422692.85886742262</v>
      </c>
      <c r="IH5" s="88">
        <f>+DS5</f>
        <v>464553.77024699887</v>
      </c>
      <c r="II5" s="88">
        <f>+EH5</f>
        <v>510588.52152931772</v>
      </c>
      <c r="IJ5" s="88">
        <f>+EW5</f>
        <v>561214.12916759693</v>
      </c>
      <c r="IK5" s="88">
        <f>+FL5</f>
        <v>616889.30023426469</v>
      </c>
      <c r="IL5" s="88">
        <f>+GA5</f>
        <v>678118.60115209641</v>
      </c>
      <c r="IM5" s="88">
        <f>+GP5</f>
        <v>745457.04328854335</v>
      </c>
      <c r="IN5" s="88">
        <f>+HE5</f>
        <v>819515.1270992721</v>
      </c>
      <c r="IO5" s="88">
        <f>+HT5</f>
        <v>900964.39067552995</v>
      </c>
    </row>
    <row r="6" spans="2:249" ht="35.1" customHeight="1">
      <c r="B6" s="92" t="s">
        <v>305</v>
      </c>
      <c r="C6" s="88">
        <f>+'[33]Financial Statements'!AO10</f>
        <v>50341</v>
      </c>
      <c r="D6" s="88"/>
      <c r="E6" s="71"/>
      <c r="F6" s="93"/>
      <c r="G6" s="93"/>
      <c r="H6" s="93">
        <v>38729.082153999996</v>
      </c>
      <c r="I6" s="93"/>
      <c r="J6" s="93"/>
      <c r="K6" s="93"/>
      <c r="L6" s="93"/>
      <c r="M6" s="93"/>
      <c r="N6" s="93"/>
      <c r="O6" s="93"/>
      <c r="P6" s="93"/>
      <c r="Q6" s="93"/>
      <c r="R6" s="93">
        <f>SUM(F6:P6)</f>
        <v>38729.082153999996</v>
      </c>
      <c r="S6" s="93"/>
      <c r="T6" s="71"/>
      <c r="U6" s="94"/>
      <c r="V6" s="94"/>
      <c r="W6" s="94">
        <v>21367.599999999999</v>
      </c>
      <c r="X6" s="94"/>
      <c r="Y6" s="94"/>
      <c r="Z6" s="94"/>
      <c r="AA6" s="94"/>
      <c r="AB6" s="94"/>
      <c r="AC6" s="94"/>
      <c r="AD6" s="94"/>
      <c r="AE6" s="94"/>
      <c r="AF6" s="94"/>
      <c r="AG6" s="94">
        <f>SUM(U6:AE6)</f>
        <v>21367.599999999999</v>
      </c>
      <c r="AH6" s="93"/>
      <c r="AI6" s="71"/>
      <c r="AJ6" s="93"/>
      <c r="AK6" s="93"/>
      <c r="AL6" s="93">
        <f>W6+(W6*AL3)</f>
        <v>22008.627999999997</v>
      </c>
      <c r="AM6" s="93">
        <f>X6+(X6*AM3)</f>
        <v>0</v>
      </c>
      <c r="AN6" s="93">
        <f>Y6+(Y6*AN3)</f>
        <v>0</v>
      </c>
      <c r="AO6" s="93"/>
      <c r="AP6" s="93"/>
      <c r="AQ6" s="93"/>
      <c r="AR6" s="93"/>
      <c r="AS6" s="93"/>
      <c r="AT6" s="93"/>
      <c r="AU6" s="93"/>
      <c r="AV6" s="93">
        <f>SUM(AJ6:AT6)</f>
        <v>22008.627999999997</v>
      </c>
      <c r="AW6" s="93"/>
      <c r="AX6" s="71"/>
      <c r="AY6" s="93"/>
      <c r="AZ6" s="93"/>
      <c r="BA6" s="93">
        <f>AL6+(AL6*BA3)</f>
        <v>22668.886839999996</v>
      </c>
      <c r="BB6" s="93">
        <f>AM6+(AM6*BB3)</f>
        <v>0</v>
      </c>
      <c r="BC6" s="93">
        <f>AN6+(AN6*BC3)</f>
        <v>0</v>
      </c>
      <c r="BD6" s="93"/>
      <c r="BE6" s="93"/>
      <c r="BF6" s="93"/>
      <c r="BG6" s="93"/>
      <c r="BH6" s="93"/>
      <c r="BI6" s="93"/>
      <c r="BJ6" s="93"/>
      <c r="BK6" s="93">
        <f>SUM(AY6:BI6)</f>
        <v>22668.886839999996</v>
      </c>
      <c r="BL6" s="93"/>
      <c r="BM6" s="71"/>
      <c r="BN6" s="93"/>
      <c r="BO6" s="93"/>
      <c r="BP6" s="93">
        <f>BA6+(BA6*BP3)</f>
        <v>23348.953445199997</v>
      </c>
      <c r="BQ6" s="93">
        <f>BB6+(BB6*BQ3)</f>
        <v>0</v>
      </c>
      <c r="BR6" s="93">
        <f>BC6+(BC6*BR3)</f>
        <v>0</v>
      </c>
      <c r="BS6" s="93"/>
      <c r="BT6" s="93"/>
      <c r="BU6" s="93"/>
      <c r="BV6" s="93"/>
      <c r="BW6" s="93"/>
      <c r="BX6" s="93"/>
      <c r="BY6" s="93"/>
      <c r="BZ6" s="93">
        <f>SUM(BN6:BX6)</f>
        <v>23348.953445199997</v>
      </c>
      <c r="CA6" s="93"/>
      <c r="CB6" s="71"/>
      <c r="CC6" s="93"/>
      <c r="CD6" s="93"/>
      <c r="CE6" s="93">
        <f>BP6+(BP6*CE3)</f>
        <v>24049.422048555996</v>
      </c>
      <c r="CF6" s="93">
        <f>BQ6+(BQ6*CF3)</f>
        <v>0</v>
      </c>
      <c r="CG6" s="93">
        <f>BR6+(BR6*CG3)</f>
        <v>0</v>
      </c>
      <c r="CH6" s="93"/>
      <c r="CI6" s="93"/>
      <c r="CJ6" s="93"/>
      <c r="CK6" s="93"/>
      <c r="CL6" s="93"/>
      <c r="CM6" s="93"/>
      <c r="CN6" s="93"/>
      <c r="CO6" s="93">
        <f>SUM(CC6:CM6)</f>
        <v>24049.422048555996</v>
      </c>
      <c r="CP6" s="93"/>
      <c r="CQ6" s="71"/>
      <c r="CR6" s="93"/>
      <c r="CS6" s="93"/>
      <c r="CT6" s="93">
        <f>CE6+(CE6*CT3)</f>
        <v>24770.904710012677</v>
      </c>
      <c r="CU6" s="93">
        <f>CF6+(CF6*CU3)</f>
        <v>0</v>
      </c>
      <c r="CV6" s="93">
        <f>CG6+(CG6*CV3)</f>
        <v>0</v>
      </c>
      <c r="CW6" s="93"/>
      <c r="CX6" s="93"/>
      <c r="CY6" s="93"/>
      <c r="CZ6" s="93"/>
      <c r="DA6" s="93"/>
      <c r="DB6" s="93"/>
      <c r="DC6" s="93"/>
      <c r="DD6" s="93">
        <f>SUM(CR6:DB6)</f>
        <v>24770.904710012677</v>
      </c>
      <c r="DE6" s="93"/>
      <c r="DF6" s="71"/>
      <c r="DG6" s="93"/>
      <c r="DH6" s="93"/>
      <c r="DI6" s="93">
        <f>CT6+(CT6*DI3)</f>
        <v>25514.031851313059</v>
      </c>
      <c r="DJ6" s="93">
        <f>CU6+(CU6*DJ3)</f>
        <v>0</v>
      </c>
      <c r="DK6" s="93">
        <f>CV6+(CV6*DK3)</f>
        <v>0</v>
      </c>
      <c r="DL6" s="93"/>
      <c r="DM6" s="93"/>
      <c r="DN6" s="93"/>
      <c r="DO6" s="93"/>
      <c r="DP6" s="93"/>
      <c r="DQ6" s="93"/>
      <c r="DR6" s="93"/>
      <c r="DS6" s="93">
        <f>SUM(DG6:DQ6)</f>
        <v>25514.031851313059</v>
      </c>
      <c r="DT6" s="93"/>
      <c r="DU6" s="71"/>
      <c r="DV6" s="93"/>
      <c r="DW6" s="93"/>
      <c r="DX6" s="93">
        <f>DI6+(DI6*DX3)</f>
        <v>26279.452806852449</v>
      </c>
      <c r="DY6" s="93">
        <f>DJ6+(DJ6*DY3)</f>
        <v>0</v>
      </c>
      <c r="DZ6" s="93">
        <f>DK6+(DK6*DZ3)</f>
        <v>0</v>
      </c>
      <c r="EA6" s="93"/>
      <c r="EB6" s="93"/>
      <c r="EC6" s="93"/>
      <c r="ED6" s="93"/>
      <c r="EE6" s="93"/>
      <c r="EF6" s="93"/>
      <c r="EG6" s="93"/>
      <c r="EH6" s="93">
        <f>SUM(DV6:EF6)</f>
        <v>26279.452806852449</v>
      </c>
      <c r="EI6" s="93"/>
      <c r="EJ6" s="71"/>
      <c r="EK6" s="93"/>
      <c r="EL6" s="93"/>
      <c r="EM6" s="93">
        <f>DX6+(DX6*EM3)</f>
        <v>27067.836391058023</v>
      </c>
      <c r="EN6" s="93">
        <f>DY6+(DY6*EN3)</f>
        <v>0</v>
      </c>
      <c r="EO6" s="93">
        <f>DZ6+(DZ6*EO3)</f>
        <v>0</v>
      </c>
      <c r="EP6" s="93"/>
      <c r="EQ6" s="93"/>
      <c r="ER6" s="93"/>
      <c r="ES6" s="93"/>
      <c r="ET6" s="93"/>
      <c r="EU6" s="93"/>
      <c r="EV6" s="93"/>
      <c r="EW6" s="93">
        <f>SUM(EK6:EU6)</f>
        <v>27067.836391058023</v>
      </c>
      <c r="EX6" s="93"/>
      <c r="EY6" s="71"/>
      <c r="EZ6" s="93"/>
      <c r="FA6" s="93"/>
      <c r="FB6" s="93">
        <f>EM6+(EM6*FB3)</f>
        <v>27879.871482789764</v>
      </c>
      <c r="FC6" s="93">
        <f>EN6+(EN6*FC3)</f>
        <v>0</v>
      </c>
      <c r="FD6" s="93">
        <f>EO6+(EO6*FD3)</f>
        <v>0</v>
      </c>
      <c r="FE6" s="93"/>
      <c r="FF6" s="93"/>
      <c r="FG6" s="93"/>
      <c r="FH6" s="93"/>
      <c r="FI6" s="93"/>
      <c r="FJ6" s="93"/>
      <c r="FK6" s="93"/>
      <c r="FL6" s="93">
        <f>SUM(EZ6:FJ6)</f>
        <v>27879.871482789764</v>
      </c>
      <c r="FM6" s="93"/>
      <c r="FN6" s="71"/>
      <c r="FO6" s="93"/>
      <c r="FP6" s="93"/>
      <c r="FQ6" s="93">
        <f>FB6+(FB6*FQ3)</f>
        <v>28716.267627273457</v>
      </c>
      <c r="FR6" s="93">
        <f>FC6+(FC6*FR3)</f>
        <v>0</v>
      </c>
      <c r="FS6" s="93">
        <f>FD6+(FD6*FS3)</f>
        <v>0</v>
      </c>
      <c r="FT6" s="93"/>
      <c r="FU6" s="93"/>
      <c r="FV6" s="93"/>
      <c r="FW6" s="93"/>
      <c r="FX6" s="93"/>
      <c r="FY6" s="93"/>
      <c r="FZ6" s="93"/>
      <c r="GA6" s="93">
        <f>SUM(FO6:FY6)</f>
        <v>28716.267627273457</v>
      </c>
      <c r="GB6" s="93"/>
      <c r="GC6" s="71"/>
      <c r="GD6" s="93"/>
      <c r="GE6" s="93"/>
      <c r="GF6" s="93">
        <f>FQ6+(FQ6*GF3)</f>
        <v>29577.75565609166</v>
      </c>
      <c r="GG6" s="93">
        <f>FR6+(FR6*GG3)</f>
        <v>0</v>
      </c>
      <c r="GH6" s="93">
        <f>FS6+(FS6*GH3)</f>
        <v>0</v>
      </c>
      <c r="GI6" s="93"/>
      <c r="GJ6" s="93"/>
      <c r="GK6" s="93"/>
      <c r="GL6" s="93"/>
      <c r="GM6" s="93"/>
      <c r="GN6" s="93"/>
      <c r="GO6" s="93"/>
      <c r="GP6" s="93">
        <f>SUM(GD6:GN6)</f>
        <v>29577.75565609166</v>
      </c>
      <c r="GQ6" s="93"/>
      <c r="GR6" s="71"/>
      <c r="GS6" s="93"/>
      <c r="GT6" s="93"/>
      <c r="GU6" s="95">
        <f>GF6+(GF6*GU3)</f>
        <v>30465.08832577441</v>
      </c>
      <c r="GV6" s="93"/>
      <c r="GW6" s="93">
        <f>GH6+(GG6*GW3)</f>
        <v>0</v>
      </c>
      <c r="GX6" s="93"/>
      <c r="GY6" s="93"/>
      <c r="GZ6" s="93"/>
      <c r="HA6" s="93"/>
      <c r="HB6" s="93"/>
      <c r="HC6" s="93"/>
      <c r="HD6" s="93"/>
      <c r="HE6" s="93">
        <f>SUM(GS6:HC6)</f>
        <v>30465.08832577441</v>
      </c>
      <c r="HF6" s="93"/>
      <c r="HG6" s="71"/>
      <c r="HH6" s="93"/>
      <c r="HI6" s="93"/>
      <c r="HJ6" s="93">
        <f>GU6+(GU6*HJ3)</f>
        <v>31379.040975547643</v>
      </c>
      <c r="HK6" s="93"/>
      <c r="HL6" s="93">
        <f>GV6+(GV6*HL3)</f>
        <v>0</v>
      </c>
      <c r="HM6" s="93"/>
      <c r="HN6" s="93"/>
      <c r="HO6" s="93"/>
      <c r="HP6" s="93"/>
      <c r="HQ6" s="93"/>
      <c r="HR6" s="93"/>
      <c r="HS6" s="93"/>
      <c r="HT6" s="93">
        <f>SUM(HH6:HR6)</f>
        <v>31379.040975547643</v>
      </c>
      <c r="HU6" s="93"/>
      <c r="HX6" s="96" t="s">
        <v>306</v>
      </c>
      <c r="HZ6" s="88">
        <f>C6</f>
        <v>50341</v>
      </c>
      <c r="IA6" s="88">
        <f>R6</f>
        <v>38729.082153999996</v>
      </c>
      <c r="IB6" s="88">
        <f>+AG6</f>
        <v>21367.599999999999</v>
      </c>
      <c r="IC6" s="88">
        <f>+AV6</f>
        <v>22008.627999999997</v>
      </c>
      <c r="ID6" s="88">
        <f>+BK6</f>
        <v>22668.886839999996</v>
      </c>
      <c r="IE6" s="88">
        <f>+BZ6</f>
        <v>23348.953445199997</v>
      </c>
      <c r="IF6" s="88">
        <f>+CO6</f>
        <v>24049.422048555996</v>
      </c>
      <c r="IG6" s="88">
        <f>+DD6</f>
        <v>24770.904710012677</v>
      </c>
      <c r="IH6" s="88">
        <f>+DS6</f>
        <v>25514.031851313059</v>
      </c>
      <c r="II6" s="88">
        <f>+EH6</f>
        <v>26279.452806852449</v>
      </c>
      <c r="IJ6" s="88">
        <f>+EW6</f>
        <v>27067.836391058023</v>
      </c>
      <c r="IK6" s="88">
        <f>+FL6</f>
        <v>27879.871482789764</v>
      </c>
      <c r="IL6" s="88">
        <f>+GA6</f>
        <v>28716.267627273457</v>
      </c>
      <c r="IM6" s="88">
        <f>+GP6</f>
        <v>29577.75565609166</v>
      </c>
      <c r="IN6" s="88">
        <f>+HE6</f>
        <v>30465.08832577441</v>
      </c>
      <c r="IO6" s="88">
        <f>+HT6</f>
        <v>31379.040975547643</v>
      </c>
    </row>
    <row r="7" spans="2:249" ht="18" outlineLevel="1">
      <c r="B7" s="97" t="s">
        <v>307</v>
      </c>
      <c r="C7" s="93"/>
      <c r="D7" s="93"/>
      <c r="E7" s="71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>
        <f>SUM(R5:R6)</f>
        <v>132272.01001689318</v>
      </c>
      <c r="S7" s="88"/>
      <c r="T7" s="71"/>
      <c r="U7" s="99"/>
      <c r="V7" s="89"/>
      <c r="W7" s="219"/>
      <c r="X7" s="219"/>
      <c r="Y7" s="219"/>
      <c r="Z7" s="89"/>
      <c r="AA7" s="89"/>
      <c r="AB7" s="89"/>
      <c r="AC7" s="89"/>
      <c r="AD7" s="89"/>
      <c r="AE7" s="89"/>
      <c r="AF7" s="89"/>
      <c r="AG7" s="100">
        <f>SUM(AG5:AG6)</f>
        <v>285236.59485999995</v>
      </c>
      <c r="AH7" s="88"/>
      <c r="AI7" s="71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98">
        <f>SUM(AV5:AV6)</f>
        <v>311912.25490880001</v>
      </c>
      <c r="AW7" s="88"/>
      <c r="AX7" s="71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98">
        <f>SUM(BK5:BK6)</f>
        <v>341200.04097936396</v>
      </c>
      <c r="BL7" s="88"/>
      <c r="BM7" s="71"/>
      <c r="BN7" s="88"/>
      <c r="BO7" s="88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98">
        <f>SUM(BZ5:BZ6)</f>
        <v>373359.50247437478</v>
      </c>
      <c r="CA7" s="88"/>
      <c r="CB7" s="71"/>
      <c r="CC7" s="88"/>
      <c r="CD7" s="88"/>
      <c r="CE7" s="88"/>
      <c r="CF7" s="88"/>
      <c r="CG7" s="88"/>
      <c r="CH7" s="88"/>
      <c r="CI7" s="88"/>
      <c r="CJ7" s="88"/>
      <c r="CK7" s="88"/>
      <c r="CL7" s="88"/>
      <c r="CM7" s="88"/>
      <c r="CN7" s="88"/>
      <c r="CO7" s="98">
        <f>SUM(CO5:CO6)</f>
        <v>408676.09384079906</v>
      </c>
      <c r="CP7" s="88"/>
      <c r="CQ7" s="71"/>
      <c r="CR7" s="88"/>
      <c r="CS7" s="88"/>
      <c r="CT7" s="88"/>
      <c r="CU7" s="88"/>
      <c r="CV7" s="88"/>
      <c r="CW7" s="88"/>
      <c r="CX7" s="88"/>
      <c r="CY7" s="88"/>
      <c r="CZ7" s="88"/>
      <c r="DA7" s="88"/>
      <c r="DB7" s="88"/>
      <c r="DC7" s="88"/>
      <c r="DD7" s="98">
        <f>SUM(DD5:DD6)</f>
        <v>447463.76357743528</v>
      </c>
      <c r="DE7" s="88"/>
      <c r="DF7" s="71"/>
      <c r="DG7" s="88"/>
      <c r="DH7" s="88"/>
      <c r="DI7" s="88"/>
      <c r="DJ7" s="88"/>
      <c r="DK7" s="88"/>
      <c r="DL7" s="88"/>
      <c r="DM7" s="88"/>
      <c r="DN7" s="88"/>
      <c r="DO7" s="88"/>
      <c r="DP7" s="88"/>
      <c r="DQ7" s="88"/>
      <c r="DR7" s="88"/>
      <c r="DS7" s="98">
        <f>SUM(DS5:DS6)</f>
        <v>490067.80209831195</v>
      </c>
      <c r="DT7" s="88"/>
      <c r="DU7" s="71"/>
      <c r="DV7" s="88"/>
      <c r="DW7" s="88"/>
      <c r="DX7" s="88"/>
      <c r="DY7" s="88"/>
      <c r="DZ7" s="88"/>
      <c r="EA7" s="88"/>
      <c r="EB7" s="88"/>
      <c r="EC7" s="88"/>
      <c r="ED7" s="88"/>
      <c r="EE7" s="88"/>
      <c r="EF7" s="88"/>
      <c r="EG7" s="88"/>
      <c r="EH7" s="98">
        <f>SUM(EH5:EH6)</f>
        <v>536867.97433617013</v>
      </c>
      <c r="EI7" s="88"/>
      <c r="EJ7" s="71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98">
        <f>SUM(EW5:EW6)</f>
        <v>588281.96555865498</v>
      </c>
      <c r="EX7" s="88"/>
      <c r="EY7" s="71"/>
      <c r="EZ7" s="88"/>
      <c r="FA7" s="88"/>
      <c r="FB7" s="88"/>
      <c r="FC7" s="88"/>
      <c r="FD7" s="88"/>
      <c r="FE7" s="88"/>
      <c r="FF7" s="88"/>
      <c r="FG7" s="88"/>
      <c r="FH7" s="88"/>
      <c r="FI7" s="88"/>
      <c r="FJ7" s="88"/>
      <c r="FK7" s="88"/>
      <c r="FL7" s="98">
        <f>SUM(FL5:FL6)</f>
        <v>644769.17171705444</v>
      </c>
      <c r="FM7" s="88"/>
      <c r="FN7" s="71"/>
      <c r="FO7" s="88"/>
      <c r="FP7" s="88"/>
      <c r="FQ7" s="88"/>
      <c r="FR7" s="88"/>
      <c r="FS7" s="88"/>
      <c r="FT7" s="88"/>
      <c r="FU7" s="88"/>
      <c r="FV7" s="88"/>
      <c r="FW7" s="88"/>
      <c r="FX7" s="88"/>
      <c r="FY7" s="88"/>
      <c r="FZ7" s="88"/>
      <c r="GA7" s="98">
        <f>SUM(GA5:GA6)</f>
        <v>706834.86877936986</v>
      </c>
      <c r="GB7" s="88"/>
      <c r="GC7" s="71"/>
      <c r="GD7" s="88"/>
      <c r="GE7" s="88"/>
      <c r="GF7" s="88"/>
      <c r="GG7" s="88"/>
      <c r="GH7" s="88"/>
      <c r="GI7" s="88"/>
      <c r="GJ7" s="88"/>
      <c r="GK7" s="88"/>
      <c r="GL7" s="88"/>
      <c r="GM7" s="88"/>
      <c r="GN7" s="88"/>
      <c r="GO7" s="88"/>
      <c r="GP7" s="98">
        <f>SUM(GP5:GP6)</f>
        <v>775034.79894463497</v>
      </c>
      <c r="GQ7" s="98"/>
      <c r="GR7" s="71"/>
      <c r="GS7" s="88"/>
      <c r="GT7" s="88"/>
      <c r="GU7" s="88"/>
      <c r="GV7" s="88"/>
      <c r="GW7" s="88"/>
      <c r="GX7" s="88"/>
      <c r="GY7" s="88"/>
      <c r="GZ7" s="88"/>
      <c r="HA7" s="88"/>
      <c r="HB7" s="88"/>
      <c r="HC7" s="88"/>
      <c r="HD7" s="88"/>
      <c r="HE7" s="98">
        <f>SUM(HE5:HE6)</f>
        <v>849980.21542504651</v>
      </c>
      <c r="HF7" s="98"/>
      <c r="HG7" s="71"/>
      <c r="HH7" s="88"/>
      <c r="HI7" s="88"/>
      <c r="HJ7" s="88"/>
      <c r="HK7" s="88"/>
      <c r="HL7" s="88"/>
      <c r="HM7" s="88"/>
      <c r="HN7" s="88"/>
      <c r="HO7" s="88"/>
      <c r="HP7" s="88"/>
      <c r="HQ7" s="88"/>
      <c r="HR7" s="88"/>
      <c r="HS7" s="88"/>
      <c r="HT7" s="98">
        <f>SUM(HT5:HT6)</f>
        <v>932343.43165107758</v>
      </c>
      <c r="HU7" s="98"/>
      <c r="HX7" s="101" t="s">
        <v>307</v>
      </c>
      <c r="HZ7" s="218">
        <f>SUM(HZ5:HZ6)</f>
        <v>122061</v>
      </c>
      <c r="IA7" s="218">
        <f>SUM(IA5:IA6)</f>
        <v>132272.01001689318</v>
      </c>
      <c r="IB7" s="218">
        <f>SUM(IB5:IB6)</f>
        <v>285236.59485999995</v>
      </c>
      <c r="IC7" s="218">
        <f t="shared" ref="IC7:IM7" si="11">SUM(IC5:IC6)</f>
        <v>311912.25490880001</v>
      </c>
      <c r="ID7" s="218">
        <f t="shared" si="11"/>
        <v>341200.04097936396</v>
      </c>
      <c r="IE7" s="218">
        <f t="shared" si="11"/>
        <v>373359.50247437478</v>
      </c>
      <c r="IF7" s="218">
        <f t="shared" si="11"/>
        <v>408676.09384079906</v>
      </c>
      <c r="IG7" s="218">
        <f t="shared" si="11"/>
        <v>447463.76357743528</v>
      </c>
      <c r="IH7" s="218">
        <f t="shared" si="11"/>
        <v>490067.80209831195</v>
      </c>
      <c r="II7" s="218">
        <f t="shared" si="11"/>
        <v>536867.97433617013</v>
      </c>
      <c r="IJ7" s="218">
        <f t="shared" si="11"/>
        <v>588281.96555865498</v>
      </c>
      <c r="IK7" s="218">
        <f t="shared" si="11"/>
        <v>644769.17171705444</v>
      </c>
      <c r="IL7" s="218">
        <f t="shared" si="11"/>
        <v>706834.86877936986</v>
      </c>
      <c r="IM7" s="218">
        <f t="shared" si="11"/>
        <v>775034.79894463497</v>
      </c>
      <c r="IN7" s="218">
        <f>SUM(IN5:IN6)</f>
        <v>849980.21542504651</v>
      </c>
      <c r="IO7" s="218">
        <f>SUM(IO5:IO6)</f>
        <v>932343.43165107758</v>
      </c>
    </row>
    <row r="8" spans="2:249" ht="15.6" hidden="1" outlineLevel="1">
      <c r="B8" s="85"/>
      <c r="E8" s="71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71"/>
      <c r="U8" s="219"/>
      <c r="V8" s="88"/>
      <c r="W8" s="219"/>
      <c r="X8" s="219"/>
      <c r="Y8" s="219"/>
      <c r="Z8" s="90"/>
      <c r="AA8" s="88"/>
      <c r="AB8" s="88"/>
      <c r="AC8" s="88"/>
      <c r="AD8" s="88"/>
      <c r="AE8" s="90"/>
      <c r="AF8" s="88"/>
      <c r="AG8" s="88"/>
      <c r="AH8" s="88"/>
      <c r="AI8" s="71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71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71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71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71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8"/>
      <c r="DD8" s="88"/>
      <c r="DE8" s="88"/>
      <c r="DF8" s="71"/>
      <c r="DG8" s="88"/>
      <c r="DH8" s="88"/>
      <c r="DI8" s="8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71"/>
      <c r="DV8" s="88"/>
      <c r="DW8" s="88"/>
      <c r="DX8" s="88"/>
      <c r="DY8" s="88"/>
      <c r="DZ8" s="88"/>
      <c r="EA8" s="88"/>
      <c r="EB8" s="88"/>
      <c r="EC8" s="88"/>
      <c r="ED8" s="88"/>
      <c r="EE8" s="88"/>
      <c r="EF8" s="88"/>
      <c r="EG8" s="88"/>
      <c r="EH8" s="88"/>
      <c r="EI8" s="88"/>
      <c r="EJ8" s="71"/>
      <c r="EK8" s="88"/>
      <c r="EL8" s="88"/>
      <c r="EM8" s="88"/>
      <c r="EN8" s="88"/>
      <c r="EO8" s="88"/>
      <c r="EP8" s="88"/>
      <c r="EQ8" s="88"/>
      <c r="ER8" s="88"/>
      <c r="ES8" s="88"/>
      <c r="ET8" s="88"/>
      <c r="EU8" s="88"/>
      <c r="EV8" s="88"/>
      <c r="EW8" s="88"/>
      <c r="EX8" s="88"/>
      <c r="EY8" s="71"/>
      <c r="EZ8" s="88"/>
      <c r="FA8" s="88"/>
      <c r="FB8" s="88"/>
      <c r="FC8" s="8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71"/>
      <c r="FO8" s="88"/>
      <c r="FP8" s="88"/>
      <c r="FQ8" s="88"/>
      <c r="FR8" s="88"/>
      <c r="FS8" s="88"/>
      <c r="FT8" s="88"/>
      <c r="FU8" s="88"/>
      <c r="FV8" s="88"/>
      <c r="FW8" s="88"/>
      <c r="FX8" s="88"/>
      <c r="FY8" s="88"/>
      <c r="FZ8" s="88"/>
      <c r="GA8" s="88"/>
      <c r="GB8" s="88"/>
      <c r="GC8" s="71"/>
      <c r="GD8" s="88"/>
      <c r="GE8" s="8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71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71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88"/>
      <c r="HU8" s="88"/>
      <c r="HX8" s="101" t="s">
        <v>218</v>
      </c>
      <c r="HZ8" s="85">
        <f>C8</f>
        <v>0</v>
      </c>
      <c r="IA8" s="85"/>
      <c r="IB8" s="85"/>
      <c r="IC8" s="85"/>
      <c r="ID8" s="85"/>
      <c r="IE8" s="85"/>
      <c r="IF8" s="85"/>
      <c r="IG8" s="85"/>
      <c r="IH8" s="85"/>
      <c r="II8" s="85"/>
      <c r="IJ8" s="85"/>
      <c r="IK8" s="85"/>
      <c r="IL8" s="85"/>
      <c r="IM8" s="85"/>
      <c r="IN8" s="85"/>
      <c r="IO8" s="85"/>
    </row>
    <row r="9" spans="2:249" ht="15.6" outlineLevel="1">
      <c r="B9" s="85"/>
      <c r="E9" s="71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71"/>
      <c r="U9" s="99"/>
      <c r="V9" s="88"/>
      <c r="W9" s="219"/>
      <c r="X9" s="219"/>
      <c r="Y9" s="219"/>
      <c r="Z9" s="88"/>
      <c r="AA9" s="90"/>
      <c r="AB9" s="88"/>
      <c r="AC9" s="90"/>
      <c r="AD9" s="88"/>
      <c r="AE9" s="88"/>
      <c r="AF9" s="88"/>
      <c r="AG9" s="88"/>
      <c r="AH9" s="88"/>
      <c r="AI9" s="71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71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71"/>
      <c r="BN9" s="88"/>
      <c r="BO9" s="88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71"/>
      <c r="CC9" s="88"/>
      <c r="CD9" s="88"/>
      <c r="CE9" s="88"/>
      <c r="CF9" s="88"/>
      <c r="CG9" s="88"/>
      <c r="CH9" s="88"/>
      <c r="CI9" s="88"/>
      <c r="CJ9" s="88"/>
      <c r="CK9" s="88"/>
      <c r="CL9" s="88"/>
      <c r="CM9" s="88"/>
      <c r="CN9" s="88"/>
      <c r="CO9" s="88"/>
      <c r="CP9" s="88"/>
      <c r="CQ9" s="71"/>
      <c r="CR9" s="88"/>
      <c r="CS9" s="88"/>
      <c r="CT9" s="88"/>
      <c r="CU9" s="88"/>
      <c r="CV9" s="88"/>
      <c r="CW9" s="88"/>
      <c r="CX9" s="88"/>
      <c r="CY9" s="88"/>
      <c r="CZ9" s="88"/>
      <c r="DA9" s="88"/>
      <c r="DB9" s="88"/>
      <c r="DC9" s="88"/>
      <c r="DD9" s="88"/>
      <c r="DE9" s="88"/>
      <c r="DF9" s="71"/>
      <c r="DG9" s="88"/>
      <c r="DH9" s="88"/>
      <c r="DI9" s="8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71"/>
      <c r="DV9" s="88"/>
      <c r="DW9" s="88"/>
      <c r="DX9" s="88"/>
      <c r="DY9" s="88"/>
      <c r="DZ9" s="88"/>
      <c r="EA9" s="88"/>
      <c r="EB9" s="88"/>
      <c r="EC9" s="88"/>
      <c r="ED9" s="88"/>
      <c r="EE9" s="88"/>
      <c r="EF9" s="88"/>
      <c r="EG9" s="88"/>
      <c r="EH9" s="88"/>
      <c r="EI9" s="88"/>
      <c r="EJ9" s="71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71"/>
      <c r="EZ9" s="88"/>
      <c r="FA9" s="88"/>
      <c r="FB9" s="88"/>
      <c r="FC9" s="88"/>
      <c r="FD9" s="88"/>
      <c r="FE9" s="88"/>
      <c r="FF9" s="88"/>
      <c r="FG9" s="88"/>
      <c r="FH9" s="88"/>
      <c r="FI9" s="88"/>
      <c r="FJ9" s="88"/>
      <c r="FK9" s="88"/>
      <c r="FL9" s="88"/>
      <c r="FM9" s="88"/>
      <c r="FN9" s="71"/>
      <c r="FO9" s="88"/>
      <c r="FP9" s="88"/>
      <c r="FQ9" s="88"/>
      <c r="FR9" s="88"/>
      <c r="FS9" s="88"/>
      <c r="FT9" s="88"/>
      <c r="FU9" s="88"/>
      <c r="FV9" s="88"/>
      <c r="FW9" s="88"/>
      <c r="FX9" s="88"/>
      <c r="FY9" s="88"/>
      <c r="FZ9" s="88"/>
      <c r="GA9" s="88"/>
      <c r="GB9" s="88"/>
      <c r="GC9" s="71"/>
      <c r="GD9" s="88"/>
      <c r="GE9" s="8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71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71"/>
      <c r="HH9" s="88"/>
      <c r="HI9" s="88"/>
      <c r="HJ9" s="88"/>
      <c r="HK9" s="88"/>
      <c r="HL9" s="88"/>
      <c r="HM9" s="88"/>
      <c r="HN9" s="88"/>
      <c r="HO9" s="88"/>
      <c r="HP9" s="88"/>
      <c r="HQ9" s="88"/>
      <c r="HR9" s="88"/>
      <c r="HS9" s="88"/>
      <c r="HT9" s="88"/>
      <c r="HU9" s="88"/>
      <c r="HX9" s="101"/>
      <c r="HZ9" s="88">
        <f t="shared" ref="HZ9:IN9" si="12">HZ5*(1-HZ20)</f>
        <v>93692.957127993388</v>
      </c>
      <c r="IA9" s="88">
        <f t="shared" si="12"/>
        <v>80540.031399342901</v>
      </c>
      <c r="IB9" s="88">
        <f t="shared" si="12"/>
        <v>214247.68903259901</v>
      </c>
      <c r="IC9" s="88">
        <f t="shared" si="12"/>
        <v>234369.74338933453</v>
      </c>
      <c r="ID9" s="88">
        <f t="shared" si="12"/>
        <v>256422.47362907909</v>
      </c>
      <c r="IE9" s="88">
        <f t="shared" si="12"/>
        <v>280592.27632685908</v>
      </c>
      <c r="IF9" s="88">
        <f t="shared" si="12"/>
        <v>307086.09883430781</v>
      </c>
      <c r="IG9" s="88">
        <f t="shared" si="12"/>
        <v>336361.22786231001</v>
      </c>
      <c r="IH9" s="88">
        <f t="shared" si="12"/>
        <v>365618.71399117837</v>
      </c>
      <c r="II9" s="88">
        <f t="shared" si="12"/>
        <v>400296.87446488818</v>
      </c>
      <c r="IJ9" s="88">
        <f t="shared" si="12"/>
        <v>438328.11829147994</v>
      </c>
      <c r="IK9" s="88">
        <f t="shared" si="12"/>
        <v>480041.71671901643</v>
      </c>
      <c r="IL9" s="88">
        <f t="shared" si="12"/>
        <v>525799.57222891366</v>
      </c>
      <c r="IM9" s="88">
        <f t="shared" si="12"/>
        <v>575999.46600974747</v>
      </c>
      <c r="IN9" s="88">
        <f t="shared" si="12"/>
        <v>631078.62938958022</v>
      </c>
      <c r="IO9" s="88">
        <f>IO5*(1-IO20)</f>
        <v>691517.67158719711</v>
      </c>
    </row>
    <row r="10" spans="2:249" s="5" customFormat="1" ht="15" thickBot="1">
      <c r="B10" s="102" t="s">
        <v>308</v>
      </c>
      <c r="C10" s="103">
        <f>C5+C6</f>
        <v>122061</v>
      </c>
      <c r="D10" s="104"/>
      <c r="E10" s="71"/>
      <c r="F10" s="103">
        <f>F5+F6</f>
        <v>79441.937028284752</v>
      </c>
      <c r="G10" s="105">
        <f>F10/$R$10</f>
        <v>0.60059522054695313</v>
      </c>
      <c r="H10" s="103">
        <f>H5+H6</f>
        <v>40330.072988608423</v>
      </c>
      <c r="I10" s="105">
        <f>H10/$R$10</f>
        <v>0.30490254879666262</v>
      </c>
      <c r="J10" s="103">
        <f>J5+J6</f>
        <v>4600</v>
      </c>
      <c r="K10" s="105">
        <f>J10/$R$10</f>
        <v>3.4776820881549382E-2</v>
      </c>
      <c r="L10" s="103">
        <f>L5+L6</f>
        <v>4500</v>
      </c>
      <c r="M10" s="105">
        <f>L10/$R$10</f>
        <v>3.4020803036298307E-2</v>
      </c>
      <c r="N10" s="103">
        <f>N5+N6</f>
        <v>1800</v>
      </c>
      <c r="O10" s="105">
        <f>N10/$R$10</f>
        <v>1.3608321214519324E-2</v>
      </c>
      <c r="P10" s="103">
        <f>P5+P6</f>
        <v>1600</v>
      </c>
      <c r="Q10" s="105">
        <f>P10/$R$10</f>
        <v>1.2096285524017177E-2</v>
      </c>
      <c r="R10" s="103">
        <f>P10+N10+L10+J10+H10+F10</f>
        <v>132272.01001689318</v>
      </c>
      <c r="S10" s="105">
        <f>R10/R7</f>
        <v>1</v>
      </c>
      <c r="T10" s="71"/>
      <c r="U10" s="106">
        <f>U5+U6</f>
        <v>151436.60303999999</v>
      </c>
      <c r="V10" s="105">
        <f>U10/$AG$10</f>
        <v>0.53091575824738835</v>
      </c>
      <c r="W10" s="106">
        <f>W5+W6</f>
        <v>26399.991959999999</v>
      </c>
      <c r="X10" s="105">
        <f>W10/$AG$10</f>
        <v>9.2554715754329012E-2</v>
      </c>
      <c r="Y10" s="106">
        <f>Y5+Y6</f>
        <v>14399.999960000003</v>
      </c>
      <c r="Z10" s="105">
        <f>Y10/$AG$10</f>
        <v>5.0484405646014044E-2</v>
      </c>
      <c r="AA10" s="106">
        <f>AA5+AA6</f>
        <v>39999.999960000001</v>
      </c>
      <c r="AB10" s="105">
        <f>AA10/$AG$10</f>
        <v>0.14023446037712248</v>
      </c>
      <c r="AC10" s="106">
        <f>AC5+AC6</f>
        <v>11000.000039999999</v>
      </c>
      <c r="AD10" s="105">
        <f>AC10/$AG$10</f>
        <v>3.8564476782507615E-2</v>
      </c>
      <c r="AE10" s="106">
        <f>AE5+AE6</f>
        <v>41999.999899999952</v>
      </c>
      <c r="AF10" s="105">
        <f>AE10/$AG$10</f>
        <v>0.14724618319263846</v>
      </c>
      <c r="AG10" s="106">
        <f>AE10+AC10+AA10+Y10+W10+U10</f>
        <v>285236.59485999995</v>
      </c>
      <c r="AH10" s="105">
        <f>AG10/AG7</f>
        <v>1</v>
      </c>
      <c r="AI10" s="71"/>
      <c r="AJ10" s="103">
        <f>U10+(U10*AJ3)</f>
        <v>166580.26334399998</v>
      </c>
      <c r="AK10" s="105">
        <f>+AJ10/AV10</f>
        <v>0.53406129679869885</v>
      </c>
      <c r="AL10" s="103">
        <f>W10+(W10*AL3)</f>
        <v>27191.9917188</v>
      </c>
      <c r="AM10" s="105">
        <f>+AL10/AV10</f>
        <v>8.7178337147255314E-2</v>
      </c>
      <c r="AN10" s="103">
        <f>Y10+(Y10*AN3)</f>
        <v>15839.999956000003</v>
      </c>
      <c r="AO10" s="105">
        <f>+AN10/AV10</f>
        <v>5.0783512692155891E-2</v>
      </c>
      <c r="AP10" s="103">
        <f>AA10+(AA10*AP3)</f>
        <v>43999.999956</v>
      </c>
      <c r="AQ10" s="105">
        <f>+AP10/AV10</f>
        <v>0.1410653132845491</v>
      </c>
      <c r="AR10" s="103">
        <f>AC10+(AC10*AR3)</f>
        <v>12100.000043999999</v>
      </c>
      <c r="AS10" s="105">
        <f>+AR10/AV10</f>
        <v>3.8792961333109277E-2</v>
      </c>
      <c r="AT10" s="103">
        <f>AE10+(AE10*AT3)</f>
        <v>46199.999889999948</v>
      </c>
      <c r="AU10" s="105">
        <f>+AT10/AV10</f>
        <v>0.1481185787442317</v>
      </c>
      <c r="AV10" s="103">
        <f>AT10+AR10+AP10+AN10+AL10+AJ10</f>
        <v>311912.25490879989</v>
      </c>
      <c r="AW10" s="105">
        <f>+AV10/AV7</f>
        <v>0.99999999999999967</v>
      </c>
      <c r="AX10" s="71"/>
      <c r="AY10" s="107">
        <f>AJ10+(AJ10*AY3)</f>
        <v>183238.28967839997</v>
      </c>
      <c r="AZ10" s="105">
        <f>+AY10/BK10</f>
        <v>0.53704064381833516</v>
      </c>
      <c r="BA10" s="103">
        <f>AL10+(AL10*BA3)</f>
        <v>28007.751470364001</v>
      </c>
      <c r="BB10" s="105">
        <f>+BA10/BK10</f>
        <v>8.2086014380220812E-2</v>
      </c>
      <c r="BC10" s="103">
        <f>AN10+(AN10*BC3)</f>
        <v>17423.999951600003</v>
      </c>
      <c r="BD10" s="105">
        <f>+BC10/BK10</f>
        <v>5.106681670256253E-2</v>
      </c>
      <c r="BE10" s="103">
        <f>AP10+(AP10*BE3)</f>
        <v>48399.999951600003</v>
      </c>
      <c r="BF10" s="105">
        <f>+BE10/BK10</f>
        <v>0.14185226887041105</v>
      </c>
      <c r="BG10" s="103">
        <f>AR10+(AR10*BG3)</f>
        <v>13310.000048399997</v>
      </c>
      <c r="BH10" s="105">
        <f>+BG10/BK10</f>
        <v>3.900937412022467E-2</v>
      </c>
      <c r="BI10" s="103">
        <f>AT10+(AT10*BI3)</f>
        <v>50819.999878999944</v>
      </c>
      <c r="BJ10" s="105">
        <f>+BI10/BK10</f>
        <v>0.14894488210824564</v>
      </c>
      <c r="BK10" s="103">
        <f>BI10+BG10+BE10+BC10+BA10+AY10</f>
        <v>341200.04097936396</v>
      </c>
      <c r="BL10" s="105">
        <f>+BK10/BK7</f>
        <v>1</v>
      </c>
      <c r="BM10" s="71"/>
      <c r="BN10" s="107">
        <f>AY10+(AY10*BN3)</f>
        <v>201562.11864623998</v>
      </c>
      <c r="BO10" s="105">
        <f>+BN10/BZ10</f>
        <v>0.53986069005990811</v>
      </c>
      <c r="BP10" s="103">
        <f>BA10+(BA10*BP3)</f>
        <v>28847.984014474921</v>
      </c>
      <c r="BQ10" s="105">
        <f>+BP10/BZ10</f>
        <v>7.7265969724327227E-2</v>
      </c>
      <c r="BR10" s="103">
        <f>BC10+(BC10*BR3)</f>
        <v>19166.399946760004</v>
      </c>
      <c r="BS10" s="105">
        <f>+BR10/BZ10</f>
        <v>5.1334972914143177E-2</v>
      </c>
      <c r="BT10" s="103">
        <f>BE10+(BE10*BT3)</f>
        <v>53239.999946759999</v>
      </c>
      <c r="BU10" s="105">
        <f>+BT10/BZ10</f>
        <v>0.14259714723723704</v>
      </c>
      <c r="BV10" s="103">
        <f>BG10+(BG10*BV3)</f>
        <v>14641.000053239997</v>
      </c>
      <c r="BW10" s="105">
        <f>+BV10/BZ10</f>
        <v>3.9214215672051543E-2</v>
      </c>
      <c r="BX10" s="103">
        <f>BI10+(BI10*BX3)</f>
        <v>55901.99986689994</v>
      </c>
      <c r="BY10" s="105">
        <f>+BX10/BZ10</f>
        <v>0.14972700439233289</v>
      </c>
      <c r="BZ10" s="103">
        <f>BX10+BV10+BT10+BR10+BP10+BN10</f>
        <v>373359.50247437484</v>
      </c>
      <c r="CA10" s="105">
        <f>+BZ10/BZ7</f>
        <v>1.0000000000000002</v>
      </c>
      <c r="CB10" s="71"/>
      <c r="CC10" s="107">
        <f>BN10+(BN10*CC3)</f>
        <v>221718.33051086398</v>
      </c>
      <c r="CD10" s="105">
        <f>+CC10/CO10</f>
        <v>0.54252826101747709</v>
      </c>
      <c r="CE10" s="103">
        <f>BP10+(BP10*CE3)</f>
        <v>29713.423534909169</v>
      </c>
      <c r="CF10" s="105">
        <f>+CE10/CO10</f>
        <v>7.2706536992800261E-2</v>
      </c>
      <c r="CG10" s="103">
        <f>BR10+(BR10*CG3)</f>
        <v>21083.039941436004</v>
      </c>
      <c r="CH10" s="105">
        <f>+CG10/CO10</f>
        <v>5.1588630358322264E-2</v>
      </c>
      <c r="CI10" s="103">
        <f>BT10+(BT10*CI3)</f>
        <v>58563.999941435999</v>
      </c>
      <c r="CJ10" s="105">
        <f>+CI10/CO10</f>
        <v>0.14330175125009825</v>
      </c>
      <c r="CK10" s="103">
        <f>BV10+(BV10*CK3)</f>
        <v>16105.100058563998</v>
      </c>
      <c r="CL10" s="105">
        <f>+CK10/CO10</f>
        <v>3.9407981776486752E-2</v>
      </c>
      <c r="CM10" s="103">
        <f>BX10+(BX10*CM3)</f>
        <v>61492.199853589933</v>
      </c>
      <c r="CN10" s="105">
        <f>+CM10/CO10</f>
        <v>0.15046683860481547</v>
      </c>
      <c r="CO10" s="103">
        <f>CM10+CK10+CI10+CG10+CE10+CC10</f>
        <v>408676.09384079906</v>
      </c>
      <c r="CP10" s="105">
        <f>+CO10/CO7</f>
        <v>1</v>
      </c>
      <c r="CQ10" s="71"/>
      <c r="CR10" s="107">
        <f>CC10+(CC10*CR3)</f>
        <v>243890.16356195038</v>
      </c>
      <c r="CS10" s="105">
        <f>+CR10/DD10</f>
        <v>0.54505008765864948</v>
      </c>
      <c r="CT10" s="103">
        <f>CE10+(CE10*CT3)</f>
        <v>30604.826240956445</v>
      </c>
      <c r="CU10" s="105">
        <f>+CT10/DD10</f>
        <v>6.8396211564202239E-2</v>
      </c>
      <c r="CV10" s="103">
        <f>CG10+(CG10*CV3)</f>
        <v>23191.343935579604</v>
      </c>
      <c r="CW10" s="105">
        <f>+CV10/DD10</f>
        <v>5.1828429078070469E-2</v>
      </c>
      <c r="CX10" s="103">
        <f>CI10+(CI10*CX3)</f>
        <v>64420.399935579597</v>
      </c>
      <c r="CY10" s="105">
        <f>+CX10/DD10</f>
        <v>0.14396785880613858</v>
      </c>
      <c r="CZ10" s="103">
        <f>CK10+(CK10*CZ3)</f>
        <v>17715.610064420398</v>
      </c>
      <c r="DA10" s="105">
        <f>+CZ10/DD10</f>
        <v>3.959116135524713E-2</v>
      </c>
      <c r="DB10" s="103">
        <f>CM10+(CM10*DB3)</f>
        <v>67641.419838948932</v>
      </c>
      <c r="DC10" s="105">
        <f>+DB10/DD10</f>
        <v>0.15116625153769198</v>
      </c>
      <c r="DD10" s="103">
        <f>DB10+CZ10+CX10+CV10+CT10+CR10</f>
        <v>447463.7635774354</v>
      </c>
      <c r="DE10" s="105">
        <f>+DD10/DD7</f>
        <v>1.0000000000000002</v>
      </c>
      <c r="DF10" s="71"/>
      <c r="DG10" s="107">
        <f>CR10+(CR10*DG3)</f>
        <v>268279.17991814541</v>
      </c>
      <c r="DH10" s="105">
        <f>+DG10/DS10</f>
        <v>0.54743278127936723</v>
      </c>
      <c r="DI10" s="103">
        <f>CT10+(CT10*DI3)</f>
        <v>31522.971028185137</v>
      </c>
      <c r="DJ10" s="105">
        <f>+DI10/DS10</f>
        <v>6.4323693360824691E-2</v>
      </c>
      <c r="DK10" s="103">
        <f>CV10+(CV10*DK3)</f>
        <v>25510.478329137564</v>
      </c>
      <c r="DL10" s="105">
        <f>+DK10/DS10</f>
        <v>5.2054997736864041E-2</v>
      </c>
      <c r="DM10" s="103">
        <f>CX10+(CX10*DM3)</f>
        <v>70862.439929137559</v>
      </c>
      <c r="DN10" s="105">
        <f>+DM10/DS10</f>
        <v>0.14459721619279514</v>
      </c>
      <c r="DO10" s="103">
        <f>CZ10+(CZ10*DO3)</f>
        <v>19487.171070862438</v>
      </c>
      <c r="DP10" s="105">
        <f>+DO10/DS10</f>
        <v>3.9764234637380109E-2</v>
      </c>
      <c r="DQ10" s="103">
        <f>DB10+(DB10*DQ3)</f>
        <v>74405.561822843825</v>
      </c>
      <c r="DR10" s="105">
        <f>+DQ10/DS10</f>
        <v>0.1518270767927688</v>
      </c>
      <c r="DS10" s="103">
        <f>DQ10+DO10+DM10+DK10+DI10+DG10</f>
        <v>490067.80209831195</v>
      </c>
      <c r="DT10" s="105">
        <f>+DS10/DS7</f>
        <v>1</v>
      </c>
      <c r="DU10" s="71"/>
      <c r="DV10" s="107">
        <f>DG10+(DG10*DV3)</f>
        <v>295107.09790995996</v>
      </c>
      <c r="DW10" s="105">
        <f>+DV10/EH10</f>
        <v>0.54968281219392134</v>
      </c>
      <c r="DX10" s="103">
        <f>DI10+(DI10*DX3)</f>
        <v>32468.660159030689</v>
      </c>
      <c r="DY10" s="105">
        <f>+DX10/EH10</f>
        <v>6.0477923271876559E-2</v>
      </c>
      <c r="DZ10" s="103">
        <f>DK10+(DK10*DZ3)</f>
        <v>28061.526162051319</v>
      </c>
      <c r="EA10" s="105">
        <f>+DZ10/EH10</f>
        <v>5.2268951592333315E-2</v>
      </c>
      <c r="EB10" s="103">
        <f>DM10+(DM10*EB3)</f>
        <v>77948.683922051321</v>
      </c>
      <c r="EC10" s="105">
        <f>+EB10/EH10</f>
        <v>0.14519153245904415</v>
      </c>
      <c r="ED10" s="103">
        <f>DO10+(DO10*ED3)</f>
        <v>21435.88817794868</v>
      </c>
      <c r="EE10" s="105">
        <f>+ED10/EH10</f>
        <v>3.9927671611356332E-2</v>
      </c>
      <c r="EF10" s="103">
        <f>DQ10+(DQ10*EF3)</f>
        <v>81846.118005128214</v>
      </c>
      <c r="EG10" s="105">
        <f>+EF10/EH10</f>
        <v>0.15245110887146848</v>
      </c>
      <c r="EH10" s="103">
        <f>EF10+ED10+EB10+DZ10+DX10+DV10</f>
        <v>536867.97433617013</v>
      </c>
      <c r="EI10" s="105">
        <f>+EH10/EH7</f>
        <v>1</v>
      </c>
      <c r="EJ10" s="71"/>
      <c r="EK10" s="107">
        <f>DV10+(DV10*EK3)</f>
        <v>324617.80770095595</v>
      </c>
      <c r="EL10" s="105">
        <f>+EK10/EW10</f>
        <v>0.55180649196459119</v>
      </c>
      <c r="EM10" s="103">
        <f>DX10+(DX10*EM3)</f>
        <v>33442.71996380161</v>
      </c>
      <c r="EN10" s="105">
        <f>+EM10/EW10</f>
        <v>5.684811352672204E-2</v>
      </c>
      <c r="EO10" s="103">
        <f>DZ10+(DZ10*EO3)</f>
        <v>30867.67877825645</v>
      </c>
      <c r="EP10" s="105">
        <f>+EO10/EW10</f>
        <v>5.2470890806491609E-2</v>
      </c>
      <c r="EQ10" s="103">
        <f>EB10+(EB10*EQ3)</f>
        <v>85743.552314256449</v>
      </c>
      <c r="ER10" s="105">
        <f>+EQ10/EW10</f>
        <v>0.1457524747215922</v>
      </c>
      <c r="ES10" s="103">
        <f>ED10+(ED10*ES3)</f>
        <v>23579.476995743549</v>
      </c>
      <c r="ET10" s="105">
        <f>+ES10/EW10</f>
        <v>4.0081930734272256E-2</v>
      </c>
      <c r="EU10" s="103">
        <f>EF10+(EF10*EU3)</f>
        <v>90030.729805641036</v>
      </c>
      <c r="EV10" s="105">
        <f>+EU10/EW10</f>
        <v>0.15304009824633058</v>
      </c>
      <c r="EW10" s="103">
        <f>EU10+ES10+EQ10+EO10+EM10+EK10</f>
        <v>588281.96555865509</v>
      </c>
      <c r="EX10" s="105">
        <f>+EW10/EW7</f>
        <v>1.0000000000000002</v>
      </c>
      <c r="EY10" s="71"/>
      <c r="EZ10" s="107">
        <f>EK10+(EK10*EZ3)</f>
        <v>357079.58847105154</v>
      </c>
      <c r="FA10" s="105">
        <f>+EZ10/FL10</f>
        <v>0.5538099588727694</v>
      </c>
      <c r="FB10" s="103">
        <f>EM10+(EM10*FB3)</f>
        <v>34446.001562715661</v>
      </c>
      <c r="FC10" s="105">
        <f>+FB10/FL10</f>
        <v>5.3423772527746848E-2</v>
      </c>
      <c r="FD10" s="103">
        <f>EO10+(EO10*FD3)</f>
        <v>33954.446656082095</v>
      </c>
      <c r="FE10" s="105">
        <f>+FD10/FL10</f>
        <v>5.2661399064194717E-2</v>
      </c>
      <c r="FF10" s="103">
        <f>EQ10+(EQ10*FF3)</f>
        <v>94317.907545682101</v>
      </c>
      <c r="FG10" s="105">
        <f>+FF10/FL10</f>
        <v>0.14628166432726386</v>
      </c>
      <c r="FH10" s="103">
        <f>ES10+(ES10*FH3)</f>
        <v>25937.424695317903</v>
      </c>
      <c r="FI10" s="105">
        <f>+FH10/FL10</f>
        <v>4.0227457876506667E-2</v>
      </c>
      <c r="FJ10" s="103">
        <f>EU10+(EU10*FJ3)</f>
        <v>99033.802786205139</v>
      </c>
      <c r="FK10" s="105">
        <f>+FJ10/FL10</f>
        <v>0.15359574733151846</v>
      </c>
      <c r="FL10" s="103">
        <f>FJ10+FH10+FF10+FD10+FB10+EZ10</f>
        <v>644769.17171705444</v>
      </c>
      <c r="FM10" s="105">
        <f>+FL10/FL7</f>
        <v>1</v>
      </c>
      <c r="FN10" s="71"/>
      <c r="FO10" s="107">
        <f>EZ10+(EZ10*FO3)</f>
        <v>392787.54731815669</v>
      </c>
      <c r="FP10" s="105">
        <f>+FO10/GA10</f>
        <v>0.55569916633634653</v>
      </c>
      <c r="FQ10" s="103">
        <f>FB10+(FB10*FQ3)</f>
        <v>35479.381609597127</v>
      </c>
      <c r="FR10" s="105">
        <f>+FQ10/GA10</f>
        <v>5.0194724647450291E-2</v>
      </c>
      <c r="FS10" s="103">
        <f>FD10+(FD10*FS3)</f>
        <v>37349.891321690302</v>
      </c>
      <c r="FT10" s="105">
        <f>+FS10/GA10</f>
        <v>5.2841042471758179E-2</v>
      </c>
      <c r="FU10" s="103">
        <f>FF10+(FF10*FU3)</f>
        <v>103749.69830025031</v>
      </c>
      <c r="FV10" s="105">
        <f>+FU10/GA10</f>
        <v>0.14678067379360504</v>
      </c>
      <c r="FW10" s="103">
        <f>FH10+(FH10*FW3)</f>
        <v>28531.167164849692</v>
      </c>
      <c r="FX10" s="105">
        <f>+FW10/GA10</f>
        <v>4.0364685480386735E-2</v>
      </c>
      <c r="FY10" s="103">
        <f>FJ10+(FJ10*FY3)</f>
        <v>108937.18306482566</v>
      </c>
      <c r="FZ10" s="105">
        <f>+FY10/GA10</f>
        <v>0.15411970727045315</v>
      </c>
      <c r="GA10" s="103">
        <f>FY10+FW10+FU10+FS10+FQ10+FO10</f>
        <v>706834.86877936986</v>
      </c>
      <c r="GB10" s="105">
        <f>+GA10/GA7</f>
        <v>1</v>
      </c>
      <c r="GC10" s="71"/>
      <c r="GD10" s="107">
        <f>FO10+(FO10*GD3)</f>
        <v>432066.30204997235</v>
      </c>
      <c r="GE10" s="105">
        <f>+GD10/GP10</f>
        <v>0.55747987398542254</v>
      </c>
      <c r="GF10" s="103">
        <f>FQ10+(FQ10*GF3)</f>
        <v>36543.763057885044</v>
      </c>
      <c r="GG10" s="105">
        <f>+GF10/GP10</f>
        <v>4.7151125481909577E-2</v>
      </c>
      <c r="GH10" s="103">
        <f>FS10+(FS10*GH3)</f>
        <v>41084.880453859332</v>
      </c>
      <c r="GI10" s="105">
        <f>+GH10/GP10</f>
        <v>5.3010368708352996E-2</v>
      </c>
      <c r="GJ10" s="103">
        <f>FU10+(FU10*GJ3)</f>
        <v>114124.66813027534</v>
      </c>
      <c r="GK10" s="105">
        <f>+GJ10/GP10</f>
        <v>0.14725102445164903</v>
      </c>
      <c r="GL10" s="103">
        <f>FW10+(FW10*GL3)</f>
        <v>31384.283881334661</v>
      </c>
      <c r="GM10" s="105">
        <f>+GL10/GP10</f>
        <v>4.049403191194853E-2</v>
      </c>
      <c r="GN10" s="103">
        <f>FY10+(FY10*GN3)</f>
        <v>119830.90137130822</v>
      </c>
      <c r="GO10" s="105">
        <f>+GN10/GP10</f>
        <v>0.15461357546071736</v>
      </c>
      <c r="GP10" s="103">
        <f>GN10+GL10+GJ10+GH10+GF10+GD10</f>
        <v>775034.79894463497</v>
      </c>
      <c r="GQ10" s="105">
        <f>+GP10/GP7</f>
        <v>1</v>
      </c>
      <c r="GR10" s="71"/>
      <c r="GS10" s="107">
        <f>GD10+(GD10*GS3)</f>
        <v>475272.93225496961</v>
      </c>
      <c r="GT10" s="105">
        <f>+GS10/HE10</f>
        <v>0.55915764111909549</v>
      </c>
      <c r="GU10" s="103">
        <f>GF10+(GF10*GU3)</f>
        <v>37640.075949621598</v>
      </c>
      <c r="GV10" s="105">
        <f>+GU10/HE10</f>
        <v>4.4283473034485939E-2</v>
      </c>
      <c r="GW10" s="103">
        <f>GH10+(GH10*GW3)</f>
        <v>45193.368499245262</v>
      </c>
      <c r="GX10" s="105">
        <f>+GW10/HE10</f>
        <v>5.3169906403816213E-2</v>
      </c>
      <c r="GY10" s="103">
        <f>GJ10+(GJ10*GY3)</f>
        <v>125537.13494330288</v>
      </c>
      <c r="GZ10" s="105">
        <f>+GY10/HE10</f>
        <v>0.1476941847176125</v>
      </c>
      <c r="HA10" s="103">
        <f>GL10+(GL10*HA3)</f>
        <v>34522.712269468124</v>
      </c>
      <c r="HB10" s="105">
        <f>+HA10/HE10</f>
        <v>4.0615900985653507E-2</v>
      </c>
      <c r="HC10" s="103">
        <f>GN10+(GN10*HC3)</f>
        <v>131813.99150843904</v>
      </c>
      <c r="HD10" s="105">
        <f>+HC10/HE10</f>
        <v>0.15507889373933639</v>
      </c>
      <c r="HE10" s="103">
        <f>HC10+HA10+GY10+GW10+GU10+GS10</f>
        <v>849980.21542504651</v>
      </c>
      <c r="HF10" s="105">
        <f>+HE10/HE7</f>
        <v>1</v>
      </c>
      <c r="HG10" s="71"/>
      <c r="HH10" s="107">
        <f>GS10+(GS10*HH3)</f>
        <v>522800.22548046656</v>
      </c>
      <c r="HI10" s="105">
        <f>+HH10/HT10</f>
        <v>0.56073782227933422</v>
      </c>
      <c r="HJ10" s="103">
        <f>GU10+(GU10*HJ3)</f>
        <v>38769.278228110248</v>
      </c>
      <c r="HK10" s="105">
        <f>+HJ10/HT10</f>
        <v>4.158261528099589E-2</v>
      </c>
      <c r="HL10" s="103">
        <f>GW10+(GW10*HL3)</f>
        <v>49712.705349169788</v>
      </c>
      <c r="HM10" s="105">
        <f>+HL10/HT10</f>
        <v>5.3320164717773642E-2</v>
      </c>
      <c r="HN10" s="103">
        <f>GY10+(GY10*HN3)</f>
        <v>138090.84843763316</v>
      </c>
      <c r="HO10" s="105">
        <f>+HN10/HT10</f>
        <v>0.14811156892379182</v>
      </c>
      <c r="HP10" s="103">
        <f>HA10+(HA10*HP3)</f>
        <v>37974.983496414934</v>
      </c>
      <c r="HQ10" s="105">
        <f>+HP10/HT10</f>
        <v>4.0730681642884979E-2</v>
      </c>
      <c r="HR10" s="103">
        <f>HC10+(HC10*HR3)</f>
        <v>144995.39065928294</v>
      </c>
      <c r="HS10" s="105">
        <f>+HR10/HT10</f>
        <v>0.15551714715521947</v>
      </c>
      <c r="HT10" s="103">
        <f>HR10+HP10+HN10+HL10+HJ10+HH10</f>
        <v>932343.43165107758</v>
      </c>
      <c r="HU10" s="105">
        <f>+HT10/HT7</f>
        <v>1</v>
      </c>
      <c r="HV10"/>
      <c r="HX10" s="108" t="s">
        <v>308</v>
      </c>
      <c r="HY10" s="6"/>
      <c r="HZ10" s="109">
        <f>SUM(HZ5:HZ6)</f>
        <v>122061</v>
      </c>
      <c r="IA10" s="109">
        <f>SUM(IA5:IA6)</f>
        <v>132272.01001689318</v>
      </c>
      <c r="IB10" s="109">
        <f t="shared" ref="IB10:IM10" si="13">SUM(IB5:IB6)</f>
        <v>285236.59485999995</v>
      </c>
      <c r="IC10" s="109">
        <f t="shared" si="13"/>
        <v>311912.25490880001</v>
      </c>
      <c r="ID10" s="109">
        <f t="shared" si="13"/>
        <v>341200.04097936396</v>
      </c>
      <c r="IE10" s="109">
        <f t="shared" si="13"/>
        <v>373359.50247437478</v>
      </c>
      <c r="IF10" s="109">
        <f t="shared" si="13"/>
        <v>408676.09384079906</v>
      </c>
      <c r="IG10" s="109">
        <f t="shared" si="13"/>
        <v>447463.76357743528</v>
      </c>
      <c r="IH10" s="109">
        <f t="shared" si="13"/>
        <v>490067.80209831195</v>
      </c>
      <c r="II10" s="109">
        <f t="shared" si="13"/>
        <v>536867.97433617013</v>
      </c>
      <c r="IJ10" s="109">
        <f t="shared" si="13"/>
        <v>588281.96555865498</v>
      </c>
      <c r="IK10" s="109">
        <f t="shared" si="13"/>
        <v>644769.17171705444</v>
      </c>
      <c r="IL10" s="109">
        <f t="shared" si="13"/>
        <v>706834.86877936986</v>
      </c>
      <c r="IM10" s="109">
        <f t="shared" si="13"/>
        <v>775034.79894463497</v>
      </c>
      <c r="IN10" s="109">
        <f>SUM(IN5:IN6)</f>
        <v>849980.21542504651</v>
      </c>
      <c r="IO10" s="109">
        <f>SUM(IO5:IO6)</f>
        <v>932343.43165107758</v>
      </c>
    </row>
    <row r="11" spans="2:249" ht="16.2" thickTop="1">
      <c r="B11" s="110" t="s">
        <v>218</v>
      </c>
      <c r="C11" s="88"/>
      <c r="D11" s="88"/>
      <c r="E11" s="71"/>
      <c r="F11" s="21"/>
      <c r="G11" s="105"/>
      <c r="I11" s="105"/>
      <c r="J11" s="21"/>
      <c r="K11" s="105"/>
      <c r="L11" s="21"/>
      <c r="M11" s="105"/>
      <c r="N11" s="111"/>
      <c r="O11" s="105"/>
      <c r="Q11" s="105"/>
      <c r="S11" s="105"/>
      <c r="T11" s="71"/>
      <c r="U11" s="21"/>
      <c r="V11" s="105"/>
      <c r="X11" s="105"/>
      <c r="Y11" s="21"/>
      <c r="Z11" s="105"/>
      <c r="AA11" s="21"/>
      <c r="AB11" s="105"/>
      <c r="AC11" s="111"/>
      <c r="AD11" s="105"/>
      <c r="AF11" s="105"/>
      <c r="AI11" s="71"/>
      <c r="AJ11" s="21"/>
      <c r="AK11" s="105"/>
      <c r="AM11" s="105"/>
      <c r="AN11" s="21"/>
      <c r="AO11" s="105"/>
      <c r="AP11" s="21"/>
      <c r="AQ11" s="105"/>
      <c r="AR11" s="111"/>
      <c r="AS11" s="105"/>
      <c r="AU11" s="105"/>
      <c r="AX11" s="71"/>
      <c r="AY11" s="21"/>
      <c r="AZ11" s="105"/>
      <c r="BB11" s="105"/>
      <c r="BC11" s="21"/>
      <c r="BD11" s="105"/>
      <c r="BE11" s="21"/>
      <c r="BF11" s="105"/>
      <c r="BG11" s="111"/>
      <c r="BH11" s="105"/>
      <c r="BJ11" s="105"/>
      <c r="BM11" s="71"/>
      <c r="BN11" s="21"/>
      <c r="BO11" s="105"/>
      <c r="BQ11" s="105"/>
      <c r="BR11" s="21"/>
      <c r="BS11" s="105"/>
      <c r="BT11" s="21"/>
      <c r="BU11" s="105"/>
      <c r="BV11" s="111"/>
      <c r="BW11" s="105"/>
      <c r="BY11" s="105"/>
      <c r="CB11" s="71"/>
      <c r="CC11" s="21"/>
      <c r="CD11" s="105"/>
      <c r="CF11" s="105"/>
      <c r="CG11" s="21"/>
      <c r="CH11" s="105"/>
      <c r="CI11" s="21"/>
      <c r="CJ11" s="105"/>
      <c r="CK11" s="111"/>
      <c r="CL11" s="105"/>
      <c r="CN11" s="105"/>
      <c r="CQ11" s="71"/>
      <c r="CR11" s="21"/>
      <c r="CS11" s="105"/>
      <c r="CU11" s="105"/>
      <c r="CV11" s="21"/>
      <c r="CW11" s="105"/>
      <c r="CX11" s="21"/>
      <c r="CY11" s="105"/>
      <c r="CZ11" s="111"/>
      <c r="DA11" s="105"/>
      <c r="DC11" s="105"/>
      <c r="DF11" s="71"/>
      <c r="DG11" s="21"/>
      <c r="DH11" s="105"/>
      <c r="DJ11" s="105"/>
      <c r="DK11" s="21"/>
      <c r="DL11" s="105"/>
      <c r="DM11" s="21"/>
      <c r="DN11" s="105"/>
      <c r="DO11" s="111"/>
      <c r="DP11" s="105"/>
      <c r="DR11" s="105"/>
      <c r="DU11" s="71"/>
      <c r="DV11" s="21"/>
      <c r="DW11" s="105"/>
      <c r="DY11" s="105"/>
      <c r="DZ11" s="21"/>
      <c r="EA11" s="105"/>
      <c r="EB11" s="21"/>
      <c r="EC11" s="105"/>
      <c r="ED11" s="111"/>
      <c r="EE11" s="105"/>
      <c r="EG11" s="105"/>
      <c r="EJ11" s="71"/>
      <c r="EK11" s="21"/>
      <c r="EL11" s="105"/>
      <c r="EN11" s="105"/>
      <c r="EO11" s="21"/>
      <c r="EP11" s="105"/>
      <c r="EQ11" s="21"/>
      <c r="ER11" s="105"/>
      <c r="ES11" s="111"/>
      <c r="ET11" s="105"/>
      <c r="EV11" s="105"/>
      <c r="EY11" s="71"/>
      <c r="EZ11" s="21"/>
      <c r="FA11" s="105"/>
      <c r="FC11" s="105"/>
      <c r="FD11" s="21"/>
      <c r="FE11" s="105"/>
      <c r="FF11" s="21"/>
      <c r="FG11" s="105"/>
      <c r="FH11" s="111"/>
      <c r="FI11" s="105"/>
      <c r="FK11" s="105"/>
      <c r="FN11" s="71"/>
      <c r="FO11" s="21"/>
      <c r="FP11" s="105"/>
      <c r="FR11" s="105"/>
      <c r="FS11" s="21"/>
      <c r="FT11" s="105"/>
      <c r="FU11" s="21"/>
      <c r="FV11" s="105"/>
      <c r="FW11" s="111"/>
      <c r="FX11" s="105"/>
      <c r="FZ11" s="105"/>
      <c r="GC11" s="71"/>
      <c r="GD11" s="21"/>
      <c r="GE11" s="105"/>
      <c r="GG11" s="105"/>
      <c r="GH11" s="21"/>
      <c r="GI11" s="105"/>
      <c r="GJ11" s="21"/>
      <c r="GK11" s="105"/>
      <c r="GL11" s="111"/>
      <c r="GM11" s="105"/>
      <c r="GO11" s="105"/>
      <c r="GR11" s="71"/>
      <c r="GS11" s="21"/>
      <c r="GT11" s="105"/>
      <c r="GV11" s="105"/>
      <c r="GW11" s="21"/>
      <c r="GX11" s="105"/>
      <c r="GY11" s="21"/>
      <c r="GZ11" s="105"/>
      <c r="HA11" s="111"/>
      <c r="HB11" s="105"/>
      <c r="HD11" s="105"/>
      <c r="HG11" s="71"/>
      <c r="HH11" s="21"/>
      <c r="HI11" s="105"/>
      <c r="HK11" s="105"/>
      <c r="HL11" s="21"/>
      <c r="HM11" s="105"/>
      <c r="HN11" s="21"/>
      <c r="HO11" s="105"/>
      <c r="HP11" s="111"/>
      <c r="HQ11" s="105"/>
      <c r="HS11" s="105"/>
      <c r="HX11" s="112"/>
      <c r="HZ11" s="113">
        <f t="shared" ref="HZ11:HZ17" si="14">C11</f>
        <v>0</v>
      </c>
      <c r="IA11" s="112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</row>
    <row r="12" spans="2:249" ht="15.6">
      <c r="B12" t="s">
        <v>209</v>
      </c>
      <c r="C12" s="114">
        <v>-48805</v>
      </c>
      <c r="D12" s="114"/>
      <c r="E12" s="71"/>
      <c r="F12" s="60">
        <f>-G12*F10</f>
        <v>-29071.776855500804</v>
      </c>
      <c r="G12" s="105">
        <v>0.36595</v>
      </c>
      <c r="H12" s="60">
        <f>-I12*H10</f>
        <v>-8165.3308997208323</v>
      </c>
      <c r="I12" s="105">
        <v>0.20246258671605183</v>
      </c>
      <c r="J12" s="60">
        <f>-K12*J10</f>
        <v>-230</v>
      </c>
      <c r="K12" s="105">
        <v>0.05</v>
      </c>
      <c r="L12" s="60">
        <f>-M12*L10</f>
        <v>-2880</v>
      </c>
      <c r="M12" s="105">
        <v>0.64</v>
      </c>
      <c r="N12" s="60">
        <f>-O12*N10</f>
        <v>-450</v>
      </c>
      <c r="O12" s="105">
        <v>0.25</v>
      </c>
      <c r="P12" s="60">
        <f>-Q12*P10</f>
        <v>-724.623053421544</v>
      </c>
      <c r="Q12" s="105">
        <v>0.45288940838846498</v>
      </c>
      <c r="R12" s="60">
        <f>+P12+N12+L12+J12+H12+F12</f>
        <v>-41521.73080864318</v>
      </c>
      <c r="S12" s="105">
        <f>R12/$R$10</f>
        <v>-0.31391169457045531</v>
      </c>
      <c r="T12" s="71"/>
      <c r="U12" s="60">
        <f>-V12*U10</f>
        <v>-81758.131651199976</v>
      </c>
      <c r="V12" s="105">
        <v>0.53988355529610399</v>
      </c>
      <c r="W12" s="60">
        <f>-X12*W10</f>
        <v>-1319.9995980000001</v>
      </c>
      <c r="X12" s="105">
        <v>0.05</v>
      </c>
      <c r="Y12" s="60">
        <f>-Z12*Y10</f>
        <v>-431.99999880000007</v>
      </c>
      <c r="Z12" s="105">
        <v>0.03</v>
      </c>
      <c r="AA12" s="60">
        <f>-AA10*AB12</f>
        <v>-27499.999999999913</v>
      </c>
      <c r="AB12" s="105">
        <v>0.68750000068749784</v>
      </c>
      <c r="AC12" s="60">
        <f>-AC10*AD12</f>
        <v>-2409.9999599999969</v>
      </c>
      <c r="AD12" s="105">
        <v>0.219090904657851</v>
      </c>
      <c r="AE12" s="60">
        <f>-AF12*AE10</f>
        <v>-20274.802652000031</v>
      </c>
      <c r="AF12" s="105">
        <v>0.482733397625557</v>
      </c>
      <c r="AG12" s="60">
        <f>+AE12+AC12+AA12+Y12+W12+U12</f>
        <v>-133694.93385999993</v>
      </c>
      <c r="AH12" s="1">
        <f>-AG12/AG10</f>
        <v>0.46871592309402016</v>
      </c>
      <c r="AI12" s="71"/>
      <c r="AJ12" s="60">
        <f>-AK12*AJ10</f>
        <v>-89933.94481631997</v>
      </c>
      <c r="AK12" s="105">
        <f>V12</f>
        <v>0.53988355529610399</v>
      </c>
      <c r="AL12" s="60">
        <f>-AM12*AL10</f>
        <v>-1359.59958594</v>
      </c>
      <c r="AM12" s="105">
        <f>X12</f>
        <v>0.05</v>
      </c>
      <c r="AN12" s="60">
        <f>-AO12*AN10</f>
        <v>-475.19999868000008</v>
      </c>
      <c r="AO12" s="105">
        <f>Z12</f>
        <v>0.03</v>
      </c>
      <c r="AP12" s="60">
        <f>-AQ12*AP10</f>
        <v>-30249.999999999905</v>
      </c>
      <c r="AQ12" s="105">
        <f>AB12</f>
        <v>0.68750000068749784</v>
      </c>
      <c r="AR12" s="60">
        <f>-AS12*AR10</f>
        <v>-2650.9999559999965</v>
      </c>
      <c r="AS12" s="105">
        <f>AD12</f>
        <v>0.219090904657851</v>
      </c>
      <c r="AT12" s="60">
        <f>-AU12*AT10</f>
        <v>-22302.282917200035</v>
      </c>
      <c r="AU12" s="105">
        <f>AF12</f>
        <v>0.482733397625557</v>
      </c>
      <c r="AV12" s="60">
        <f>SUM(AJ12:AT12)</f>
        <v>-146970.50079967926</v>
      </c>
      <c r="AW12" s="60"/>
      <c r="AX12" s="71"/>
      <c r="AY12" s="60">
        <f>-AZ12*AY10</f>
        <v>-98927.33929795197</v>
      </c>
      <c r="AZ12" s="105">
        <f>AK12</f>
        <v>0.53988355529610399</v>
      </c>
      <c r="BA12" s="60">
        <f>-BB12*BA10</f>
        <v>-1400.3875735182</v>
      </c>
      <c r="BB12" s="105">
        <f>AM12</f>
        <v>0.05</v>
      </c>
      <c r="BC12" s="60">
        <f>-BD12*BC10</f>
        <v>-522.71999854800004</v>
      </c>
      <c r="BD12" s="105">
        <f>AO12</f>
        <v>0.03</v>
      </c>
      <c r="BE12" s="60">
        <f>-BF12*BE10</f>
        <v>-33274.999999999898</v>
      </c>
      <c r="BF12" s="105">
        <f>AQ12</f>
        <v>0.68750000068749784</v>
      </c>
      <c r="BG12" s="60">
        <f>-BH12*BG10</f>
        <v>-2916.0999515999961</v>
      </c>
      <c r="BH12" s="105">
        <f>AS12</f>
        <v>0.219090904657851</v>
      </c>
      <c r="BI12" s="60">
        <f>-BJ12*BI10</f>
        <v>-24532.511208920037</v>
      </c>
      <c r="BJ12" s="105">
        <f>AU12</f>
        <v>0.482733397625557</v>
      </c>
      <c r="BK12" s="60">
        <f>SUM(AY12:BI12)</f>
        <v>-161572.53155607742</v>
      </c>
      <c r="BL12" s="60"/>
      <c r="BM12" s="71"/>
      <c r="BN12" s="60">
        <f>-BO12*BN10</f>
        <v>-108820.07322774717</v>
      </c>
      <c r="BO12" s="105">
        <f>AZ12</f>
        <v>0.53988355529610399</v>
      </c>
      <c r="BP12" s="60">
        <f>-BQ12*BP10</f>
        <v>-1442.3992007237462</v>
      </c>
      <c r="BQ12" s="105">
        <f>BB12</f>
        <v>0.05</v>
      </c>
      <c r="BR12" s="60">
        <f>-BS12*BR10</f>
        <v>-574.99199840280005</v>
      </c>
      <c r="BS12" s="105">
        <f>BD12</f>
        <v>0.03</v>
      </c>
      <c r="BT12" s="60">
        <f>-BU12*BT10</f>
        <v>-36602.499999999884</v>
      </c>
      <c r="BU12" s="105">
        <f>BF12</f>
        <v>0.68750000068749784</v>
      </c>
      <c r="BV12" s="60">
        <f>-BW12*BV10</f>
        <v>-3207.7099467599955</v>
      </c>
      <c r="BW12" s="105">
        <f>BH12</f>
        <v>0.219090904657851</v>
      </c>
      <c r="BX12" s="60">
        <f>-BY12*BX10</f>
        <v>-26985.762329812042</v>
      </c>
      <c r="BY12" s="105">
        <f>BJ12</f>
        <v>0.482733397625557</v>
      </c>
      <c r="BZ12" s="60">
        <f>SUM(BN12:BX12)</f>
        <v>-177631.91022898498</v>
      </c>
      <c r="CA12" s="60"/>
      <c r="CB12" s="71"/>
      <c r="CC12" s="60">
        <f>-CD12*CC10</f>
        <v>-119702.08055052189</v>
      </c>
      <c r="CD12" s="105">
        <f>BO12</f>
        <v>0.53988355529610399</v>
      </c>
      <c r="CE12" s="60">
        <f>-CF12*CE10</f>
        <v>-1485.6711767454585</v>
      </c>
      <c r="CF12" s="105">
        <f>BQ12</f>
        <v>0.05</v>
      </c>
      <c r="CG12" s="60">
        <f>-CH12*CG10</f>
        <v>-632.49119824308013</v>
      </c>
      <c r="CH12" s="105">
        <f>BS12</f>
        <v>0.03</v>
      </c>
      <c r="CI12" s="60">
        <f>-CJ12*CI10</f>
        <v>-40262.749999999869</v>
      </c>
      <c r="CJ12" s="105">
        <f>BU12</f>
        <v>0.68750000068749784</v>
      </c>
      <c r="CK12" s="60">
        <f>-CL12*CK10</f>
        <v>-3528.4809414359952</v>
      </c>
      <c r="CL12" s="105">
        <f>BW12</f>
        <v>0.219090904657851</v>
      </c>
      <c r="CM12" s="60">
        <f>-CN12*CM10</f>
        <v>-29684.338562793248</v>
      </c>
      <c r="CN12" s="105">
        <f>BY12</f>
        <v>0.482733397625557</v>
      </c>
      <c r="CO12" s="60">
        <f>SUM(CC12:CM12)</f>
        <v>-195294.28595527887</v>
      </c>
      <c r="CP12" s="60"/>
      <c r="CQ12" s="71"/>
      <c r="CR12" s="60">
        <f>-CS12*CR10</f>
        <v>-131672.28860557408</v>
      </c>
      <c r="CS12" s="105">
        <f>CD12</f>
        <v>0.53988355529610399</v>
      </c>
      <c r="CT12" s="60">
        <f>-CU12*CT10</f>
        <v>-1530.2413120478222</v>
      </c>
      <c r="CU12" s="105">
        <f>CF12</f>
        <v>0.05</v>
      </c>
      <c r="CV12" s="60">
        <f>-CW12*CV10</f>
        <v>-695.7403180673881</v>
      </c>
      <c r="CW12" s="105">
        <f>CH12</f>
        <v>0.03</v>
      </c>
      <c r="CX12" s="60">
        <f>-CY12*CX10</f>
        <v>-44289.024999999856</v>
      </c>
      <c r="CY12" s="105">
        <f>CJ12</f>
        <v>0.68750000068749784</v>
      </c>
      <c r="CZ12" s="60">
        <f>-DA12*CZ10</f>
        <v>-3881.3290355795948</v>
      </c>
      <c r="DA12" s="105">
        <f>CL12</f>
        <v>0.219090904657851</v>
      </c>
      <c r="DB12" s="60">
        <f>-DC12*DB10</f>
        <v>-32652.772419072575</v>
      </c>
      <c r="DC12" s="105">
        <f>CN12</f>
        <v>0.482733397625557</v>
      </c>
      <c r="DD12" s="60">
        <f>SUM(CR12:DB12)</f>
        <v>-214719.87021588068</v>
      </c>
      <c r="DE12" s="60"/>
      <c r="DF12" s="71"/>
      <c r="DG12" s="60">
        <f>-DH12*DG10</f>
        <v>-144839.51746613148</v>
      </c>
      <c r="DH12" s="105">
        <f>CS12</f>
        <v>0.53988355529610399</v>
      </c>
      <c r="DI12" s="60">
        <f>-DJ12*DI10</f>
        <v>-1576.1485514092569</v>
      </c>
      <c r="DJ12" s="105">
        <f>CU12</f>
        <v>0.05</v>
      </c>
      <c r="DK12" s="60">
        <f>-DL12*DK10</f>
        <v>-765.31434987412695</v>
      </c>
      <c r="DL12" s="105">
        <f>CW12</f>
        <v>0.03</v>
      </c>
      <c r="DM12" s="60">
        <f>-DN12*DM10</f>
        <v>-48717.927499999845</v>
      </c>
      <c r="DN12" s="105">
        <f>CY12</f>
        <v>0.68750000068749784</v>
      </c>
      <c r="DO12" s="60">
        <f>-DP12*DO10</f>
        <v>-4269.4619391375545</v>
      </c>
      <c r="DP12" s="105">
        <f>DA12</f>
        <v>0.219090904657851</v>
      </c>
      <c r="DQ12" s="60">
        <f>-DR12*DQ10</f>
        <v>-35918.049660979836</v>
      </c>
      <c r="DR12" s="105">
        <f>DC12</f>
        <v>0.482733397625557</v>
      </c>
      <c r="DS12" s="60">
        <f>SUM(DG12:DQ12)</f>
        <v>-236084.89299307144</v>
      </c>
      <c r="DT12" s="60"/>
      <c r="DU12" s="71"/>
      <c r="DV12" s="60">
        <f>-DW12*DV10</f>
        <v>-159323.46921274465</v>
      </c>
      <c r="DW12" s="105">
        <f>DH12</f>
        <v>0.53988355529610399</v>
      </c>
      <c r="DX12" s="60">
        <f>-DY12*DX10</f>
        <v>-1623.4330079515346</v>
      </c>
      <c r="DY12" s="105">
        <f>DJ12</f>
        <v>0.05</v>
      </c>
      <c r="DZ12" s="60">
        <f>-EA12*DZ10</f>
        <v>-841.84578486153953</v>
      </c>
      <c r="EA12" s="105">
        <f>DL12</f>
        <v>0.03</v>
      </c>
      <c r="EB12" s="60">
        <f>-EC12*EB10</f>
        <v>-53589.720249999838</v>
      </c>
      <c r="EC12" s="105">
        <f>DN12</f>
        <v>0.68750000068749784</v>
      </c>
      <c r="ED12" s="60">
        <f>-EE12*ED10</f>
        <v>-4696.40813305131</v>
      </c>
      <c r="EE12" s="105">
        <f>DP12</f>
        <v>0.219090904657851</v>
      </c>
      <c r="EF12" s="60">
        <f>-EG12*EF10</f>
        <v>-39509.854627077817</v>
      </c>
      <c r="EG12" s="105">
        <f>DR12</f>
        <v>0.482733397625557</v>
      </c>
      <c r="EH12" s="60">
        <f>SUM(DV12:EF12)</f>
        <v>-259583.20454122603</v>
      </c>
      <c r="EI12" s="60"/>
      <c r="EJ12" s="71"/>
      <c r="EK12" s="60">
        <f>-EL12*EK10</f>
        <v>-175255.81613401911</v>
      </c>
      <c r="EL12" s="105">
        <f>DW12</f>
        <v>0.53988355529610399</v>
      </c>
      <c r="EM12" s="60">
        <f>-EN12*EM10</f>
        <v>-1672.1359981900805</v>
      </c>
      <c r="EN12" s="105">
        <f>DY12</f>
        <v>0.05</v>
      </c>
      <c r="EO12" s="60">
        <f>-EP12*EO10</f>
        <v>-926.03036334769342</v>
      </c>
      <c r="EP12" s="105">
        <f>EA12</f>
        <v>0.03</v>
      </c>
      <c r="EQ12" s="60">
        <f>-ER12*EQ10</f>
        <v>-58948.692274999812</v>
      </c>
      <c r="ER12" s="105">
        <f>EC12</f>
        <v>0.68750000068749784</v>
      </c>
      <c r="ES12" s="60">
        <f>-ET12*ES10</f>
        <v>-5166.0489463564409</v>
      </c>
      <c r="ET12" s="105">
        <f>EE12</f>
        <v>0.219090904657851</v>
      </c>
      <c r="EU12" s="60">
        <f>-EV12*EU10</f>
        <v>-43460.840089785597</v>
      </c>
      <c r="EV12" s="105">
        <f>EG12</f>
        <v>0.482733397625557</v>
      </c>
      <c r="EW12" s="60">
        <f>SUM(EK12:EU12)</f>
        <v>-285428.03733223811</v>
      </c>
      <c r="EX12" s="60"/>
      <c r="EY12" s="71"/>
      <c r="EZ12" s="60">
        <f>-FA12*EZ10</f>
        <v>-192781.397747421</v>
      </c>
      <c r="FA12" s="105">
        <f>EL12</f>
        <v>0.53988355529610399</v>
      </c>
      <c r="FB12" s="60">
        <f>-FC12*FB10</f>
        <v>-1722.3000781357832</v>
      </c>
      <c r="FC12" s="105">
        <f>EN12</f>
        <v>0.05</v>
      </c>
      <c r="FD12" s="60">
        <f>-FE12*FD10</f>
        <v>-1018.6333996824628</v>
      </c>
      <c r="FE12" s="105">
        <f>EP12</f>
        <v>0.03</v>
      </c>
      <c r="FF12" s="60">
        <f>-FG12*FF10</f>
        <v>-64843.561502499804</v>
      </c>
      <c r="FG12" s="105">
        <f>ER12</f>
        <v>0.68750000068749784</v>
      </c>
      <c r="FH12" s="60">
        <f>-FI12*FH10</f>
        <v>-5682.653840992085</v>
      </c>
      <c r="FI12" s="105">
        <f>ET12</f>
        <v>0.219090904657851</v>
      </c>
      <c r="FJ12" s="60">
        <f>-FK12*FJ10</f>
        <v>-47806.924098764161</v>
      </c>
      <c r="FK12" s="105">
        <f>EV12</f>
        <v>0.482733397625557</v>
      </c>
      <c r="FL12" s="60">
        <f>SUM(EZ12:FJ12)</f>
        <v>-313853.94419303467</v>
      </c>
      <c r="FM12" s="60"/>
      <c r="FN12" s="71"/>
      <c r="FO12" s="60">
        <f>-FP12*FO10</f>
        <v>-212059.5375221631</v>
      </c>
      <c r="FP12" s="105">
        <f>FA12</f>
        <v>0.53988355529610399</v>
      </c>
      <c r="FQ12" s="60">
        <f>-FR12*FQ10</f>
        <v>-1773.9690804798565</v>
      </c>
      <c r="FR12" s="105">
        <f>FC12</f>
        <v>0.05</v>
      </c>
      <c r="FS12" s="60">
        <f>-FT12*FS10</f>
        <v>-1120.4967396507091</v>
      </c>
      <c r="FT12" s="105">
        <f>FE12</f>
        <v>0.03</v>
      </c>
      <c r="FU12" s="60">
        <f>-FV12*FU10</f>
        <v>-71327.917652749777</v>
      </c>
      <c r="FV12" s="105">
        <f>FG12</f>
        <v>0.68750000068749784</v>
      </c>
      <c r="FW12" s="60">
        <f>-FX12*FW10</f>
        <v>-6250.9192250912929</v>
      </c>
      <c r="FX12" s="105">
        <f>FI12</f>
        <v>0.219090904657851</v>
      </c>
      <c r="FY12" s="60">
        <f>-FZ12*FY10</f>
        <v>-52587.616508640582</v>
      </c>
      <c r="FZ12" s="105">
        <f>FK12</f>
        <v>0.482733397625557</v>
      </c>
      <c r="GA12" s="60">
        <f>SUM(FO12:FY12)</f>
        <v>-345118.93025431468</v>
      </c>
      <c r="GB12" s="60"/>
      <c r="GC12" s="71"/>
      <c r="GD12" s="60">
        <f>-GE12*GD10</f>
        <v>-233265.49127437943</v>
      </c>
      <c r="GE12" s="105">
        <f>FP12</f>
        <v>0.53988355529610399</v>
      </c>
      <c r="GF12" s="60">
        <f>-GG12*GF10</f>
        <v>-1827.1881528942522</v>
      </c>
      <c r="GG12" s="105">
        <f>FR12</f>
        <v>0.05</v>
      </c>
      <c r="GH12" s="60">
        <f>-GI12*GH10</f>
        <v>-1232.54641361578</v>
      </c>
      <c r="GI12" s="105">
        <f>FT12</f>
        <v>0.03</v>
      </c>
      <c r="GJ12" s="60">
        <f>-GK12*GJ10</f>
        <v>-78460.709418024766</v>
      </c>
      <c r="GK12" s="105">
        <f>FV12</f>
        <v>0.68750000068749784</v>
      </c>
      <c r="GL12" s="60">
        <f>-GM12*GL10</f>
        <v>-6876.0111476004222</v>
      </c>
      <c r="GM12" s="105">
        <f>FX12</f>
        <v>0.219090904657851</v>
      </c>
      <c r="GN12" s="60">
        <f>-GO12*GN10</f>
        <v>-57846.378159504638</v>
      </c>
      <c r="GO12" s="105">
        <f>FZ12</f>
        <v>0.482733397625557</v>
      </c>
      <c r="GP12" s="60">
        <f>SUM(GD12:GN12)</f>
        <v>-379506.79809155868</v>
      </c>
      <c r="GQ12" s="60"/>
      <c r="GR12" s="71"/>
      <c r="GS12" s="60">
        <f>-GT12*GS10</f>
        <v>-256592.04040181736</v>
      </c>
      <c r="GT12" s="105">
        <f>GE12</f>
        <v>0.53988355529610399</v>
      </c>
      <c r="GU12" s="60">
        <f>-GV12*GU10</f>
        <v>-1882.00379748108</v>
      </c>
      <c r="GV12" s="105">
        <f>GG12</f>
        <v>0.05</v>
      </c>
      <c r="GW12" s="60">
        <f>-GX12*GW10</f>
        <v>-1355.8010549773578</v>
      </c>
      <c r="GX12" s="105">
        <f>GI12</f>
        <v>0.03</v>
      </c>
      <c r="GY12" s="60">
        <f>-GZ12*GY10</f>
        <v>-86306.780359827244</v>
      </c>
      <c r="GZ12" s="105">
        <f>GK12</f>
        <v>0.68750000068749784</v>
      </c>
      <c r="HA12" s="60">
        <f>-HB12*HA10</f>
        <v>-7563.6122623604633</v>
      </c>
      <c r="HB12" s="105">
        <f>GM12</f>
        <v>0.219090904657851</v>
      </c>
      <c r="HC12" s="60">
        <f>-HD12*HC10</f>
        <v>-63631.015975455099</v>
      </c>
      <c r="HD12" s="105">
        <f>GO12</f>
        <v>0.482733397625557</v>
      </c>
      <c r="HE12" s="60">
        <f>SUM(GS12:HC12)</f>
        <v>-417329.72737745795</v>
      </c>
      <c r="HF12" s="60"/>
      <c r="HG12" s="71"/>
      <c r="HH12" s="60">
        <f>-HI12*HH10</f>
        <v>-282251.24444199912</v>
      </c>
      <c r="HI12" s="105">
        <f>GT12</f>
        <v>0.53988355529610399</v>
      </c>
      <c r="HJ12" s="60">
        <f>-HK12*HJ10</f>
        <v>-1938.4639114055126</v>
      </c>
      <c r="HK12" s="105">
        <f>GV12</f>
        <v>0.05</v>
      </c>
      <c r="HL12" s="60">
        <f>-HM12*HL10</f>
        <v>-1491.3811604750936</v>
      </c>
      <c r="HM12" s="105">
        <f>GX12</f>
        <v>0.03</v>
      </c>
      <c r="HN12" s="60">
        <f>-HO12*HN10</f>
        <v>-94937.458395809954</v>
      </c>
      <c r="HO12" s="105">
        <f>GZ12</f>
        <v>0.68750000068749784</v>
      </c>
      <c r="HP12" s="60">
        <f>-HQ12*HP10</f>
        <v>-8319.9734885965099</v>
      </c>
      <c r="HQ12" s="105">
        <f>HB12</f>
        <v>0.219090904657851</v>
      </c>
      <c r="HR12" s="60">
        <f>-HS12*HR10</f>
        <v>-69994.117573000607</v>
      </c>
      <c r="HS12" s="105">
        <f>HD12</f>
        <v>0.482733397625557</v>
      </c>
      <c r="HT12" s="115">
        <f>SUM(HH12:HR12)</f>
        <v>-458931.11249682616</v>
      </c>
      <c r="HU12" s="60"/>
      <c r="HX12" t="s">
        <v>209</v>
      </c>
      <c r="HZ12" s="113">
        <f t="shared" si="14"/>
        <v>-48805</v>
      </c>
      <c r="IA12" s="116">
        <f>R12</f>
        <v>-41521.73080864318</v>
      </c>
      <c r="IB12" s="116">
        <f>AG12</f>
        <v>-133694.93385999993</v>
      </c>
      <c r="IC12" s="116">
        <f>AV12</f>
        <v>-146970.50079967926</v>
      </c>
      <c r="ID12" s="116">
        <f>BK12</f>
        <v>-161572.53155607742</v>
      </c>
      <c r="IE12" s="116">
        <f>BZ12</f>
        <v>-177631.91022898498</v>
      </c>
      <c r="IF12" s="116">
        <f>CO12</f>
        <v>-195294.28595527887</v>
      </c>
      <c r="IG12" s="116">
        <f>DD12</f>
        <v>-214719.87021588068</v>
      </c>
      <c r="IH12" s="116">
        <f>DS12</f>
        <v>-236084.89299307144</v>
      </c>
      <c r="II12" s="116">
        <f>EH12</f>
        <v>-259583.20454122603</v>
      </c>
      <c r="IJ12" s="116">
        <f>EW12</f>
        <v>-285428.03733223811</v>
      </c>
      <c r="IK12" s="116">
        <f>FL12</f>
        <v>-313853.94419303467</v>
      </c>
      <c r="IL12" s="116">
        <f>GA12</f>
        <v>-345118.93025431468</v>
      </c>
      <c r="IM12" s="116">
        <f>GP12</f>
        <v>-379506.79809155868</v>
      </c>
      <c r="IN12" s="116">
        <f>+HE12</f>
        <v>-417329.72737745795</v>
      </c>
      <c r="IO12" s="116">
        <f>+HT12</f>
        <v>-458931.11249682616</v>
      </c>
    </row>
    <row r="13" spans="2:249" ht="15.6">
      <c r="B13" t="s">
        <v>14</v>
      </c>
      <c r="C13" s="114">
        <v>-59414</v>
      </c>
      <c r="D13" s="114"/>
      <c r="E13" s="71"/>
      <c r="F13" s="60">
        <f>-G13*F10</f>
        <v>-23661.780943874615</v>
      </c>
      <c r="G13" s="105">
        <v>0.29785</v>
      </c>
      <c r="H13" s="60">
        <f>-I13*H10</f>
        <v>-20165.036494304211</v>
      </c>
      <c r="I13" s="105">
        <v>0.5</v>
      </c>
      <c r="J13" s="60">
        <f>-K13*J10</f>
        <v>-2990</v>
      </c>
      <c r="K13" s="105">
        <v>0.65</v>
      </c>
      <c r="L13" s="60">
        <f>-M13*L10</f>
        <v>-666.30000000000007</v>
      </c>
      <c r="M13" s="105">
        <v>0.14806666666666668</v>
      </c>
      <c r="N13" s="60">
        <f>-O13*N10</f>
        <v>-628.56000000000006</v>
      </c>
      <c r="O13" s="105">
        <v>0.34920000000000001</v>
      </c>
      <c r="P13" s="60">
        <f>-Q13*P10</f>
        <v>-320</v>
      </c>
      <c r="Q13" s="105">
        <v>0.2</v>
      </c>
      <c r="R13" s="60">
        <f t="shared" ref="R13:R17" si="15">+P13+N13+L13+J13+H13+F13</f>
        <v>-48431.677438178827</v>
      </c>
      <c r="S13" s="105">
        <f>R13/$R$10</f>
        <v>-0.36615212418706988</v>
      </c>
      <c r="T13" s="71"/>
      <c r="U13" s="60">
        <f>-V13*U10</f>
        <v>-20520.801612799958</v>
      </c>
      <c r="V13" s="105">
        <v>0.13550754045492991</v>
      </c>
      <c r="W13" s="60">
        <f>-X13*W10</f>
        <v>-15839.995175999999</v>
      </c>
      <c r="X13" s="105">
        <v>0.6</v>
      </c>
      <c r="Y13" s="60">
        <f>-Z13*Y10</f>
        <v>-8495.9999764000004</v>
      </c>
      <c r="Z13" s="105">
        <v>0.59</v>
      </c>
      <c r="AA13" s="60">
        <f>-AB13*AA10</f>
        <v>-4799.9999951999998</v>
      </c>
      <c r="AB13" s="105">
        <v>0.12</v>
      </c>
      <c r="AC13" s="60">
        <f>-AD13*AC10</f>
        <v>-4400.000016</v>
      </c>
      <c r="AD13" s="105">
        <v>0.4</v>
      </c>
      <c r="AE13" s="60">
        <f>-AF13*AE10</f>
        <v>-8518.6063836000358</v>
      </c>
      <c r="AF13" s="105">
        <v>0.20282396199720101</v>
      </c>
      <c r="AG13" s="60">
        <f>+AE13+AC13+AA13+Y13+W13+U13</f>
        <v>-62575.403159999994</v>
      </c>
      <c r="AH13" s="1">
        <f>-AG13/AG10</f>
        <v>0.21938069759496778</v>
      </c>
      <c r="AI13" s="71"/>
      <c r="AJ13" s="60">
        <f>AJ42+AJ52</f>
        <v>-21957.257725695956</v>
      </c>
      <c r="AK13" s="105"/>
      <c r="AL13" s="60">
        <f>AL42+AL52</f>
        <v>-16505.274973391999</v>
      </c>
      <c r="AM13" s="105"/>
      <c r="AN13" s="60">
        <f>AN42+AN52</f>
        <v>-9090.7199747480008</v>
      </c>
      <c r="AO13" s="105"/>
      <c r="AP13" s="60">
        <f>AP42+AP52</f>
        <v>-5135.9999948639997</v>
      </c>
      <c r="AQ13" s="105"/>
      <c r="AR13" s="60">
        <f>AR42+AR52</f>
        <v>-4708.0000171199999</v>
      </c>
      <c r="AS13" s="105"/>
      <c r="AT13" s="60">
        <f>AT42+AT52</f>
        <v>-9114.9088304520374</v>
      </c>
      <c r="AU13" s="105"/>
      <c r="AV13" s="60">
        <f>SUM(AJ13:AT13)</f>
        <v>-66512.161516271997</v>
      </c>
      <c r="AW13" s="60"/>
      <c r="AX13" s="71"/>
      <c r="AY13" s="60">
        <f>AY42+AY52</f>
        <v>-23506.578247462352</v>
      </c>
      <c r="AZ13" s="105"/>
      <c r="BA13" s="60">
        <f>BA42+BA52</f>
        <v>-17200.01716181136</v>
      </c>
      <c r="BB13" s="105"/>
      <c r="BC13" s="60">
        <f>BC42+BC52</f>
        <v>-9732.167972966201</v>
      </c>
      <c r="BD13" s="105"/>
      <c r="BE13" s="60">
        <f>BE42+BE52</f>
        <v>-5498.3999945016003</v>
      </c>
      <c r="BF13" s="105"/>
      <c r="BG13" s="60">
        <f>BG42+BG52</f>
        <v>-5040.2000183279997</v>
      </c>
      <c r="BH13" s="105"/>
      <c r="BI13" s="60">
        <f>BI42+BI52</f>
        <v>-9758.06361241384</v>
      </c>
      <c r="BJ13" s="105"/>
      <c r="BK13" s="60">
        <f>SUM(AY13:BI13)</f>
        <v>-70735.427007483348</v>
      </c>
      <c r="BL13" s="60"/>
      <c r="BM13" s="71"/>
      <c r="BN13" s="60">
        <f>BN42+BN52</f>
        <v>-25178.51055886523</v>
      </c>
      <c r="BO13" s="105"/>
      <c r="BP13" s="60">
        <f>BP42+BP52</f>
        <v>-17925.580812844179</v>
      </c>
      <c r="BQ13" s="105"/>
      <c r="BR13" s="60">
        <f>BR42+BR52</f>
        <v>-10424.379571043391</v>
      </c>
      <c r="BS13" s="105"/>
      <c r="BT13" s="60">
        <f>BT42+BT52</f>
        <v>-5889.4799941105211</v>
      </c>
      <c r="BU13" s="105"/>
      <c r="BV13" s="60">
        <f>BV42+BV52</f>
        <v>-5398.6900196316001</v>
      </c>
      <c r="BW13" s="105"/>
      <c r="BX13" s="60">
        <f>BX42+BX52</f>
        <v>-10452.117067517655</v>
      </c>
      <c r="BY13" s="105"/>
      <c r="BZ13" s="60">
        <f>SUM(BN13:BX13)</f>
        <v>-75268.758024012583</v>
      </c>
      <c r="CA13" s="60"/>
      <c r="CB13" s="71"/>
      <c r="CC13" s="60">
        <f>CC42+CC52</f>
        <v>-26983.699825741227</v>
      </c>
      <c r="CD13" s="105"/>
      <c r="CE13" s="60">
        <f>CE42+CE52</f>
        <v>-18683.389530216908</v>
      </c>
      <c r="CF13" s="105"/>
      <c r="CG13" s="60">
        <f>CG42+CG52</f>
        <v>-11171.762068967328</v>
      </c>
      <c r="CH13" s="105"/>
      <c r="CI13" s="60">
        <f>CI42+CI52</f>
        <v>-6311.729993688271</v>
      </c>
      <c r="CJ13" s="105"/>
      <c r="CK13" s="60">
        <f>CK42+CK52</f>
        <v>-5785.7525210391004</v>
      </c>
      <c r="CL13" s="105"/>
      <c r="CM13" s="60">
        <f>CM42+CM52</f>
        <v>-11201.48822282497</v>
      </c>
      <c r="CN13" s="105"/>
      <c r="CO13" s="60">
        <f>SUM(CC13:CM13)</f>
        <v>-80137.822162477794</v>
      </c>
      <c r="CP13" s="60"/>
      <c r="CQ13" s="71"/>
      <c r="CR13" s="60">
        <f>CR42+CR52</f>
        <v>-28933.774929854295</v>
      </c>
      <c r="CS13" s="105"/>
      <c r="CT13" s="60">
        <f>CT42+CT52</f>
        <v>-19474.934573760191</v>
      </c>
      <c r="CU13" s="105"/>
      <c r="CV13" s="60">
        <f>CV42+CV52</f>
        <v>-11979.130043724639</v>
      </c>
      <c r="CW13" s="105"/>
      <c r="CX13" s="60">
        <f>CX42+CX52</f>
        <v>-6767.8700932321308</v>
      </c>
      <c r="CY13" s="105"/>
      <c r="CZ13" s="60">
        <f>CZ42+CZ52</f>
        <v>-6203.8809475595681</v>
      </c>
      <c r="DA13" s="105"/>
      <c r="DB13" s="60">
        <f>DB42+DB52</f>
        <v>-12011.004466090793</v>
      </c>
      <c r="DC13" s="105"/>
      <c r="DD13" s="60">
        <f>SUM(CR13:DB13)</f>
        <v>-85370.595054221616</v>
      </c>
      <c r="DE13" s="60"/>
      <c r="DF13" s="71"/>
      <c r="DG13" s="60">
        <f>DG42+DG52</f>
        <v>-31041.442800455618</v>
      </c>
      <c r="DH13" s="105"/>
      <c r="DI13" s="60">
        <f>DI42+DI52</f>
        <v>-20301.778136491608</v>
      </c>
      <c r="DJ13" s="105"/>
      <c r="DK13" s="60">
        <f>DK42+DK52</f>
        <v>-12851.744404350709</v>
      </c>
      <c r="DL13" s="105"/>
      <c r="DM13" s="60">
        <f>DM42+DM52</f>
        <v>-7260.8725577391288</v>
      </c>
      <c r="DN13" s="105"/>
      <c r="DO13" s="60">
        <f>DO42+DO52</f>
        <v>-6655.799875452909</v>
      </c>
      <c r="DP13" s="105"/>
      <c r="DQ13" s="60">
        <f>DQ42+DQ52</f>
        <v>-12885.940704732366</v>
      </c>
      <c r="DR13" s="105"/>
      <c r="DS13" s="60">
        <f>SUM(DG13:DQ13)</f>
        <v>-90997.578479222342</v>
      </c>
      <c r="DT13" s="60"/>
      <c r="DU13" s="71"/>
      <c r="DV13" s="60">
        <f>DV42+DV52</f>
        <v>-33320.591976997872</v>
      </c>
      <c r="DW13" s="105"/>
      <c r="DX13" s="60">
        <f>DX42+DX52</f>
        <v>-21165.5567823809</v>
      </c>
      <c r="DY13" s="105"/>
      <c r="DZ13" s="60">
        <f>DZ42+DZ52</f>
        <v>-13795.355268852069</v>
      </c>
      <c r="EA13" s="105"/>
      <c r="EB13" s="60">
        <f>EB42+EB52</f>
        <v>-7793.9860414560153</v>
      </c>
      <c r="EC13" s="105"/>
      <c r="ED13" s="60">
        <f>ED42+ED52</f>
        <v>-7144.4872377924548</v>
      </c>
      <c r="EE13" s="105"/>
      <c r="EF13" s="60">
        <f>EF42+EF52</f>
        <v>-13832.062356839722</v>
      </c>
      <c r="EG13" s="105"/>
      <c r="EH13" s="60">
        <f>SUM(DV13:EF13)</f>
        <v>-97052.039664319032</v>
      </c>
      <c r="EI13" s="60"/>
      <c r="EJ13" s="71"/>
      <c r="EK13" s="60">
        <f>EK42+EK52</f>
        <v>-35786.406316019187</v>
      </c>
      <c r="EL13" s="105"/>
      <c r="EM13" s="60">
        <f>EM42+EM52</f>
        <v>-22067.9850527366</v>
      </c>
      <c r="EN13" s="105"/>
      <c r="EO13" s="60">
        <f>EO42+EO52</f>
        <v>-14816.249041006879</v>
      </c>
      <c r="EP13" s="105"/>
      <c r="EQ13" s="60">
        <f>EQ42+EQ52</f>
        <v>-8370.7621849417392</v>
      </c>
      <c r="ER13" s="105"/>
      <c r="ES13" s="60">
        <f>ES42+ES52</f>
        <v>-7673.1987051056667</v>
      </c>
      <c r="ET13" s="105"/>
      <c r="EU13" s="60">
        <f>EU42+EU52</f>
        <v>-14855.672553239519</v>
      </c>
      <c r="EV13" s="105"/>
      <c r="EW13" s="60">
        <f>SUM(EK13:EU13)</f>
        <v>-103570.27385304958</v>
      </c>
      <c r="EX13" s="60"/>
      <c r="EY13" s="71"/>
      <c r="EZ13" s="60">
        <f>EZ42+EZ52</f>
        <v>-38455.489846008699</v>
      </c>
      <c r="FA13" s="105"/>
      <c r="FB13" s="60">
        <f>FB42+FB52</f>
        <v>-23010.859249547182</v>
      </c>
      <c r="FC13" s="105"/>
      <c r="FD13" s="60">
        <f>FD42+FD52</f>
        <v>-15921.300102640649</v>
      </c>
      <c r="FE13" s="105"/>
      <c r="FF13" s="60">
        <f>FF42+FF52</f>
        <v>-8995.0848197430423</v>
      </c>
      <c r="FG13" s="105"/>
      <c r="FH13" s="60">
        <f>FH42+FH52</f>
        <v>-8245.4944563268982</v>
      </c>
      <c r="FI13" s="105"/>
      <c r="FJ13" s="60">
        <f>FJ42+FJ52</f>
        <v>-15963.663967315088</v>
      </c>
      <c r="FK13" s="105"/>
      <c r="FL13" s="60">
        <f>SUM(EZ13:FJ13)</f>
        <v>-110591.89244158157</v>
      </c>
      <c r="FM13" s="60"/>
      <c r="FN13" s="71"/>
      <c r="FO13" s="60">
        <f>FO42+FO52</f>
        <v>-41346.003873916547</v>
      </c>
      <c r="FP13" s="105"/>
      <c r="FQ13" s="60">
        <f>FQ42+FQ52</f>
        <v>-23996.061404523505</v>
      </c>
      <c r="FR13" s="105"/>
      <c r="FS13" s="60">
        <f>FS42+FS52</f>
        <v>-17118.02757831445</v>
      </c>
      <c r="FT13" s="105"/>
      <c r="FU13" s="60">
        <f>FU42+FU52</f>
        <v>-9671.2020388398305</v>
      </c>
      <c r="FV13" s="105"/>
      <c r="FW13" s="60">
        <f>FW42+FW52</f>
        <v>-8865.2685767057883</v>
      </c>
      <c r="FX13" s="105"/>
      <c r="FY13" s="60">
        <f>FY42+FY52</f>
        <v>-17163.575730735793</v>
      </c>
      <c r="FZ13" s="105"/>
      <c r="GA13" s="60">
        <f>SUM(FO13:FY13)</f>
        <v>-118160.13920303591</v>
      </c>
      <c r="GB13" s="60"/>
      <c r="GC13" s="71"/>
      <c r="GD13" s="60">
        <f>GD42+GD52</f>
        <v>-44477.81755678053</v>
      </c>
      <c r="GE13" s="105"/>
      <c r="GF13" s="60">
        <f>GF42+GF52</f>
        <v>-25025.56344302361</v>
      </c>
      <c r="GG13" s="105"/>
      <c r="GH13" s="60">
        <f>GH42+GH52</f>
        <v>-18414.657674826118</v>
      </c>
      <c r="GI13" s="105"/>
      <c r="GJ13" s="60">
        <f>GJ42+GJ52</f>
        <v>-10403.761416702422</v>
      </c>
      <c r="GK13" s="105"/>
      <c r="GL13" s="60">
        <f>GL42+GL52</f>
        <v>-9536.7813428598747</v>
      </c>
      <c r="GM13" s="105"/>
      <c r="GN13" s="60">
        <f>GN42+GN52</f>
        <v>-18463.655938833028</v>
      </c>
      <c r="GO13" s="105"/>
      <c r="GP13" s="60">
        <f>SUM(GD13:GN13)</f>
        <v>-126322.23737302556</v>
      </c>
      <c r="GQ13" s="60"/>
      <c r="GR13" s="71"/>
      <c r="GS13" s="60">
        <f>GS42+GS52</f>
        <v>-47872.673272704531</v>
      </c>
      <c r="GT13" s="105"/>
      <c r="GU13" s="60">
        <f>GU42+GU52</f>
        <v>-26101.431552496942</v>
      </c>
      <c r="GV13" s="105"/>
      <c r="GW13" s="60">
        <f>GW42+GW52</f>
        <v>-19820.192147922964</v>
      </c>
      <c r="GX13" s="105"/>
      <c r="GY13" s="60">
        <f>GY42+GY52</f>
        <v>-11197.848691050203</v>
      </c>
      <c r="GZ13" s="105"/>
      <c r="HA13" s="60">
        <f>HA42+HA52</f>
        <v>-10264.694681053545</v>
      </c>
      <c r="HB13" s="105"/>
      <c r="HC13" s="60">
        <f>HC42+HC52</f>
        <v>-19872.93029949117</v>
      </c>
      <c r="HD13" s="105"/>
      <c r="HE13" s="60">
        <f>SUM(GS13:HC13)</f>
        <v>-135129.77064471936</v>
      </c>
      <c r="HF13" s="60"/>
      <c r="HG13" s="71"/>
      <c r="HH13" s="60">
        <f>HH42+HH52</f>
        <v>-51554.368258233226</v>
      </c>
      <c r="HI13" s="105"/>
      <c r="HJ13" s="60">
        <f>HJ42+HJ52</f>
        <v>-27225.830765563605</v>
      </c>
      <c r="HK13" s="105"/>
      <c r="HL13" s="60">
        <f>HL42+HL52</f>
        <v>-21344.483503610209</v>
      </c>
      <c r="HM13" s="105"/>
      <c r="HN13" s="60">
        <f>HN42+HN52</f>
        <v>-12059.030249466641</v>
      </c>
      <c r="HO13" s="105"/>
      <c r="HP13" s="60">
        <f>HP42+HP52</f>
        <v>-11054.111113261968</v>
      </c>
      <c r="HQ13" s="105"/>
      <c r="HR13" s="60">
        <f>HR42+HR52</f>
        <v>-21401.277534553868</v>
      </c>
      <c r="HS13" s="105"/>
      <c r="HT13" s="115">
        <f>SUM(HH13:HR13)</f>
        <v>-144639.10142468952</v>
      </c>
      <c r="HU13" s="60"/>
      <c r="HX13" t="s">
        <v>14</v>
      </c>
      <c r="HZ13" s="113">
        <f t="shared" si="14"/>
        <v>-59414</v>
      </c>
      <c r="IA13" s="116">
        <f>R13</f>
        <v>-48431.677438178827</v>
      </c>
      <c r="IB13" s="116">
        <f>AG13</f>
        <v>-62575.403159999994</v>
      </c>
      <c r="IC13" s="116">
        <f>AV13</f>
        <v>-66512.161516271997</v>
      </c>
      <c r="ID13" s="116">
        <f>BK13</f>
        <v>-70735.427007483348</v>
      </c>
      <c r="IE13" s="116">
        <f>BZ13</f>
        <v>-75268.758024012583</v>
      </c>
      <c r="IF13" s="116">
        <f>CO13</f>
        <v>-80137.822162477794</v>
      </c>
      <c r="IG13" s="116">
        <f>DD13</f>
        <v>-85370.595054221616</v>
      </c>
      <c r="IH13" s="116">
        <f>DS13</f>
        <v>-90997.578479222342</v>
      </c>
      <c r="II13" s="116">
        <f>EH13</f>
        <v>-97052.039664319032</v>
      </c>
      <c r="IJ13" s="116">
        <f>EW13</f>
        <v>-103570.27385304958</v>
      </c>
      <c r="IK13" s="116">
        <f>FL13</f>
        <v>-110591.89244158157</v>
      </c>
      <c r="IL13" s="116">
        <f>GA13</f>
        <v>-118160.13920303591</v>
      </c>
      <c r="IM13" s="116">
        <f>GP13</f>
        <v>-126322.23737302556</v>
      </c>
      <c r="IN13" s="116">
        <f>+HE13</f>
        <v>-135129.77064471936</v>
      </c>
      <c r="IO13" s="116">
        <f>+HT13</f>
        <v>-144639.10142468952</v>
      </c>
    </row>
    <row r="14" spans="2:249" ht="15.6">
      <c r="B14" t="s">
        <v>309</v>
      </c>
      <c r="C14" s="114">
        <f>-27910-1805</f>
        <v>-29715</v>
      </c>
      <c r="D14" s="114"/>
      <c r="E14" s="71"/>
      <c r="F14" s="60">
        <f>-G14*F10</f>
        <v>-6514.2388363193495</v>
      </c>
      <c r="G14" s="105">
        <v>8.2000000000000003E-2</v>
      </c>
      <c r="H14" s="60">
        <f>-I14*H10</f>
        <v>-7143.262527742324</v>
      </c>
      <c r="I14" s="105">
        <v>0.17712</v>
      </c>
      <c r="J14" s="60">
        <f>-K14*J10</f>
        <v>-230</v>
      </c>
      <c r="K14" s="105">
        <v>0.05</v>
      </c>
      <c r="L14" s="60">
        <f>-M14*L10</f>
        <v>-90</v>
      </c>
      <c r="M14" s="105">
        <v>0.02</v>
      </c>
      <c r="N14" s="60">
        <f>-O14*N10</f>
        <v>-252.00000000000003</v>
      </c>
      <c r="O14" s="105">
        <v>0.14000000000000001</v>
      </c>
      <c r="P14" s="60">
        <f>-Q14*P10</f>
        <v>-160</v>
      </c>
      <c r="Q14" s="105">
        <v>0.1</v>
      </c>
      <c r="R14" s="60">
        <f t="shared" si="15"/>
        <v>-14389.501364061674</v>
      </c>
      <c r="S14" s="105">
        <f>R14/$R$10</f>
        <v>-0.10878719815495291</v>
      </c>
      <c r="T14" s="71"/>
      <c r="U14" s="60">
        <f>-V14*U10</f>
        <v>-4392.0000000000055</v>
      </c>
      <c r="V14" s="105">
        <v>2.9002235336987297E-2</v>
      </c>
      <c r="W14" s="60">
        <f>-X14*W10</f>
        <v>-1319.9995980000001</v>
      </c>
      <c r="X14" s="105">
        <v>0.05</v>
      </c>
      <c r="Y14" s="60">
        <f>-Z14*Y10</f>
        <v>-1871.9999948000004</v>
      </c>
      <c r="Z14" s="105">
        <v>0.13</v>
      </c>
      <c r="AA14" s="60">
        <f>-AA10*AB14</f>
        <v>-2799.9999972000005</v>
      </c>
      <c r="AB14" s="105">
        <v>7.0000000000000007E-2</v>
      </c>
      <c r="AC14" s="60">
        <f>-AD14*AC10</f>
        <v>-880.00000319999992</v>
      </c>
      <c r="AD14" s="105">
        <v>0.08</v>
      </c>
      <c r="AE14" s="60">
        <f>-AF14*AE10</f>
        <v>-3655.9711467999928</v>
      </c>
      <c r="AF14" s="105">
        <v>8.7046932273921199E-2</v>
      </c>
      <c r="AG14" s="60">
        <f>+AE14+AC14+AA14+Y14+W14+U14</f>
        <v>-14919.970740000001</v>
      </c>
      <c r="AH14" s="1">
        <f>-AG14/AG10</f>
        <v>5.2307351191466268E-2</v>
      </c>
      <c r="AI14" s="71"/>
      <c r="AJ14" s="60">
        <f>-AK14*AJ10</f>
        <v>-4831.2000000000062</v>
      </c>
      <c r="AK14" s="105">
        <f>V14</f>
        <v>2.9002235336987297E-2</v>
      </c>
      <c r="AL14" s="60">
        <f>-AM14*AL10</f>
        <v>-1359.59958594</v>
      </c>
      <c r="AM14" s="105">
        <f>X14</f>
        <v>0.05</v>
      </c>
      <c r="AN14" s="60">
        <f>-AO14*AN10</f>
        <v>-2059.1999942800003</v>
      </c>
      <c r="AO14" s="105">
        <f>Z14</f>
        <v>0.13</v>
      </c>
      <c r="AP14" s="60">
        <f>-AQ14*AP10</f>
        <v>-3079.9999969200003</v>
      </c>
      <c r="AQ14" s="105">
        <f>AB14</f>
        <v>7.0000000000000007E-2</v>
      </c>
      <c r="AR14" s="60">
        <f>-AS14*AR10</f>
        <v>-968.00000351999995</v>
      </c>
      <c r="AS14" s="105">
        <f>AD14</f>
        <v>0.08</v>
      </c>
      <c r="AT14" s="60">
        <f>-AU14*AT10</f>
        <v>-4021.5682614799925</v>
      </c>
      <c r="AU14" s="105">
        <f>AF14</f>
        <v>8.7046932273921199E-2</v>
      </c>
      <c r="AV14" s="60">
        <f>SUM(AJ14:AT14)</f>
        <v>-16319.208839904662</v>
      </c>
      <c r="AW14" s="60"/>
      <c r="AX14" s="71"/>
      <c r="AY14" s="60">
        <f>-AZ14*AY10</f>
        <v>-5314.3200000000061</v>
      </c>
      <c r="AZ14" s="117">
        <f>+AK14</f>
        <v>2.9002235336987297E-2</v>
      </c>
      <c r="BA14" s="60">
        <f>-BB14*BA10</f>
        <v>-1400.3875735182</v>
      </c>
      <c r="BB14" s="105">
        <f>AM14</f>
        <v>0.05</v>
      </c>
      <c r="BC14" s="60">
        <f>-BD14*BC10</f>
        <v>-2265.1199937080005</v>
      </c>
      <c r="BD14" s="105">
        <f>AO14</f>
        <v>0.13</v>
      </c>
      <c r="BE14" s="60">
        <f>-BF14*BE10</f>
        <v>-3387.9999966120004</v>
      </c>
      <c r="BF14" s="105">
        <f>AQ14</f>
        <v>7.0000000000000007E-2</v>
      </c>
      <c r="BG14" s="60">
        <f>-BH14*BG10</f>
        <v>-1064.8000038719997</v>
      </c>
      <c r="BH14" s="105">
        <f>AS14</f>
        <v>0.08</v>
      </c>
      <c r="BI14" s="60">
        <f>-BJ14*BI10</f>
        <v>-4423.7250876279913</v>
      </c>
      <c r="BJ14" s="105">
        <f>AU14</f>
        <v>8.7046932273921199E-2</v>
      </c>
      <c r="BK14" s="60">
        <f>SUM(AY14:BI14)</f>
        <v>-17855.993653102862</v>
      </c>
      <c r="BL14" s="60"/>
      <c r="BM14" s="71"/>
      <c r="BN14" s="60">
        <f>-BO14*BN10</f>
        <v>-5845.7520000000077</v>
      </c>
      <c r="BO14" s="117">
        <f>+AZ14</f>
        <v>2.9002235336987297E-2</v>
      </c>
      <c r="BP14" s="60">
        <f>-BQ14*BP10</f>
        <v>-1442.3992007237462</v>
      </c>
      <c r="BQ14" s="105">
        <f>BB14</f>
        <v>0.05</v>
      </c>
      <c r="BR14" s="60">
        <f>-BS14*BR10</f>
        <v>-2491.6319930788009</v>
      </c>
      <c r="BS14" s="105">
        <f>BD14</f>
        <v>0.13</v>
      </c>
      <c r="BT14" s="60">
        <f>-BU14*BT10</f>
        <v>-3726.7999962732001</v>
      </c>
      <c r="BU14" s="105">
        <f>BF14</f>
        <v>7.0000000000000007E-2</v>
      </c>
      <c r="BV14" s="60">
        <f>-BW14*BV10</f>
        <v>-1171.2800042591998</v>
      </c>
      <c r="BW14" s="105">
        <f>BH14</f>
        <v>0.08</v>
      </c>
      <c r="BX14" s="60">
        <f>-BY14*BX10</f>
        <v>-4866.0975963907913</v>
      </c>
      <c r="BY14" s="117">
        <f>+BJ14</f>
        <v>8.7046932273921199E-2</v>
      </c>
      <c r="BZ14" s="60">
        <f>SUM(BN14:BX14)</f>
        <v>-19543.601788490407</v>
      </c>
      <c r="CA14" s="60"/>
      <c r="CB14" s="71"/>
      <c r="CC14" s="60">
        <f>-CD14*CC10</f>
        <v>-6430.3272000000079</v>
      </c>
      <c r="CD14" s="117">
        <f>+BO14</f>
        <v>2.9002235336987297E-2</v>
      </c>
      <c r="CE14" s="60">
        <f>-CF14*CE10</f>
        <v>-1485.6711767454585</v>
      </c>
      <c r="CF14" s="105">
        <f>BQ14</f>
        <v>0.05</v>
      </c>
      <c r="CG14" s="60">
        <f>-CH14*CG10</f>
        <v>-2740.7951923866804</v>
      </c>
      <c r="CH14" s="105">
        <f>BS14</f>
        <v>0.13</v>
      </c>
      <c r="CI14" s="60">
        <f>-CJ14*CI10</f>
        <v>-4099.4799959005204</v>
      </c>
      <c r="CJ14" s="105">
        <f>BU14</f>
        <v>7.0000000000000007E-2</v>
      </c>
      <c r="CK14" s="60">
        <f>-CL14*CK10</f>
        <v>-1288.4080046851197</v>
      </c>
      <c r="CL14" s="105">
        <f>BW14</f>
        <v>0.08</v>
      </c>
      <c r="CM14" s="60">
        <f>-CN14*CM10</f>
        <v>-5352.7073560298695</v>
      </c>
      <c r="CN14" s="117">
        <f>+BY14</f>
        <v>8.7046932273921199E-2</v>
      </c>
      <c r="CO14" s="60">
        <f>SUM(CC14:CM14)</f>
        <v>-21397.029923512317</v>
      </c>
      <c r="CP14" s="60"/>
      <c r="CQ14" s="71"/>
      <c r="CR14" s="60">
        <f>-CS14*CR10</f>
        <v>-7316.7049068585111</v>
      </c>
      <c r="CS14" s="105">
        <v>0.03</v>
      </c>
      <c r="CT14" s="60">
        <f>-CU14*CT10</f>
        <v>-1530.2413120478222</v>
      </c>
      <c r="CU14" s="105">
        <f>CF14</f>
        <v>0.05</v>
      </c>
      <c r="CV14" s="60">
        <f>-CW14*CV10</f>
        <v>-3014.8747116253485</v>
      </c>
      <c r="CW14" s="105">
        <f>CH14</f>
        <v>0.13</v>
      </c>
      <c r="CX14" s="60">
        <f>-CY14*CX10</f>
        <v>-4509.4279954905724</v>
      </c>
      <c r="CY14" s="105">
        <f>CJ14</f>
        <v>7.0000000000000007E-2</v>
      </c>
      <c r="CZ14" s="60">
        <f>-DA14*CZ10</f>
        <v>-1417.2488051536318</v>
      </c>
      <c r="DA14" s="105">
        <f>CL14</f>
        <v>0.08</v>
      </c>
      <c r="DB14" s="60">
        <f>-DC14*DB10</f>
        <v>-5887.9780916328573</v>
      </c>
      <c r="DC14" s="117">
        <f>+CN14</f>
        <v>8.7046932273921199E-2</v>
      </c>
      <c r="DD14" s="60">
        <f>SUM(CR14:DB14)</f>
        <v>-23676.115822808744</v>
      </c>
      <c r="DE14" s="60"/>
      <c r="DF14" s="71"/>
      <c r="DG14" s="60">
        <f>-DH14*DG10</f>
        <v>-8048.3753975443624</v>
      </c>
      <c r="DH14" s="105">
        <v>0.03</v>
      </c>
      <c r="DI14" s="60">
        <f>-DJ14*DI10</f>
        <v>-1576.1485514092569</v>
      </c>
      <c r="DJ14" s="105">
        <f>CU14</f>
        <v>0.05</v>
      </c>
      <c r="DK14" s="60">
        <f>-DL14*DK10</f>
        <v>-3316.3621827878833</v>
      </c>
      <c r="DL14" s="105">
        <f>CW14</f>
        <v>0.13</v>
      </c>
      <c r="DM14" s="60">
        <f>-DN14*DM10</f>
        <v>-4960.3707950396292</v>
      </c>
      <c r="DN14" s="105">
        <f>CY14</f>
        <v>7.0000000000000007E-2</v>
      </c>
      <c r="DO14" s="60">
        <f>-DP14*DO10</f>
        <v>-1558.9736856689951</v>
      </c>
      <c r="DP14" s="105">
        <f>DA14</f>
        <v>0.08</v>
      </c>
      <c r="DQ14" s="60">
        <f>-DR14*DQ10</f>
        <v>-3720.2780911421914</v>
      </c>
      <c r="DR14" s="117">
        <v>0.05</v>
      </c>
      <c r="DS14" s="60">
        <f>SUM(DG14:DQ14)</f>
        <v>-23180.14870359232</v>
      </c>
      <c r="DT14" s="60"/>
      <c r="DU14" s="71"/>
      <c r="DV14" s="60">
        <f>-DW14*DV10</f>
        <v>-8853.2129372987984</v>
      </c>
      <c r="DW14" s="117">
        <f>+DH14</f>
        <v>0.03</v>
      </c>
      <c r="DX14" s="60">
        <f>-DY14*DX10</f>
        <v>-1623.4330079515346</v>
      </c>
      <c r="DY14" s="105">
        <f>DJ14</f>
        <v>0.05</v>
      </c>
      <c r="DZ14" s="60">
        <f>-EA14*DZ10</f>
        <v>-3647.9984010666717</v>
      </c>
      <c r="EA14" s="105">
        <f>DL14</f>
        <v>0.13</v>
      </c>
      <c r="EB14" s="60">
        <f>-EC14*EB10</f>
        <v>-5456.4078745435927</v>
      </c>
      <c r="EC14" s="105">
        <f>DN14</f>
        <v>7.0000000000000007E-2</v>
      </c>
      <c r="ED14" s="60">
        <f>-EE14*ED10</f>
        <v>-1714.8710542358945</v>
      </c>
      <c r="EE14" s="105">
        <f>DP14</f>
        <v>0.08</v>
      </c>
      <c r="EF14" s="60">
        <f>-EG14*EF10</f>
        <v>-4092.305900256411</v>
      </c>
      <c r="EG14" s="117">
        <f>+DR14</f>
        <v>0.05</v>
      </c>
      <c r="EH14" s="60">
        <f>SUM(DV14:EF14)</f>
        <v>-25387.869175352902</v>
      </c>
      <c r="EI14" s="60"/>
      <c r="EJ14" s="71"/>
      <c r="EK14" s="60">
        <f>-EL14*EK10</f>
        <v>-9738.5342310286778</v>
      </c>
      <c r="EL14" s="117">
        <f>+DW14</f>
        <v>0.03</v>
      </c>
      <c r="EM14" s="60">
        <f>-EN14*EM10</f>
        <v>-1672.1359981900805</v>
      </c>
      <c r="EN14" s="105">
        <f>DY14</f>
        <v>0.05</v>
      </c>
      <c r="EO14" s="60">
        <f>-EP14*EO10</f>
        <v>-4012.7982411733387</v>
      </c>
      <c r="EP14" s="105">
        <f>EA14</f>
        <v>0.13</v>
      </c>
      <c r="EQ14" s="60">
        <f>-ER14*EQ10</f>
        <v>-6002.048661997952</v>
      </c>
      <c r="ER14" s="105">
        <f>EC14</f>
        <v>7.0000000000000007E-2</v>
      </c>
      <c r="ES14" s="60">
        <f>-ET14*ES10</f>
        <v>-1886.358159659484</v>
      </c>
      <c r="ET14" s="105">
        <f>EE14</f>
        <v>0.08</v>
      </c>
      <c r="EU14" s="60">
        <f>-EV14*EU10</f>
        <v>-4501.536490282052</v>
      </c>
      <c r="EV14" s="117">
        <f>+EG14</f>
        <v>0.05</v>
      </c>
      <c r="EW14" s="60">
        <f>SUM(EK14:EU14)</f>
        <v>-27813.051782331586</v>
      </c>
      <c r="EX14" s="60"/>
      <c r="EY14" s="71"/>
      <c r="EZ14" s="60">
        <f>-FA14*EZ10</f>
        <v>-10712.387654131546</v>
      </c>
      <c r="FA14" s="117">
        <v>0.03</v>
      </c>
      <c r="FB14" s="60">
        <f>-FC14*FB10</f>
        <v>-1722.3000781357832</v>
      </c>
      <c r="FC14" s="105">
        <f>EN14</f>
        <v>0.05</v>
      </c>
      <c r="FD14" s="60">
        <f>-FE14*FD10</f>
        <v>-4414.0780652906724</v>
      </c>
      <c r="FE14" s="105">
        <f>EP14</f>
        <v>0.13</v>
      </c>
      <c r="FF14" s="60">
        <f>-FG14*FF10</f>
        <v>-6602.253528197748</v>
      </c>
      <c r="FG14" s="105">
        <f>ER14</f>
        <v>7.0000000000000007E-2</v>
      </c>
      <c r="FH14" s="60">
        <f>-FI14*FH10</f>
        <v>-2074.9939756254321</v>
      </c>
      <c r="FI14" s="105">
        <f>ET14</f>
        <v>0.08</v>
      </c>
      <c r="FJ14" s="60">
        <f>-FK14*FJ10</f>
        <v>-4951.6901393102571</v>
      </c>
      <c r="FK14" s="117">
        <f>+EV14</f>
        <v>0.05</v>
      </c>
      <c r="FL14" s="60">
        <f>SUM(EZ14:FJ14)</f>
        <v>-30477.343440691435</v>
      </c>
      <c r="FM14" s="60"/>
      <c r="FN14" s="71"/>
      <c r="FO14" s="60">
        <f>-FP14*FO10</f>
        <v>-11783.6264195447</v>
      </c>
      <c r="FP14" s="117">
        <f>+FA14</f>
        <v>0.03</v>
      </c>
      <c r="FQ14" s="60">
        <f>-FR14*FQ10</f>
        <v>-1773.9690804798565</v>
      </c>
      <c r="FR14" s="105">
        <f>FC14</f>
        <v>0.05</v>
      </c>
      <c r="FS14" s="60">
        <f>-FT14*FS10</f>
        <v>-4855.4858718197393</v>
      </c>
      <c r="FT14" s="105">
        <f>FE14</f>
        <v>0.13</v>
      </c>
      <c r="FU14" s="60">
        <f>-FV14*FU10</f>
        <v>-7262.4788810175223</v>
      </c>
      <c r="FV14" s="105">
        <f>FG14</f>
        <v>7.0000000000000007E-2</v>
      </c>
      <c r="FW14" s="60">
        <f>-FX14*FW10</f>
        <v>-2282.4933731879755</v>
      </c>
      <c r="FX14" s="105">
        <f>FI14</f>
        <v>0.08</v>
      </c>
      <c r="FY14" s="60">
        <f>-FZ14*FY10</f>
        <v>-5446.8591532412829</v>
      </c>
      <c r="FZ14" s="117">
        <f>+FK14</f>
        <v>0.05</v>
      </c>
      <c r="GA14" s="60">
        <f>SUM(FO14:FY14)</f>
        <v>-33404.552779291073</v>
      </c>
      <c r="GB14" s="60"/>
      <c r="GC14" s="71"/>
      <c r="GD14" s="60">
        <f>-GE14*GD10</f>
        <v>-12961.989061499169</v>
      </c>
      <c r="GE14" s="117">
        <f>+FP14</f>
        <v>0.03</v>
      </c>
      <c r="GF14" s="60">
        <f>-GG14*GF10</f>
        <v>-1827.1881528942522</v>
      </c>
      <c r="GG14" s="105">
        <f>FR14</f>
        <v>0.05</v>
      </c>
      <c r="GH14" s="60">
        <f>-GI14*GH10</f>
        <v>-5341.034459001713</v>
      </c>
      <c r="GI14" s="105">
        <f>FT14</f>
        <v>0.13</v>
      </c>
      <c r="GJ14" s="60">
        <f>-GK14*GJ10</f>
        <v>-7988.7267691192746</v>
      </c>
      <c r="GK14" s="105">
        <f>FV14</f>
        <v>7.0000000000000007E-2</v>
      </c>
      <c r="GL14" s="60">
        <f>-GM14*GL10</f>
        <v>-2510.7427105067727</v>
      </c>
      <c r="GM14" s="105">
        <f>FX14</f>
        <v>0.08</v>
      </c>
      <c r="GN14" s="60">
        <f>-GO14*GN10</f>
        <v>-5991.5450685654114</v>
      </c>
      <c r="GO14" s="117">
        <f>+FZ14</f>
        <v>0.05</v>
      </c>
      <c r="GP14" s="60">
        <f>SUM(GD14:GN14)</f>
        <v>-36620.866221586592</v>
      </c>
      <c r="GQ14" s="60"/>
      <c r="GR14" s="71"/>
      <c r="GS14" s="60">
        <f>-GT14*GS10</f>
        <v>-14258.187967649088</v>
      </c>
      <c r="GT14" s="117">
        <f>+GE14</f>
        <v>0.03</v>
      </c>
      <c r="GU14" s="60">
        <f>-GV14*GU10</f>
        <v>-1882.00379748108</v>
      </c>
      <c r="GV14" s="105">
        <f>GG14</f>
        <v>0.05</v>
      </c>
      <c r="GW14" s="60">
        <f>-GX14*GW10</f>
        <v>-5875.1379049018842</v>
      </c>
      <c r="GX14" s="105">
        <f>GI14</f>
        <v>0.13</v>
      </c>
      <c r="GY14" s="60">
        <f>-GZ14*GY10</f>
        <v>-8787.5994460312031</v>
      </c>
      <c r="GZ14" s="105">
        <f>GK14</f>
        <v>7.0000000000000007E-2</v>
      </c>
      <c r="HA14" s="60">
        <f>-HB14*HA10</f>
        <v>-2761.8169815574502</v>
      </c>
      <c r="HB14" s="105">
        <f>GM14</f>
        <v>0.08</v>
      </c>
      <c r="HC14" s="60">
        <f>-HD14*HC10</f>
        <v>-6590.6995754219524</v>
      </c>
      <c r="HD14" s="117">
        <f>+GO14</f>
        <v>0.05</v>
      </c>
      <c r="HE14" s="60">
        <f>SUM(GS14:HC14)</f>
        <v>-40155.085673042653</v>
      </c>
      <c r="HF14" s="60"/>
      <c r="HG14" s="71"/>
      <c r="HH14" s="60">
        <f>-HI14*HH10</f>
        <v>-15684.006764413996</v>
      </c>
      <c r="HI14" s="117">
        <f>+GT14</f>
        <v>0.03</v>
      </c>
      <c r="HJ14" s="60">
        <f>-HK14*HJ10</f>
        <v>-1938.4639114055126</v>
      </c>
      <c r="HK14" s="105">
        <f>GV14</f>
        <v>0.05</v>
      </c>
      <c r="HL14" s="60">
        <f>-HM14*HL10</f>
        <v>-6462.6516953920727</v>
      </c>
      <c r="HM14" s="105">
        <f>GX14</f>
        <v>0.13</v>
      </c>
      <c r="HN14" s="60">
        <f>-HO14*HN10</f>
        <v>-9666.3593906343231</v>
      </c>
      <c r="HO14" s="105">
        <f>GZ14</f>
        <v>7.0000000000000007E-2</v>
      </c>
      <c r="HP14" s="60">
        <f>-HQ14*HP10</f>
        <v>-3037.9986797131946</v>
      </c>
      <c r="HQ14" s="105">
        <f>HB14</f>
        <v>0.08</v>
      </c>
      <c r="HR14" s="60">
        <f>-HS14*HR10</f>
        <v>-7249.7695329641474</v>
      </c>
      <c r="HS14" s="117">
        <f>+HD14</f>
        <v>0.05</v>
      </c>
      <c r="HT14" s="115">
        <f>SUM(HH14:HR14)</f>
        <v>-44038.889974523241</v>
      </c>
      <c r="HU14" s="60"/>
      <c r="HX14" t="s">
        <v>309</v>
      </c>
      <c r="HZ14" s="113">
        <f t="shared" si="14"/>
        <v>-29715</v>
      </c>
      <c r="IA14" s="116">
        <f>R14</f>
        <v>-14389.501364061674</v>
      </c>
      <c r="IB14" s="116">
        <f>AG14</f>
        <v>-14919.970740000001</v>
      </c>
      <c r="IC14" s="116">
        <f>AV14</f>
        <v>-16319.208839904662</v>
      </c>
      <c r="ID14" s="116">
        <f>BK14</f>
        <v>-17855.993653102862</v>
      </c>
      <c r="IE14" s="116">
        <f>BZ14</f>
        <v>-19543.601788490407</v>
      </c>
      <c r="IF14" s="116">
        <f>CO14</f>
        <v>-21397.029923512317</v>
      </c>
      <c r="IG14" s="116">
        <f>DD14</f>
        <v>-23676.115822808744</v>
      </c>
      <c r="IH14" s="116">
        <f>DS14</f>
        <v>-23180.14870359232</v>
      </c>
      <c r="II14" s="116">
        <f>EH14</f>
        <v>-25387.869175352902</v>
      </c>
      <c r="IJ14" s="116">
        <f>EW14</f>
        <v>-27813.051782331586</v>
      </c>
      <c r="IK14" s="116">
        <f>FL14</f>
        <v>-30477.343440691435</v>
      </c>
      <c r="IL14" s="116">
        <f>GA14</f>
        <v>-33404.552779291073</v>
      </c>
      <c r="IM14" s="116">
        <f>GP14</f>
        <v>-36620.866221586592</v>
      </c>
      <c r="IN14" s="116">
        <f>+HE14</f>
        <v>-40155.085673042653</v>
      </c>
      <c r="IO14" s="116">
        <f>+HT14</f>
        <v>-44038.889974523241</v>
      </c>
    </row>
    <row r="15" spans="2:249" ht="15.6">
      <c r="B15" t="s">
        <v>216</v>
      </c>
      <c r="C15" s="114">
        <v>-9308</v>
      </c>
      <c r="D15" s="114"/>
      <c r="E15" s="71"/>
      <c r="F15" s="60">
        <f>-G15*F10</f>
        <v>-6347.410768559952</v>
      </c>
      <c r="G15" s="105">
        <v>7.9899999999999999E-2</v>
      </c>
      <c r="H15" s="60">
        <f>-I15*H10</f>
        <v>-2863.4351821911978</v>
      </c>
      <c r="I15" s="105">
        <v>7.0999999999999994E-2</v>
      </c>
      <c r="J15" s="60">
        <f>-K15*J10</f>
        <v>-46</v>
      </c>
      <c r="K15" s="105">
        <v>0.01</v>
      </c>
      <c r="L15" s="60">
        <f>-M15*L10</f>
        <v>-135</v>
      </c>
      <c r="M15" s="105">
        <v>0.03</v>
      </c>
      <c r="N15" s="60">
        <f>-O15*N10</f>
        <v>-72</v>
      </c>
      <c r="O15" s="105">
        <v>0.04</v>
      </c>
      <c r="P15" s="60">
        <f>-Q15*P10</f>
        <v>-78.83775258414083</v>
      </c>
      <c r="Q15" s="105">
        <v>4.9273595365088019E-2</v>
      </c>
      <c r="R15" s="60">
        <f t="shared" si="15"/>
        <v>-9542.6837033352895</v>
      </c>
      <c r="S15" s="105">
        <f t="shared" ref="S15:S17" si="16">R15/$R$10</f>
        <v>-7.2144391713080805E-2</v>
      </c>
      <c r="T15" s="71"/>
      <c r="U15" s="60">
        <f>-V15*U10</f>
        <v>-2976.9400499999997</v>
      </c>
      <c r="V15" s="105">
        <v>1.9657995426731013E-2</v>
      </c>
      <c r="W15" s="60">
        <f>-X15*W10</f>
        <v>-1238.3039996944449</v>
      </c>
      <c r="X15" s="105">
        <v>4.6905468818727813E-2</v>
      </c>
      <c r="Y15" s="60">
        <f>-Z15*Y10</f>
        <v>-113.63636396753924</v>
      </c>
      <c r="Z15" s="105">
        <v>7.8914141863330404E-3</v>
      </c>
      <c r="AA15" s="60">
        <f>-AA10*AB15</f>
        <v>0</v>
      </c>
      <c r="AB15" s="105">
        <v>0</v>
      </c>
      <c r="AC15" s="60">
        <f>-AD15*AC10</f>
        <v>-301.5</v>
      </c>
      <c r="AD15" s="105">
        <v>2.7409090809421492E-2</v>
      </c>
      <c r="AE15" s="60">
        <f>-AE10*AF15</f>
        <v>-76.363636338016548</v>
      </c>
      <c r="AF15" s="105">
        <v>1.818181821900829E-3</v>
      </c>
      <c r="AG15" s="60">
        <f>+AE15+AC15+AA15+Y15+W15+U15</f>
        <v>-4706.7440500000002</v>
      </c>
      <c r="AH15" s="1">
        <f>-AG15/AG10</f>
        <v>1.6501192816125741E-2</v>
      </c>
      <c r="AI15" s="71"/>
      <c r="AJ15" s="60">
        <f>-AK15*AJ10</f>
        <v>-3274.6340549999991</v>
      </c>
      <c r="AK15" s="105">
        <f>V15</f>
        <v>1.9657995426731013E-2</v>
      </c>
      <c r="AL15" s="60">
        <f>-AM15*AL10</f>
        <v>-1275.4531196852784</v>
      </c>
      <c r="AM15" s="105">
        <f>X15</f>
        <v>4.6905468818727813E-2</v>
      </c>
      <c r="AN15" s="60">
        <f>-AO15*AN10</f>
        <v>-125.00000036429316</v>
      </c>
      <c r="AO15" s="105">
        <f>Z15</f>
        <v>7.8914141863330404E-3</v>
      </c>
      <c r="AP15" s="60">
        <f>-AQ15*AP10</f>
        <v>0</v>
      </c>
      <c r="AQ15" s="105">
        <f>AB15</f>
        <v>0</v>
      </c>
      <c r="AR15" s="60">
        <f>-AS15*AR10</f>
        <v>-331.65000000000003</v>
      </c>
      <c r="AS15" s="105">
        <f>AD15</f>
        <v>2.7409090809421492E-2</v>
      </c>
      <c r="AT15" s="60">
        <f>-AU15*AT10</f>
        <v>-83.999999971818198</v>
      </c>
      <c r="AU15" s="105">
        <f>AF15</f>
        <v>1.818181821900829E-3</v>
      </c>
      <c r="AV15" s="60">
        <f>SUM(AJ15:AT15)</f>
        <v>-5090.6353110521486</v>
      </c>
      <c r="AW15" s="60"/>
      <c r="AX15" s="71"/>
      <c r="AY15" s="60">
        <f>-AZ15*AY10</f>
        <v>-3602.0974604999992</v>
      </c>
      <c r="AZ15" s="105">
        <f>AK15</f>
        <v>1.9657995426731013E-2</v>
      </c>
      <c r="BA15" s="60">
        <f>-BB15*BA10</f>
        <v>-1313.7167132758368</v>
      </c>
      <c r="BB15" s="105">
        <f>AM15</f>
        <v>4.6905468818727813E-2</v>
      </c>
      <c r="BC15" s="60">
        <f>-BD15*BC10</f>
        <v>-137.50000040072246</v>
      </c>
      <c r="BD15" s="105">
        <f>AO15</f>
        <v>7.8914141863330404E-3</v>
      </c>
      <c r="BE15" s="60">
        <f>-BF15*BE10</f>
        <v>0</v>
      </c>
      <c r="BF15" s="105">
        <f>AQ15</f>
        <v>0</v>
      </c>
      <c r="BG15" s="60">
        <f>-BH15*BG10</f>
        <v>-364.815</v>
      </c>
      <c r="BH15" s="105">
        <f>AS15</f>
        <v>2.7409090809421492E-2</v>
      </c>
      <c r="BI15" s="60">
        <f>-BJ15*BI10</f>
        <v>-92.399999969000021</v>
      </c>
      <c r="BJ15" s="105">
        <f>AU15</f>
        <v>1.818181821900829E-3</v>
      </c>
      <c r="BK15" s="60">
        <f>SUM(AY15:BI15)</f>
        <v>-5510.4273101763183</v>
      </c>
      <c r="BL15" s="60"/>
      <c r="BM15" s="71"/>
      <c r="BN15" s="60">
        <f>-BO15*BN10</f>
        <v>-3962.3072065499991</v>
      </c>
      <c r="BO15" s="105">
        <f>AZ15</f>
        <v>1.9657995426731013E-2</v>
      </c>
      <c r="BP15" s="60">
        <f>-BQ15*BP10</f>
        <v>-1353.1282146741119</v>
      </c>
      <c r="BQ15" s="105">
        <f>BB15</f>
        <v>4.6905468818727813E-2</v>
      </c>
      <c r="BR15" s="60">
        <f>-BS15*BR10</f>
        <v>-151.25000044079474</v>
      </c>
      <c r="BS15" s="105">
        <f>BD15</f>
        <v>7.8914141863330404E-3</v>
      </c>
      <c r="BT15" s="60">
        <f>-BU15*BT10</f>
        <v>0</v>
      </c>
      <c r="BU15" s="105">
        <f>BF15</f>
        <v>0</v>
      </c>
      <c r="BV15" s="60">
        <f>-BW15*BV10</f>
        <v>-401.29649999999998</v>
      </c>
      <c r="BW15" s="105">
        <f>BH15</f>
        <v>2.7409090809421492E-2</v>
      </c>
      <c r="BX15" s="60">
        <f>-BY15*BX10</f>
        <v>-101.63999996590003</v>
      </c>
      <c r="BY15" s="105">
        <f>BJ15</f>
        <v>1.818181821900829E-3</v>
      </c>
      <c r="BZ15" s="60">
        <f>SUM(BN15:BX15)</f>
        <v>-5969.5200576615653</v>
      </c>
      <c r="CA15" s="60"/>
      <c r="CB15" s="71"/>
      <c r="CC15" s="60">
        <f>-CD15*CC10</f>
        <v>-4358.5379272049995</v>
      </c>
      <c r="CD15" s="105">
        <f>BO15</f>
        <v>1.9657995426731013E-2</v>
      </c>
      <c r="CE15" s="60">
        <f>-CF15*CE10</f>
        <v>-1393.7220611143352</v>
      </c>
      <c r="CF15" s="105">
        <f>BQ15</f>
        <v>4.6905468818727813E-2</v>
      </c>
      <c r="CG15" s="60">
        <f>-CH15*CG10</f>
        <v>-166.37500048487419</v>
      </c>
      <c r="CH15" s="105">
        <f>BS15</f>
        <v>7.8914141863330404E-3</v>
      </c>
      <c r="CI15" s="60">
        <f>-CJ15*CI10</f>
        <v>0</v>
      </c>
      <c r="CJ15" s="105">
        <f>BU15</f>
        <v>0</v>
      </c>
      <c r="CK15" s="60">
        <f>-CL15*CK10</f>
        <v>-441.42615000000001</v>
      </c>
      <c r="CL15" s="105">
        <f>BW15</f>
        <v>2.7409090809421492E-2</v>
      </c>
      <c r="CM15" s="60">
        <f>-CN15*CM10</f>
        <v>-111.80399996249004</v>
      </c>
      <c r="CN15" s="105">
        <f>BY15</f>
        <v>1.818181821900829E-3</v>
      </c>
      <c r="CO15" s="60">
        <f>SUM(CC15:CM15)</f>
        <v>-6471.7632747974585</v>
      </c>
      <c r="CP15" s="60"/>
      <c r="CQ15" s="71"/>
      <c r="CR15" s="60">
        <f>-CS15*CR10</f>
        <v>-4794.3917199254993</v>
      </c>
      <c r="CS15" s="105">
        <f>CD15</f>
        <v>1.9657995426731013E-2</v>
      </c>
      <c r="CT15" s="60">
        <f>-CU15*CT10</f>
        <v>-1435.5337229477652</v>
      </c>
      <c r="CU15" s="105">
        <f>CF15</f>
        <v>4.6905468818727813E-2</v>
      </c>
      <c r="CV15" s="60">
        <f>-CW15*CV10</f>
        <v>-183.01250053336162</v>
      </c>
      <c r="CW15" s="105">
        <f>CH15</f>
        <v>7.8914141863330404E-3</v>
      </c>
      <c r="CX15" s="60">
        <f>-CY15*CX10</f>
        <v>0</v>
      </c>
      <c r="CY15" s="105">
        <f>CJ15</f>
        <v>0</v>
      </c>
      <c r="CZ15" s="60">
        <f>-DA15*CZ10</f>
        <v>-485.56876500000004</v>
      </c>
      <c r="DA15" s="105">
        <f>CL15</f>
        <v>2.7409090809421492E-2</v>
      </c>
      <c r="DB15" s="60">
        <f>-DC15*DB10</f>
        <v>-122.98439995873905</v>
      </c>
      <c r="DC15" s="105">
        <f>CN15</f>
        <v>1.818181821900829E-3</v>
      </c>
      <c r="DD15" s="60">
        <f>SUM(CR15:DB15)</f>
        <v>-7021.3892443961258</v>
      </c>
      <c r="DE15" s="60"/>
      <c r="DF15" s="71"/>
      <c r="DG15" s="60">
        <f>-DH15*DG10</f>
        <v>-5273.830891918049</v>
      </c>
      <c r="DH15" s="105">
        <f>CS15</f>
        <v>1.9657995426731013E-2</v>
      </c>
      <c r="DI15" s="60">
        <f>-DJ15*DI10</f>
        <v>-1478.5997346361983</v>
      </c>
      <c r="DJ15" s="105">
        <f>CU15</f>
        <v>4.6905468818727813E-2</v>
      </c>
      <c r="DK15" s="60">
        <f>-DL15*DK10</f>
        <v>-201.31375058669778</v>
      </c>
      <c r="DL15" s="105">
        <f>CW15</f>
        <v>7.8914141863330404E-3</v>
      </c>
      <c r="DM15" s="60">
        <f>-DN15*DM10</f>
        <v>0</v>
      </c>
      <c r="DN15" s="105">
        <f>CY15</f>
        <v>0</v>
      </c>
      <c r="DO15" s="60">
        <f>-DP15*DO10</f>
        <v>-534.12564150000003</v>
      </c>
      <c r="DP15" s="105">
        <f>DA15</f>
        <v>2.7409090809421492E-2</v>
      </c>
      <c r="DQ15" s="60">
        <f>-DR15*DQ10</f>
        <v>-135.28283995461294</v>
      </c>
      <c r="DR15" s="105">
        <f>DC15</f>
        <v>1.818181821900829E-3</v>
      </c>
      <c r="DS15" s="60">
        <f>SUM(DG15:DQ15)</f>
        <v>-7623.0509946263182</v>
      </c>
      <c r="DT15" s="60"/>
      <c r="DU15" s="71"/>
      <c r="DV15" s="60">
        <f>-DW15*DV10</f>
        <v>-5801.2139811098541</v>
      </c>
      <c r="DW15" s="105">
        <f>DH15</f>
        <v>1.9657995426731013E-2</v>
      </c>
      <c r="DX15" s="60">
        <f>-DY15*DX10</f>
        <v>-1522.957726675284</v>
      </c>
      <c r="DY15" s="105">
        <f>DJ15</f>
        <v>4.6905468818727813E-2</v>
      </c>
      <c r="DZ15" s="60">
        <f>-EA15*DZ10</f>
        <v>-221.44512564536754</v>
      </c>
      <c r="EA15" s="105">
        <f>DL15</f>
        <v>7.8914141863330404E-3</v>
      </c>
      <c r="EB15" s="60">
        <f>-EC15*EB10</f>
        <v>0</v>
      </c>
      <c r="EC15" s="105">
        <f>DN15</f>
        <v>0</v>
      </c>
      <c r="ED15" s="60">
        <f>-EE15*ED10</f>
        <v>-587.53820565000001</v>
      </c>
      <c r="EE15" s="105">
        <f>DP15</f>
        <v>2.7409090809421492E-2</v>
      </c>
      <c r="EF15" s="60">
        <f>-EG15*EF10</f>
        <v>-148.81112395007426</v>
      </c>
      <c r="EG15" s="105">
        <f>DR15</f>
        <v>1.818181821900829E-3</v>
      </c>
      <c r="EH15" s="60">
        <f>SUM(DV15:EF15)</f>
        <v>-8281.8642990613407</v>
      </c>
      <c r="EI15" s="60"/>
      <c r="EJ15" s="71"/>
      <c r="EK15" s="60">
        <f>-EL15*EK10</f>
        <v>-6381.3353792208391</v>
      </c>
      <c r="EL15" s="105">
        <f>DW15</f>
        <v>1.9657995426731013E-2</v>
      </c>
      <c r="EM15" s="60">
        <f>-EN15*EM10</f>
        <v>-1568.6464584755427</v>
      </c>
      <c r="EN15" s="105">
        <f>DY15</f>
        <v>4.6905468818727813E-2</v>
      </c>
      <c r="EO15" s="60">
        <f>-EP15*EO10</f>
        <v>-243.58963820990428</v>
      </c>
      <c r="EP15" s="105">
        <f>EA15</f>
        <v>7.8914141863330404E-3</v>
      </c>
      <c r="EQ15" s="60">
        <f>-ER15*EQ10</f>
        <v>0</v>
      </c>
      <c r="ER15" s="105">
        <f>EC15</f>
        <v>0</v>
      </c>
      <c r="ES15" s="60">
        <f>-ET15*ES10</f>
        <v>-646.29202621499996</v>
      </c>
      <c r="ET15" s="105">
        <f>EE15</f>
        <v>2.7409090809421492E-2</v>
      </c>
      <c r="EU15" s="60">
        <f>-EV15*EU10</f>
        <v>-163.69223634508168</v>
      </c>
      <c r="EV15" s="105">
        <f>EG15</f>
        <v>1.818181821900829E-3</v>
      </c>
      <c r="EW15" s="60">
        <f>SUM(EK15:EU15)</f>
        <v>-9003.4538744971251</v>
      </c>
      <c r="EX15" s="60"/>
      <c r="EY15" s="71"/>
      <c r="EZ15" s="60">
        <f>-FA15*EZ10</f>
        <v>-7019.4689171429236</v>
      </c>
      <c r="FA15" s="105">
        <f>EL15</f>
        <v>1.9657995426731013E-2</v>
      </c>
      <c r="FB15" s="60">
        <f>-FC15*FB10</f>
        <v>-1615.7058522298089</v>
      </c>
      <c r="FC15" s="105">
        <f>EN15</f>
        <v>4.6905468818727813E-2</v>
      </c>
      <c r="FD15" s="60">
        <f>-FE15*FD10</f>
        <v>-267.94860203089473</v>
      </c>
      <c r="FE15" s="105">
        <f>EP15</f>
        <v>7.8914141863330404E-3</v>
      </c>
      <c r="FF15" s="60">
        <f>-FG15*FF10</f>
        <v>0</v>
      </c>
      <c r="FG15" s="105">
        <f>ER15</f>
        <v>0</v>
      </c>
      <c r="FH15" s="60">
        <f>-FI15*FH10</f>
        <v>-710.92122883649995</v>
      </c>
      <c r="FI15" s="105">
        <f>ET15</f>
        <v>2.7409090809421492E-2</v>
      </c>
      <c r="FJ15" s="60">
        <f>-FK15*FJ10</f>
        <v>-180.06145997958984</v>
      </c>
      <c r="FK15" s="105">
        <f>EV15</f>
        <v>1.818181821900829E-3</v>
      </c>
      <c r="FL15" s="60">
        <f>SUM(EZ15:FJ15)</f>
        <v>-9794.0041962504747</v>
      </c>
      <c r="FM15" s="60"/>
      <c r="FN15" s="71"/>
      <c r="FO15" s="60">
        <f>-FP15*FO10</f>
        <v>-7721.4158088572158</v>
      </c>
      <c r="FP15" s="105">
        <f>FA15</f>
        <v>1.9657995426731013E-2</v>
      </c>
      <c r="FQ15" s="60">
        <f>-FR15*FQ10</f>
        <v>-1664.177027796703</v>
      </c>
      <c r="FR15" s="105">
        <f>FC15</f>
        <v>4.6905468818727813E-2</v>
      </c>
      <c r="FS15" s="60">
        <f>-FT15*FS10</f>
        <v>-294.74346223398413</v>
      </c>
      <c r="FT15" s="105">
        <f>FE15</f>
        <v>7.8914141863330404E-3</v>
      </c>
      <c r="FU15" s="60">
        <f>-FV15*FU10</f>
        <v>0</v>
      </c>
      <c r="FV15" s="105">
        <f>FG15</f>
        <v>0</v>
      </c>
      <c r="FW15" s="60">
        <f>-FX15*FW10</f>
        <v>-782.0133517201499</v>
      </c>
      <c r="FX15" s="105">
        <f>FI15</f>
        <v>2.7409090809421492E-2</v>
      </c>
      <c r="FY15" s="60">
        <f>-FZ15*FY10</f>
        <v>-198.06760597754885</v>
      </c>
      <c r="FZ15" s="105">
        <f>FK15</f>
        <v>1.818181821900829E-3</v>
      </c>
      <c r="GA15" s="60">
        <f>SUM(FO15:FY15)</f>
        <v>-10660.315392616361</v>
      </c>
      <c r="GB15" s="60"/>
      <c r="GC15" s="71"/>
      <c r="GD15" s="60">
        <f>-GE15*GD10</f>
        <v>-8493.5573897429367</v>
      </c>
      <c r="GE15" s="105">
        <f>FP15</f>
        <v>1.9657995426731013E-2</v>
      </c>
      <c r="GF15" s="60">
        <f>-GG15*GF10</f>
        <v>-1714.1023386306042</v>
      </c>
      <c r="GG15" s="105">
        <f>FR15</f>
        <v>4.6905468818727813E-2</v>
      </c>
      <c r="GH15" s="60">
        <f>-GI15*GH10</f>
        <v>-324.2178084573826</v>
      </c>
      <c r="GI15" s="105">
        <f>FT15</f>
        <v>7.8914141863330404E-3</v>
      </c>
      <c r="GJ15" s="60">
        <f>-GK15*GJ10</f>
        <v>0</v>
      </c>
      <c r="GK15" s="105">
        <f>FV15</f>
        <v>0</v>
      </c>
      <c r="GL15" s="60">
        <f>-GM15*GL10</f>
        <v>-860.21468689216488</v>
      </c>
      <c r="GM15" s="105">
        <f>FX15</f>
        <v>2.7409090809421492E-2</v>
      </c>
      <c r="GN15" s="60">
        <f>-GO15*GN10</f>
        <v>-217.87436657530372</v>
      </c>
      <c r="GO15" s="105">
        <f>FZ15</f>
        <v>1.818181821900829E-3</v>
      </c>
      <c r="GP15" s="60">
        <f>SUM(GD15:GN15)</f>
        <v>-11609.864726329151</v>
      </c>
      <c r="GQ15" s="60"/>
      <c r="GR15" s="71"/>
      <c r="GS15" s="60">
        <f>-GT15*GS10</f>
        <v>-9342.9131287172313</v>
      </c>
      <c r="GT15" s="105">
        <f>GE15</f>
        <v>1.9657995426731013E-2</v>
      </c>
      <c r="GU15" s="60">
        <f>-GV15*GU10</f>
        <v>-1765.5254087895225</v>
      </c>
      <c r="GV15" s="105">
        <f>GG15</f>
        <v>4.6905468818727813E-2</v>
      </c>
      <c r="GW15" s="60">
        <f>-GX15*GW10</f>
        <v>-356.63958930312083</v>
      </c>
      <c r="GX15" s="105">
        <f>GI15</f>
        <v>7.8914141863330404E-3</v>
      </c>
      <c r="GY15" s="60">
        <f>-GZ15*GY10</f>
        <v>0</v>
      </c>
      <c r="GZ15" s="105">
        <f>GK15</f>
        <v>0</v>
      </c>
      <c r="HA15" s="60">
        <f>-HB15*HA10</f>
        <v>-946.23615558138135</v>
      </c>
      <c r="HB15" s="105">
        <f>GM15</f>
        <v>2.7409090809421492E-2</v>
      </c>
      <c r="HC15" s="60">
        <f>-HD15*HC10</f>
        <v>-239.66180323283407</v>
      </c>
      <c r="HD15" s="105">
        <f>GO15</f>
        <v>1.818181821900829E-3</v>
      </c>
      <c r="HE15" s="60">
        <f>SUM(GS15:HC15)</f>
        <v>-12650.874221654849</v>
      </c>
      <c r="HF15" s="60"/>
      <c r="HG15" s="71"/>
      <c r="HH15" s="60">
        <f>-HI15*HH10</f>
        <v>-10277.204441588954</v>
      </c>
      <c r="HI15" s="105">
        <f>GT15</f>
        <v>1.9657995426731013E-2</v>
      </c>
      <c r="HJ15" s="60">
        <f>-HK15*HJ10</f>
        <v>-1818.4911710532083</v>
      </c>
      <c r="HK15" s="105">
        <f>GV15</f>
        <v>4.6905468818727813E-2</v>
      </c>
      <c r="HL15" s="60">
        <f>-HM15*HL10</f>
        <v>-392.30354823343288</v>
      </c>
      <c r="HM15" s="105">
        <f>GX15</f>
        <v>7.8914141863330404E-3</v>
      </c>
      <c r="HN15" s="60">
        <f>-HO15*HN10</f>
        <v>0</v>
      </c>
      <c r="HO15" s="105">
        <f>GZ15</f>
        <v>0</v>
      </c>
      <c r="HP15" s="60">
        <f>-HQ15*HP10</f>
        <v>-1040.8597711395194</v>
      </c>
      <c r="HQ15" s="105">
        <f>HB15</f>
        <v>2.7409090809421492E-2</v>
      </c>
      <c r="HR15" s="60">
        <f>-HS15*HR10</f>
        <v>-263.6279835561175</v>
      </c>
      <c r="HS15" s="105">
        <f>HD15</f>
        <v>1.818181821900829E-3</v>
      </c>
      <c r="HT15" s="115">
        <f>SUM(HH15:HR15)</f>
        <v>-13792.385051601992</v>
      </c>
      <c r="HU15" s="60"/>
      <c r="HX15" t="s">
        <v>216</v>
      </c>
      <c r="HZ15" s="113">
        <f t="shared" si="14"/>
        <v>-9308</v>
      </c>
      <c r="IA15" s="116">
        <f>R15</f>
        <v>-9542.6837033352895</v>
      </c>
      <c r="IB15" s="116">
        <f>AG15</f>
        <v>-4706.7440500000002</v>
      </c>
      <c r="IC15" s="116">
        <f>AV15</f>
        <v>-5090.6353110521486</v>
      </c>
      <c r="ID15" s="116">
        <f>BK15</f>
        <v>-5510.4273101763183</v>
      </c>
      <c r="IE15" s="116">
        <f>BZ15</f>
        <v>-5969.5200576615653</v>
      </c>
      <c r="IF15" s="116">
        <f>CO15</f>
        <v>-6471.7632747974585</v>
      </c>
      <c r="IG15" s="116">
        <f>DD15</f>
        <v>-7021.3892443961258</v>
      </c>
      <c r="IH15" s="116">
        <f>DS15</f>
        <v>-7623.0509946263182</v>
      </c>
      <c r="II15" s="116">
        <f>EH15</f>
        <v>-8281.8642990613407</v>
      </c>
      <c r="IJ15" s="116">
        <f>EW15</f>
        <v>-9003.4538744971251</v>
      </c>
      <c r="IK15" s="116">
        <f>FL15</f>
        <v>-9794.0041962504747</v>
      </c>
      <c r="IL15" s="116">
        <f>GA15</f>
        <v>-10660.315392616361</v>
      </c>
      <c r="IM15" s="116">
        <f>GP15</f>
        <v>-11609.864726329151</v>
      </c>
      <c r="IN15" s="116">
        <f>+HE15</f>
        <v>-12650.874221654849</v>
      </c>
      <c r="IO15" s="116">
        <f>+HT15</f>
        <v>-13792.385051601992</v>
      </c>
    </row>
    <row r="16" spans="2:249" ht="15.6">
      <c r="B16" t="s">
        <v>310</v>
      </c>
      <c r="C16" s="114">
        <v>-12215</v>
      </c>
      <c r="D16" s="114"/>
      <c r="E16" s="71"/>
      <c r="F16" s="60">
        <f>-G16*F10</f>
        <v>0</v>
      </c>
      <c r="G16" s="105">
        <v>0</v>
      </c>
      <c r="H16" s="60">
        <f>-I16*H10</f>
        <v>0</v>
      </c>
      <c r="I16" s="105">
        <v>0</v>
      </c>
      <c r="J16" s="60">
        <f>-K16*J10</f>
        <v>0</v>
      </c>
      <c r="K16" s="105"/>
      <c r="L16" s="60">
        <f>-M16*L10</f>
        <v>0</v>
      </c>
      <c r="M16" s="105">
        <v>0</v>
      </c>
      <c r="N16" s="60">
        <f>-O16*N10</f>
        <v>0</v>
      </c>
      <c r="O16" s="105"/>
      <c r="P16" s="60">
        <f>-Q16*P10</f>
        <v>0</v>
      </c>
      <c r="Q16" s="105">
        <v>0</v>
      </c>
      <c r="R16" s="60">
        <f t="shared" si="15"/>
        <v>0</v>
      </c>
      <c r="S16" s="105">
        <f>R16/R10</f>
        <v>0</v>
      </c>
      <c r="T16" s="71"/>
      <c r="U16" s="60">
        <f>-V16*U10</f>
        <v>-15700.000010000002</v>
      </c>
      <c r="V16" s="105">
        <v>0.10367374660307886</v>
      </c>
      <c r="W16" s="60">
        <f>-X16*W10</f>
        <v>0</v>
      </c>
      <c r="X16" s="105">
        <v>0</v>
      </c>
      <c r="Y16" s="60">
        <f>-Z16*Y10</f>
        <v>0</v>
      </c>
      <c r="Z16" s="105">
        <v>0</v>
      </c>
      <c r="AA16" s="60">
        <f>-AA10*AB16</f>
        <v>0</v>
      </c>
      <c r="AB16" s="105">
        <v>0</v>
      </c>
      <c r="AC16" s="60">
        <f>-AD16*AC10</f>
        <v>0</v>
      </c>
      <c r="AD16" s="105">
        <v>0</v>
      </c>
      <c r="AE16" s="60">
        <f>-AE10*AF16</f>
        <v>0</v>
      </c>
      <c r="AF16" s="105">
        <v>0</v>
      </c>
      <c r="AG16" s="60">
        <f>+AE16+AC16+AA16+Y16+W16+U16</f>
        <v>-15700.000010000002</v>
      </c>
      <c r="AH16" s="1">
        <f>-AG16/AG10</f>
        <v>5.5042025788121215E-2</v>
      </c>
      <c r="AI16" s="71"/>
      <c r="AJ16" s="60">
        <f>-AK16*AJ10</f>
        <v>-17270.000011</v>
      </c>
      <c r="AK16" s="105">
        <f>+V16</f>
        <v>0.10367374660307886</v>
      </c>
      <c r="AL16" s="60">
        <f>W16</f>
        <v>0</v>
      </c>
      <c r="AM16" s="105"/>
      <c r="AN16" s="60">
        <f>Y16</f>
        <v>0</v>
      </c>
      <c r="AO16" s="105"/>
      <c r="AP16" s="60">
        <f>AA16</f>
        <v>0</v>
      </c>
      <c r="AQ16" s="105"/>
      <c r="AR16" s="60">
        <f>AC16</f>
        <v>0</v>
      </c>
      <c r="AS16" s="105"/>
      <c r="AT16" s="60">
        <f>AE16</f>
        <v>0</v>
      </c>
      <c r="AU16" s="105"/>
      <c r="AV16" s="60">
        <f>SUM(AJ16:AT16)</f>
        <v>-17269.896337253398</v>
      </c>
      <c r="AW16" s="60"/>
      <c r="AX16" s="71"/>
      <c r="AY16" s="60">
        <f>-AZ16*AY10</f>
        <v>-18997.000012100001</v>
      </c>
      <c r="AZ16" s="105">
        <f>+AK16</f>
        <v>0.10367374660307886</v>
      </c>
      <c r="BA16" s="60">
        <f>AL16</f>
        <v>0</v>
      </c>
      <c r="BB16" s="105"/>
      <c r="BC16" s="60">
        <f>AN16</f>
        <v>0</v>
      </c>
      <c r="BD16" s="105"/>
      <c r="BE16" s="60">
        <f>AP16</f>
        <v>0</v>
      </c>
      <c r="BF16" s="105"/>
      <c r="BG16" s="60">
        <f>AR16</f>
        <v>0</v>
      </c>
      <c r="BH16" s="105"/>
      <c r="BI16" s="60">
        <f>AT16</f>
        <v>0</v>
      </c>
      <c r="BJ16" s="105"/>
      <c r="BK16" s="60">
        <f>SUM(AY16:BI16)</f>
        <v>-18996.896338353399</v>
      </c>
      <c r="BL16" s="60"/>
      <c r="BM16" s="71"/>
      <c r="BN16" s="60">
        <f>-BO16*BN10</f>
        <v>-20896.700013310001</v>
      </c>
      <c r="BO16" s="105">
        <f>+AZ16</f>
        <v>0.10367374660307886</v>
      </c>
      <c r="BP16" s="60">
        <f>BA16*1.05</f>
        <v>0</v>
      </c>
      <c r="BQ16" s="105"/>
      <c r="BR16" s="60">
        <f>BC16</f>
        <v>0</v>
      </c>
      <c r="BS16" s="105"/>
      <c r="BT16" s="60">
        <f>BE16*1.05</f>
        <v>0</v>
      </c>
      <c r="BU16" s="105"/>
      <c r="BV16" s="60">
        <f>BG16*1.05</f>
        <v>0</v>
      </c>
      <c r="BW16" s="105"/>
      <c r="BX16" s="60">
        <f>BI16*1.05</f>
        <v>0</v>
      </c>
      <c r="BY16" s="105"/>
      <c r="BZ16" s="60">
        <f>SUM(BN16:BX16)</f>
        <v>-20896.596339563399</v>
      </c>
      <c r="CA16" s="60"/>
      <c r="CB16" s="71"/>
      <c r="CC16" s="60">
        <f>-CD16*CC10</f>
        <v>-22986.370014641001</v>
      </c>
      <c r="CD16" s="105">
        <f>+BO16</f>
        <v>0.10367374660307886</v>
      </c>
      <c r="CE16" s="60">
        <f>BP16*1.05</f>
        <v>0</v>
      </c>
      <c r="CF16" s="105"/>
      <c r="CG16" s="60">
        <f>BR16</f>
        <v>0</v>
      </c>
      <c r="CH16" s="105"/>
      <c r="CI16" s="60">
        <f>BT16*1.05</f>
        <v>0</v>
      </c>
      <c r="CJ16" s="105"/>
      <c r="CK16" s="60">
        <f>BV16*1.05</f>
        <v>0</v>
      </c>
      <c r="CL16" s="105"/>
      <c r="CM16" s="60">
        <f>BX16*1.05</f>
        <v>0</v>
      </c>
      <c r="CN16" s="105"/>
      <c r="CO16" s="60">
        <f>SUM(CC16:CM16)</f>
        <v>-22986.266340894399</v>
      </c>
      <c r="CP16" s="60"/>
      <c r="CQ16" s="71"/>
      <c r="CR16" s="60">
        <f>-CS16*CR10</f>
        <v>-25285.007016105101</v>
      </c>
      <c r="CS16" s="105">
        <f>+CD16</f>
        <v>0.10367374660307886</v>
      </c>
      <c r="CT16" s="60">
        <f>CE16*1.05</f>
        <v>0</v>
      </c>
      <c r="CU16" s="105"/>
      <c r="CV16" s="60">
        <f>CG16</f>
        <v>0</v>
      </c>
      <c r="CW16" s="105"/>
      <c r="CX16" s="60">
        <f>CI16*1.05</f>
        <v>0</v>
      </c>
      <c r="CY16" s="105"/>
      <c r="CZ16" s="60">
        <f>CK16*1.05</f>
        <v>0</v>
      </c>
      <c r="DA16" s="105"/>
      <c r="DB16" s="60">
        <f>CM16*1.05</f>
        <v>0</v>
      </c>
      <c r="DC16" s="105"/>
      <c r="DD16" s="60">
        <f>SUM(CR16:DB16)</f>
        <v>-25284.903342358499</v>
      </c>
      <c r="DE16" s="60"/>
      <c r="DF16" s="71"/>
      <c r="DG16" s="60">
        <f>-DH16*DG10</f>
        <v>-27813.507717715609</v>
      </c>
      <c r="DH16" s="105">
        <f>+CS16</f>
        <v>0.10367374660307886</v>
      </c>
      <c r="DI16" s="60">
        <f>CT16*1.05</f>
        <v>0</v>
      </c>
      <c r="DJ16" s="105"/>
      <c r="DK16" s="60">
        <f>CV16</f>
        <v>0</v>
      </c>
      <c r="DL16" s="105"/>
      <c r="DM16" s="60">
        <f>CX16*1.05</f>
        <v>0</v>
      </c>
      <c r="DN16" s="105"/>
      <c r="DO16" s="60">
        <f>CZ16*1.05</f>
        <v>0</v>
      </c>
      <c r="DP16" s="105"/>
      <c r="DQ16" s="60">
        <f>DB16*1.05</f>
        <v>0</v>
      </c>
      <c r="DR16" s="105"/>
      <c r="DS16" s="60">
        <f>SUM(DG16:DQ16)</f>
        <v>-27813.404043969007</v>
      </c>
      <c r="DT16" s="60"/>
      <c r="DU16" s="71"/>
      <c r="DV16" s="60">
        <f>-DW16*DV10</f>
        <v>-30594.858489487175</v>
      </c>
      <c r="DW16" s="105">
        <f>+DH16</f>
        <v>0.10367374660307886</v>
      </c>
      <c r="DX16" s="60">
        <f>DI16*1.05</f>
        <v>0</v>
      </c>
      <c r="DY16" s="105"/>
      <c r="DZ16" s="60">
        <f>DK16</f>
        <v>0</v>
      </c>
      <c r="EA16" s="105"/>
      <c r="EB16" s="60">
        <f>DM16*1.05</f>
        <v>0</v>
      </c>
      <c r="EC16" s="105"/>
      <c r="ED16" s="60">
        <f>DO16*1.05</f>
        <v>0</v>
      </c>
      <c r="EE16" s="105"/>
      <c r="EF16" s="60">
        <f>DQ16*1.05</f>
        <v>0</v>
      </c>
      <c r="EG16" s="105"/>
      <c r="EH16" s="60">
        <f>SUM(DV16:EF16)</f>
        <v>-30594.754815740573</v>
      </c>
      <c r="EI16" s="60"/>
      <c r="EJ16" s="71"/>
      <c r="EK16" s="60">
        <f>-EL16*EK10</f>
        <v>-33654.344338435891</v>
      </c>
      <c r="EL16" s="105">
        <f>+DW16</f>
        <v>0.10367374660307886</v>
      </c>
      <c r="EM16" s="60">
        <f>DX16*1.05</f>
        <v>0</v>
      </c>
      <c r="EN16" s="105"/>
      <c r="EO16" s="60">
        <f>DZ16</f>
        <v>0</v>
      </c>
      <c r="EP16" s="105"/>
      <c r="EQ16" s="60">
        <f>EB16*1.05</f>
        <v>0</v>
      </c>
      <c r="ER16" s="105"/>
      <c r="ES16" s="60">
        <f>ED16*1.05</f>
        <v>0</v>
      </c>
      <c r="ET16" s="105"/>
      <c r="EU16" s="60">
        <f>EF16*1.05</f>
        <v>0</v>
      </c>
      <c r="EV16" s="105"/>
      <c r="EW16" s="60">
        <f>SUM(EK16:EU16)</f>
        <v>-33654.240664689285</v>
      </c>
      <c r="EX16" s="60"/>
      <c r="EY16" s="71"/>
      <c r="EZ16" s="60">
        <f>-FA16*EZ10</f>
        <v>-37019.778772279475</v>
      </c>
      <c r="FA16" s="105">
        <f>+EL16</f>
        <v>0.10367374660307886</v>
      </c>
      <c r="FB16" s="60">
        <f>EM16*1.05</f>
        <v>0</v>
      </c>
      <c r="FC16" s="105"/>
      <c r="FD16" s="60">
        <f>EO16</f>
        <v>0</v>
      </c>
      <c r="FE16" s="105"/>
      <c r="FF16" s="60">
        <f>EQ16*1.05</f>
        <v>0</v>
      </c>
      <c r="FG16" s="105"/>
      <c r="FH16" s="60">
        <f>ES16*1.05</f>
        <v>0</v>
      </c>
      <c r="FI16" s="105"/>
      <c r="FJ16" s="60">
        <f>EU16*1.05</f>
        <v>0</v>
      </c>
      <c r="FK16" s="105"/>
      <c r="FL16" s="60">
        <f>SUM(EZ16:FJ16)</f>
        <v>-37019.675098532869</v>
      </c>
      <c r="FM16" s="60"/>
      <c r="FN16" s="71"/>
      <c r="FO16" s="60">
        <f>-FP16*FO10</f>
        <v>-40721.756649507428</v>
      </c>
      <c r="FP16" s="105">
        <f>+FA16</f>
        <v>0.10367374660307886</v>
      </c>
      <c r="FQ16" s="60">
        <f>FB16*1.05</f>
        <v>0</v>
      </c>
      <c r="FR16" s="105"/>
      <c r="FS16" s="60">
        <f>FD16</f>
        <v>0</v>
      </c>
      <c r="FT16" s="105"/>
      <c r="FU16" s="60">
        <f>FF16*1.05</f>
        <v>0</v>
      </c>
      <c r="FV16" s="105"/>
      <c r="FW16" s="60">
        <f>FH16*1.05</f>
        <v>0</v>
      </c>
      <c r="FX16" s="105"/>
      <c r="FY16" s="60">
        <f>FJ16*1.05</f>
        <v>0</v>
      </c>
      <c r="FZ16" s="105"/>
      <c r="GA16" s="60">
        <f>SUM(FO16:FY16)</f>
        <v>-40721.652975760822</v>
      </c>
      <c r="GB16" s="60"/>
      <c r="GC16" s="71"/>
      <c r="GD16" s="60">
        <f>-GE16*GD10</f>
        <v>-44793.932314458165</v>
      </c>
      <c r="GE16" s="105">
        <f>+FP16</f>
        <v>0.10367374660307886</v>
      </c>
      <c r="GF16" s="60">
        <f>FQ16*1.05</f>
        <v>0</v>
      </c>
      <c r="GG16" s="105"/>
      <c r="GH16" s="60">
        <f>FS16</f>
        <v>0</v>
      </c>
      <c r="GI16" s="105"/>
      <c r="GJ16" s="60">
        <f>FU16*1.05</f>
        <v>0</v>
      </c>
      <c r="GK16" s="105"/>
      <c r="GL16" s="60">
        <f>FW16*1.05</f>
        <v>0</v>
      </c>
      <c r="GM16" s="105"/>
      <c r="GN16" s="60">
        <f>FY16*1.05</f>
        <v>0</v>
      </c>
      <c r="GO16" s="105"/>
      <c r="GP16" s="60">
        <f>SUM(GD16:GN16)</f>
        <v>-44793.828640711559</v>
      </c>
      <c r="GQ16" s="60"/>
      <c r="GR16" s="71"/>
      <c r="GS16" s="60">
        <f>-GT16*GS10</f>
        <v>-49273.325545903986</v>
      </c>
      <c r="GT16" s="105">
        <f>+GE16</f>
        <v>0.10367374660307886</v>
      </c>
      <c r="GU16" s="60">
        <f>GF16*1.05</f>
        <v>0</v>
      </c>
      <c r="GV16" s="105"/>
      <c r="GW16" s="60">
        <f>GH16</f>
        <v>0</v>
      </c>
      <c r="GX16" s="105"/>
      <c r="GY16" s="60">
        <f>GJ16*1.05</f>
        <v>0</v>
      </c>
      <c r="GZ16" s="105"/>
      <c r="HA16" s="60">
        <f>GL16*1.05</f>
        <v>0</v>
      </c>
      <c r="HB16" s="105"/>
      <c r="HC16" s="60">
        <f>GN16*1.05</f>
        <v>0</v>
      </c>
      <c r="HD16" s="105"/>
      <c r="HE16" s="60">
        <f>SUM(GS16:HC16)</f>
        <v>-49273.221872157381</v>
      </c>
      <c r="HF16" s="60"/>
      <c r="HG16" s="71"/>
      <c r="HH16" s="60">
        <f>-HI16*HH10</f>
        <v>-54200.65810049438</v>
      </c>
      <c r="HI16" s="105">
        <f>+GT16</f>
        <v>0.10367374660307886</v>
      </c>
      <c r="HJ16" s="60">
        <f>GU16*1.05</f>
        <v>0</v>
      </c>
      <c r="HK16" s="105"/>
      <c r="HL16" s="60">
        <f>GW16</f>
        <v>0</v>
      </c>
      <c r="HM16" s="105"/>
      <c r="HN16" s="60">
        <f>GY16*1.05</f>
        <v>0</v>
      </c>
      <c r="HO16" s="105"/>
      <c r="HP16" s="60">
        <f>HA16*1.05</f>
        <v>0</v>
      </c>
      <c r="HQ16" s="105"/>
      <c r="HR16" s="60">
        <f>HC16*1.05</f>
        <v>0</v>
      </c>
      <c r="HS16" s="105"/>
      <c r="HT16" s="115">
        <f>SUM(HH16:HR16)</f>
        <v>-54200.554426747774</v>
      </c>
      <c r="HU16" s="60"/>
      <c r="HX16" t="s">
        <v>311</v>
      </c>
      <c r="HZ16" s="113">
        <f t="shared" si="14"/>
        <v>-12215</v>
      </c>
      <c r="IA16" s="116">
        <f>R16</f>
        <v>0</v>
      </c>
      <c r="IB16" s="116">
        <f>AG16</f>
        <v>-15700.000010000002</v>
      </c>
      <c r="IC16" s="116">
        <f>AV16</f>
        <v>-17269.896337253398</v>
      </c>
      <c r="ID16" s="116">
        <f>BK16</f>
        <v>-18996.896338353399</v>
      </c>
      <c r="IE16" s="116">
        <f>BZ16</f>
        <v>-20896.596339563399</v>
      </c>
      <c r="IF16" s="116">
        <f>CO16</f>
        <v>-22986.266340894399</v>
      </c>
      <c r="IG16" s="116">
        <f>DD16</f>
        <v>-25284.903342358499</v>
      </c>
      <c r="IH16" s="116">
        <f>DS16</f>
        <v>-27813.404043969007</v>
      </c>
      <c r="II16" s="116">
        <f>EH16</f>
        <v>-30594.754815740573</v>
      </c>
      <c r="IJ16" s="116">
        <f>EW16</f>
        <v>-33654.240664689285</v>
      </c>
      <c r="IK16" s="116">
        <f>FL16</f>
        <v>-37019.675098532869</v>
      </c>
      <c r="IL16" s="116">
        <f>GA16</f>
        <v>-40721.652975760822</v>
      </c>
      <c r="IM16" s="116">
        <f>GP16</f>
        <v>-44793.828640711559</v>
      </c>
      <c r="IN16" s="116">
        <f>+HE16</f>
        <v>-49273.221872157381</v>
      </c>
      <c r="IO16" s="116">
        <f>+HT16</f>
        <v>-54200.554426747774</v>
      </c>
    </row>
    <row r="17" spans="2:249" ht="15.6">
      <c r="C17" s="114"/>
      <c r="D17" s="114"/>
      <c r="E17" s="71"/>
      <c r="G17" s="105"/>
      <c r="H17" s="72"/>
      <c r="I17" s="105"/>
      <c r="K17" s="105"/>
      <c r="M17" s="105"/>
      <c r="N17" s="118"/>
      <c r="O17" s="105"/>
      <c r="Q17" s="105"/>
      <c r="R17" s="60">
        <f t="shared" si="15"/>
        <v>0</v>
      </c>
      <c r="S17" s="105">
        <f t="shared" si="16"/>
        <v>0</v>
      </c>
      <c r="T17" s="71"/>
      <c r="V17" s="105"/>
      <c r="W17" s="72"/>
      <c r="X17" s="105">
        <f>I17</f>
        <v>0</v>
      </c>
      <c r="Z17" s="105"/>
      <c r="AB17" s="105"/>
      <c r="AC17" s="118"/>
      <c r="AD17" s="105"/>
      <c r="AF17" s="105"/>
      <c r="AG17" s="60"/>
      <c r="AI17" s="71"/>
      <c r="AK17" s="105"/>
      <c r="AL17" s="72"/>
      <c r="AM17" s="105"/>
      <c r="AO17" s="105"/>
      <c r="AQ17" s="105"/>
      <c r="AR17" s="118"/>
      <c r="AS17" s="105"/>
      <c r="AU17" s="105"/>
      <c r="AV17" s="72">
        <f>SUM(AJ17:AU17)</f>
        <v>0</v>
      </c>
      <c r="AX17" s="71"/>
      <c r="AZ17" s="105">
        <f>AK17</f>
        <v>0</v>
      </c>
      <c r="BA17" s="72"/>
      <c r="BB17" s="105">
        <f>AM17</f>
        <v>0</v>
      </c>
      <c r="BD17" s="105"/>
      <c r="BF17" s="105">
        <f>AQ17</f>
        <v>0</v>
      </c>
      <c r="BG17" s="118"/>
      <c r="BH17" s="105"/>
      <c r="BJ17" s="105"/>
      <c r="BK17" s="72">
        <f>SUM(AY17:BJ17)</f>
        <v>0</v>
      </c>
      <c r="BM17" s="71"/>
      <c r="BO17" s="105">
        <f>AZ17</f>
        <v>0</v>
      </c>
      <c r="BP17" s="72"/>
      <c r="BQ17" s="105">
        <f>BB17</f>
        <v>0</v>
      </c>
      <c r="BS17" s="105"/>
      <c r="BU17" s="105">
        <f>BF17</f>
        <v>0</v>
      </c>
      <c r="BV17" s="118"/>
      <c r="BW17" s="105"/>
      <c r="BY17" s="105"/>
      <c r="BZ17" s="72">
        <f>SUM(BN17:BY17)</f>
        <v>0</v>
      </c>
      <c r="CB17" s="71"/>
      <c r="CD17" s="105">
        <f>BO17</f>
        <v>0</v>
      </c>
      <c r="CE17" s="72"/>
      <c r="CF17" s="105">
        <f>BQ17</f>
        <v>0</v>
      </c>
      <c r="CH17" s="105"/>
      <c r="CJ17" s="105">
        <f>BU17</f>
        <v>0</v>
      </c>
      <c r="CK17" s="118"/>
      <c r="CL17" s="105"/>
      <c r="CN17" s="105"/>
      <c r="CO17" s="72">
        <f>SUM(CC17:CN17)</f>
        <v>0</v>
      </c>
      <c r="CQ17" s="71"/>
      <c r="CS17" s="105">
        <f>CD17</f>
        <v>0</v>
      </c>
      <c r="CT17" s="72"/>
      <c r="CU17" s="105">
        <f>CF17</f>
        <v>0</v>
      </c>
      <c r="CW17" s="105"/>
      <c r="CY17" s="105">
        <f>CJ17</f>
        <v>0</v>
      </c>
      <c r="CZ17" s="118"/>
      <c r="DA17" s="105"/>
      <c r="DC17" s="105"/>
      <c r="DD17" s="72">
        <f>SUM(CR17:DC17)</f>
        <v>0</v>
      </c>
      <c r="DF17" s="71"/>
      <c r="DH17" s="105">
        <f>CS17</f>
        <v>0</v>
      </c>
      <c r="DI17" s="72"/>
      <c r="DJ17" s="105">
        <f>CU17</f>
        <v>0</v>
      </c>
      <c r="DL17" s="105"/>
      <c r="DN17" s="105">
        <f>CY17</f>
        <v>0</v>
      </c>
      <c r="DO17" s="118"/>
      <c r="DP17" s="105"/>
      <c r="DR17" s="105"/>
      <c r="DS17" s="72">
        <f>SUM(DG17:DR17)</f>
        <v>0</v>
      </c>
      <c r="DU17" s="71"/>
      <c r="DW17" s="105">
        <f>DH17</f>
        <v>0</v>
      </c>
      <c r="DX17" s="72"/>
      <c r="DY17" s="105">
        <f>DJ17</f>
        <v>0</v>
      </c>
      <c r="EA17" s="105"/>
      <c r="EC17" s="105">
        <f>DN17</f>
        <v>0</v>
      </c>
      <c r="ED17" s="118"/>
      <c r="EE17" s="105"/>
      <c r="EG17" s="105"/>
      <c r="EH17" s="72">
        <f>SUM(DV17:EG17)</f>
        <v>0</v>
      </c>
      <c r="EJ17" s="71"/>
      <c r="EL17" s="105">
        <f>DW17</f>
        <v>0</v>
      </c>
      <c r="EM17" s="72"/>
      <c r="EN17" s="105">
        <f>DY17</f>
        <v>0</v>
      </c>
      <c r="EP17" s="105"/>
      <c r="ER17" s="105">
        <f>EC17</f>
        <v>0</v>
      </c>
      <c r="ES17" s="118"/>
      <c r="ET17" s="105"/>
      <c r="EV17" s="105"/>
      <c r="EW17" s="72">
        <f>SUM(EK17:EV17)</f>
        <v>0</v>
      </c>
      <c r="EY17" s="71"/>
      <c r="FA17" s="105">
        <f>EL17</f>
        <v>0</v>
      </c>
      <c r="FB17" s="72"/>
      <c r="FC17" s="105">
        <f>EN17</f>
        <v>0</v>
      </c>
      <c r="FE17" s="105"/>
      <c r="FG17" s="105">
        <f>ER17</f>
        <v>0</v>
      </c>
      <c r="FH17" s="118"/>
      <c r="FI17" s="105"/>
      <c r="FK17" s="105"/>
      <c r="FL17" s="72">
        <f>SUM(EZ17:FK17)</f>
        <v>0</v>
      </c>
      <c r="FN17" s="71"/>
      <c r="FP17" s="105">
        <f>FA17</f>
        <v>0</v>
      </c>
      <c r="FQ17" s="72"/>
      <c r="FR17" s="105">
        <f>FC17</f>
        <v>0</v>
      </c>
      <c r="FT17" s="105"/>
      <c r="FV17" s="105">
        <f>FG17</f>
        <v>0</v>
      </c>
      <c r="FW17" s="118"/>
      <c r="FX17" s="105"/>
      <c r="FZ17" s="105"/>
      <c r="GA17" s="72">
        <f>SUM(FO17:FZ17)</f>
        <v>0</v>
      </c>
      <c r="GC17" s="71"/>
      <c r="GE17" s="105">
        <f>FP17</f>
        <v>0</v>
      </c>
      <c r="GF17" s="72"/>
      <c r="GG17" s="105">
        <f>FR17</f>
        <v>0</v>
      </c>
      <c r="GI17" s="105"/>
      <c r="GK17" s="105">
        <f>FV17</f>
        <v>0</v>
      </c>
      <c r="GL17" s="118"/>
      <c r="GM17" s="105"/>
      <c r="GO17" s="105"/>
      <c r="GP17" s="72">
        <f>SUM(GD17:GO17)</f>
        <v>0</v>
      </c>
      <c r="GR17" s="71"/>
      <c r="GT17" s="105">
        <f>GD17</f>
        <v>0</v>
      </c>
      <c r="GU17" s="72"/>
      <c r="GV17" s="105">
        <f>GF17</f>
        <v>0</v>
      </c>
      <c r="GX17" s="105"/>
      <c r="GZ17" s="105">
        <f>GJ17</f>
        <v>0</v>
      </c>
      <c r="HA17" s="118"/>
      <c r="HB17" s="105"/>
      <c r="HD17" s="105"/>
      <c r="HE17" s="72">
        <f>SUM(GS17:HD17)</f>
        <v>0</v>
      </c>
      <c r="HG17" s="71"/>
      <c r="HI17" s="105">
        <f>GS17</f>
        <v>0</v>
      </c>
      <c r="HJ17" s="72"/>
      <c r="HK17" s="105">
        <f>GU17</f>
        <v>0</v>
      </c>
      <c r="HM17" s="105"/>
      <c r="HO17" s="105">
        <f>GY17</f>
        <v>0</v>
      </c>
      <c r="HP17" s="118"/>
      <c r="HQ17" s="105"/>
      <c r="HS17" s="105"/>
      <c r="HT17" s="74">
        <f>SUM(HH17:HS17)</f>
        <v>0</v>
      </c>
      <c r="HZ17" s="113">
        <f t="shared" si="14"/>
        <v>0</v>
      </c>
      <c r="IA17" s="119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</row>
    <row r="18" spans="2:249" ht="15" thickBot="1">
      <c r="B18" s="120" t="s">
        <v>218</v>
      </c>
      <c r="C18" s="121">
        <f>SUM(C12:C17)</f>
        <v>-159457</v>
      </c>
      <c r="D18" s="122"/>
      <c r="E18" s="71"/>
      <c r="F18" s="121">
        <f>SUM(F12:F17)</f>
        <v>-65595.207404254732</v>
      </c>
      <c r="G18" s="105">
        <f>F18/F10</f>
        <v>-0.8257000000000001</v>
      </c>
      <c r="H18" s="121">
        <f>SUM(H12:H17)</f>
        <v>-38337.065103958565</v>
      </c>
      <c r="I18" s="105">
        <f>H18/H10</f>
        <v>-0.95058258671605178</v>
      </c>
      <c r="J18" s="121">
        <f>SUM(J12:J17)</f>
        <v>-3496</v>
      </c>
      <c r="K18" s="105">
        <f>J18/J10</f>
        <v>-0.76</v>
      </c>
      <c r="L18" s="121">
        <f>SUM(L12:L17)</f>
        <v>-3771.3</v>
      </c>
      <c r="M18" s="105">
        <f>L18/L10</f>
        <v>-0.83806666666666674</v>
      </c>
      <c r="N18" s="123">
        <f>SUM(N12:N17)</f>
        <v>-1402.56</v>
      </c>
      <c r="O18" s="105">
        <f>N18/N10</f>
        <v>-0.7792</v>
      </c>
      <c r="P18" s="121">
        <f>SUM(P12:P17)</f>
        <v>-1283.4608060056848</v>
      </c>
      <c r="Q18" s="105">
        <f>P18/P10</f>
        <v>-0.80216300375355298</v>
      </c>
      <c r="R18" s="121">
        <f>SUM(R12:R17)</f>
        <v>-113885.59331421898</v>
      </c>
      <c r="S18" s="105">
        <f>R18/$R$10</f>
        <v>-0.86099540862555901</v>
      </c>
      <c r="T18" s="71"/>
      <c r="U18" s="121">
        <f>SUM(U12:U17)</f>
        <v>-125347.87332399994</v>
      </c>
      <c r="V18" s="105">
        <f>U18/U10</f>
        <v>-0.82772507311783106</v>
      </c>
      <c r="W18" s="121">
        <f>SUM(W12:W17)</f>
        <v>-19718.298371694444</v>
      </c>
      <c r="X18" s="105">
        <f>W18/W10</f>
        <v>-0.74690546881872777</v>
      </c>
      <c r="Y18" s="121">
        <f>SUM(Y12:Y17)</f>
        <v>-10913.636333967541</v>
      </c>
      <c r="Z18" s="105">
        <f>Y18/Y10</f>
        <v>-0.75789141418633299</v>
      </c>
      <c r="AA18" s="121">
        <f>SUM(AA12:AA17)</f>
        <v>-35099.999992399913</v>
      </c>
      <c r="AB18" s="105">
        <f>AA18/AA10</f>
        <v>-0.87750000068749778</v>
      </c>
      <c r="AC18" s="123">
        <f>SUM(AC12:AC17)</f>
        <v>-7991.4999791999971</v>
      </c>
      <c r="AD18" s="105">
        <f>AC18/AC10</f>
        <v>-0.72649999546727251</v>
      </c>
      <c r="AE18" s="121">
        <f>SUM(AE12:AE17)</f>
        <v>-32525.743818738076</v>
      </c>
      <c r="AF18" s="105">
        <f>AE18/AE10</f>
        <v>-0.77442247371857997</v>
      </c>
      <c r="AG18" s="121">
        <f>SUM(AG12:AG17)</f>
        <v>-231597.05181999991</v>
      </c>
      <c r="AH18" s="122"/>
      <c r="AI18" s="71"/>
      <c r="AJ18" s="121">
        <f>SUM(AJ12:AJ17)</f>
        <v>-137267.03660801594</v>
      </c>
      <c r="AK18" s="105">
        <f>AJ18/AJ10</f>
        <v>-0.82402941292360576</v>
      </c>
      <c r="AL18" s="121">
        <f>SUM(AL12:AL17)</f>
        <v>-20499.927264957274</v>
      </c>
      <c r="AM18" s="105">
        <f>AL18/AL10</f>
        <v>-0.75389576008086356</v>
      </c>
      <c r="AN18" s="121">
        <f>SUM(AN12:AN17)</f>
        <v>-11750.119968072293</v>
      </c>
      <c r="AO18" s="105">
        <f>AN18/AN10</f>
        <v>-0.74180050509542383</v>
      </c>
      <c r="AP18" s="121">
        <f>SUM(AP12:AP17)</f>
        <v>-38465.999991783901</v>
      </c>
      <c r="AQ18" s="105">
        <f>AP18/AP10</f>
        <v>-0.87422727341477047</v>
      </c>
      <c r="AR18" s="123">
        <f>SUM(AR12:AR17)</f>
        <v>-8658.6499766399957</v>
      </c>
      <c r="AS18" s="105">
        <f>AR18/AR10</f>
        <v>-0.71559090455818153</v>
      </c>
      <c r="AT18" s="121">
        <f>SUM(AT12:AT17)</f>
        <v>-35522.760009103884</v>
      </c>
      <c r="AU18" s="105">
        <f>AT18/AT10</f>
        <v>-0.76889091111865637</v>
      </c>
      <c r="AV18" s="121">
        <f>SUM(AV12:AV17)</f>
        <v>-252162.40280416145</v>
      </c>
      <c r="AW18" s="122"/>
      <c r="AX18" s="71"/>
      <c r="AY18" s="121">
        <f>SUM(AY12:AY17)</f>
        <v>-150347.33501801433</v>
      </c>
      <c r="AZ18" s="105">
        <f>AY18/AY10</f>
        <v>-0.82050173728366327</v>
      </c>
      <c r="BA18" s="121">
        <f>SUM(BA12:BA17)</f>
        <v>-21314.509022123599</v>
      </c>
      <c r="BB18" s="105">
        <f>BA18/BA10</f>
        <v>-0.76102178515391494</v>
      </c>
      <c r="BC18" s="121">
        <f>SUM(BC12:BC17)</f>
        <v>-12657.507965622925</v>
      </c>
      <c r="BD18" s="105">
        <f>BC18/BC10</f>
        <v>-0.72644100096319253</v>
      </c>
      <c r="BE18" s="121">
        <f>SUM(BE12:BE17)</f>
        <v>-42161.399991113496</v>
      </c>
      <c r="BF18" s="105">
        <f>BE18/BE10</f>
        <v>-0.8711033064726218</v>
      </c>
      <c r="BG18" s="123">
        <f>SUM(BG12:BG17)</f>
        <v>-9385.914973799996</v>
      </c>
      <c r="BH18" s="105">
        <f>BG18/BG10</f>
        <v>-0.70517768141768578</v>
      </c>
      <c r="BI18" s="121">
        <f>SUM(BI12:BI17)</f>
        <v>-38806.699908930874</v>
      </c>
      <c r="BJ18" s="105">
        <f>BI18/BI10</f>
        <v>-0.76361078318236564</v>
      </c>
      <c r="BK18" s="121">
        <f>SUM(BK12:BK17)</f>
        <v>-274671.27586519334</v>
      </c>
      <c r="BL18" s="122"/>
      <c r="BM18" s="71"/>
      <c r="BN18" s="121">
        <f>SUM(BN12:BN17)</f>
        <v>-164703.34300647242</v>
      </c>
      <c r="BO18" s="105">
        <f>BN18/BN10</f>
        <v>-0.81713441053644564</v>
      </c>
      <c r="BP18" s="121">
        <f>SUM(BP12:BP17)</f>
        <v>-22163.507428965782</v>
      </c>
      <c r="BQ18" s="105">
        <f>BP18/BP10</f>
        <v>-0.76828617964586021</v>
      </c>
      <c r="BR18" s="121">
        <f>SUM(BR12:BR17)</f>
        <v>-13642.253562965787</v>
      </c>
      <c r="BS18" s="105">
        <f>BR18/BR10</f>
        <v>-0.71177965610969884</v>
      </c>
      <c r="BT18" s="121">
        <f>SUM(BT12:BT17)</f>
        <v>-46218.779990383606</v>
      </c>
      <c r="BU18" s="105">
        <f>BT18/BT10</f>
        <v>-0.86812133802784353</v>
      </c>
      <c r="BV18" s="123">
        <f>SUM(BV12:BV17)</f>
        <v>-10178.976470650796</v>
      </c>
      <c r="BW18" s="105">
        <f>BV18/BV10</f>
        <v>-0.69523778660175795</v>
      </c>
      <c r="BX18" s="121">
        <f>SUM(BX12:BX17)</f>
        <v>-42405.616993686388</v>
      </c>
      <c r="BY18" s="105">
        <f>BX18/BX10</f>
        <v>-0.75857066106136073</v>
      </c>
      <c r="BZ18" s="121">
        <f>SUM(BZ12:BZ17)</f>
        <v>-299310.38643871294</v>
      </c>
      <c r="CA18" s="122"/>
      <c r="CB18" s="71"/>
      <c r="CC18" s="121">
        <f>SUM(CC12:CC17)</f>
        <v>-180461.01551810911</v>
      </c>
      <c r="CD18" s="105">
        <f>CC18/CC10</f>
        <v>-0.81392014409591951</v>
      </c>
      <c r="CE18" s="121">
        <f>SUM(CE12:CE17)</f>
        <v>-23048.453944822159</v>
      </c>
      <c r="CF18" s="105">
        <f>CE18/CE10</f>
        <v>-0.77569163034153266</v>
      </c>
      <c r="CG18" s="121">
        <f>SUM(CG12:CG17)</f>
        <v>-14711.423460081962</v>
      </c>
      <c r="CH18" s="105">
        <f>CG18/CG10</f>
        <v>-0.69778473602227309</v>
      </c>
      <c r="CI18" s="121">
        <f>SUM(CI12:CI17)</f>
        <v>-50673.959989588657</v>
      </c>
      <c r="CJ18" s="105">
        <f>CI18/CI10</f>
        <v>-0.86527491360328213</v>
      </c>
      <c r="CK18" s="123">
        <f>SUM(CK12:CK17)</f>
        <v>-11044.067617160214</v>
      </c>
      <c r="CL18" s="105">
        <f>CK18/CK10</f>
        <v>-0.68574970518655387</v>
      </c>
      <c r="CM18" s="121">
        <f>SUM(CM12:CM17)</f>
        <v>-46350.338141610577</v>
      </c>
      <c r="CN18" s="105">
        <f>CM18/CM10</f>
        <v>-0.75375963540040158</v>
      </c>
      <c r="CO18" s="121">
        <f>SUM(CO12:CO17)</f>
        <v>-326287.16765696084</v>
      </c>
      <c r="CP18" s="122"/>
      <c r="CQ18" s="71"/>
      <c r="CR18" s="121">
        <f>SUM(CR12:CR17)</f>
        <v>-198002.1671783175</v>
      </c>
      <c r="CS18" s="105">
        <f>CR18/CR10</f>
        <v>-0.81184974533843013</v>
      </c>
      <c r="CT18" s="121">
        <f>SUM(CT12:CT17)</f>
        <v>-23970.950920803603</v>
      </c>
      <c r="CU18" s="105">
        <f>CT18/CT10</f>
        <v>-0.78324087619634453</v>
      </c>
      <c r="CV18" s="121">
        <f>SUM(CV12:CV17)</f>
        <v>-15872.757573950737</v>
      </c>
      <c r="CW18" s="105">
        <f>CV18/CV10</f>
        <v>-0.68442594866609408</v>
      </c>
      <c r="CX18" s="121">
        <f>SUM(CX12:CX17)</f>
        <v>-55566.323088722558</v>
      </c>
      <c r="CY18" s="105">
        <f>CX18/CX10</f>
        <v>-0.86255787210711021</v>
      </c>
      <c r="CZ18" s="123">
        <f>SUM(CZ12:CZ17)</f>
        <v>-11988.027553292794</v>
      </c>
      <c r="DA18" s="105">
        <f>CZ18/CZ10</f>
        <v>-0.67669290019931394</v>
      </c>
      <c r="DB18" s="121">
        <f>SUM(DB12:DB17)</f>
        <v>-50674.739376754966</v>
      </c>
      <c r="DC18" s="105">
        <f>DB18/DB10</f>
        <v>-0.74916729272403149</v>
      </c>
      <c r="DD18" s="121">
        <f>SUM(DD12:DD17)</f>
        <v>-356072.87367966567</v>
      </c>
      <c r="DE18" s="122"/>
      <c r="DF18" s="71"/>
      <c r="DG18" s="121">
        <f>SUM(DG12:DG17)</f>
        <v>-217016.67427376509</v>
      </c>
      <c r="DH18" s="105">
        <f>DG18/DG10</f>
        <v>-0.80892104389158703</v>
      </c>
      <c r="DI18" s="121">
        <f>SUM(DI12:DI17)</f>
        <v>-24932.674973946319</v>
      </c>
      <c r="DJ18" s="105">
        <f>DI18/DI10</f>
        <v>-0.79093670934930782</v>
      </c>
      <c r="DK18" s="121">
        <f>SUM(DK12:DK17)</f>
        <v>-17134.734687599419</v>
      </c>
      <c r="DL18" s="105">
        <f>DK18/DK10</f>
        <v>-0.67167437891701398</v>
      </c>
      <c r="DM18" s="121">
        <f>SUM(DM12:DM17)</f>
        <v>-60939.170852778603</v>
      </c>
      <c r="DN18" s="105">
        <f>DM18/DM10</f>
        <v>-0.85996433249712789</v>
      </c>
      <c r="DO18" s="123">
        <f>SUM(DO12:DO17)</f>
        <v>-13018.36114175946</v>
      </c>
      <c r="DP18" s="105">
        <f>DO18/DO10</f>
        <v>-0.66804776816603939</v>
      </c>
      <c r="DQ18" s="121">
        <f>SUM(DQ12:DQ17)</f>
        <v>-52659.551296809012</v>
      </c>
      <c r="DR18" s="105">
        <f>DQ18/DQ10</f>
        <v>-0.70773676062266622</v>
      </c>
      <c r="DS18" s="121">
        <f>SUM(DS12:DS17)</f>
        <v>-385699.07521448139</v>
      </c>
      <c r="DT18" s="122"/>
      <c r="DU18" s="71"/>
      <c r="DV18" s="121">
        <f>SUM(DV12:DV17)</f>
        <v>-237893.34659763836</v>
      </c>
      <c r="DW18" s="105">
        <f>DV18/DV10</f>
        <v>-0.80612546523778272</v>
      </c>
      <c r="DX18" s="121">
        <f>SUM(DX12:DX17)</f>
        <v>-25935.380524959255</v>
      </c>
      <c r="DY18" s="105">
        <f>DX18/DX10</f>
        <v>-0.79878197615572699</v>
      </c>
      <c r="DZ18" s="121">
        <f>SUM(DZ12:DZ17)</f>
        <v>-18506.644580425647</v>
      </c>
      <c r="EA18" s="105">
        <f>DZ18/DZ10</f>
        <v>-0.65950242597471032</v>
      </c>
      <c r="EB18" s="121">
        <f>SUM(EB12:EB17)</f>
        <v>-66840.114165999446</v>
      </c>
      <c r="EC18" s="105">
        <f>EB18/EB10</f>
        <v>-0.85748868105123566</v>
      </c>
      <c r="ED18" s="123">
        <f>SUM(ED12:ED17)</f>
        <v>-14143.304630729661</v>
      </c>
      <c r="EE18" s="105">
        <f>ED18/ED10</f>
        <v>-0.65979559667973187</v>
      </c>
      <c r="EF18" s="121">
        <f>SUM(EF12:EF17)</f>
        <v>-57583.034008124021</v>
      </c>
      <c r="EG18" s="105">
        <f>EF18/EF10</f>
        <v>-0.70355241533283297</v>
      </c>
      <c r="EH18" s="121">
        <f>SUM(EH12:EH17)</f>
        <v>-420899.73249569989</v>
      </c>
      <c r="EI18" s="122"/>
      <c r="EJ18" s="71"/>
      <c r="EK18" s="121">
        <f>SUM(EK12:EK17)</f>
        <v>-260816.43639872369</v>
      </c>
      <c r="EL18" s="105">
        <f>EK18/EK10</f>
        <v>-0.80345695834096909</v>
      </c>
      <c r="EM18" s="121">
        <f>SUM(EM12:EM17)</f>
        <v>-26980.903507592306</v>
      </c>
      <c r="EN18" s="105">
        <f>EM18/EM10</f>
        <v>-0.80677957823994062</v>
      </c>
      <c r="EO18" s="121">
        <f>SUM(EO12:EO17)</f>
        <v>-19998.667283737817</v>
      </c>
      <c r="EP18" s="105">
        <f>EO18/EO10</f>
        <v>-0.64788374362069334</v>
      </c>
      <c r="EQ18" s="121">
        <f>SUM(EQ12:EQ17)</f>
        <v>-73321.503121939502</v>
      </c>
      <c r="ER18" s="105">
        <f>EQ18/EQ10</f>
        <v>-0.85512555921652023</v>
      </c>
      <c r="ES18" s="123">
        <f>SUM(ES12:ES17)</f>
        <v>-15371.897837336594</v>
      </c>
      <c r="ET18" s="105">
        <f>ES18/ES10</f>
        <v>-0.65191852389734739</v>
      </c>
      <c r="EU18" s="121">
        <f>SUM(EU12:EU17)</f>
        <v>-62981.741369652249</v>
      </c>
      <c r="EV18" s="105">
        <f>EU18/EU10</f>
        <v>-0.69955826755617412</v>
      </c>
      <c r="EW18" s="121">
        <f>SUM(EW12:EW17)</f>
        <v>-459469.05750680569</v>
      </c>
      <c r="EX18" s="122"/>
      <c r="EY18" s="71"/>
      <c r="EZ18" s="121">
        <f>SUM(EZ12:EZ17)</f>
        <v>-285988.52293698362</v>
      </c>
      <c r="FA18" s="105">
        <f>EZ18/EZ10</f>
        <v>-0.80090974721219255</v>
      </c>
      <c r="FB18" s="121">
        <f>SUM(FB12:FB17)</f>
        <v>-28071.165258048561</v>
      </c>
      <c r="FC18" s="105">
        <f>FB18/FB10</f>
        <v>-0.81493247356850784</v>
      </c>
      <c r="FD18" s="121">
        <f>SUM(FD12:FD17)</f>
        <v>-21621.960169644677</v>
      </c>
      <c r="FE18" s="105">
        <f>FD18/FD10</f>
        <v>-0.63679318319185862</v>
      </c>
      <c r="FF18" s="121">
        <f>SUM(FF12:FF17)</f>
        <v>-80440.89985044059</v>
      </c>
      <c r="FG18" s="105">
        <f>FF18/FF10</f>
        <v>-0.85286985201065557</v>
      </c>
      <c r="FH18" s="123">
        <f>SUM(FH12:FH17)</f>
        <v>-16714.063501780915</v>
      </c>
      <c r="FI18" s="105">
        <f>FH18/FH10</f>
        <v>-0.64439949987779843</v>
      </c>
      <c r="FJ18" s="121">
        <f>SUM(FJ12:FJ17)</f>
        <v>-68902.339665369102</v>
      </c>
      <c r="FK18" s="105">
        <f>FJ18/FJ10</f>
        <v>-0.69574567195118164</v>
      </c>
      <c r="FL18" s="121">
        <f>SUM(FL12:FL17)</f>
        <v>-501736.859370091</v>
      </c>
      <c r="FM18" s="122"/>
      <c r="FN18" s="71"/>
      <c r="FO18" s="121">
        <f>SUM(FO12:FO17)</f>
        <v>-313632.34027398902</v>
      </c>
      <c r="FP18" s="105">
        <f>FO18/FO10</f>
        <v>-0.79847831840745143</v>
      </c>
      <c r="FQ18" s="121">
        <f>SUM(FQ12:FQ17)</f>
        <v>-29208.176593279921</v>
      </c>
      <c r="FR18" s="105">
        <f>FQ18/FQ10</f>
        <v>-0.82324367754423167</v>
      </c>
      <c r="FS18" s="121">
        <f>SUM(FS12:FS17)</f>
        <v>-23388.753652018881</v>
      </c>
      <c r="FT18" s="105">
        <f>FS18/FS10</f>
        <v>-0.62620673914615299</v>
      </c>
      <c r="FU18" s="121">
        <f>SUM(FU12:FU17)</f>
        <v>-88261.598572607138</v>
      </c>
      <c r="FV18" s="105">
        <f>FU18/FU10</f>
        <v>-0.85071667695051212</v>
      </c>
      <c r="FW18" s="123">
        <f>SUM(FW12:FW17)</f>
        <v>-18180.694526705207</v>
      </c>
      <c r="FX18" s="105">
        <f>FW18/FW10</f>
        <v>-0.63722224967732011</v>
      </c>
      <c r="FY18" s="121">
        <f>SUM(FY12:FY17)</f>
        <v>-75396.118998595193</v>
      </c>
      <c r="FZ18" s="105">
        <f>FY18/FY10</f>
        <v>-0.6921063761464159</v>
      </c>
      <c r="GA18" s="121">
        <f>SUM(GA12:GA17)</f>
        <v>-548065.59060501889</v>
      </c>
      <c r="GB18" s="122"/>
      <c r="GC18" s="71"/>
      <c r="GD18" s="121">
        <f>SUM(GD12:GD17)</f>
        <v>-343992.78759686026</v>
      </c>
      <c r="GE18" s="105">
        <f>GD18/GD10</f>
        <v>-0.79615740909383492</v>
      </c>
      <c r="GF18" s="121">
        <f>SUM(GF12:GF17)</f>
        <v>-30394.042087442722</v>
      </c>
      <c r="GG18" s="105">
        <f>GF18/GF10</f>
        <v>-0.83171626412142585</v>
      </c>
      <c r="GH18" s="121">
        <f>SUM(GH12:GH17)</f>
        <v>-25312.456355900991</v>
      </c>
      <c r="GI18" s="105">
        <f>GH18/GH10</f>
        <v>-0.61610149710252471</v>
      </c>
      <c r="GJ18" s="121">
        <f>SUM(GJ12:GJ17)</f>
        <v>-96853.197603846464</v>
      </c>
      <c r="GK18" s="105">
        <f>GJ18/GJ10</f>
        <v>-0.84866137348401149</v>
      </c>
      <c r="GL18" s="123">
        <f>SUM(GL12:GL17)</f>
        <v>-19783.749887859238</v>
      </c>
      <c r="GM18" s="105">
        <f>GL18/GL10</f>
        <v>-0.63037123812231799</v>
      </c>
      <c r="GN18" s="121">
        <f>SUM(GN12:GN17)</f>
        <v>-82519.453533478372</v>
      </c>
      <c r="GO18" s="105">
        <f>GN18/GN10</f>
        <v>-0.68863250287823052</v>
      </c>
      <c r="GP18" s="121">
        <f>SUM(GP12:GP17)</f>
        <v>-598853.59505321155</v>
      </c>
      <c r="GQ18" s="122"/>
      <c r="GR18" s="71"/>
      <c r="GS18" s="121">
        <f>SUM(GS12:GS17)</f>
        <v>-377339.14031679218</v>
      </c>
      <c r="GT18" s="105">
        <f>GS18/GS10</f>
        <v>-0.79394199565810974</v>
      </c>
      <c r="GU18" s="121">
        <f>SUM(GU12:GU17)</f>
        <v>-31630.964556248626</v>
      </c>
      <c r="GV18" s="105">
        <f>GU18/GU10</f>
        <v>-0.84035336694283735</v>
      </c>
      <c r="GW18" s="121">
        <f>SUM(GW12:GW17)</f>
        <v>-27407.770697105327</v>
      </c>
      <c r="GX18" s="105">
        <f>GW18/GW10</f>
        <v>-0.60645558424269796</v>
      </c>
      <c r="GY18" s="121">
        <f>SUM(GY12:GY17)</f>
        <v>-106292.22849690865</v>
      </c>
      <c r="GZ18" s="105">
        <f>GY18/GY10</f>
        <v>-0.84669949290235169</v>
      </c>
      <c r="HA18" s="123">
        <f>SUM(HA12:HA17)</f>
        <v>-21536.36008055284</v>
      </c>
      <c r="HB18" s="105">
        <f>HA18/HA10</f>
        <v>-0.62383163618345217</v>
      </c>
      <c r="HC18" s="121">
        <f>SUM(HC12:HC17)</f>
        <v>-90334.307653601063</v>
      </c>
      <c r="HD18" s="105">
        <f>HC18/HC10</f>
        <v>-0.68531653294041739</v>
      </c>
      <c r="HE18" s="121">
        <f>SUM(HE12:HE17)</f>
        <v>-654538.67978903221</v>
      </c>
      <c r="HF18" s="122"/>
      <c r="HG18" s="71"/>
      <c r="HH18" s="121">
        <f>SUM(HH12:HH17)</f>
        <v>-413967.4820067297</v>
      </c>
      <c r="HI18" s="105">
        <f>HH18/HH10</f>
        <v>-0.79182728283309967</v>
      </c>
      <c r="HJ18" s="121">
        <f>SUM(HJ12:HJ17)</f>
        <v>-32921.249759427839</v>
      </c>
      <c r="HK18" s="105">
        <f>HJ18/HJ10</f>
        <v>-0.84915818049864522</v>
      </c>
      <c r="HL18" s="121">
        <f>SUM(HL12:HL17)</f>
        <v>-29690.819907710811</v>
      </c>
      <c r="HM18" s="105">
        <f>HL18/HL10</f>
        <v>-0.59724812196740873</v>
      </c>
      <c r="HN18" s="121">
        <f>SUM(HN12:HN17)</f>
        <v>-116662.84803591092</v>
      </c>
      <c r="HO18" s="105">
        <f>HN18/HN10</f>
        <v>-0.84482678871076744</v>
      </c>
      <c r="HP18" s="123">
        <f>SUM(HP12:HP17)</f>
        <v>-23452.943052711191</v>
      </c>
      <c r="HQ18" s="105">
        <f>HP18/HP10</f>
        <v>-0.61758928887817133</v>
      </c>
      <c r="HR18" s="121">
        <f>SUM(HR12:HR17)</f>
        <v>-98908.792624074733</v>
      </c>
      <c r="HS18" s="105">
        <f>HR18/HR10</f>
        <v>-0.68215128890886823</v>
      </c>
      <c r="HT18" s="123">
        <f>SUM(HT12:HT17)</f>
        <v>-715602.04337438871</v>
      </c>
      <c r="HU18" s="122"/>
      <c r="HX18" s="108" t="s">
        <v>218</v>
      </c>
      <c r="HZ18" s="124">
        <f>SUM(HZ12:HZ17)</f>
        <v>-159457</v>
      </c>
      <c r="IA18" s="124">
        <f t="shared" ref="IA18:IM18" si="17">SUM(IA12:IA17)</f>
        <v>-113885.59331421898</v>
      </c>
      <c r="IB18" s="124">
        <f t="shared" si="17"/>
        <v>-231597.05181999991</v>
      </c>
      <c r="IC18" s="124">
        <f t="shared" si="17"/>
        <v>-252162.40280416145</v>
      </c>
      <c r="ID18" s="124">
        <f t="shared" si="17"/>
        <v>-274671.27586519334</v>
      </c>
      <c r="IE18" s="124">
        <f t="shared" si="17"/>
        <v>-299310.38643871294</v>
      </c>
      <c r="IF18" s="124">
        <f t="shared" si="17"/>
        <v>-326287.16765696084</v>
      </c>
      <c r="IG18" s="124">
        <f t="shared" si="17"/>
        <v>-356072.87367966567</v>
      </c>
      <c r="IH18" s="124">
        <f t="shared" si="17"/>
        <v>-385699.07521448139</v>
      </c>
      <c r="II18" s="124">
        <f t="shared" si="17"/>
        <v>-420899.73249569989</v>
      </c>
      <c r="IJ18" s="124">
        <f t="shared" si="17"/>
        <v>-459469.05750680569</v>
      </c>
      <c r="IK18" s="124">
        <f t="shared" si="17"/>
        <v>-501736.859370091</v>
      </c>
      <c r="IL18" s="124">
        <f t="shared" si="17"/>
        <v>-548065.59060501889</v>
      </c>
      <c r="IM18" s="124">
        <f t="shared" si="17"/>
        <v>-598853.59505321155</v>
      </c>
      <c r="IN18" s="124">
        <f>SUM(IN12:IN17)</f>
        <v>-654538.67978903221</v>
      </c>
      <c r="IO18" s="124">
        <f>SUM(IO12:IO17)</f>
        <v>-715602.04337438871</v>
      </c>
    </row>
    <row r="19" spans="2:249" ht="15.6" thickTop="1" thickBot="1">
      <c r="B19" s="125" t="s">
        <v>312</v>
      </c>
      <c r="C19" s="126">
        <f>C10+C18</f>
        <v>-37396</v>
      </c>
      <c r="D19" s="127"/>
      <c r="E19" s="71"/>
      <c r="F19" s="128">
        <f>F10+F18</f>
        <v>13846.72962403002</v>
      </c>
      <c r="G19" s="105">
        <f>F19/F10</f>
        <v>0.17429999999999984</v>
      </c>
      <c r="H19" s="128">
        <f>H10+H18</f>
        <v>1993.0078846498582</v>
      </c>
      <c r="I19" s="105">
        <f>H19/H10</f>
        <v>4.9417413283948199E-2</v>
      </c>
      <c r="J19" s="128">
        <f>J10+J18</f>
        <v>1104</v>
      </c>
      <c r="K19" s="105">
        <f>J19/J10</f>
        <v>0.24</v>
      </c>
      <c r="L19" s="128">
        <f>L10+L18</f>
        <v>728.69999999999982</v>
      </c>
      <c r="M19" s="105">
        <f>L19/L10</f>
        <v>0.16193333333333329</v>
      </c>
      <c r="N19" s="129">
        <f>N10+N18</f>
        <v>397.44000000000005</v>
      </c>
      <c r="O19" s="105">
        <f>N19/N10</f>
        <v>0.22080000000000002</v>
      </c>
      <c r="P19" s="128">
        <f>P10+P18</f>
        <v>316.53919399431516</v>
      </c>
      <c r="Q19" s="105">
        <f>P19/P10</f>
        <v>0.19783699624644696</v>
      </c>
      <c r="R19" s="128">
        <f>R10+R18</f>
        <v>18386.416702674207</v>
      </c>
      <c r="S19" s="105">
        <f>R19/R10</f>
        <v>0.13900459137444102</v>
      </c>
      <c r="T19" s="71"/>
      <c r="U19" s="128">
        <f>U10+U18</f>
        <v>26088.729716000045</v>
      </c>
      <c r="V19" s="105">
        <f>U19/U10</f>
        <v>0.17227492688216897</v>
      </c>
      <c r="W19" s="128">
        <f>W10+W18</f>
        <v>6681.6935883055557</v>
      </c>
      <c r="X19" s="105">
        <f>W19/W10</f>
        <v>0.25309453118127223</v>
      </c>
      <c r="Y19" s="128">
        <f>Y10+Y18</f>
        <v>3486.363626032462</v>
      </c>
      <c r="Z19" s="105">
        <f>Y19/Y10</f>
        <v>0.24210858581366698</v>
      </c>
      <c r="AA19" s="128">
        <f>AA10+AA18</f>
        <v>4899.999967600088</v>
      </c>
      <c r="AB19" s="105">
        <f>AA19/AA10</f>
        <v>0.12249999931250219</v>
      </c>
      <c r="AC19" s="129">
        <f>AC10+AC18</f>
        <v>3008.5000608000018</v>
      </c>
      <c r="AD19" s="105">
        <f>AC19/AC10</f>
        <v>0.27350000453272744</v>
      </c>
      <c r="AE19" s="128">
        <f>AE10+AE18</f>
        <v>9474.2560812618758</v>
      </c>
      <c r="AF19" s="105">
        <f>AE19/AE10</f>
        <v>0.22557752628141997</v>
      </c>
      <c r="AG19" s="128">
        <f>AG10+AG18</f>
        <v>53639.543040000048</v>
      </c>
      <c r="AH19" s="411">
        <f>AG19/AG10</f>
        <v>0.18805280951529887</v>
      </c>
      <c r="AI19" s="71"/>
      <c r="AJ19" s="128">
        <f>AJ10+AJ18</f>
        <v>29313.226735984033</v>
      </c>
      <c r="AK19" s="105">
        <f>AJ19/AJ10</f>
        <v>0.17597058707639426</v>
      </c>
      <c r="AL19" s="128">
        <f>AL10+AL18</f>
        <v>6692.0644538427259</v>
      </c>
      <c r="AM19" s="105">
        <f>AL19/AL10</f>
        <v>0.24610423991913641</v>
      </c>
      <c r="AN19" s="128">
        <f>AN10+AN18</f>
        <v>4089.8799879277103</v>
      </c>
      <c r="AO19" s="105">
        <f>AN19/AN10</f>
        <v>0.25819949490457622</v>
      </c>
      <c r="AP19" s="128">
        <f>AP10+AP18</f>
        <v>5533.9999642160983</v>
      </c>
      <c r="AQ19" s="105">
        <f>AP19/AP10</f>
        <v>0.12577272658522951</v>
      </c>
      <c r="AR19" s="129">
        <f>AR10+AR18</f>
        <v>3441.3500673600029</v>
      </c>
      <c r="AS19" s="105">
        <f>AR19/AR10</f>
        <v>0.28440909544181842</v>
      </c>
      <c r="AT19" s="128">
        <f>AT10+AT18</f>
        <v>10677.239880896064</v>
      </c>
      <c r="AU19" s="105">
        <f>AT19/AT10</f>
        <v>0.23110908888134363</v>
      </c>
      <c r="AV19" s="128">
        <f>AV10+AV18</f>
        <v>59749.852104638441</v>
      </c>
      <c r="AW19" s="130">
        <f>AV19/AV10</f>
        <v>0.19155980941533932</v>
      </c>
      <c r="AX19" s="71"/>
      <c r="AY19" s="128">
        <f>AY10+AY18</f>
        <v>32890.954660385643</v>
      </c>
      <c r="AZ19" s="105">
        <f>AY19/AY10</f>
        <v>0.17949826271633668</v>
      </c>
      <c r="BA19" s="128">
        <f>BA10+BA18</f>
        <v>6693.2424482404022</v>
      </c>
      <c r="BB19" s="105">
        <f>BA19/BA10</f>
        <v>0.23897821484608503</v>
      </c>
      <c r="BC19" s="128">
        <f>BC10+BC18</f>
        <v>4766.491985977078</v>
      </c>
      <c r="BD19" s="105">
        <f>BC19/BC10</f>
        <v>0.27355899903680742</v>
      </c>
      <c r="BE19" s="128">
        <f>BE10+BE18</f>
        <v>6238.5999604865065</v>
      </c>
      <c r="BF19" s="105">
        <f>BE19/BE10</f>
        <v>0.12889669352737823</v>
      </c>
      <c r="BG19" s="129">
        <f>BG10+BG18</f>
        <v>3924.0850746000015</v>
      </c>
      <c r="BH19" s="105">
        <f>BG19/BG10</f>
        <v>0.29482231858231422</v>
      </c>
      <c r="BI19" s="128">
        <f>BI10+BI18</f>
        <v>12013.299970069071</v>
      </c>
      <c r="BJ19" s="105">
        <f>BI19/BI10</f>
        <v>0.23638921681763439</v>
      </c>
      <c r="BK19" s="128">
        <f>BK10+BK18</f>
        <v>66528.765114170616</v>
      </c>
      <c r="BL19" s="130">
        <f>BK19/BK10</f>
        <v>0.19498463400886382</v>
      </c>
      <c r="BM19" s="71"/>
      <c r="BN19" s="128">
        <f>BN10+BN18</f>
        <v>36858.775639767555</v>
      </c>
      <c r="BO19" s="105">
        <f>BN19/BN10</f>
        <v>0.18286558946355436</v>
      </c>
      <c r="BP19" s="128">
        <f>BP10+BP18</f>
        <v>6684.4765855091391</v>
      </c>
      <c r="BQ19" s="105">
        <f>BP19/BP10</f>
        <v>0.23171382035413982</v>
      </c>
      <c r="BR19" s="128">
        <f>BR10+BR18</f>
        <v>5524.1463837942174</v>
      </c>
      <c r="BS19" s="105">
        <f>BR19/BR10</f>
        <v>0.2882203438903011</v>
      </c>
      <c r="BT19" s="128">
        <f>BT10+BT18</f>
        <v>7021.2199563763934</v>
      </c>
      <c r="BU19" s="105">
        <f>BT19/BT10</f>
        <v>0.13187866197215653</v>
      </c>
      <c r="BV19" s="129">
        <f>BV10+BV18</f>
        <v>4462.0235825892014</v>
      </c>
      <c r="BW19" s="105">
        <f>BV19/BV10</f>
        <v>0.30476221339824205</v>
      </c>
      <c r="BX19" s="128">
        <f>BX10+BX18</f>
        <v>13496.382873213552</v>
      </c>
      <c r="BY19" s="105">
        <f>BX19/BX10</f>
        <v>0.24142933893863924</v>
      </c>
      <c r="BZ19" s="128">
        <f>BZ10+BZ18</f>
        <v>74049.116035661893</v>
      </c>
      <c r="CA19" s="130">
        <f>BZ19/BZ10</f>
        <v>0.19833194426528405</v>
      </c>
      <c r="CB19" s="71"/>
      <c r="CC19" s="128">
        <f>CC10+CC18</f>
        <v>41257.314992754866</v>
      </c>
      <c r="CD19" s="105">
        <f>CC19/CC10</f>
        <v>0.18607985590408052</v>
      </c>
      <c r="CE19" s="128">
        <f>CE10+CE18</f>
        <v>6664.9695900870101</v>
      </c>
      <c r="CF19" s="105">
        <f>CE19/CE10</f>
        <v>0.22430836965846737</v>
      </c>
      <c r="CG19" s="128">
        <f>CG10+CG18</f>
        <v>6371.6164813540418</v>
      </c>
      <c r="CH19" s="105">
        <f>CG19/CG10</f>
        <v>0.30221526397772691</v>
      </c>
      <c r="CI19" s="128">
        <f>CI10+CI18</f>
        <v>7890.0399518473423</v>
      </c>
      <c r="CJ19" s="105">
        <f>CI19/CI10</f>
        <v>0.13472508639671782</v>
      </c>
      <c r="CK19" s="129">
        <f>CK10+CK18</f>
        <v>5061.0324414037841</v>
      </c>
      <c r="CL19" s="105">
        <f>CK19/CK10</f>
        <v>0.31425029481344607</v>
      </c>
      <c r="CM19" s="128">
        <f>CM10+CM18</f>
        <v>15141.861711979356</v>
      </c>
      <c r="CN19" s="105">
        <f>CM19/CM10</f>
        <v>0.24624036459959839</v>
      </c>
      <c r="CO19" s="128">
        <f>CO10+CO18</f>
        <v>82388.926183838223</v>
      </c>
      <c r="CP19" s="130">
        <f>CO19/CO10</f>
        <v>0.2015995734165284</v>
      </c>
      <c r="CQ19" s="71"/>
      <c r="CR19" s="128">
        <f>CR10+CR18</f>
        <v>45887.996383632882</v>
      </c>
      <c r="CS19" s="105">
        <f>CR19/CR10</f>
        <v>0.18815025466156982</v>
      </c>
      <c r="CT19" s="128">
        <f>CT10+CT18</f>
        <v>6633.8753201528416</v>
      </c>
      <c r="CU19" s="105">
        <f>CT19/CT10</f>
        <v>0.21675912380365547</v>
      </c>
      <c r="CV19" s="128">
        <f>CV10+CV18</f>
        <v>7318.5863616288661</v>
      </c>
      <c r="CW19" s="105">
        <f>CV19/CV10</f>
        <v>0.31557405133390592</v>
      </c>
      <c r="CX19" s="128">
        <f>CX10+CX18</f>
        <v>8854.0768468570386</v>
      </c>
      <c r="CY19" s="105">
        <f>CX19/CX10</f>
        <v>0.13744212789288976</v>
      </c>
      <c r="CZ19" s="129">
        <f>CZ10+CZ18</f>
        <v>5727.5825111276044</v>
      </c>
      <c r="DA19" s="105">
        <f>CZ19/CZ10</f>
        <v>0.32330709980068606</v>
      </c>
      <c r="DB19" s="128">
        <f>DB10+DB18</f>
        <v>16966.680462193966</v>
      </c>
      <c r="DC19" s="105">
        <f>DB19/DB10</f>
        <v>0.25083270727596851</v>
      </c>
      <c r="DD19" s="128">
        <f>DD10+DD18</f>
        <v>91390.889897769724</v>
      </c>
      <c r="DE19" s="130">
        <f>DD19/DD10</f>
        <v>0.2042419908309607</v>
      </c>
      <c r="DF19" s="71"/>
      <c r="DG19" s="128">
        <f>DG10+DG18</f>
        <v>51262.505644380319</v>
      </c>
      <c r="DH19" s="105">
        <f>DG19/DG10</f>
        <v>0.19107895610841291</v>
      </c>
      <c r="DI19" s="128">
        <f>DI10+DI18</f>
        <v>6590.2960542388173</v>
      </c>
      <c r="DJ19" s="105">
        <f>DI19/DI10</f>
        <v>0.20906329065069215</v>
      </c>
      <c r="DK19" s="128">
        <f>DK10+DK18</f>
        <v>8375.7436415381453</v>
      </c>
      <c r="DL19" s="105">
        <f>DK19/DK10</f>
        <v>0.32832562108298596</v>
      </c>
      <c r="DM19" s="128">
        <f>DM10+DM18</f>
        <v>9923.2690763589562</v>
      </c>
      <c r="DN19" s="105">
        <f>DM19/DM10</f>
        <v>0.14003566750287211</v>
      </c>
      <c r="DO19" s="129">
        <f>DO10+DO18</f>
        <v>6468.8099291029775</v>
      </c>
      <c r="DP19" s="105">
        <f>DO19/DO10</f>
        <v>0.33195223183396055</v>
      </c>
      <c r="DQ19" s="128">
        <f>DQ10+DQ18</f>
        <v>21746.010526034814</v>
      </c>
      <c r="DR19" s="105">
        <f>DQ19/DQ10</f>
        <v>0.29226323937733378</v>
      </c>
      <c r="DS19" s="128">
        <f>DS10+DS18</f>
        <v>104368.72688383056</v>
      </c>
      <c r="DT19" s="130">
        <f>DS19/DS10</f>
        <v>0.21296793308386594</v>
      </c>
      <c r="DU19" s="71"/>
      <c r="DV19" s="128">
        <f>DV10+DV18</f>
        <v>57213.751312321605</v>
      </c>
      <c r="DW19" s="105">
        <f>DV19/DV10</f>
        <v>0.19387453476221733</v>
      </c>
      <c r="DX19" s="128">
        <f>DX10+DX18</f>
        <v>6533.279634071434</v>
      </c>
      <c r="DY19" s="105">
        <f>DX19/DX10</f>
        <v>0.20121802384427301</v>
      </c>
      <c r="DZ19" s="128">
        <f>DZ10+DZ18</f>
        <v>9554.881581625672</v>
      </c>
      <c r="EA19" s="105">
        <f>DZ19/DZ10</f>
        <v>0.34049757402528968</v>
      </c>
      <c r="EB19" s="128">
        <f>EB10+EB18</f>
        <v>11108.569756051875</v>
      </c>
      <c r="EC19" s="105">
        <f>EB19/EB10</f>
        <v>0.14251131894876434</v>
      </c>
      <c r="ED19" s="129">
        <f>ED10+ED18</f>
        <v>7292.5835472190192</v>
      </c>
      <c r="EE19" s="105">
        <f>ED19/ED10</f>
        <v>0.34020440332026808</v>
      </c>
      <c r="EF19" s="128">
        <f>EF10+EF18</f>
        <v>24263.083997004192</v>
      </c>
      <c r="EG19" s="105">
        <f>EF19/EF10</f>
        <v>0.29644758466716709</v>
      </c>
      <c r="EH19" s="128">
        <f>EH10+EH18</f>
        <v>115968.24184047023</v>
      </c>
      <c r="EI19" s="130">
        <f>EH19/EH10</f>
        <v>0.2160088650917637</v>
      </c>
      <c r="EJ19" s="71"/>
      <c r="EK19" s="128">
        <f>EK10+EK18</f>
        <v>63801.371302232263</v>
      </c>
      <c r="EL19" s="105">
        <f>EK19/EK10</f>
        <v>0.19654304165903089</v>
      </c>
      <c r="EM19" s="128">
        <f>EM10+EM18</f>
        <v>6461.8164562093043</v>
      </c>
      <c r="EN19" s="105">
        <f>EM19/EM10</f>
        <v>0.19322042176005935</v>
      </c>
      <c r="EO19" s="128">
        <f>EO10+EO18</f>
        <v>10869.011494518632</v>
      </c>
      <c r="EP19" s="105">
        <f>EO19/EO10</f>
        <v>0.35211625637930671</v>
      </c>
      <c r="EQ19" s="128">
        <f>EQ10+EQ18</f>
        <v>12422.049192316947</v>
      </c>
      <c r="ER19" s="105">
        <f>EQ19/EQ10</f>
        <v>0.14487444078347977</v>
      </c>
      <c r="ES19" s="129">
        <f>ES10+ES18</f>
        <v>8207.5791584069557</v>
      </c>
      <c r="ET19" s="105">
        <f>ES19/ES10</f>
        <v>0.34808147610265261</v>
      </c>
      <c r="EU19" s="128">
        <f>EU10+EU18</f>
        <v>27048.988435988787</v>
      </c>
      <c r="EV19" s="105">
        <f>EU19/EU10</f>
        <v>0.30044173244382594</v>
      </c>
      <c r="EW19" s="128">
        <f>EW10+EW18</f>
        <v>128812.9080518494</v>
      </c>
      <c r="EX19" s="130">
        <f>EW19/EW10</f>
        <v>0.218964570721667</v>
      </c>
      <c r="EY19" s="71"/>
      <c r="EZ19" s="128">
        <f>EZ10+EZ18</f>
        <v>71091.065534067922</v>
      </c>
      <c r="FA19" s="105">
        <f>EZ19/EZ10</f>
        <v>0.19909025278780751</v>
      </c>
      <c r="FB19" s="128">
        <f>FB10+FB18</f>
        <v>6374.8363046671002</v>
      </c>
      <c r="FC19" s="105">
        <f>FB19/FB10</f>
        <v>0.18506752643149213</v>
      </c>
      <c r="FD19" s="128">
        <f>FD10+FD18</f>
        <v>12332.486486437418</v>
      </c>
      <c r="FE19" s="105">
        <f>FD19/FD10</f>
        <v>0.36320681680814138</v>
      </c>
      <c r="FF19" s="128">
        <f>FF10+FF18</f>
        <v>13877.007695241511</v>
      </c>
      <c r="FG19" s="105">
        <f>FF19/FF10</f>
        <v>0.1471301479893444</v>
      </c>
      <c r="FH19" s="129">
        <f>FH10+FH18</f>
        <v>9223.3611935369881</v>
      </c>
      <c r="FI19" s="105">
        <f>FH19/FH10</f>
        <v>0.35560050012220157</v>
      </c>
      <c r="FJ19" s="128">
        <f>FJ10+FJ18</f>
        <v>30131.463120836037</v>
      </c>
      <c r="FK19" s="105">
        <f>FJ19/FJ10</f>
        <v>0.30425432804881836</v>
      </c>
      <c r="FL19" s="128">
        <f>FL10+FL18</f>
        <v>143032.31234696344</v>
      </c>
      <c r="FM19" s="130">
        <f>FL19/FL10</f>
        <v>0.22183491181202231</v>
      </c>
      <c r="FN19" s="71"/>
      <c r="FO19" s="128">
        <f>FO10+FO18</f>
        <v>79155.207044167677</v>
      </c>
      <c r="FP19" s="105">
        <f>FO19/FO10</f>
        <v>0.20152168159254857</v>
      </c>
      <c r="FQ19" s="128">
        <f>FQ10+FQ18</f>
        <v>6271.2050163172062</v>
      </c>
      <c r="FR19" s="105">
        <f>FQ19/FQ10</f>
        <v>0.17675632245576831</v>
      </c>
      <c r="FS19" s="128">
        <f>FS10+FS18</f>
        <v>13961.137669671421</v>
      </c>
      <c r="FT19" s="105">
        <f>FS19/FS10</f>
        <v>0.37379326085384706</v>
      </c>
      <c r="FU19" s="128">
        <f>FU10+FU18</f>
        <v>15488.099727643174</v>
      </c>
      <c r="FV19" s="105">
        <f>FU19/FU10</f>
        <v>0.14928332304948791</v>
      </c>
      <c r="FW19" s="129">
        <f>FW10+FW18</f>
        <v>10350.472638144485</v>
      </c>
      <c r="FX19" s="105">
        <f>FW19/FW10</f>
        <v>0.36277775032267995</v>
      </c>
      <c r="FY19" s="128">
        <f>FY10+FY18</f>
        <v>33541.064066230465</v>
      </c>
      <c r="FZ19" s="105">
        <f>FY19/FY10</f>
        <v>0.3078936238535841</v>
      </c>
      <c r="GA19" s="128">
        <f>GA10+GA18</f>
        <v>158769.27817435097</v>
      </c>
      <c r="GB19" s="130">
        <f>GA19/GA10</f>
        <v>0.22462004237075764</v>
      </c>
      <c r="GC19" s="71"/>
      <c r="GD19" s="128">
        <f>GD10+GD18</f>
        <v>88073.51445311209</v>
      </c>
      <c r="GE19" s="105">
        <f>GD19/GD10</f>
        <v>0.20384259090616513</v>
      </c>
      <c r="GF19" s="128">
        <f>GF10+GF18</f>
        <v>6149.7209704423221</v>
      </c>
      <c r="GG19" s="105">
        <f>GF19/GF10</f>
        <v>0.16828373587857415</v>
      </c>
      <c r="GH19" s="128">
        <f>GH10+GH18</f>
        <v>15772.424097958341</v>
      </c>
      <c r="GI19" s="105">
        <f>GH19/GH10</f>
        <v>0.38389850289747524</v>
      </c>
      <c r="GJ19" s="128">
        <f>GJ10+GJ18</f>
        <v>17271.470526428879</v>
      </c>
      <c r="GK19" s="105">
        <f>GJ19/GJ10</f>
        <v>0.15133862651598853</v>
      </c>
      <c r="GL19" s="129">
        <f>GL10+GL18</f>
        <v>11600.533993475423</v>
      </c>
      <c r="GM19" s="105">
        <f>GL19/GL10</f>
        <v>0.36962876187768201</v>
      </c>
      <c r="GN19" s="128">
        <f>GN10+GN18</f>
        <v>37311.447837829852</v>
      </c>
      <c r="GO19" s="105">
        <f>GN19/GN10</f>
        <v>0.31136749712176942</v>
      </c>
      <c r="GP19" s="128">
        <f>GP10+GP18</f>
        <v>176181.20389142341</v>
      </c>
      <c r="GQ19" s="130">
        <f>GP19/GP10</f>
        <v>0.22732037855762011</v>
      </c>
      <c r="GR19" s="71"/>
      <c r="GS19" s="128">
        <f>GS10+GS18</f>
        <v>97933.791938177426</v>
      </c>
      <c r="GT19" s="105">
        <f>GS19/GS10</f>
        <v>0.20605800434189023</v>
      </c>
      <c r="GU19" s="128">
        <f>GU10+GU18</f>
        <v>6009.1113933729721</v>
      </c>
      <c r="GV19" s="105">
        <f>GU19/GU10</f>
        <v>0.15964663305716265</v>
      </c>
      <c r="GW19" s="128">
        <f>GW10+GW18</f>
        <v>17785.597802139935</v>
      </c>
      <c r="GX19" s="105">
        <f>GW19/GW10</f>
        <v>0.39354441575730204</v>
      </c>
      <c r="GY19" s="128">
        <f>GY10+GY18</f>
        <v>19244.906446394234</v>
      </c>
      <c r="GZ19" s="105">
        <f>GY19/GY10</f>
        <v>0.15330050709764828</v>
      </c>
      <c r="HA19" s="129">
        <f>HA10+HA18</f>
        <v>12986.352188915283</v>
      </c>
      <c r="HB19" s="105">
        <f>HA19/HA10</f>
        <v>0.37616836381654778</v>
      </c>
      <c r="HC19" s="128">
        <f>HC10+HC18</f>
        <v>41479.683854837975</v>
      </c>
      <c r="HD19" s="105">
        <f>HC19/HC10</f>
        <v>0.31468346705958261</v>
      </c>
      <c r="HE19" s="128">
        <f>HE10+HE18</f>
        <v>195441.53563601431</v>
      </c>
      <c r="HF19" s="130">
        <f>HE19/HE10</f>
        <v>0.22993657039214796</v>
      </c>
      <c r="HG19" s="71"/>
      <c r="HH19" s="128">
        <f>HH10+HH18</f>
        <v>108832.74347373686</v>
      </c>
      <c r="HI19" s="105">
        <f>HH19/HH10</f>
        <v>0.20817271716690028</v>
      </c>
      <c r="HJ19" s="128">
        <f>HJ10+HJ18</f>
        <v>5848.0284686824089</v>
      </c>
      <c r="HK19" s="105">
        <f>HJ19/HJ10</f>
        <v>0.15084181950135475</v>
      </c>
      <c r="HL19" s="128">
        <f>HL10+HL18</f>
        <v>20021.885441458977</v>
      </c>
      <c r="HM19" s="105">
        <f>HL19/HL10</f>
        <v>0.40275187803259127</v>
      </c>
      <c r="HN19" s="128">
        <f>HN10+HN18</f>
        <v>21428.000401722238</v>
      </c>
      <c r="HO19" s="105">
        <f>HN19/HN10</f>
        <v>0.15517321128923253</v>
      </c>
      <c r="HP19" s="129">
        <f>HP10+HP18</f>
        <v>14522.040443703743</v>
      </c>
      <c r="HQ19" s="105">
        <f>HP19/HP10</f>
        <v>0.38241071112182867</v>
      </c>
      <c r="HR19" s="128">
        <f>HR10+HR18</f>
        <v>46086.598035208212</v>
      </c>
      <c r="HS19" s="105">
        <f>HR19/HR10</f>
        <v>0.31784871109113177</v>
      </c>
      <c r="HT19" s="129">
        <f>HT10+HT18</f>
        <v>216741.38827668887</v>
      </c>
      <c r="HU19" s="130">
        <f>HT19/HT10</f>
        <v>0.23246947521565495</v>
      </c>
      <c r="HX19" s="131" t="s">
        <v>312</v>
      </c>
      <c r="HZ19" s="132">
        <f>HZ10+HZ18</f>
        <v>-37396</v>
      </c>
      <c r="IA19" s="132">
        <f>IA10+IA18</f>
        <v>18386.416702674207</v>
      </c>
      <c r="IB19" s="132">
        <f t="shared" ref="IB19:IM19" si="18">IB10+IB18</f>
        <v>53639.543040000048</v>
      </c>
      <c r="IC19" s="132">
        <f t="shared" si="18"/>
        <v>59749.852104638558</v>
      </c>
      <c r="ID19" s="132">
        <f t="shared" si="18"/>
        <v>66528.765114170616</v>
      </c>
      <c r="IE19" s="132">
        <f t="shared" si="18"/>
        <v>74049.116035661835</v>
      </c>
      <c r="IF19" s="132">
        <f t="shared" si="18"/>
        <v>82388.926183838223</v>
      </c>
      <c r="IG19" s="132">
        <f t="shared" si="18"/>
        <v>91390.889897769608</v>
      </c>
      <c r="IH19" s="132">
        <f t="shared" si="18"/>
        <v>104368.72688383056</v>
      </c>
      <c r="II19" s="132">
        <f t="shared" si="18"/>
        <v>115968.24184047023</v>
      </c>
      <c r="IJ19" s="132">
        <f t="shared" si="18"/>
        <v>128812.90805184928</v>
      </c>
      <c r="IK19" s="132">
        <f t="shared" si="18"/>
        <v>143032.31234696344</v>
      </c>
      <c r="IL19" s="132">
        <f t="shared" si="18"/>
        <v>158769.27817435097</v>
      </c>
      <c r="IM19" s="132">
        <f t="shared" si="18"/>
        <v>176181.20389142341</v>
      </c>
      <c r="IN19" s="132">
        <f>IN10+IN18</f>
        <v>195441.53563601431</v>
      </c>
      <c r="IO19" s="132">
        <f>IO10+IO18</f>
        <v>216741.38827668887</v>
      </c>
    </row>
    <row r="20" spans="2:249" ht="16.8" thickTop="1" thickBot="1">
      <c r="C20" s="114"/>
      <c r="D20" s="114"/>
      <c r="E20" s="71"/>
      <c r="F20" s="127"/>
      <c r="G20" s="105"/>
      <c r="H20" s="127"/>
      <c r="I20" s="105"/>
      <c r="J20" s="127"/>
      <c r="K20" s="105"/>
      <c r="L20" s="127"/>
      <c r="M20" s="105"/>
      <c r="N20" s="133"/>
      <c r="O20" s="105"/>
      <c r="P20" s="127"/>
      <c r="Q20" s="105"/>
      <c r="R20" s="134"/>
      <c r="S20" s="105"/>
      <c r="T20" s="71"/>
      <c r="U20" s="127"/>
      <c r="V20" s="105"/>
      <c r="W20" s="127"/>
      <c r="X20" s="105"/>
      <c r="Y20" s="127"/>
      <c r="Z20" s="105"/>
      <c r="AA20" s="127"/>
      <c r="AB20" s="105"/>
      <c r="AC20" s="133"/>
      <c r="AD20" s="105"/>
      <c r="AE20" s="127"/>
      <c r="AF20" s="105"/>
      <c r="AG20" s="134"/>
      <c r="AH20" s="134"/>
      <c r="AI20" s="71"/>
      <c r="AJ20" s="127"/>
      <c r="AK20" s="105"/>
      <c r="AL20" s="127"/>
      <c r="AM20" s="105"/>
      <c r="AN20" s="127"/>
      <c r="AO20" s="105"/>
      <c r="AP20" s="127"/>
      <c r="AQ20" s="105"/>
      <c r="AR20" s="133"/>
      <c r="AS20" s="105"/>
      <c r="AT20" s="127"/>
      <c r="AU20" s="105"/>
      <c r="AV20" s="134"/>
      <c r="AW20" s="134"/>
      <c r="AX20" s="71"/>
      <c r="AY20" s="127"/>
      <c r="AZ20" s="105"/>
      <c r="BA20" s="127"/>
      <c r="BB20" s="105"/>
      <c r="BC20" s="127"/>
      <c r="BD20" s="105"/>
      <c r="BE20" s="127"/>
      <c r="BF20" s="105"/>
      <c r="BG20" s="133"/>
      <c r="BH20" s="105"/>
      <c r="BI20" s="127"/>
      <c r="BJ20" s="105"/>
      <c r="BK20" s="134"/>
      <c r="BL20" s="134"/>
      <c r="BM20" s="71"/>
      <c r="BN20" s="127"/>
      <c r="BO20" s="105"/>
      <c r="BP20" s="127"/>
      <c r="BQ20" s="105"/>
      <c r="BR20" s="127"/>
      <c r="BS20" s="105"/>
      <c r="BT20" s="127"/>
      <c r="BU20" s="105"/>
      <c r="BV20" s="133"/>
      <c r="BW20" s="105"/>
      <c r="BX20" s="127"/>
      <c r="BY20" s="105"/>
      <c r="BZ20" s="134"/>
      <c r="CA20" s="134"/>
      <c r="CB20" s="71"/>
      <c r="CC20" s="127"/>
      <c r="CD20" s="105"/>
      <c r="CE20" s="127"/>
      <c r="CF20" s="105"/>
      <c r="CG20" s="127"/>
      <c r="CH20" s="105"/>
      <c r="CI20" s="127"/>
      <c r="CJ20" s="105"/>
      <c r="CK20" s="133"/>
      <c r="CL20" s="105"/>
      <c r="CM20" s="127"/>
      <c r="CN20" s="105"/>
      <c r="CO20" s="134"/>
      <c r="CP20" s="134"/>
      <c r="CQ20" s="71"/>
      <c r="CR20" s="127"/>
      <c r="CS20" s="105"/>
      <c r="CT20" s="127"/>
      <c r="CU20" s="105"/>
      <c r="CV20" s="127"/>
      <c r="CW20" s="105"/>
      <c r="CX20" s="127"/>
      <c r="CY20" s="105"/>
      <c r="CZ20" s="133"/>
      <c r="DA20" s="105"/>
      <c r="DB20" s="127"/>
      <c r="DC20" s="105"/>
      <c r="DD20" s="134"/>
      <c r="DE20" s="134"/>
      <c r="DF20" s="71"/>
      <c r="DG20" s="127"/>
      <c r="DH20" s="105"/>
      <c r="DI20" s="127"/>
      <c r="DJ20" s="105"/>
      <c r="DK20" s="127"/>
      <c r="DL20" s="105"/>
      <c r="DM20" s="127"/>
      <c r="DN20" s="105"/>
      <c r="DO20" s="133"/>
      <c r="DP20" s="105"/>
      <c r="DQ20" s="127"/>
      <c r="DR20" s="105"/>
      <c r="DS20" s="134"/>
      <c r="DT20" s="134"/>
      <c r="DU20" s="71"/>
      <c r="DV20" s="127"/>
      <c r="DW20" s="105"/>
      <c r="DX20" s="127"/>
      <c r="DY20" s="105"/>
      <c r="DZ20" s="127"/>
      <c r="EA20" s="105"/>
      <c r="EB20" s="127"/>
      <c r="EC20" s="105"/>
      <c r="ED20" s="133"/>
      <c r="EE20" s="105"/>
      <c r="EF20" s="127"/>
      <c r="EG20" s="105"/>
      <c r="EH20" s="134"/>
      <c r="EI20" s="134"/>
      <c r="EJ20" s="71"/>
      <c r="EK20" s="127"/>
      <c r="EL20" s="105"/>
      <c r="EM20" s="127"/>
      <c r="EN20" s="105"/>
      <c r="EO20" s="127"/>
      <c r="EP20" s="105"/>
      <c r="EQ20" s="127"/>
      <c r="ER20" s="105"/>
      <c r="ES20" s="133"/>
      <c r="ET20" s="105"/>
      <c r="EU20" s="127"/>
      <c r="EV20" s="105"/>
      <c r="EW20" s="134"/>
      <c r="EX20" s="134"/>
      <c r="EY20" s="71"/>
      <c r="EZ20" s="127"/>
      <c r="FA20" s="105"/>
      <c r="FB20" s="127"/>
      <c r="FC20" s="105"/>
      <c r="FD20" s="127"/>
      <c r="FE20" s="105"/>
      <c r="FF20" s="127"/>
      <c r="FG20" s="105"/>
      <c r="FH20" s="133"/>
      <c r="FI20" s="105"/>
      <c r="FJ20" s="127"/>
      <c r="FK20" s="105"/>
      <c r="FL20" s="134"/>
      <c r="FM20" s="134"/>
      <c r="FN20" s="71"/>
      <c r="FO20" s="127"/>
      <c r="FP20" s="105"/>
      <c r="FQ20" s="127"/>
      <c r="FR20" s="105"/>
      <c r="FS20" s="127"/>
      <c r="FT20" s="105"/>
      <c r="FU20" s="127"/>
      <c r="FV20" s="105"/>
      <c r="FW20" s="133"/>
      <c r="FX20" s="105"/>
      <c r="FY20" s="127"/>
      <c r="FZ20" s="105"/>
      <c r="GA20" s="134"/>
      <c r="GB20" s="134"/>
      <c r="GC20" s="71"/>
      <c r="GD20" s="127"/>
      <c r="GE20" s="105"/>
      <c r="GF20" s="127"/>
      <c r="GG20" s="105"/>
      <c r="GH20" s="127"/>
      <c r="GI20" s="105"/>
      <c r="GJ20" s="127"/>
      <c r="GK20" s="105"/>
      <c r="GL20" s="133"/>
      <c r="GM20" s="105"/>
      <c r="GN20" s="127"/>
      <c r="GO20" s="105"/>
      <c r="GP20" s="134"/>
      <c r="GQ20" s="134"/>
      <c r="GR20" s="71"/>
      <c r="GS20" s="127"/>
      <c r="GT20" s="105"/>
      <c r="GU20" s="127"/>
      <c r="GV20" s="105"/>
      <c r="GW20" s="127"/>
      <c r="GX20" s="105"/>
      <c r="GY20" s="127"/>
      <c r="GZ20" s="105"/>
      <c r="HA20" s="133"/>
      <c r="HB20" s="105"/>
      <c r="HC20" s="127"/>
      <c r="HD20" s="105"/>
      <c r="HE20" s="134"/>
      <c r="HF20" s="134"/>
      <c r="HG20" s="71"/>
      <c r="HH20" s="127"/>
      <c r="HI20" s="105"/>
      <c r="HJ20" s="127"/>
      <c r="HK20" s="105"/>
      <c r="HL20" s="127"/>
      <c r="HM20" s="105"/>
      <c r="HN20" s="127"/>
      <c r="HO20" s="105"/>
      <c r="HP20" s="133"/>
      <c r="HQ20" s="105"/>
      <c r="HR20" s="127"/>
      <c r="HS20" s="105"/>
      <c r="HT20" s="135"/>
      <c r="HU20" s="134"/>
      <c r="HX20" s="136" t="s">
        <v>313</v>
      </c>
      <c r="HZ20" s="137">
        <f>HZ19/HZ10</f>
        <v>-0.30637140446170358</v>
      </c>
      <c r="IA20" s="137">
        <f t="shared" ref="IA20:IM20" si="19">IA19/IA10</f>
        <v>0.13900459137444102</v>
      </c>
      <c r="IB20" s="138">
        <f t="shared" si="19"/>
        <v>0.18805280951529887</v>
      </c>
      <c r="IC20" s="138">
        <f t="shared" si="19"/>
        <v>0.19155980941533962</v>
      </c>
      <c r="ID20" s="138">
        <f t="shared" si="19"/>
        <v>0.19498463400886382</v>
      </c>
      <c r="IE20" s="138">
        <f t="shared" si="19"/>
        <v>0.19833194426528392</v>
      </c>
      <c r="IF20" s="138">
        <f t="shared" si="19"/>
        <v>0.2015995734165284</v>
      </c>
      <c r="IG20" s="138">
        <f t="shared" si="19"/>
        <v>0.20424199083096048</v>
      </c>
      <c r="IH20" s="138">
        <f t="shared" si="19"/>
        <v>0.21296793308386594</v>
      </c>
      <c r="II20" s="138">
        <f t="shared" si="19"/>
        <v>0.2160088650917637</v>
      </c>
      <c r="IJ20" s="138">
        <f t="shared" si="19"/>
        <v>0.21896457072166683</v>
      </c>
      <c r="IK20" s="138">
        <f t="shared" si="19"/>
        <v>0.22183491181202231</v>
      </c>
      <c r="IL20" s="138">
        <f t="shared" si="19"/>
        <v>0.22462004237075764</v>
      </c>
      <c r="IM20" s="138">
        <f t="shared" si="19"/>
        <v>0.22732037855762011</v>
      </c>
      <c r="IN20" s="138">
        <f>IN19/IN10</f>
        <v>0.22993657039214796</v>
      </c>
      <c r="IO20" s="138">
        <f>IO19/IO10</f>
        <v>0.23246947521565495</v>
      </c>
    </row>
    <row r="21" spans="2:249" ht="9.75" customHeight="1" thickTop="1">
      <c r="C21" s="114"/>
      <c r="D21" s="114"/>
      <c r="E21" s="71"/>
      <c r="F21" s="127"/>
      <c r="G21" s="105"/>
      <c r="H21" s="127"/>
      <c r="I21" s="105"/>
      <c r="J21" s="127"/>
      <c r="K21" s="105"/>
      <c r="L21" s="127"/>
      <c r="M21" s="105"/>
      <c r="N21" s="133"/>
      <c r="O21" s="105"/>
      <c r="P21" s="127"/>
      <c r="Q21" s="105"/>
      <c r="R21" s="134"/>
      <c r="S21" s="105"/>
      <c r="T21" s="71"/>
      <c r="U21" s="127"/>
      <c r="V21" s="105"/>
      <c r="W21" s="127"/>
      <c r="X21" s="105"/>
      <c r="Y21" s="127"/>
      <c r="Z21" s="105"/>
      <c r="AA21" s="127"/>
      <c r="AB21" s="105"/>
      <c r="AC21" s="133"/>
      <c r="AD21" s="105"/>
      <c r="AE21" s="127"/>
      <c r="AF21" s="105"/>
      <c r="AG21" s="134"/>
      <c r="AH21" s="134"/>
      <c r="AI21" s="71"/>
      <c r="AJ21" s="127"/>
      <c r="AK21" s="105"/>
      <c r="AL21" s="127"/>
      <c r="AM21" s="105"/>
      <c r="AN21" s="127"/>
      <c r="AO21" s="105"/>
      <c r="AP21" s="127"/>
      <c r="AQ21" s="105"/>
      <c r="AR21" s="133"/>
      <c r="AS21" s="105"/>
      <c r="AT21" s="127"/>
      <c r="AU21" s="105"/>
      <c r="AV21" s="134"/>
      <c r="AW21" s="134"/>
      <c r="AX21" s="71"/>
      <c r="AY21" s="127"/>
      <c r="AZ21" s="105"/>
      <c r="BA21" s="127"/>
      <c r="BB21" s="105"/>
      <c r="BC21" s="127"/>
      <c r="BD21" s="105"/>
      <c r="BE21" s="127"/>
      <c r="BF21" s="105"/>
      <c r="BG21" s="133"/>
      <c r="BH21" s="105"/>
      <c r="BI21" s="127"/>
      <c r="BJ21" s="105"/>
      <c r="BK21" s="134"/>
      <c r="BL21" s="134"/>
      <c r="BM21" s="71"/>
      <c r="BN21" s="127"/>
      <c r="BO21" s="105"/>
      <c r="BP21" s="127"/>
      <c r="BQ21" s="105"/>
      <c r="BR21" s="127"/>
      <c r="BS21" s="105"/>
      <c r="BT21" s="127"/>
      <c r="BU21" s="105"/>
      <c r="BV21" s="133"/>
      <c r="BW21" s="105"/>
      <c r="BX21" s="127"/>
      <c r="BY21" s="105"/>
      <c r="BZ21" s="134"/>
      <c r="CA21" s="134"/>
      <c r="CB21" s="71"/>
      <c r="CC21" s="127"/>
      <c r="CD21" s="105"/>
      <c r="CE21" s="127"/>
      <c r="CF21" s="105"/>
      <c r="CG21" s="127"/>
      <c r="CH21" s="105"/>
      <c r="CI21" s="127"/>
      <c r="CJ21" s="105"/>
      <c r="CK21" s="133"/>
      <c r="CL21" s="105"/>
      <c r="CM21" s="127"/>
      <c r="CN21" s="105"/>
      <c r="CO21" s="134"/>
      <c r="CP21" s="134"/>
      <c r="CQ21" s="71"/>
      <c r="CR21" s="127"/>
      <c r="CS21" s="105"/>
      <c r="CT21" s="127"/>
      <c r="CU21" s="105"/>
      <c r="CV21" s="127"/>
      <c r="CW21" s="105"/>
      <c r="CX21" s="127"/>
      <c r="CY21" s="105"/>
      <c r="CZ21" s="133"/>
      <c r="DA21" s="105"/>
      <c r="DB21" s="127"/>
      <c r="DC21" s="105"/>
      <c r="DD21" s="134"/>
      <c r="DE21" s="134"/>
      <c r="DF21" s="71"/>
      <c r="DG21" s="127"/>
      <c r="DH21" s="105"/>
      <c r="DI21" s="127"/>
      <c r="DJ21" s="105"/>
      <c r="DK21" s="127"/>
      <c r="DL21" s="105"/>
      <c r="DM21" s="127"/>
      <c r="DN21" s="105"/>
      <c r="DO21" s="133"/>
      <c r="DP21" s="105"/>
      <c r="DQ21" s="127"/>
      <c r="DR21" s="105"/>
      <c r="DS21" s="134"/>
      <c r="DT21" s="134"/>
      <c r="DU21" s="71"/>
      <c r="DV21" s="127"/>
      <c r="DW21" s="105"/>
      <c r="DX21" s="127"/>
      <c r="DY21" s="105"/>
      <c r="DZ21" s="127"/>
      <c r="EA21" s="105"/>
      <c r="EB21" s="127"/>
      <c r="EC21" s="105"/>
      <c r="ED21" s="133"/>
      <c r="EE21" s="105"/>
      <c r="EF21" s="127"/>
      <c r="EG21" s="105"/>
      <c r="EH21" s="134"/>
      <c r="EI21" s="134"/>
      <c r="EJ21" s="71"/>
      <c r="EK21" s="127"/>
      <c r="EL21" s="105"/>
      <c r="EM21" s="127"/>
      <c r="EN21" s="105"/>
      <c r="EO21" s="127"/>
      <c r="EP21" s="105"/>
      <c r="EQ21" s="127"/>
      <c r="ER21" s="105"/>
      <c r="ES21" s="133"/>
      <c r="ET21" s="105"/>
      <c r="EU21" s="127"/>
      <c r="EV21" s="105"/>
      <c r="EW21" s="134"/>
      <c r="EX21" s="134"/>
      <c r="EY21" s="71"/>
      <c r="EZ21" s="127"/>
      <c r="FA21" s="105"/>
      <c r="FB21" s="127"/>
      <c r="FC21" s="105"/>
      <c r="FD21" s="127"/>
      <c r="FE21" s="105"/>
      <c r="FF21" s="127"/>
      <c r="FG21" s="105"/>
      <c r="FH21" s="133"/>
      <c r="FI21" s="105"/>
      <c r="FJ21" s="127"/>
      <c r="FK21" s="105"/>
      <c r="FL21" s="134"/>
      <c r="FM21" s="134"/>
      <c r="FN21" s="71"/>
      <c r="FO21" s="127"/>
      <c r="FP21" s="105"/>
      <c r="FQ21" s="127"/>
      <c r="FR21" s="105"/>
      <c r="FS21" s="127"/>
      <c r="FT21" s="105"/>
      <c r="FU21" s="127"/>
      <c r="FV21" s="105"/>
      <c r="FW21" s="133"/>
      <c r="FX21" s="105"/>
      <c r="FY21" s="127"/>
      <c r="FZ21" s="105"/>
      <c r="GA21" s="134"/>
      <c r="GB21" s="134"/>
      <c r="GC21" s="71"/>
      <c r="GD21" s="127"/>
      <c r="GE21" s="105"/>
      <c r="GF21" s="127"/>
      <c r="GG21" s="105"/>
      <c r="GH21" s="127"/>
      <c r="GI21" s="105"/>
      <c r="GJ21" s="127"/>
      <c r="GK21" s="105"/>
      <c r="GL21" s="133"/>
      <c r="GM21" s="105"/>
      <c r="GN21" s="127"/>
      <c r="GO21" s="105"/>
      <c r="GP21" s="134"/>
      <c r="GQ21" s="134"/>
      <c r="GR21" s="71"/>
      <c r="GS21" s="127"/>
      <c r="GT21" s="105"/>
      <c r="GU21" s="127"/>
      <c r="GV21" s="105"/>
      <c r="GW21" s="127"/>
      <c r="GX21" s="105"/>
      <c r="GY21" s="127"/>
      <c r="GZ21" s="105"/>
      <c r="HA21" s="133"/>
      <c r="HB21" s="105"/>
      <c r="HC21" s="127"/>
      <c r="HD21" s="105"/>
      <c r="HE21" s="134"/>
      <c r="HF21" s="134"/>
      <c r="HG21" s="71"/>
      <c r="HH21" s="127"/>
      <c r="HI21" s="105"/>
      <c r="HJ21" s="127"/>
      <c r="HK21" s="105"/>
      <c r="HL21" s="127"/>
      <c r="HM21" s="105"/>
      <c r="HN21" s="127"/>
      <c r="HO21" s="105"/>
      <c r="HP21" s="133"/>
      <c r="HQ21" s="105"/>
      <c r="HR21" s="127"/>
      <c r="HS21" s="105"/>
      <c r="HT21" s="135"/>
      <c r="HU21" s="134"/>
      <c r="HX21" s="139"/>
      <c r="HZ21" s="113">
        <f t="shared" ref="HZ21:HZ27" si="20">C21</f>
        <v>0</v>
      </c>
      <c r="IA21" s="140"/>
      <c r="IB21" s="141"/>
      <c r="IC21" s="141"/>
      <c r="ID21" s="141"/>
      <c r="IE21" s="141"/>
      <c r="IF21" s="141"/>
      <c r="IG21" s="141"/>
      <c r="IH21" s="141"/>
      <c r="II21" s="141"/>
      <c r="IJ21" s="141"/>
      <c r="IK21" s="141"/>
      <c r="IL21" s="141"/>
      <c r="IM21" s="141"/>
      <c r="IN21" s="141"/>
      <c r="IO21" s="141"/>
    </row>
    <row r="22" spans="2:249" ht="19.2" customHeight="1">
      <c r="B22" t="s">
        <v>314</v>
      </c>
      <c r="C22" s="114">
        <v>-9283</v>
      </c>
      <c r="D22" s="114"/>
      <c r="E22" s="71"/>
      <c r="F22" s="60">
        <f>F10*$S$22</f>
        <v>-3891.8676656856119</v>
      </c>
      <c r="G22" s="105"/>
      <c r="H22" s="60">
        <f>H10*$S$22</f>
        <v>-1975.773916026513</v>
      </c>
      <c r="I22" s="105"/>
      <c r="J22" s="60">
        <f>J10*$S$22</f>
        <v>-225.3544152099378</v>
      </c>
      <c r="K22" s="105"/>
      <c r="L22" s="60">
        <f>L10*$S$22</f>
        <v>-220.45540618363481</v>
      </c>
      <c r="M22" s="105"/>
      <c r="N22" s="115">
        <f>N10*$S$22</f>
        <v>-88.182162473453928</v>
      </c>
      <c r="O22" s="105"/>
      <c r="P22" s="60">
        <f>P10*$S$22</f>
        <v>-78.384144420847932</v>
      </c>
      <c r="Q22" s="105"/>
      <c r="R22" s="60">
        <v>-6480.0177100000001</v>
      </c>
      <c r="S22" s="105">
        <f>R22/R10</f>
        <v>-4.8990090263029959E-2</v>
      </c>
      <c r="T22" s="71"/>
      <c r="U22" s="60">
        <f>U10*$AH$22</f>
        <v>-3955.5885576309679</v>
      </c>
      <c r="V22" s="105"/>
      <c r="W22" s="60">
        <f>W10*$AH$22</f>
        <v>-689.57903189985313</v>
      </c>
      <c r="X22" s="105"/>
      <c r="Y22" s="60">
        <f>Y10*$AH$22</f>
        <v>-376.13413090504315</v>
      </c>
      <c r="Z22" s="105"/>
      <c r="AA22" s="60">
        <f>AA10*$AH$22</f>
        <v>-1044.8170321492389</v>
      </c>
      <c r="AB22" s="105"/>
      <c r="AC22" s="60">
        <f>AC10*$AH$22</f>
        <v>-287.32468517318233</v>
      </c>
      <c r="AD22" s="105"/>
      <c r="AE22" s="60">
        <f>AE10*$AH$22</f>
        <v>-1097.0578822417147</v>
      </c>
      <c r="AF22" s="105"/>
      <c r="AG22" s="60">
        <f>(-'[33]IS Assumption'!R125-'[33]IS Assumption'!R129-'[33]IS Assumption'!R129-'[33]IS Assumption'!R133-'[33]IS Assumption'!R137-'[33]IS Assumption'!R141)/1000</f>
        <v>-7450.5013200000003</v>
      </c>
      <c r="AH22" s="105">
        <f>AG22/AG10</f>
        <v>-2.6120425829851395E-2</v>
      </c>
      <c r="AI22" s="71"/>
      <c r="AJ22" s="60">
        <f>AJ10*AW22</f>
        <v>-4177.9756165975987</v>
      </c>
      <c r="AK22" s="105"/>
      <c r="AL22" s="60">
        <f>AL10*AW22</f>
        <v>-681.99843179058234</v>
      </c>
      <c r="AM22" s="105"/>
      <c r="AN22" s="60">
        <f>AN10*AW22</f>
        <v>-397.28075976450145</v>
      </c>
      <c r="AO22" s="105"/>
      <c r="AP22" s="60">
        <f>AP10*AW22</f>
        <v>-1103.5576679743842</v>
      </c>
      <c r="AQ22" s="105"/>
      <c r="AR22" s="60">
        <f>AR10*AW22</f>
        <v>-303.47836009999162</v>
      </c>
      <c r="AS22" s="105"/>
      <c r="AT22" s="60">
        <f>AW22*AT10</f>
        <v>-1158.7355497729434</v>
      </c>
      <c r="AU22" s="105"/>
      <c r="AV22" s="60">
        <f>AG22*1.05</f>
        <v>-7823.0263860000005</v>
      </c>
      <c r="AW22" s="105">
        <f>AV22/AV10</f>
        <v>-2.5080856115407769E-2</v>
      </c>
      <c r="AX22" s="71"/>
      <c r="AY22" s="60">
        <f>AY10*BL22</f>
        <v>-4411.3472832925281</v>
      </c>
      <c r="AZ22" s="105"/>
      <c r="BA22" s="60">
        <f>BA10*BL22</f>
        <v>-674.26910923894513</v>
      </c>
      <c r="BB22" s="105"/>
      <c r="BC22" s="60">
        <f>BC10*BL22</f>
        <v>-419.47190723883085</v>
      </c>
      <c r="BD22" s="105"/>
      <c r="BE22" s="60">
        <f>BE10*BL22</f>
        <v>-1165.1997444015517</v>
      </c>
      <c r="BF22" s="105"/>
      <c r="BG22" s="60">
        <f>BG10*BL22</f>
        <v>-320.42993119605632</v>
      </c>
      <c r="BH22" s="105"/>
      <c r="BI22" s="60">
        <f>BL22*BI10</f>
        <v>-1223.4597299320883</v>
      </c>
      <c r="BJ22" s="105"/>
      <c r="BK22" s="60">
        <f>AV22*1.05</f>
        <v>-8214.1777053000005</v>
      </c>
      <c r="BL22" s="105">
        <f>BK22/BK10</f>
        <v>-2.4074374908403955E-2</v>
      </c>
      <c r="BM22" s="71"/>
      <c r="BN22" s="60">
        <f>BN10*CA22</f>
        <v>-4656.2372264708702</v>
      </c>
      <c r="BO22" s="105"/>
      <c r="BP22" s="60">
        <f>BP10*CA22</f>
        <v>-666.41022618235138</v>
      </c>
      <c r="BQ22" s="105"/>
      <c r="BR22" s="60">
        <f>BR10*CA22</f>
        <v>-442.75831951421105</v>
      </c>
      <c r="BS22" s="105"/>
      <c r="BT22" s="60">
        <f>BT10*CA22</f>
        <v>-1229.8842230592691</v>
      </c>
      <c r="BU22" s="105"/>
      <c r="BV22" s="60">
        <f>BV10*CA22</f>
        <v>-338.21816290940131</v>
      </c>
      <c r="BW22" s="105"/>
      <c r="BX22" s="60">
        <f>CA22*BX10</f>
        <v>-1291.378432428899</v>
      </c>
      <c r="BY22" s="105"/>
      <c r="BZ22" s="60">
        <f>BK22*1.05</f>
        <v>-8624.8865905650018</v>
      </c>
      <c r="CA22" s="105">
        <f>BZ22/BZ10</f>
        <v>-2.3100755527594916E-2</v>
      </c>
      <c r="CB22" s="71"/>
      <c r="CC22" s="60">
        <f>CC10*CP22</f>
        <v>-4913.2069596247966</v>
      </c>
      <c r="CD22" s="105"/>
      <c r="CE22" s="60">
        <f>CE10*CP22</f>
        <v>-658.43991775340226</v>
      </c>
      <c r="CF22" s="105"/>
      <c r="CG22" s="60">
        <f>CG10*CP22</f>
        <v>-467.19339051326364</v>
      </c>
      <c r="CH22" s="105"/>
      <c r="CI22" s="60">
        <f>CI10*CP22</f>
        <v>-1297.7594203995266</v>
      </c>
      <c r="CJ22" s="105"/>
      <c r="CK22" s="60">
        <f>CK10*CP22</f>
        <v>-356.88384226451302</v>
      </c>
      <c r="CL22" s="105"/>
      <c r="CM22" s="60">
        <f>CP22*CM10</f>
        <v>-1362.6473895377503</v>
      </c>
      <c r="CN22" s="105"/>
      <c r="CO22" s="60">
        <f>BZ22*1.05</f>
        <v>-9056.1309200932519</v>
      </c>
      <c r="CP22" s="105">
        <f>CO22/CO10</f>
        <v>-2.2159678671150981E-2</v>
      </c>
      <c r="CQ22" s="71"/>
      <c r="CR22" s="60">
        <f>CR10*DE22</f>
        <v>-5182.8471994372849</v>
      </c>
      <c r="CS22" s="105"/>
      <c r="CT22" s="60">
        <f>CT10*DE22</f>
        <v>-650.37529868200215</v>
      </c>
      <c r="CU22" s="105"/>
      <c r="CV22" s="60">
        <f>CV10*DE22</f>
        <v>-492.83329106946292</v>
      </c>
      <c r="CW22" s="105"/>
      <c r="CX22" s="60">
        <f>CX10*DE22</f>
        <v>-1368.9813665155859</v>
      </c>
      <c r="CY22" s="105"/>
      <c r="CZ22" s="60">
        <f>CZ10*DE22</f>
        <v>-376.46987753723732</v>
      </c>
      <c r="DA22" s="105"/>
      <c r="DB22" s="60">
        <f>DE22*DB10</f>
        <v>-1437.4304328563408</v>
      </c>
      <c r="DC22" s="105"/>
      <c r="DD22" s="60">
        <f>CO22*1.05</f>
        <v>-9508.9374660979156</v>
      </c>
      <c r="DE22" s="105">
        <f>DD22/DD10</f>
        <v>-2.1250743054755439E-2</v>
      </c>
      <c r="DF22" s="71"/>
      <c r="DG22" s="60">
        <f>DG10*DT22</f>
        <v>-5465.7792882814383</v>
      </c>
      <c r="DH22" s="105"/>
      <c r="DI22" s="60">
        <f>DI10*DT22</f>
        <v>-642.23247664436667</v>
      </c>
      <c r="DJ22" s="105"/>
      <c r="DK22" s="60">
        <f>DK10*DT22</f>
        <v>-519.7371041915942</v>
      </c>
      <c r="DL22" s="105"/>
      <c r="DM22" s="60">
        <f>DM10*DT22</f>
        <v>-1443.7141808765866</v>
      </c>
      <c r="DN22" s="105"/>
      <c r="DO22" s="60">
        <f>DO10*DT22</f>
        <v>-397.02140158179685</v>
      </c>
      <c r="DP22" s="105"/>
      <c r="DQ22" s="60">
        <f>DT22*DQ10</f>
        <v>-1515.8998878270288</v>
      </c>
      <c r="DR22" s="105"/>
      <c r="DS22" s="60">
        <f>DD22*1.05</f>
        <v>-9984.3843394028117</v>
      </c>
      <c r="DT22" s="105">
        <f>DS22/DS10</f>
        <v>-2.0373475459217898E-2</v>
      </c>
      <c r="DU22" s="71"/>
      <c r="DV22" s="60">
        <f>DV10*EI22</f>
        <v>-5762.6566847932791</v>
      </c>
      <c r="DW22" s="105"/>
      <c r="DX22" s="60">
        <f>DX10*EI22</f>
        <v>-634.0265714950956</v>
      </c>
      <c r="DY22" s="105"/>
      <c r="DZ22" s="60">
        <f>DZ10*EI22</f>
        <v>-547.96696680127116</v>
      </c>
      <c r="EA22" s="105"/>
      <c r="EB22" s="60">
        <f>EB10*EI22</f>
        <v>-1522.1304660428741</v>
      </c>
      <c r="EC22" s="105"/>
      <c r="ED22" s="60">
        <f>ED10*EI22</f>
        <v>-418.58588010250662</v>
      </c>
      <c r="EE22" s="105"/>
      <c r="EF22" s="60">
        <f>EI22*EF10</f>
        <v>-1598.2369871379269</v>
      </c>
      <c r="EG22" s="105"/>
      <c r="EH22" s="60">
        <f>DS22*1.05</f>
        <v>-10483.603556372953</v>
      </c>
      <c r="EI22" s="105">
        <f>EH22/EH10</f>
        <v>-1.9527340160932088E-2</v>
      </c>
      <c r="EJ22" s="71"/>
      <c r="EK22" s="60">
        <f>EK10*EX22</f>
        <v>-6074.1665266691552</v>
      </c>
      <c r="EL22" s="105"/>
      <c r="EM22" s="60">
        <f>EM10*EX22</f>
        <v>-625.77173939892839</v>
      </c>
      <c r="EN22" s="105"/>
      <c r="EO22" s="60">
        <f>EO10*EX22</f>
        <v>-577.58821833824186</v>
      </c>
      <c r="EP22" s="105"/>
      <c r="EQ22" s="60">
        <f>EQ10*EX22</f>
        <v>-1604.411720458515</v>
      </c>
      <c r="ER22" s="105"/>
      <c r="ES22" s="60">
        <f>ES10*EX22</f>
        <v>-441.21322517171649</v>
      </c>
      <c r="ET22" s="105"/>
      <c r="EU22" s="60">
        <f>EX22*EU10</f>
        <v>-1684.632304155042</v>
      </c>
      <c r="EV22" s="105"/>
      <c r="EW22" s="60">
        <f>EH22*1.05</f>
        <v>-11007.7837341916</v>
      </c>
      <c r="EX22" s="105">
        <f>EW22/EW10</f>
        <v>-1.8711747730934071E-2</v>
      </c>
      <c r="EY22" s="71"/>
      <c r="EZ22" s="60">
        <f>EZ10*FM22</f>
        <v>-6401.0312699686401</v>
      </c>
      <c r="FA22" s="105"/>
      <c r="FB22" s="60">
        <f>FB10*FM22</f>
        <v>-617.48120096258799</v>
      </c>
      <c r="FC22" s="105"/>
      <c r="FD22" s="60">
        <f>FD10*FM22</f>
        <v>-608.66955664054615</v>
      </c>
      <c r="FE22" s="105"/>
      <c r="FF22" s="60">
        <f>FF10*FM22</f>
        <v>-1690.7487714517372</v>
      </c>
      <c r="FG22" s="105"/>
      <c r="FH22" s="60">
        <f>FH10*FM22</f>
        <v>-464.95591430493232</v>
      </c>
      <c r="FI22" s="105"/>
      <c r="FJ22" s="60">
        <f>FM22*FJ10</f>
        <v>-1775.2862075727367</v>
      </c>
      <c r="FK22" s="105"/>
      <c r="FL22" s="60">
        <f>EW22*1.05</f>
        <v>-11558.172920901181</v>
      </c>
      <c r="FM22" s="105">
        <f>FL22/FL10</f>
        <v>-1.7926063198898227E-2</v>
      </c>
      <c r="FN22" s="71"/>
      <c r="FO22" s="60">
        <f>FO10*GB22</f>
        <v>-6744.0104093419277</v>
      </c>
      <c r="FP22" s="105"/>
      <c r="FQ22" s="60">
        <f>FQ10*GB22</f>
        <v>-609.16727255186368</v>
      </c>
      <c r="FR22" s="105"/>
      <c r="FS22" s="60">
        <f>FS10*GB22</f>
        <v>-641.28320151972787</v>
      </c>
      <c r="FT22" s="105"/>
      <c r="FU22" s="60">
        <f>FU10*GB22</f>
        <v>-1781.3422296105193</v>
      </c>
      <c r="FV22" s="105"/>
      <c r="FW22" s="60">
        <f>FW10*GB22</f>
        <v>-489.86911541410399</v>
      </c>
      <c r="FX22" s="105"/>
      <c r="FY22" s="60">
        <f>GB22*FY10</f>
        <v>-1870.4093385080973</v>
      </c>
      <c r="FZ22" s="105"/>
      <c r="GA22" s="60">
        <f>FL22*1.05</f>
        <v>-12136.081566946241</v>
      </c>
      <c r="GB22" s="105">
        <f>GA22/GA10</f>
        <v>-1.7169613587264008E-2</v>
      </c>
      <c r="GC22" s="71"/>
      <c r="GD22" s="60">
        <f>GD10*GQ22</f>
        <v>-7103.9022837488992</v>
      </c>
      <c r="GE22" s="105"/>
      <c r="GF22" s="60">
        <f>GF10*GQ22</f>
        <v>-600.84140006286066</v>
      </c>
      <c r="GG22" s="105"/>
      <c r="GH22" s="60">
        <f>GH10*GQ22</f>
        <v>-675.50506646538997</v>
      </c>
      <c r="GI22" s="105"/>
      <c r="GJ22" s="60">
        <f>GJ10*GQ22</f>
        <v>-1876.4029657396886</v>
      </c>
      <c r="GK22" s="105"/>
      <c r="GL22" s="60">
        <f>GL10*GQ22</f>
        <v>-516.01081797082804</v>
      </c>
      <c r="GM22" s="105"/>
      <c r="GN22" s="60">
        <f>GQ22*GN10</f>
        <v>-1970.223111305887</v>
      </c>
      <c r="GO22" s="105"/>
      <c r="GP22" s="60">
        <f>GA22*1.05</f>
        <v>-12742.885645293554</v>
      </c>
      <c r="GQ22" s="105">
        <f>GP22/GP10</f>
        <v>-1.6441694827955523E-2</v>
      </c>
      <c r="GR22" s="71"/>
      <c r="GS22" s="60">
        <f>GS10*HF22</f>
        <v>-7481.5459723963631</v>
      </c>
      <c r="GT22" s="105"/>
      <c r="GU22" s="60">
        <f>GU10*HF22</f>
        <v>-592.51419449763989</v>
      </c>
      <c r="GV22" s="105"/>
      <c r="GW22" s="60">
        <f>GW10*HF22</f>
        <v>-711.414938928531</v>
      </c>
      <c r="GX22" s="105"/>
      <c r="GY22" s="60">
        <f>GY10*HF22</f>
        <v>-1976.1526116479688</v>
      </c>
      <c r="GZ22" s="105"/>
      <c r="HA22" s="60">
        <f>HA10*HF22</f>
        <v>-543.44197072278575</v>
      </c>
      <c r="HB22" s="105"/>
      <c r="HC22" s="60">
        <f>HF22*HC10</f>
        <v>-2074.9602393649438</v>
      </c>
      <c r="HD22" s="105"/>
      <c r="HE22" s="60">
        <f>GP22*1.05</f>
        <v>-13380.029927558233</v>
      </c>
      <c r="HF22" s="105">
        <f>HE22/HE10</f>
        <v>-1.5741578079987814E-2</v>
      </c>
      <c r="HG22" s="71"/>
      <c r="HH22" s="60">
        <f>HH10*HU22</f>
        <v>-7877.8232857918883</v>
      </c>
      <c r="HI22" s="105"/>
      <c r="HJ22" s="60">
        <f>HJ10*HU22</f>
        <v>-584.19546877215862</v>
      </c>
      <c r="HK22" s="105"/>
      <c r="HL22" s="60">
        <f>HL10*HU22</f>
        <v>-749.09666964945325</v>
      </c>
      <c r="HM22" s="105"/>
      <c r="HN22" s="60">
        <f>HN10*HU22</f>
        <v>-2080.8240860588353</v>
      </c>
      <c r="HO22" s="105"/>
      <c r="HP22" s="60">
        <f>HP10*HU22</f>
        <v>-572.22662631923026</v>
      </c>
      <c r="HQ22" s="105"/>
      <c r="HR22" s="60">
        <f>HU22*HR10</f>
        <v>-2184.8652873445803</v>
      </c>
      <c r="HS22" s="105"/>
      <c r="HT22" s="115">
        <f>HE22*1.05</f>
        <v>-14049.031423936145</v>
      </c>
      <c r="HU22" s="105">
        <f>HT22/HT10</f>
        <v>-1.5068515470803347E-2</v>
      </c>
      <c r="HX22" t="s">
        <v>314</v>
      </c>
      <c r="HZ22" s="113">
        <f t="shared" si="20"/>
        <v>-9283</v>
      </c>
      <c r="IA22" s="116">
        <f>R22</f>
        <v>-6480.0177100000001</v>
      </c>
      <c r="IB22" s="116">
        <f>AG22</f>
        <v>-7450.5013200000003</v>
      </c>
      <c r="IC22" s="116">
        <f>AV22</f>
        <v>-7823.0263860000005</v>
      </c>
      <c r="ID22" s="116">
        <f>BK22</f>
        <v>-8214.1777053000005</v>
      </c>
      <c r="IE22" s="116">
        <f>BZ22</f>
        <v>-8624.8865905650018</v>
      </c>
      <c r="IF22" s="116">
        <f>CO22</f>
        <v>-9056.1309200932519</v>
      </c>
      <c r="IG22" s="116">
        <f>DD22</f>
        <v>-9508.9374660979156</v>
      </c>
      <c r="IH22" s="116">
        <f>DS22</f>
        <v>-9984.3843394028117</v>
      </c>
      <c r="II22" s="116">
        <f>EH22</f>
        <v>-10483.603556372953</v>
      </c>
      <c r="IJ22" s="116">
        <f>EW22</f>
        <v>-11007.7837341916</v>
      </c>
      <c r="IK22" s="116">
        <f>FL22</f>
        <v>-11558.172920901181</v>
      </c>
      <c r="IL22" s="116">
        <f>GA22</f>
        <v>-12136.081566946241</v>
      </c>
      <c r="IM22" s="116">
        <f>GP22</f>
        <v>-12742.885645293554</v>
      </c>
      <c r="IN22" s="116">
        <f>+HE22</f>
        <v>-13380.029927558233</v>
      </c>
      <c r="IO22" s="116">
        <f>+HT22</f>
        <v>-14049.031423936145</v>
      </c>
    </row>
    <row r="23" spans="2:249" ht="19.2" customHeight="1">
      <c r="B23" t="s">
        <v>315</v>
      </c>
      <c r="C23" s="114">
        <f>-5504+847</f>
        <v>-4657</v>
      </c>
      <c r="D23" s="114"/>
      <c r="E23" s="71"/>
      <c r="F23" s="60">
        <f>F10*$S$23</f>
        <v>-5609.8620899294592</v>
      </c>
      <c r="G23" s="105"/>
      <c r="H23" s="60">
        <f>H10*$S$23</f>
        <v>-2847.9434918905504</v>
      </c>
      <c r="I23" s="105"/>
      <c r="J23" s="60">
        <f>J10*$S$23</f>
        <v>-324.83303629023658</v>
      </c>
      <c r="K23" s="105"/>
      <c r="L23" s="60">
        <f>L10*$S$23</f>
        <v>-317.77144854479667</v>
      </c>
      <c r="M23" s="105"/>
      <c r="N23" s="115">
        <f>N10*$S$23</f>
        <v>-127.10857941791868</v>
      </c>
      <c r="O23" s="105"/>
      <c r="P23" s="60">
        <f>P10*$S$23</f>
        <v>-112.98540392703882</v>
      </c>
      <c r="Q23" s="105"/>
      <c r="R23" s="60">
        <v>-9340.5040500000014</v>
      </c>
      <c r="S23" s="105">
        <f>R23/R10</f>
        <v>-7.0615877454399262E-2</v>
      </c>
      <c r="T23" s="71"/>
      <c r="U23" s="60">
        <f>U10*$AH$23</f>
        <v>-6835.5446135245602</v>
      </c>
      <c r="V23" s="105"/>
      <c r="W23" s="60">
        <f>W10*$AH$23</f>
        <v>-1191.6427020725234</v>
      </c>
      <c r="X23" s="105"/>
      <c r="Y23" s="60">
        <f>Y10*$AH$23</f>
        <v>-649.98712454829979</v>
      </c>
      <c r="Z23" s="105"/>
      <c r="AA23" s="60">
        <f>AA10*$AH$23</f>
        <v>-1805.5197936217564</v>
      </c>
      <c r="AB23" s="105"/>
      <c r="AC23" s="60">
        <f>AC10*$AH$23</f>
        <v>-496.51794554802069</v>
      </c>
      <c r="AD23" s="105"/>
      <c r="AE23" s="60">
        <f>AE10*$AH$23</f>
        <v>-1895.7957806848383</v>
      </c>
      <c r="AF23" s="105"/>
      <c r="AG23" s="60">
        <f>(-'[33]IS Assumption'!R127-'[33]IS Assumption'!R131-'[33]IS Assumption'!R135-'[33]IS Assumption'!R139-'[33]IS Assumption'!R143-'[33]IS Assumption'!R144)/1000</f>
        <v>-12875.007959999999</v>
      </c>
      <c r="AH23" s="105">
        <f>AG23/AG10</f>
        <v>-4.5137994885681904E-2</v>
      </c>
      <c r="AI23" s="71"/>
      <c r="AJ23" s="60">
        <f>AJ10*AW23</f>
        <v>-7151.0851853076156</v>
      </c>
      <c r="AK23" s="105"/>
      <c r="AL23" s="60">
        <f>AL10*AW23</f>
        <v>-1167.3186560988947</v>
      </c>
      <c r="AM23" s="105"/>
      <c r="AN23" s="60">
        <f>AN10*AW23</f>
        <v>-679.99165535419877</v>
      </c>
      <c r="AO23" s="105"/>
      <c r="AP23" s="60">
        <f>AP10*AW23</f>
        <v>-1888.8657126752018</v>
      </c>
      <c r="AQ23" s="105"/>
      <c r="AR23" s="60">
        <f>AR10*AW23</f>
        <v>-519.43807339398427</v>
      </c>
      <c r="AS23" s="105"/>
      <c r="AT23" s="60">
        <f>AT10*AW23</f>
        <v>-1983.3089955701046</v>
      </c>
      <c r="AU23" s="105"/>
      <c r="AV23" s="60">
        <f>AG23*1.04</f>
        <v>-13390.008278399999</v>
      </c>
      <c r="AW23" s="105">
        <f>AV23/AV10</f>
        <v>-4.2928766240092446E-2</v>
      </c>
      <c r="AX23" s="71"/>
      <c r="AY23" s="60">
        <f>AY10*BL23</f>
        <v>-7478.6178132273644</v>
      </c>
      <c r="AZ23" s="105"/>
      <c r="BA23" s="60">
        <f>BA10*BL23</f>
        <v>-1143.0977085756988</v>
      </c>
      <c r="BB23" s="105"/>
      <c r="BC23" s="60">
        <f>BC10*BL23</f>
        <v>-711.13650233480143</v>
      </c>
      <c r="BD23" s="105"/>
      <c r="BE23" s="60">
        <f>BE10*BL23</f>
        <v>-1975.3791766640113</v>
      </c>
      <c r="BF23" s="105"/>
      <c r="BG23" s="60">
        <f>BG10*BL23</f>
        <v>-543.22927610121144</v>
      </c>
      <c r="BH23" s="105"/>
      <c r="BI23" s="60">
        <f>BI10*BL23</f>
        <v>-2074.1481326329099</v>
      </c>
      <c r="BJ23" s="105"/>
      <c r="BK23" s="60">
        <f>AV23*1.04</f>
        <v>-13925.608609535999</v>
      </c>
      <c r="BL23" s="105">
        <f>BK23/BK10</f>
        <v>-4.0813619393375834E-2</v>
      </c>
      <c r="BM23" s="71"/>
      <c r="BN23" s="60">
        <f>BN10*CA23</f>
        <v>-7818.6042203862335</v>
      </c>
      <c r="BO23" s="105"/>
      <c r="BP23" s="60">
        <f>BP10*CA23</f>
        <v>-1119.0146793459285</v>
      </c>
      <c r="BQ23" s="105"/>
      <c r="BR23" s="60">
        <f>BR10*CA23</f>
        <v>-743.46557041482902</v>
      </c>
      <c r="BS23" s="105"/>
      <c r="BT23" s="60">
        <f>BT10*CA23</f>
        <v>-2065.1821437126259</v>
      </c>
      <c r="BU23" s="105"/>
      <c r="BV23" s="60">
        <f>BV10*CA23</f>
        <v>-567.92509215407938</v>
      </c>
      <c r="BW23" s="105"/>
      <c r="BX23" s="60">
        <f>BX10*CA23</f>
        <v>-2168.441247903741</v>
      </c>
      <c r="BY23" s="105"/>
      <c r="BZ23" s="60">
        <f>BK23*1.04</f>
        <v>-14482.632953917438</v>
      </c>
      <c r="CA23" s="105">
        <f>BZ23/BZ10</f>
        <v>-3.879004781701368E-2</v>
      </c>
      <c r="CB23" s="71"/>
      <c r="CC23" s="60">
        <f>CC10*CP23</f>
        <v>-8171.5271783009639</v>
      </c>
      <c r="CD23" s="105"/>
      <c r="CE23" s="60">
        <f>CE10*CP23</f>
        <v>-1095.1013721618322</v>
      </c>
      <c r="CF23" s="105"/>
      <c r="CG23" s="60">
        <f>CG10*CP23</f>
        <v>-777.02476599789964</v>
      </c>
      <c r="CH23" s="105"/>
      <c r="CI23" s="60">
        <f>CI10*CP23</f>
        <v>-2158.4021316091025</v>
      </c>
      <c r="CJ23" s="105"/>
      <c r="CK23" s="60">
        <f>CK10*CP23</f>
        <v>-593.56058894446585</v>
      </c>
      <c r="CL23" s="105"/>
      <c r="CM23" s="60">
        <f>CM10*CP23</f>
        <v>-2266.3222350598721</v>
      </c>
      <c r="CN23" s="105"/>
      <c r="CO23" s="60">
        <f>BZ23*1.04</f>
        <v>-15061.938272074136</v>
      </c>
      <c r="CP23" s="105">
        <f>CO23/CO10</f>
        <v>-3.6855442486297123E-2</v>
      </c>
      <c r="CQ23" s="71"/>
      <c r="CR23" s="60">
        <f>CR10*DE23</f>
        <v>-8537.8912065233035</v>
      </c>
      <c r="CS23" s="105"/>
      <c r="CT23" s="60">
        <f>CT10*DE23</f>
        <v>-1071.3866972886869</v>
      </c>
      <c r="CU23" s="105"/>
      <c r="CV23" s="60">
        <f>CV10*DE23</f>
        <v>-811.86206349296845</v>
      </c>
      <c r="CW23" s="105"/>
      <c r="CX23" s="60">
        <f>CX10*DE23</f>
        <v>-2255.1724026007741</v>
      </c>
      <c r="CY23" s="105"/>
      <c r="CZ23" s="60">
        <f>CZ10*DE23</f>
        <v>-620.17241359055765</v>
      </c>
      <c r="DA23" s="105"/>
      <c r="DB23" s="60">
        <f>DB10*DE23</f>
        <v>-2367.9310194608106</v>
      </c>
      <c r="DC23" s="105"/>
      <c r="DD23" s="60">
        <f>CO23*1.04</f>
        <v>-15664.415802957103</v>
      </c>
      <c r="DE23" s="105">
        <f>DD23/DD10</f>
        <v>-3.5007115833741276E-2</v>
      </c>
      <c r="DF23" s="71"/>
      <c r="DG23" s="60">
        <f>DG10*DT23</f>
        <v>-8918.2232985344508</v>
      </c>
      <c r="DH23" s="105"/>
      <c r="DI23" s="60">
        <f>DI10*DT23</f>
        <v>-1047.896801937304</v>
      </c>
      <c r="DJ23" s="105"/>
      <c r="DK23" s="60">
        <f>DK10*DT23</f>
        <v>-848.02757433911859</v>
      </c>
      <c r="DL23" s="105"/>
      <c r="DM23" s="60">
        <f>DM10*DT23</f>
        <v>-2355.632155129786</v>
      </c>
      <c r="DN23" s="105"/>
      <c r="DO23" s="60">
        <f>DO10*DT23</f>
        <v>-647.79884566412215</v>
      </c>
      <c r="DP23" s="105"/>
      <c r="DQ23" s="60">
        <f>DQ10*DT23</f>
        <v>-2473.4137594706062</v>
      </c>
      <c r="DR23" s="105"/>
      <c r="DS23" s="60">
        <f>DD23*1.04</f>
        <v>-16290.992435075388</v>
      </c>
      <c r="DT23" s="105">
        <f>DS23/DS10</f>
        <v>-3.324232354242132E-2</v>
      </c>
      <c r="DU23" s="71"/>
      <c r="DV23" s="60">
        <f>DV10*EI23</f>
        <v>-9313.0736765478232</v>
      </c>
      <c r="DW23" s="105"/>
      <c r="DX23" s="60">
        <f>DX10*EI23</f>
        <v>-1024.6552061316593</v>
      </c>
      <c r="DY23" s="105"/>
      <c r="DZ23" s="60">
        <f>DZ10*EI23</f>
        <v>-885.5736187792246</v>
      </c>
      <c r="EA23" s="105"/>
      <c r="EB23" s="60">
        <f>EB10*EI23</f>
        <v>-2459.9267232043826</v>
      </c>
      <c r="EC23" s="105"/>
      <c r="ED23" s="60">
        <f>ED10*EI23</f>
        <v>-676.47985201761162</v>
      </c>
      <c r="EE23" s="105"/>
      <c r="EF23" s="60">
        <f>EF10*EI23</f>
        <v>-2582.9230557977053</v>
      </c>
      <c r="EG23" s="105"/>
      <c r="EH23" s="60">
        <f>DS23*1.04</f>
        <v>-16942.632132478404</v>
      </c>
      <c r="EI23" s="105">
        <f>EH23/EH10</f>
        <v>-3.1558284238183021E-2</v>
      </c>
      <c r="EJ23" s="71"/>
      <c r="EK23" s="60">
        <f>EK10*EX23</f>
        <v>-9723.016577736249</v>
      </c>
      <c r="EL23" s="105"/>
      <c r="EM23" s="60">
        <f>EM10*EX23</f>
        <v>-1001.6829419049659</v>
      </c>
      <c r="EN23" s="105"/>
      <c r="EO23" s="60">
        <f>EO10*EX23</f>
        <v>-924.55480062174365</v>
      </c>
      <c r="EP23" s="105"/>
      <c r="EQ23" s="60">
        <f>EQ10*EX23</f>
        <v>-2568.207784070546</v>
      </c>
      <c r="ER23" s="105"/>
      <c r="ES23" s="60">
        <f>ES10*EX23</f>
        <v>-706.25714389386508</v>
      </c>
      <c r="ET23" s="105"/>
      <c r="EU23" s="60">
        <f>EU10*EX23</f>
        <v>-2696.6181695501696</v>
      </c>
      <c r="EV23" s="105"/>
      <c r="EW23" s="60">
        <f>EH23*1.04</f>
        <v>-17620.33741777754</v>
      </c>
      <c r="EX23" s="105">
        <f>EW23/EW10</f>
        <v>-2.9952197159477077E-2</v>
      </c>
      <c r="EY23" s="71"/>
      <c r="EZ23" s="60">
        <f>EZ10*FM23</f>
        <v>-10148.651074290248</v>
      </c>
      <c r="FA23" s="105"/>
      <c r="FB23" s="60">
        <f>FB10*FM23</f>
        <v>-978.99869399227339</v>
      </c>
      <c r="FC23" s="105"/>
      <c r="FD23" s="60">
        <f>FD10*FM23</f>
        <v>-965.02808521947929</v>
      </c>
      <c r="FE23" s="105"/>
      <c r="FF23" s="60">
        <f>FF10*FM23</f>
        <v>-2680.6335748196798</v>
      </c>
      <c r="FG23" s="105"/>
      <c r="FH23" s="60">
        <f>FH10*FM23</f>
        <v>-737.17423649321961</v>
      </c>
      <c r="FI23" s="105"/>
      <c r="FJ23" s="60">
        <f>FJ10*FM23</f>
        <v>-2814.6652496737424</v>
      </c>
      <c r="FK23" s="105"/>
      <c r="FL23" s="60">
        <f>EW23*1.04</f>
        <v>-18325.150914488644</v>
      </c>
      <c r="FM23" s="105">
        <f>FL23/FL10</f>
        <v>-2.8421257898679921E-2</v>
      </c>
      <c r="FN23" s="71"/>
      <c r="FO23" s="60">
        <f>FO10*GB23</f>
        <v>-10590.601929615841</v>
      </c>
      <c r="FP23" s="105"/>
      <c r="FQ23" s="60">
        <f>FQ10*GB23</f>
        <v>-956.61894044675864</v>
      </c>
      <c r="FR23" s="105"/>
      <c r="FS23" s="60">
        <f>FS10*GB23</f>
        <v>-1007.0528808848277</v>
      </c>
      <c r="FT23" s="105"/>
      <c r="FU23" s="60">
        <f>FU10*GB23</f>
        <v>-2797.3691185420666</v>
      </c>
      <c r="FV23" s="105"/>
      <c r="FW23" s="60">
        <f>FW10*GB23</f>
        <v>-769.27651116571371</v>
      </c>
      <c r="FX23" s="105"/>
      <c r="FY23" s="60">
        <f>FY10*GB23</f>
        <v>-2937.2375704129818</v>
      </c>
      <c r="FZ23" s="105"/>
      <c r="GA23" s="60">
        <f>FL23*1.04</f>
        <v>-19058.156951068191</v>
      </c>
      <c r="GB23" s="105">
        <f>GA23/GA10</f>
        <v>-2.6962672319745123E-2</v>
      </c>
      <c r="GC23" s="71"/>
      <c r="GD23" s="60">
        <f>GD10*GQ23</f>
        <v>-11049.520492894935</v>
      </c>
      <c r="GE23" s="105"/>
      <c r="GF23" s="60">
        <f>GF10*GQ23</f>
        <v>-934.55809184789337</v>
      </c>
      <c r="GG23" s="105"/>
      <c r="GH23" s="60">
        <f>GH10*GQ23</f>
        <v>-1050.6911239528968</v>
      </c>
      <c r="GI23" s="105"/>
      <c r="GJ23" s="60">
        <f>GJ10*GQ23</f>
        <v>-2918.5864606133118</v>
      </c>
      <c r="GK23" s="105"/>
      <c r="GL23" s="60">
        <f>GL10*GQ23</f>
        <v>-802.61128038985828</v>
      </c>
      <c r="GM23" s="105"/>
      <c r="GN23" s="60">
        <f>GN10*GQ23</f>
        <v>-3064.5157794120241</v>
      </c>
      <c r="GO23" s="105"/>
      <c r="GP23" s="60">
        <f>GA23*1.04</f>
        <v>-19820.48322911092</v>
      </c>
      <c r="GQ23" s="105">
        <f>GP23/GP10</f>
        <v>-2.5573668764422547E-2</v>
      </c>
      <c r="GR23" s="71"/>
      <c r="GS23" s="60">
        <f>GS10*HF23</f>
        <v>-11526.085634159464</v>
      </c>
      <c r="GT23" s="105"/>
      <c r="GU23" s="60">
        <f>GU10*HF23</f>
        <v>-912.82862799108682</v>
      </c>
      <c r="GV23" s="105"/>
      <c r="GW23" s="60">
        <f>GW10*HF23</f>
        <v>-1096.007367697046</v>
      </c>
      <c r="GX23" s="105"/>
      <c r="GY23" s="60">
        <f>GY10*HF23</f>
        <v>-3044.4649156819551</v>
      </c>
      <c r="GZ23" s="105"/>
      <c r="HA23" s="60">
        <f>HA10*HF23</f>
        <v>-837.22785569423002</v>
      </c>
      <c r="HB23" s="105"/>
      <c r="HC23" s="60">
        <f>HC10*HF23</f>
        <v>-3196.6881570515752</v>
      </c>
      <c r="HD23" s="105"/>
      <c r="HE23" s="60">
        <f>GP23*1.04</f>
        <v>-20613.302558275358</v>
      </c>
      <c r="HF23" s="105">
        <f>HE23/HE10</f>
        <v>-2.4251508663607351E-2</v>
      </c>
      <c r="HG23" s="71"/>
      <c r="HH23" s="60">
        <f>HH10*HU23</f>
        <v>-12021.004721972848</v>
      </c>
      <c r="HI23" s="105"/>
      <c r="HJ23" s="60">
        <f>HJ10*HU23</f>
        <v>-891.44123114959393</v>
      </c>
      <c r="HK23" s="105"/>
      <c r="HL23" s="60">
        <f>HL10*HU23</f>
        <v>-1143.0688752959288</v>
      </c>
      <c r="HM23" s="105"/>
      <c r="HN23" s="60">
        <f>HN10*HU23</f>
        <v>-3175.1913259112539</v>
      </c>
      <c r="HO23" s="105"/>
      <c r="HP23" s="60">
        <f>HP10*HU23</f>
        <v>-873.17761867396325</v>
      </c>
      <c r="HQ23" s="105"/>
      <c r="HR23" s="60">
        <f>HR10*HU23</f>
        <v>-3333.9508876027858</v>
      </c>
      <c r="HS23" s="105"/>
      <c r="HT23" s="115">
        <f>HE23*1.04</f>
        <v>-21437.834660606371</v>
      </c>
      <c r="HU23" s="105">
        <f>HT23/HT10</f>
        <v>-2.2993495672128376E-2</v>
      </c>
      <c r="HX23" t="s">
        <v>315</v>
      </c>
      <c r="HZ23" s="113">
        <f t="shared" si="20"/>
        <v>-4657</v>
      </c>
      <c r="IA23" s="116">
        <f>R23</f>
        <v>-9340.5040500000014</v>
      </c>
      <c r="IB23" s="116">
        <f>AG23</f>
        <v>-12875.007959999999</v>
      </c>
      <c r="IC23" s="116">
        <f>AV23</f>
        <v>-13390.008278399999</v>
      </c>
      <c r="ID23" s="116">
        <f>BK23</f>
        <v>-13925.608609535999</v>
      </c>
      <c r="IE23" s="116">
        <f>BZ23</f>
        <v>-14482.632953917438</v>
      </c>
      <c r="IF23" s="116">
        <f>CO23</f>
        <v>-15061.938272074136</v>
      </c>
      <c r="IG23" s="116">
        <f>DD23</f>
        <v>-15664.415802957103</v>
      </c>
      <c r="IH23" s="116">
        <f>DS23</f>
        <v>-16290.992435075388</v>
      </c>
      <c r="II23" s="116">
        <f>EH23</f>
        <v>-16942.632132478404</v>
      </c>
      <c r="IJ23" s="116">
        <f>EW23</f>
        <v>-17620.33741777754</v>
      </c>
      <c r="IK23" s="116">
        <f>FL23</f>
        <v>-18325.150914488644</v>
      </c>
      <c r="IL23" s="116">
        <f>GA23</f>
        <v>-19058.156951068191</v>
      </c>
      <c r="IM23" s="116">
        <f>GP23</f>
        <v>-19820.48322911092</v>
      </c>
      <c r="IN23" s="116">
        <f>+HE23</f>
        <v>-20613.302558275358</v>
      </c>
      <c r="IO23" s="116">
        <f>+HT23</f>
        <v>-21437.834660606371</v>
      </c>
    </row>
    <row r="24" spans="2:249" ht="19.2" customHeight="1">
      <c r="B24" t="s">
        <v>316</v>
      </c>
      <c r="C24" s="114">
        <f>-342-847</f>
        <v>-1189</v>
      </c>
      <c r="D24" s="114"/>
      <c r="E24" s="71"/>
      <c r="F24" s="60">
        <f>F10*$S$24</f>
        <v>-302.46344672805196</v>
      </c>
      <c r="G24" s="105"/>
      <c r="H24" s="60">
        <f>H10*$S$24</f>
        <v>-153.55079872467442</v>
      </c>
      <c r="I24" s="105"/>
      <c r="J24" s="60">
        <f>J10*$S$24</f>
        <v>-17.513820873396693</v>
      </c>
      <c r="K24" s="105"/>
      <c r="L24" s="60">
        <f>L10*$S$24</f>
        <v>-17.133085637018503</v>
      </c>
      <c r="M24" s="105"/>
      <c r="N24" s="115">
        <f>N10*$S$24</f>
        <v>-6.8532342548074014</v>
      </c>
      <c r="O24" s="105"/>
      <c r="P24" s="60">
        <f>P10*$S$24</f>
        <v>-6.0917637820510233</v>
      </c>
      <c r="Q24" s="117"/>
      <c r="R24" s="60">
        <v>-503.60615000000001</v>
      </c>
      <c r="S24" s="117">
        <f>R24/R10</f>
        <v>-3.8073523637818896E-3</v>
      </c>
      <c r="T24" s="71"/>
      <c r="U24" s="60">
        <f>U10*$AH$24</f>
        <v>-143.34725472679486</v>
      </c>
      <c r="V24" s="105"/>
      <c r="W24" s="60">
        <f>W10*$AH$24</f>
        <v>-24.989773253668833</v>
      </c>
      <c r="X24" s="105"/>
      <c r="Y24" s="60">
        <f>Y10*$AH$24</f>
        <v>-13.630789524423792</v>
      </c>
      <c r="Z24" s="105"/>
      <c r="AA24" s="60">
        <f>AA10*$AH$24</f>
        <v>-37.863304301823071</v>
      </c>
      <c r="AB24" s="105"/>
      <c r="AC24" s="60">
        <f>AC10*$AH$24</f>
        <v>-10.412408731277056</v>
      </c>
      <c r="AD24" s="105"/>
      <c r="AE24" s="60">
        <f>AE10*$AH$24</f>
        <v>-39.756469462012383</v>
      </c>
      <c r="AF24" s="105"/>
      <c r="AG24" s="60">
        <f>(-'[33]IS Assumption'!R126-'[33]IS Assumption'!R130-'[33]IS Assumption'!R134-'[33]IS Assumption'!R138-'[33]IS Assumption'!R142)/1000</f>
        <v>-270</v>
      </c>
      <c r="AH24" s="105">
        <f>AG24/AG10</f>
        <v>-9.4658260849215929E-4</v>
      </c>
      <c r="AI24" s="71"/>
      <c r="AJ24" s="60">
        <f>AJ10*AW24</f>
        <v>-149.96441214107463</v>
      </c>
      <c r="AK24" s="105"/>
      <c r="AL24" s="60">
        <f>AL10*AW24</f>
        <v>-24.479677070949297</v>
      </c>
      <c r="AM24" s="105"/>
      <c r="AN24" s="60">
        <f>AN10*AW24</f>
        <v>-14.260010363957376</v>
      </c>
      <c r="AO24" s="105"/>
      <c r="AP24" s="60">
        <f>AP10*AW24</f>
        <v>-39.611139970301394</v>
      </c>
      <c r="AQ24" s="105"/>
      <c r="AR24" s="60">
        <f>AR10*AW24</f>
        <v>-10.893063542337087</v>
      </c>
      <c r="AS24" s="105"/>
      <c r="AT24" s="60">
        <f>AT10*AW24</f>
        <v>-41.591696911380268</v>
      </c>
      <c r="AU24" s="105"/>
      <c r="AV24" s="60">
        <f>AG24*1.04</f>
        <v>-280.8</v>
      </c>
      <c r="AW24" s="105">
        <f>AV24/AV10</f>
        <v>-9.0025318204346673E-4</v>
      </c>
      <c r="AX24" s="71"/>
      <c r="AY24" s="60">
        <f>AY10*BL24</f>
        <v>-156.83305329555611</v>
      </c>
      <c r="AZ24" s="105"/>
      <c r="BA24" s="60">
        <f>BA10*BL24</f>
        <v>-23.97174295148465</v>
      </c>
      <c r="BB24" s="105"/>
      <c r="BC24" s="60">
        <f>BC10*BL24</f>
        <v>-14.913144615282743</v>
      </c>
      <c r="BD24" s="105"/>
      <c r="BE24" s="60">
        <f>BE10*BL24</f>
        <v>-41.425401782763885</v>
      </c>
      <c r="BF24" s="105"/>
      <c r="BG24" s="60">
        <f>BG10*BL24</f>
        <v>-11.391985543077453</v>
      </c>
      <c r="BH24" s="105"/>
      <c r="BI24" s="60">
        <f>BI10*BL24</f>
        <v>-43.496671811835199</v>
      </c>
      <c r="BJ24" s="105"/>
      <c r="BK24" s="60">
        <f>AV24*1.04</f>
        <v>-292.03200000000004</v>
      </c>
      <c r="BL24" s="105">
        <f>BK24/BK10</f>
        <v>-8.5589673190473732E-4</v>
      </c>
      <c r="BM24" s="71"/>
      <c r="BN24" s="60">
        <f>BN10*CA24</f>
        <v>-163.96286092115812</v>
      </c>
      <c r="BO24" s="105"/>
      <c r="BP24" s="60">
        <f>BP10*CA24</f>
        <v>-23.466701097356122</v>
      </c>
      <c r="BQ24" s="105"/>
      <c r="BR24" s="60">
        <f>BR10*CA24</f>
        <v>-15.591113002465585</v>
      </c>
      <c r="BS24" s="105"/>
      <c r="BT24" s="60">
        <f>BT10*CA24</f>
        <v>-43.308647306064209</v>
      </c>
      <c r="BU24" s="105"/>
      <c r="BV24" s="60">
        <f>BV10*CA24</f>
        <v>-11.909878064386181</v>
      </c>
      <c r="BW24" s="105"/>
      <c r="BX24" s="60">
        <f>BX10*CA24</f>
        <v>-45.474079608569831</v>
      </c>
      <c r="BY24" s="105"/>
      <c r="BZ24" s="60">
        <f>BK24*1.04</f>
        <v>-303.71328000000005</v>
      </c>
      <c r="CA24" s="105">
        <f>BZ24/BZ10</f>
        <v>-8.1346069401526779E-4</v>
      </c>
      <c r="CB24" s="71"/>
      <c r="CC24" s="60">
        <f>CC10*CP24</f>
        <v>-171.3639591521667</v>
      </c>
      <c r="CD24" s="105"/>
      <c r="CE24" s="60">
        <f>CE10*CP24</f>
        <v>-22.965218460625699</v>
      </c>
      <c r="CF24" s="105"/>
      <c r="CG24" s="60">
        <f>CG10*CP24</f>
        <v>-16.294878222306981</v>
      </c>
      <c r="CH24" s="105"/>
      <c r="CI24" s="60">
        <f>CI10*CP24</f>
        <v>-45.263550697987917</v>
      </c>
      <c r="CJ24" s="105"/>
      <c r="CK24" s="60">
        <f>CK10*CP24</f>
        <v>-12.447476499657702</v>
      </c>
      <c r="CL24" s="105"/>
      <c r="CM24" s="60">
        <f>CM10*CP24</f>
        <v>-47.526728167255108</v>
      </c>
      <c r="CN24" s="105"/>
      <c r="CO24" s="60">
        <f>BZ24*1.04</f>
        <v>-315.86181120000009</v>
      </c>
      <c r="CP24" s="105">
        <f>CO24/CO10</f>
        <v>-7.7289035488100992E-4</v>
      </c>
      <c r="CQ24" s="71"/>
      <c r="CR24" s="60">
        <f>CR10*DE24</f>
        <v>-179.04692819788303</v>
      </c>
      <c r="CS24" s="105"/>
      <c r="CT24" s="60">
        <f>CT10*DE24</f>
        <v>-22.467901314442805</v>
      </c>
      <c r="CU24" s="105"/>
      <c r="CV24" s="60">
        <f>CV10*DE24</f>
        <v>-17.025446339460093</v>
      </c>
      <c r="CW24" s="105"/>
      <c r="CX24" s="60">
        <f>CX10*DE24</f>
        <v>-47.292906582576528</v>
      </c>
      <c r="CY24" s="105"/>
      <c r="CZ24" s="60">
        <f>CZ10*DE24</f>
        <v>-13.005549370507001</v>
      </c>
      <c r="DA24" s="105"/>
      <c r="DB24" s="60">
        <f>DB10*DE24</f>
        <v>-49.657551843130591</v>
      </c>
      <c r="DC24" s="105"/>
      <c r="DD24" s="60">
        <f>CO24*1.04</f>
        <v>-328.49628364800009</v>
      </c>
      <c r="DE24" s="105">
        <f>DD24/DD10</f>
        <v>-7.3412935389829059E-4</v>
      </c>
      <c r="DF24" s="71"/>
      <c r="DG24" s="60">
        <f>DG10*DT24</f>
        <v>-187.02281956525502</v>
      </c>
      <c r="DH24" s="105"/>
      <c r="DI24" s="60">
        <f>DI10*DT24</f>
        <v>-21.975297988326226</v>
      </c>
      <c r="DJ24" s="105"/>
      <c r="DK24" s="60">
        <f>DK10*DT24</f>
        <v>-17.78386823393949</v>
      </c>
      <c r="DL24" s="105"/>
      <c r="DM24" s="60">
        <f>DM10*DT24</f>
        <v>-49.399634070986814</v>
      </c>
      <c r="DN24" s="105"/>
      <c r="DO24" s="60">
        <f>DO10*DT24</f>
        <v>-13.584899432505905</v>
      </c>
      <c r="DP24" s="105"/>
      <c r="DQ24" s="60">
        <f>DQ10*DT24</f>
        <v>-51.869615702906628</v>
      </c>
      <c r="DR24" s="105"/>
      <c r="DS24" s="60">
        <f>DD24*1.04</f>
        <v>-341.63613499392011</v>
      </c>
      <c r="DT24" s="105">
        <f>DS24/DS10</f>
        <v>-6.9712014037883038E-4</v>
      </c>
      <c r="DU24" s="71"/>
      <c r="DV24" s="60">
        <f>DV10*EI24</f>
        <v>-195.30317188774097</v>
      </c>
      <c r="DW24" s="105"/>
      <c r="DX24" s="60">
        <f>DX10*EI24</f>
        <v>-21.487901717425274</v>
      </c>
      <c r="DY24" s="105"/>
      <c r="DZ24" s="60">
        <f>DZ10*EI24</f>
        <v>-18.571241106276624</v>
      </c>
      <c r="EA24" s="105"/>
      <c r="EB24" s="60">
        <f>EB10*EI24</f>
        <v>-51.586780942478228</v>
      </c>
      <c r="EC24" s="105"/>
      <c r="ED24" s="60">
        <f>ED10*EI24</f>
        <v>-14.186364824954655</v>
      </c>
      <c r="EE24" s="105"/>
      <c r="EF24" s="60">
        <f>EF10*EI24</f>
        <v>-54.166119914801257</v>
      </c>
      <c r="EG24" s="105"/>
      <c r="EH24" s="60">
        <f>DS24*1.04</f>
        <v>-355.30158039367694</v>
      </c>
      <c r="EI24" s="105">
        <f>EH24/EH10</f>
        <v>-6.6180438651234968E-4</v>
      </c>
      <c r="EJ24" s="71"/>
      <c r="EK24" s="60">
        <f>EK10*EX24</f>
        <v>-203.90002741317045</v>
      </c>
      <c r="EL24" s="105"/>
      <c r="EM24" s="60">
        <f>EM10*EX24</f>
        <v>-21.006153561581243</v>
      </c>
      <c r="EN24" s="105"/>
      <c r="EO24" s="60">
        <f>EO10*EX24</f>
        <v>-19.388710045338943</v>
      </c>
      <c r="EP24" s="105"/>
      <c r="EQ24" s="60">
        <f>EQ10*EX24</f>
        <v>-53.857527999466001</v>
      </c>
      <c r="ER24" s="105"/>
      <c r="ES24" s="60">
        <f>ES10*EX24</f>
        <v>-14.810820268521496</v>
      </c>
      <c r="ET24" s="105"/>
      <c r="EU24" s="60">
        <f>EU10*EX24</f>
        <v>-56.550404321345837</v>
      </c>
      <c r="EV24" s="105"/>
      <c r="EW24" s="60">
        <f>EH24*1.04</f>
        <v>-369.51364360942404</v>
      </c>
      <c r="EX24" s="105">
        <f>EW24/EW10</f>
        <v>-6.2812335791820459E-4</v>
      </c>
      <c r="EY24" s="71"/>
      <c r="EZ24" s="60">
        <f>EZ10*FM24</f>
        <v>-212.82594920107283</v>
      </c>
      <c r="FA24" s="105"/>
      <c r="FB24" s="60">
        <f>FB10*FM24</f>
        <v>-20.53044535577234</v>
      </c>
      <c r="FC24" s="105"/>
      <c r="FD24" s="60">
        <f>FD10*FM24</f>
        <v>-20.237469663611726</v>
      </c>
      <c r="FE24" s="105"/>
      <c r="FF24" s="60">
        <f>FF10*FM24</f>
        <v>-56.215193609970697</v>
      </c>
      <c r="FG24" s="105"/>
      <c r="FH24" s="60">
        <f>FH10*FM24</f>
        <v>-15.45917831441631</v>
      </c>
      <c r="FI24" s="105"/>
      <c r="FJ24" s="60">
        <f>FJ10*FM24</f>
        <v>-59.025953208957141</v>
      </c>
      <c r="FK24" s="105"/>
      <c r="FL24" s="60">
        <f>EW24*1.04</f>
        <v>-384.29418935380102</v>
      </c>
      <c r="FM24" s="105">
        <f>FL24/FL10</f>
        <v>-5.9601824375443582E-4</v>
      </c>
      <c r="FN24" s="71"/>
      <c r="FO24" s="60">
        <f>FO10*GB24</f>
        <v>-222.09403907788169</v>
      </c>
      <c r="FP24" s="105"/>
      <c r="FQ24" s="60">
        <f>FQ10*GB24</f>
        <v>-20.061122658958332</v>
      </c>
      <c r="FR24" s="105"/>
      <c r="FS24" s="60">
        <f>FS10*GB24</f>
        <v>-21.118765804545841</v>
      </c>
      <c r="FT24" s="105"/>
      <c r="FU24" s="60">
        <f>FU10*GB24</f>
        <v>-58.66323845025088</v>
      </c>
      <c r="FV24" s="105"/>
      <c r="FW24" s="60">
        <f>FW10*GB24</f>
        <v>-16.132390648614617</v>
      </c>
      <c r="FX24" s="105"/>
      <c r="FY24" s="60">
        <f>FY10*GB24</f>
        <v>-61.59640028770167</v>
      </c>
      <c r="FZ24" s="105"/>
      <c r="GA24" s="60">
        <f>FL24*1.04</f>
        <v>-399.66595692795306</v>
      </c>
      <c r="GB24" s="105">
        <f>GA24/GA10</f>
        <v>-5.6543044858289816E-4</v>
      </c>
      <c r="GC24" s="71"/>
      <c r="GD24" s="60">
        <f>GD10*GQ24</f>
        <v>-231.71795639663688</v>
      </c>
      <c r="GE24" s="105"/>
      <c r="GF24" s="60">
        <f>GF10*GQ24</f>
        <v>-19.598487673395677</v>
      </c>
      <c r="GG24" s="105"/>
      <c r="GH24" s="60">
        <f>GH10*GQ24</f>
        <v>-22.033897326404617</v>
      </c>
      <c r="GI24" s="105"/>
      <c r="GJ24" s="60">
        <f>GJ10*GQ24</f>
        <v>-61.20527045993331</v>
      </c>
      <c r="GK24" s="105"/>
      <c r="GL24" s="60">
        <f>GL10*GQ24</f>
        <v>-16.831449454518374</v>
      </c>
      <c r="GM24" s="105"/>
      <c r="GN24" s="60">
        <f>GN10*GQ24</f>
        <v>-64.265533894182269</v>
      </c>
      <c r="GO24" s="105"/>
      <c r="GP24" s="60">
        <f>GA24*1.04</f>
        <v>-415.65259520507118</v>
      </c>
      <c r="GQ24" s="105">
        <f>GP24/GP10</f>
        <v>-5.3630184834418449E-4</v>
      </c>
      <c r="GR24" s="71"/>
      <c r="GS24" s="60">
        <f>GS10*HF24</f>
        <v>-241.71193764629379</v>
      </c>
      <c r="GT24" s="105"/>
      <c r="GU24" s="60">
        <f>GU10*HF24</f>
        <v>-19.142802111136987</v>
      </c>
      <c r="GV24" s="105"/>
      <c r="GW24" s="60">
        <f>GW10*HF24</f>
        <v>-22.984217966899219</v>
      </c>
      <c r="GX24" s="105"/>
      <c r="GY24" s="60">
        <f>GY10*HF24</f>
        <v>-63.845050021555714</v>
      </c>
      <c r="GZ24" s="105"/>
      <c r="HA24" s="60">
        <f>HA10*HF24</f>
        <v>-17.557388837330254</v>
      </c>
      <c r="HB24" s="105"/>
      <c r="HC24" s="60">
        <f>HC10*HF24</f>
        <v>-67.037302430058105</v>
      </c>
      <c r="HD24" s="105"/>
      <c r="HE24" s="60">
        <f>GP24*1.04</f>
        <v>-432.27869901327404</v>
      </c>
      <c r="HF24" s="105">
        <f>HE24/HE10</f>
        <v>-5.0857501288674824E-4</v>
      </c>
      <c r="HG24" s="71"/>
      <c r="HH24" s="60">
        <f>HH10*HU24</f>
        <v>-252.09081695454498</v>
      </c>
      <c r="HI24" s="105"/>
      <c r="HJ24" s="60">
        <f>HJ10*HU24</f>
        <v>-18.694289988647931</v>
      </c>
      <c r="HK24" s="105"/>
      <c r="HL24" s="60">
        <f>HL10*HU24</f>
        <v>-23.971138292787572</v>
      </c>
      <c r="HM24" s="105"/>
      <c r="HN24" s="60">
        <f>HN10*HU24</f>
        <v>-66.58649537611926</v>
      </c>
      <c r="HO24" s="105"/>
      <c r="HP24" s="60">
        <f>HP10*HU24</f>
        <v>-18.311286313330569</v>
      </c>
      <c r="HQ24" s="105"/>
      <c r="HR24" s="60">
        <f>HR10*HU24</f>
        <v>-69.915820048374741</v>
      </c>
      <c r="HS24" s="105"/>
      <c r="HT24" s="115">
        <f>HE24*1.04</f>
        <v>-449.569846973805</v>
      </c>
      <c r="HU24" s="105">
        <f>HT24/HT10</f>
        <v>-4.8219339753127912E-4</v>
      </c>
      <c r="HX24" t="s">
        <v>316</v>
      </c>
      <c r="HZ24" s="113">
        <f t="shared" si="20"/>
        <v>-1189</v>
      </c>
      <c r="IA24" s="116">
        <f>R24</f>
        <v>-503.60615000000001</v>
      </c>
      <c r="IB24" s="116">
        <f>AG24</f>
        <v>-270</v>
      </c>
      <c r="IC24" s="116">
        <f>AV24</f>
        <v>-280.8</v>
      </c>
      <c r="ID24" s="116">
        <f>BK24</f>
        <v>-292.03200000000004</v>
      </c>
      <c r="IE24" s="116">
        <f>BZ24</f>
        <v>-303.71328000000005</v>
      </c>
      <c r="IF24" s="116">
        <f>CO24</f>
        <v>-315.86181120000009</v>
      </c>
      <c r="IG24" s="116">
        <f>DD24</f>
        <v>-328.49628364800009</v>
      </c>
      <c r="IH24" s="116">
        <f>DS24</f>
        <v>-341.63613499392011</v>
      </c>
      <c r="II24" s="116">
        <f>EH24</f>
        <v>-355.30158039367694</v>
      </c>
      <c r="IJ24" s="116">
        <f>EW24</f>
        <v>-369.51364360942404</v>
      </c>
      <c r="IK24" s="116">
        <f>FL24</f>
        <v>-384.29418935380102</v>
      </c>
      <c r="IL24" s="116">
        <f>GA24</f>
        <v>-399.66595692795306</v>
      </c>
      <c r="IM24" s="116">
        <f>GP24</f>
        <v>-415.65259520507118</v>
      </c>
      <c r="IN24" s="116">
        <f>+HE24</f>
        <v>-432.27869901327404</v>
      </c>
      <c r="IO24" s="116">
        <f>+HT24</f>
        <v>-449.569846973805</v>
      </c>
    </row>
    <row r="25" spans="2:249" ht="17.7" customHeight="1">
      <c r="B25" t="s">
        <v>317</v>
      </c>
      <c r="C25" s="114">
        <v>-1047</v>
      </c>
      <c r="D25" s="114"/>
      <c r="E25" s="71"/>
      <c r="F25" s="60">
        <f>F10*$S$25</f>
        <v>-1668.6645538220794</v>
      </c>
      <c r="G25" s="105"/>
      <c r="H25" s="60">
        <f>H10*$S$25</f>
        <v>-847.12641416569954</v>
      </c>
      <c r="I25" s="105"/>
      <c r="J25" s="60">
        <f>J10*$S$25</f>
        <v>-96.622227940497339</v>
      </c>
      <c r="K25" s="105"/>
      <c r="L25" s="60">
        <f>L10*$S$25</f>
        <v>-94.521744724399582</v>
      </c>
      <c r="M25" s="105"/>
      <c r="N25" s="115">
        <f>N10*$S$25</f>
        <v>-37.808697889759827</v>
      </c>
      <c r="O25" s="105"/>
      <c r="P25" s="60">
        <f>P10*$S$25</f>
        <v>-33.607731457564292</v>
      </c>
      <c r="Q25" s="105"/>
      <c r="R25" s="60">
        <v>-2778.3513700000003</v>
      </c>
      <c r="S25" s="105">
        <f>R25/R10</f>
        <v>-2.1004832160977684E-2</v>
      </c>
      <c r="T25" s="71"/>
      <c r="U25" s="60">
        <f>U10*$AH$25</f>
        <v>-2392.0497195119347</v>
      </c>
      <c r="V25" s="105"/>
      <c r="W25" s="60">
        <f>W10*$AH$25</f>
        <v>-417.00680083503363</v>
      </c>
      <c r="X25" s="105"/>
      <c r="Y25" s="60">
        <f>Y10*$AH$25</f>
        <v>-227.45832364049758</v>
      </c>
      <c r="Z25" s="105"/>
      <c r="AA25" s="60">
        <f>AA10*$AH$25</f>
        <v>-631.82867790241085</v>
      </c>
      <c r="AB25" s="105"/>
      <c r="AC25" s="60">
        <f>AC10*$AH$25</f>
        <v>-173.75288722874453</v>
      </c>
      <c r="AD25" s="105"/>
      <c r="AE25" s="60">
        <f>AE10*$AH$25</f>
        <v>-663.42011088137895</v>
      </c>
      <c r="AF25" s="105"/>
      <c r="AG25" s="60">
        <f>(-'[33]IS Assumption'!R147-'[33]IS Assumption'!R148-'[33]IS Assumption'!R151-'[33]IS Assumption'!R152-'[33]IS Assumption'!R155-'[33]IS Assumption'!R156-'[33]IS Assumption'!R160-'[33]IS Assumption'!R161-'[33]IS Assumption'!R164-'[33]IS Assumption'!R165-'[33]IS Assumption'!R168-'[33]IS Assumption'!R169-'[33]IS Assumption'!R172-'[33]IS Assumption'!R173)/1000</f>
        <v>-4505.5165200000001</v>
      </c>
      <c r="AH25" s="105">
        <f>AG25/AG10</f>
        <v>-1.5795716963355987E-2</v>
      </c>
      <c r="AI25" s="71"/>
      <c r="AJ25" s="60">
        <f>AJ10*AW25</f>
        <v>-2526.5330951901187</v>
      </c>
      <c r="AK25" s="105"/>
      <c r="AL25" s="60">
        <f>AL10*AW25</f>
        <v>-412.42261011324297</v>
      </c>
      <c r="AM25" s="105"/>
      <c r="AN25" s="60">
        <f>AN10*AW25</f>
        <v>-240.24625314704497</v>
      </c>
      <c r="AO25" s="105"/>
      <c r="AP25" s="60">
        <f>AP10*AW25</f>
        <v>-667.3507043726371</v>
      </c>
      <c r="AQ25" s="105"/>
      <c r="AR25" s="60">
        <f>AR10*AW25</f>
        <v>-183.52144455334735</v>
      </c>
      <c r="AS25" s="105"/>
      <c r="AT25" s="60">
        <f>AT10*AW25</f>
        <v>-700.71823862360964</v>
      </c>
      <c r="AU25" s="105"/>
      <c r="AV25" s="60">
        <f>AG25*1.05</f>
        <v>-4730.7923460000002</v>
      </c>
      <c r="AW25" s="105">
        <f>AV25/AV10</f>
        <v>-1.5167061478181542E-2</v>
      </c>
      <c r="AX25" s="71"/>
      <c r="AY25" s="60">
        <f>AY10*BL25</f>
        <v>-2667.6591556300273</v>
      </c>
      <c r="AZ25" s="105"/>
      <c r="BA25" s="60">
        <f>BA10*BL25</f>
        <v>-407.74848297077432</v>
      </c>
      <c r="BB25" s="105"/>
      <c r="BC25" s="60">
        <f>BC10*BL25</f>
        <v>-253.66583087062116</v>
      </c>
      <c r="BD25" s="105"/>
      <c r="BE25" s="60">
        <f>BE10*BL25</f>
        <v>-704.62730922661842</v>
      </c>
      <c r="BF25" s="105"/>
      <c r="BG25" s="60">
        <f>BG10*BL25</f>
        <v>-193.77251093571982</v>
      </c>
      <c r="BH25" s="105"/>
      <c r="BI25" s="60">
        <f>BI10*BL25</f>
        <v>-739.85867366623881</v>
      </c>
      <c r="BJ25" s="105"/>
      <c r="BK25" s="60">
        <f>AV25*1.05</f>
        <v>-4967.3319633000001</v>
      </c>
      <c r="BL25" s="105">
        <f>BK25/BK10</f>
        <v>-1.4558415494447224E-2</v>
      </c>
      <c r="BM25" s="71"/>
      <c r="BN25" s="60">
        <f>BN10*CA25</f>
        <v>-2815.750624536965</v>
      </c>
      <c r="BO25" s="105"/>
      <c r="BP25" s="60">
        <f>BP10*CA25</f>
        <v>-402.99600714137176</v>
      </c>
      <c r="BQ25" s="105"/>
      <c r="BR25" s="60">
        <f>BR10*CA25</f>
        <v>-267.74774438114133</v>
      </c>
      <c r="BS25" s="105"/>
      <c r="BT25" s="60">
        <f>BT10*CA25</f>
        <v>-743.74373571427009</v>
      </c>
      <c r="BU25" s="105"/>
      <c r="BV25" s="60">
        <f>BV10*CA25</f>
        <v>-204.52952826969749</v>
      </c>
      <c r="BW25" s="105"/>
      <c r="BX25" s="60">
        <f>BX10*CA25</f>
        <v>-780.93092142155433</v>
      </c>
      <c r="BY25" s="105"/>
      <c r="BZ25" s="60">
        <f>BK25*1.05</f>
        <v>-5215.6985614650002</v>
      </c>
      <c r="CA25" s="105">
        <f>BZ25/BZ10</f>
        <v>-1.3969641931968705E-2</v>
      </c>
      <c r="CB25" s="71"/>
      <c r="CC25" s="60">
        <f>CC10*CP25</f>
        <v>-2971.1470640701114</v>
      </c>
      <c r="CD25" s="105"/>
      <c r="CE25" s="60">
        <f>CE10*CP25</f>
        <v>-398.17614942257268</v>
      </c>
      <c r="CF25" s="105"/>
      <c r="CG25" s="60">
        <f>CG10*CP25</f>
        <v>-282.52428240524364</v>
      </c>
      <c r="CH25" s="105"/>
      <c r="CI25" s="60">
        <f>CI10*CP25</f>
        <v>-784.78967474308047</v>
      </c>
      <c r="CJ25" s="105"/>
      <c r="CK25" s="60">
        <f>CK10*CP25</f>
        <v>-215.81716155495391</v>
      </c>
      <c r="CL25" s="105"/>
      <c r="CM25" s="60">
        <f>CM10*CP25</f>
        <v>-824.0291573422885</v>
      </c>
      <c r="CN25" s="105"/>
      <c r="CO25" s="60">
        <f>BZ25*1.05</f>
        <v>-5476.4834895382501</v>
      </c>
      <c r="CP25" s="105">
        <f>CO25/CO10</f>
        <v>-1.3400547700428081E-2</v>
      </c>
      <c r="CQ25" s="71"/>
      <c r="CR25" s="60">
        <f>CR10*DE25</f>
        <v>-3134.205696335669</v>
      </c>
      <c r="CS25" s="105"/>
      <c r="CT25" s="60">
        <f>CT10*DE25</f>
        <v>-393.29925954723467</v>
      </c>
      <c r="CU25" s="105"/>
      <c r="CV25" s="60">
        <f>CV10*DE25</f>
        <v>-298.02941294149497</v>
      </c>
      <c r="CW25" s="105"/>
      <c r="CX25" s="60">
        <f>CX10*DE25</f>
        <v>-827.85948186479163</v>
      </c>
      <c r="CY25" s="105"/>
      <c r="CZ25" s="60">
        <f>CZ10*DE25</f>
        <v>-227.66135856833853</v>
      </c>
      <c r="DA25" s="105"/>
      <c r="DB25" s="60">
        <f>DB10*DE25</f>
        <v>-869.25245475763415</v>
      </c>
      <c r="DC25" s="105"/>
      <c r="DD25" s="60">
        <f>CO25*1.05</f>
        <v>-5750.307664015163</v>
      </c>
      <c r="DE25" s="105">
        <f>DD25/DD10</f>
        <v>-1.2850890132514718E-2</v>
      </c>
      <c r="DF25" s="71"/>
      <c r="DG25" s="60">
        <f>DG10*DT25</f>
        <v>-3305.3022636100754</v>
      </c>
      <c r="DH25" s="105"/>
      <c r="DI25" s="60">
        <f>DI10*DT25</f>
        <v>-388.37507825603706</v>
      </c>
      <c r="DJ25" s="105"/>
      <c r="DK25" s="60">
        <f>DK10*DT25</f>
        <v>-314.29886505841034</v>
      </c>
      <c r="DL25" s="105"/>
      <c r="DM25" s="60">
        <f>DM10*DT25</f>
        <v>-873.0524044921217</v>
      </c>
      <c r="DN25" s="105"/>
      <c r="DO25" s="60">
        <f>DO10*DT25</f>
        <v>-240.08941234847526</v>
      </c>
      <c r="DP25" s="105"/>
      <c r="DQ25" s="60">
        <f>DQ10*DT25</f>
        <v>-916.70502345080092</v>
      </c>
      <c r="DR25" s="105"/>
      <c r="DS25" s="60">
        <f>DD25*1.05</f>
        <v>-6037.8230472159212</v>
      </c>
      <c r="DT25" s="105">
        <f>DS25/DS10</f>
        <v>-1.2320383059984586E-2</v>
      </c>
      <c r="DU25" s="71"/>
      <c r="DV25" s="60">
        <f>DV10*EI25</f>
        <v>-3484.831929729065</v>
      </c>
      <c r="DW25" s="105"/>
      <c r="DX25" s="60">
        <f>DX10*EI25</f>
        <v>-383.41274892762704</v>
      </c>
      <c r="DY25" s="105"/>
      <c r="DZ25" s="60">
        <f>DZ10*EI25</f>
        <v>-331.37021460690363</v>
      </c>
      <c r="EA25" s="105"/>
      <c r="EB25" s="60">
        <f>EB10*EI25</f>
        <v>-920.47281998890605</v>
      </c>
      <c r="EC25" s="105"/>
      <c r="ED25" s="60">
        <f>ED10*EI25</f>
        <v>-253.13002667055196</v>
      </c>
      <c r="EE25" s="105"/>
      <c r="EF25" s="60">
        <f>EF10*EI25</f>
        <v>-966.49645965366483</v>
      </c>
      <c r="EG25" s="105"/>
      <c r="EH25" s="60">
        <f>DS25*1.05</f>
        <v>-6339.7141995767179</v>
      </c>
      <c r="EI25" s="105">
        <f>EH25/EH10</f>
        <v>-1.180870251650918E-2</v>
      </c>
      <c r="EJ25" s="71"/>
      <c r="EK25" s="60">
        <f>EK10*EX25</f>
        <v>-3673.2102251528618</v>
      </c>
      <c r="EL25" s="105"/>
      <c r="EM25" s="60">
        <f>EM10*EX25</f>
        <v>-378.42083217173445</v>
      </c>
      <c r="EN25" s="105"/>
      <c r="EO25" s="60">
        <f>EO10*EX25</f>
        <v>-349.28297408587201</v>
      </c>
      <c r="EP25" s="105"/>
      <c r="EQ25" s="60">
        <f>EQ10*EX25</f>
        <v>-970.23048529672087</v>
      </c>
      <c r="ER25" s="105"/>
      <c r="ES25" s="60">
        <f>ES10*EX25</f>
        <v>-266.81338469364209</v>
      </c>
      <c r="ET25" s="105"/>
      <c r="EU25" s="60">
        <f>EU10*EX25</f>
        <v>-1018.7420081547218</v>
      </c>
      <c r="EV25" s="105"/>
      <c r="EW25" s="60">
        <f>EH25*1.05</f>
        <v>-6656.6999095555539</v>
      </c>
      <c r="EX25" s="105">
        <f>EW25/EW10</f>
        <v>-1.1315492058700281E-2</v>
      </c>
      <c r="EY25" s="71"/>
      <c r="EZ25" s="60">
        <f>EZ10*FM25</f>
        <v>-3870.8740382962956</v>
      </c>
      <c r="FA25" s="105"/>
      <c r="FB25" s="60">
        <f>FB10*FM25</f>
        <v>-373.40732284124732</v>
      </c>
      <c r="FC25" s="105"/>
      <c r="FD25" s="60">
        <f>FD10*FM25</f>
        <v>-368.07868690707858</v>
      </c>
      <c r="FE25" s="105"/>
      <c r="FF25" s="60">
        <f>FF10*FM25</f>
        <v>-1022.4407987817798</v>
      </c>
      <c r="FG25" s="105"/>
      <c r="FH25" s="60">
        <f>FH10*FM25</f>
        <v>-281.17122096860135</v>
      </c>
      <c r="FI25" s="105"/>
      <c r="FJ25" s="60">
        <f>FJ10*FM25</f>
        <v>-1073.5628372383285</v>
      </c>
      <c r="FK25" s="105"/>
      <c r="FL25" s="60">
        <f>EW25*1.05</f>
        <v>-6989.5349050333316</v>
      </c>
      <c r="FM25" s="105">
        <f>FL25/FL10</f>
        <v>-1.0840367703095714E-2</v>
      </c>
      <c r="FN25" s="71"/>
      <c r="FO25" s="60">
        <f>FO10*GB25</f>
        <v>-4078.282655796108</v>
      </c>
      <c r="FP25" s="105"/>
      <c r="FQ25" s="60">
        <f>FQ10*GB25</f>
        <v>-368.37966897048523</v>
      </c>
      <c r="FR25" s="105"/>
      <c r="FS25" s="60">
        <f>FS10*GB25</f>
        <v>-387.80102631343766</v>
      </c>
      <c r="FT25" s="105"/>
      <c r="FU25" s="60">
        <f>FU10*GB25</f>
        <v>-1077.2250750079493</v>
      </c>
      <c r="FV25" s="105"/>
      <c r="FW25" s="60">
        <f>FW10*GB25</f>
        <v>-296.23689700064796</v>
      </c>
      <c r="FX25" s="105"/>
      <c r="FY25" s="60">
        <f>FY10*GB25</f>
        <v>-1131.0863271963694</v>
      </c>
      <c r="FZ25" s="105"/>
      <c r="GA25" s="60">
        <f>FL25*1.05</f>
        <v>-7339.0116502849987</v>
      </c>
      <c r="GB25" s="105">
        <f>GA25/GA10</f>
        <v>-1.0382922482246393E-2</v>
      </c>
      <c r="GC25" s="71"/>
      <c r="GD25" s="60">
        <f>GD10*GQ25</f>
        <v>-4295.9188544773506</v>
      </c>
      <c r="GE25" s="105"/>
      <c r="GF25" s="60">
        <f>GF10*GQ25</f>
        <v>-363.3447921975735</v>
      </c>
      <c r="GG25" s="105"/>
      <c r="GH25" s="60">
        <f>GH10*GQ25</f>
        <v>-408.49589921333131</v>
      </c>
      <c r="GI25" s="105"/>
      <c r="GJ25" s="60">
        <f>GJ10*GQ25</f>
        <v>-1134.7108331654063</v>
      </c>
      <c r="GK25" s="105"/>
      <c r="GL25" s="60">
        <f>GL10*GQ25</f>
        <v>-312.04548056724298</v>
      </c>
      <c r="GM25" s="105"/>
      <c r="GN25" s="60">
        <f>GN10*GQ25</f>
        <v>-1191.4463731783449</v>
      </c>
      <c r="GO25" s="105"/>
      <c r="GP25" s="60">
        <f>GA25*1.05</f>
        <v>-7705.9622327992493</v>
      </c>
      <c r="GQ25" s="105">
        <f>GP25/GP10</f>
        <v>-9.9427306274408062E-3</v>
      </c>
      <c r="GR25" s="71"/>
      <c r="GS25" s="60">
        <f>GS10*HF25</f>
        <v>-4524.2900478771098</v>
      </c>
      <c r="GT25" s="105"/>
      <c r="GU25" s="60">
        <f>GU10*HF25</f>
        <v>-358.30910927797925</v>
      </c>
      <c r="GV25" s="105"/>
      <c r="GW25" s="60">
        <f>GW10*HF25</f>
        <v>-430.2115552027426</v>
      </c>
      <c r="GX25" s="105"/>
      <c r="GY25" s="60">
        <f>GY10*HF25</f>
        <v>-1195.0320999098979</v>
      </c>
      <c r="GZ25" s="105"/>
      <c r="HA25" s="60">
        <f>HA10*HF25</f>
        <v>-328.63382899888768</v>
      </c>
      <c r="HB25" s="105"/>
      <c r="HC25" s="60">
        <f>HC10*HF25</f>
        <v>-1254.7837031725949</v>
      </c>
      <c r="HD25" s="105"/>
      <c r="HE25" s="60">
        <f>GP25*1.05</f>
        <v>-8091.2603444392116</v>
      </c>
      <c r="HF25" s="105">
        <f>HE25/HE10</f>
        <v>-9.5193513891297394E-3</v>
      </c>
      <c r="HG25" s="71"/>
      <c r="HH25" s="60">
        <f>HH10*HU25</f>
        <v>-4763.9294902877791</v>
      </c>
      <c r="HI25" s="105"/>
      <c r="HJ25" s="60">
        <f>HJ10*HU25</f>
        <v>-353.27855434325375</v>
      </c>
      <c r="HK25" s="105"/>
      <c r="HL25" s="60">
        <f>HL10*HU25</f>
        <v>-452.99870105688314</v>
      </c>
      <c r="HM25" s="105"/>
      <c r="HN25" s="60">
        <f>HN10*HU25</f>
        <v>-1258.3297273950395</v>
      </c>
      <c r="HO25" s="105"/>
      <c r="HP25" s="60">
        <f>HP10*HU25</f>
        <v>-346.04067663800612</v>
      </c>
      <c r="HQ25" s="105"/>
      <c r="HR25" s="60">
        <f>HR10*HU25</f>
        <v>-1321.2462119402121</v>
      </c>
      <c r="HS25" s="105"/>
      <c r="HT25" s="115">
        <f>HE25*1.05</f>
        <v>-8495.8233616611724</v>
      </c>
      <c r="HU25" s="105">
        <f>HT25/HT10</f>
        <v>-9.1123325088653274E-3</v>
      </c>
      <c r="HX25" t="s">
        <v>317</v>
      </c>
      <c r="HZ25" s="113">
        <f t="shared" si="20"/>
        <v>-1047</v>
      </c>
      <c r="IA25" s="116">
        <f>R25</f>
        <v>-2778.3513700000003</v>
      </c>
      <c r="IB25" s="116">
        <f>AG25</f>
        <v>-4505.5165200000001</v>
      </c>
      <c r="IC25" s="116">
        <f>AV25</f>
        <v>-4730.7923460000002</v>
      </c>
      <c r="ID25" s="116">
        <f>BK25</f>
        <v>-4967.3319633000001</v>
      </c>
      <c r="IE25" s="116">
        <f>BZ25</f>
        <v>-5215.6985614650002</v>
      </c>
      <c r="IF25" s="116">
        <f>CO25</f>
        <v>-5476.4834895382501</v>
      </c>
      <c r="IG25" s="116">
        <f>DD25</f>
        <v>-5750.307664015163</v>
      </c>
      <c r="IH25" s="116">
        <f>DS25</f>
        <v>-6037.8230472159212</v>
      </c>
      <c r="II25" s="116">
        <f>EH25</f>
        <v>-6339.7141995767179</v>
      </c>
      <c r="IJ25" s="116">
        <f>EW25</f>
        <v>-6656.6999095555539</v>
      </c>
      <c r="IK25" s="116">
        <f>FL25</f>
        <v>-6989.5349050333316</v>
      </c>
      <c r="IL25" s="116">
        <f>GA25</f>
        <v>-7339.0116502849987</v>
      </c>
      <c r="IM25" s="116">
        <f>GP25</f>
        <v>-7705.9622327992493</v>
      </c>
      <c r="IN25" s="116">
        <f>+HE25</f>
        <v>-8091.2603444392116</v>
      </c>
      <c r="IO25" s="116">
        <f>+HT25</f>
        <v>-8495.8233616611724</v>
      </c>
    </row>
    <row r="26" spans="2:249" ht="15.75" customHeight="1">
      <c r="B26" t="s">
        <v>318</v>
      </c>
      <c r="C26" s="114">
        <v>-923</v>
      </c>
      <c r="D26" s="114"/>
      <c r="E26" s="71"/>
      <c r="F26" s="60">
        <f>$S$26*F10</f>
        <v>-471.0345673205718</v>
      </c>
      <c r="G26" s="105"/>
      <c r="H26" s="60">
        <f>$S$26*H10</f>
        <v>-239.12884291117612</v>
      </c>
      <c r="I26" s="105"/>
      <c r="J26" s="60">
        <f>$S$26*J10</f>
        <v>-27.274750474716782</v>
      </c>
      <c r="K26" s="105"/>
      <c r="L26" s="60">
        <f>$S$26*L10</f>
        <v>-26.681821116570767</v>
      </c>
      <c r="M26" s="105"/>
      <c r="N26" s="115">
        <f>$S$26*N10</f>
        <v>-10.672728446628307</v>
      </c>
      <c r="O26" s="105"/>
      <c r="P26" s="60">
        <f>$S$26*P10</f>
        <v>-9.4868697303362719</v>
      </c>
      <c r="Q26" s="117"/>
      <c r="R26" s="60">
        <v>-784.27958000000012</v>
      </c>
      <c r="S26" s="117">
        <f>R26/R10</f>
        <v>-5.9292935814601704E-3</v>
      </c>
      <c r="T26" s="71"/>
      <c r="U26" s="60">
        <f>U10*$AH$26</f>
        <v>-300.54860750864293</v>
      </c>
      <c r="V26" s="105"/>
      <c r="W26" s="60">
        <f>W10*$AH$26</f>
        <v>-52.394735899626461</v>
      </c>
      <c r="X26" s="105"/>
      <c r="Y26" s="60">
        <f>Y10*$AH$26</f>
        <v>-28.578955478546739</v>
      </c>
      <c r="Z26" s="105"/>
      <c r="AA26" s="60">
        <f>AA10*$AH$26</f>
        <v>-79.385987581538231</v>
      </c>
      <c r="AB26" s="105"/>
      <c r="AC26" s="60">
        <f>AC10*$AH$26</f>
        <v>-21.831146686140148</v>
      </c>
      <c r="AD26" s="105"/>
      <c r="AE26" s="60">
        <f>AE10*$AH$26</f>
        <v>-83.355286845505361</v>
      </c>
      <c r="AF26" s="105"/>
      <c r="AG26" s="60">
        <f>(-'[33]IS Assumption'!R149-'[33]IS Assumption'!R153-'[33]IS Assumption'!R157-'[33]IS Assumption'!R162-'[33]IS Assumption'!R166-'[33]IS Assumption'!R170-'[33]IS Assumption'!R174)/1000</f>
        <v>-566.09471999999994</v>
      </c>
      <c r="AH26" s="105">
        <f>AG26/AG10</f>
        <v>-1.9846496915231055E-3</v>
      </c>
      <c r="AI26" s="71"/>
      <c r="AJ26" s="60">
        <f>AJ10*AW26</f>
        <v>-314.42245148506015</v>
      </c>
      <c r="AK26" s="105"/>
      <c r="AL26" s="60">
        <f>AL10*AW26</f>
        <v>-51.325244211738742</v>
      </c>
      <c r="AM26" s="105"/>
      <c r="AN26" s="60">
        <f>+AN10*AW26</f>
        <v>-29.898209534005733</v>
      </c>
      <c r="AO26" s="105"/>
      <c r="AP26" s="60">
        <f>AP10*AW26</f>
        <v>-83.050582186550272</v>
      </c>
      <c r="AQ26" s="105"/>
      <c r="AR26" s="60">
        <f>AR10*AW26</f>
        <v>-22.838910207190814</v>
      </c>
      <c r="AS26" s="105"/>
      <c r="AT26" s="60">
        <f>AT10*AW26</f>
        <v>-87.203111175454353</v>
      </c>
      <c r="AU26" s="105"/>
      <c r="AV26" s="60">
        <f>AG26*1.04</f>
        <v>-588.73850879999998</v>
      </c>
      <c r="AW26" s="105">
        <f>AV26/AV10</f>
        <v>-1.8875132334000195E-3</v>
      </c>
      <c r="AX26" s="71"/>
      <c r="AY26" s="60">
        <f>AY10*BL26</f>
        <v>-328.82356811886257</v>
      </c>
      <c r="AZ26" s="105"/>
      <c r="BA26" s="60">
        <f>BA10*BL26</f>
        <v>-50.260285607528424</v>
      </c>
      <c r="BB26" s="105"/>
      <c r="BC26" s="60">
        <f>+BC10*BL26</f>
        <v>-31.26760157521478</v>
      </c>
      <c r="BD26" s="105"/>
      <c r="BE26" s="60">
        <f>BE10*BL26</f>
        <v>-86.854448974448957</v>
      </c>
      <c r="BF26" s="105"/>
      <c r="BG26" s="60">
        <f>BG10*BL26</f>
        <v>-23.884973578712881</v>
      </c>
      <c r="BH26" s="105"/>
      <c r="BI26" s="60">
        <f>BI10*BL26</f>
        <v>-91.197171297232359</v>
      </c>
      <c r="BJ26" s="105"/>
      <c r="BK26" s="60">
        <f>AV26*1.04</f>
        <v>-612.28804915199999</v>
      </c>
      <c r="BL26" s="105">
        <f>BK26/BK10</f>
        <v>-1.7945134103575084E-3</v>
      </c>
      <c r="BM26" s="71"/>
      <c r="BN26" s="60">
        <f>BN10*CA26</f>
        <v>-343.77225867985896</v>
      </c>
      <c r="BO26" s="105"/>
      <c r="BP26" s="60">
        <f>BP10*CA26</f>
        <v>-49.20139106307964</v>
      </c>
      <c r="BQ26" s="105"/>
      <c r="BR26" s="60">
        <f>+BR10*CA26</f>
        <v>-32.689062035626343</v>
      </c>
      <c r="BS26" s="105"/>
      <c r="BT26" s="60">
        <f>BT10*CA26</f>
        <v>-90.802950260389508</v>
      </c>
      <c r="BU26" s="105"/>
      <c r="BV26" s="60">
        <f>BV10*CA26</f>
        <v>-24.970811437380871</v>
      </c>
      <c r="BW26" s="105"/>
      <c r="BX26" s="60">
        <f>BX10*CA26</f>
        <v>-95.343097641744606</v>
      </c>
      <c r="BY26" s="105"/>
      <c r="BZ26" s="60">
        <f>BK26*1.04</f>
        <v>-636.77957111807996</v>
      </c>
      <c r="CA26" s="105">
        <f>BZ26/BZ10</f>
        <v>-1.7055400141095503E-3</v>
      </c>
      <c r="CB26" s="71"/>
      <c r="CC26" s="60">
        <f>CC10*CP26</f>
        <v>-359.28974990495266</v>
      </c>
      <c r="CD26" s="105"/>
      <c r="CE26" s="60">
        <f>CE10*CP26</f>
        <v>-48.149958941506412</v>
      </c>
      <c r="CF26" s="105"/>
      <c r="CG26" s="60">
        <f>+CG10*CP26</f>
        <v>-34.164609350707273</v>
      </c>
      <c r="CH26" s="105"/>
      <c r="CI26" s="60">
        <f>CI10*CP26</f>
        <v>-94.901692809567635</v>
      </c>
      <c r="CJ26" s="105"/>
      <c r="CK26" s="60">
        <f>CK10*CP26</f>
        <v>-26.097965643630754</v>
      </c>
      <c r="CL26" s="105"/>
      <c r="CM26" s="60">
        <f>CM10*CP26</f>
        <v>-99.646777312438459</v>
      </c>
      <c r="CN26" s="105"/>
      <c r="CO26" s="60">
        <f>BZ26*1.04</f>
        <v>-662.25075396280317</v>
      </c>
      <c r="CP26" s="105">
        <f>CO26/CO10</f>
        <v>-1.6204783297669102E-3</v>
      </c>
      <c r="CQ26" s="71"/>
      <c r="CR26" s="60">
        <f>CR10*DE26</f>
        <v>-375.39822475940986</v>
      </c>
      <c r="CS26" s="105"/>
      <c r="CT26" s="60">
        <f>CT10*DE26</f>
        <v>-47.107260383656019</v>
      </c>
      <c r="CU26" s="105"/>
      <c r="CV26" s="60">
        <f>+CV10*DE26</f>
        <v>-35.696352883006234</v>
      </c>
      <c r="CW26" s="105"/>
      <c r="CX26" s="60">
        <f>CX10*DE26</f>
        <v>-99.156535962406693</v>
      </c>
      <c r="CY26" s="105"/>
      <c r="CZ26" s="60">
        <f>CZ10*DE26</f>
        <v>-27.268047516086423</v>
      </c>
      <c r="DA26" s="105"/>
      <c r="DB26" s="60">
        <f>DB10*DE26</f>
        <v>-104.11436261674994</v>
      </c>
      <c r="DC26" s="105"/>
      <c r="DD26" s="60">
        <f>CO26*1.04</f>
        <v>-688.7407841213153</v>
      </c>
      <c r="DE26" s="105">
        <f>DD26/DD10</f>
        <v>-1.5392101890327168E-3</v>
      </c>
      <c r="DF26" s="71"/>
      <c r="DG26" s="60">
        <f>DG10*DT26</f>
        <v>-392.12085435334643</v>
      </c>
      <c r="DH26" s="105"/>
      <c r="DI26" s="60">
        <f>DI10*DT26</f>
        <v>-46.074445043029982</v>
      </c>
      <c r="DJ26" s="105"/>
      <c r="DK26" s="60">
        <f>+DK10*DT26</f>
        <v>-37.286495957069882</v>
      </c>
      <c r="DL26" s="105"/>
      <c r="DM26" s="60">
        <f>DM10*DT26</f>
        <v>-103.57360006488049</v>
      </c>
      <c r="DN26" s="105"/>
      <c r="DO26" s="60">
        <f>DO10*DT26</f>
        <v>-28.482740149898472</v>
      </c>
      <c r="DP26" s="105"/>
      <c r="DQ26" s="60">
        <f>DQ10*DT26</f>
        <v>-108.75227991794269</v>
      </c>
      <c r="DR26" s="105"/>
      <c r="DS26" s="60">
        <f>DD26*1.04</f>
        <v>-716.29041548616794</v>
      </c>
      <c r="DT26" s="105">
        <f>DS26/DS10</f>
        <v>-1.4616149284226467E-3</v>
      </c>
      <c r="DU26" s="71"/>
      <c r="DV26" s="60">
        <f>DV10*EI26</f>
        <v>-409.4818311292687</v>
      </c>
      <c r="DW26" s="105"/>
      <c r="DX26" s="60">
        <f>DX10*EI26</f>
        <v>-45.052547059679164</v>
      </c>
      <c r="DY26" s="105"/>
      <c r="DZ26" s="60">
        <f>+DZ10*EI26</f>
        <v>-38.937339015222783</v>
      </c>
      <c r="EA26" s="105"/>
      <c r="EB26" s="60">
        <f>EB10*EI26</f>
        <v>-108.15927523456865</v>
      </c>
      <c r="EC26" s="105"/>
      <c r="ED26" s="60">
        <f>ED10*EI26</f>
        <v>-29.743800827409448</v>
      </c>
      <c r="EE26" s="105"/>
      <c r="EF26" s="60">
        <f>EF10*EI26</f>
        <v>-113.56723883946603</v>
      </c>
      <c r="EG26" s="105"/>
      <c r="EH26" s="60">
        <f>DS26*1.04</f>
        <v>-744.94203210561466</v>
      </c>
      <c r="EI26" s="105">
        <f>EH26/EH10</f>
        <v>-1.3875702551017785E-3</v>
      </c>
      <c r="EJ26" s="71"/>
      <c r="EK26" s="60">
        <f>EK10*EX26</f>
        <v>-427.50640343130004</v>
      </c>
      <c r="EL26" s="105"/>
      <c r="EM26" s="60">
        <f>EM10*EX26</f>
        <v>-44.04249118044568</v>
      </c>
      <c r="EN26" s="105"/>
      <c r="EO26" s="60">
        <f>+EO10*EX26</f>
        <v>-40.651282904730863</v>
      </c>
      <c r="EP26" s="105"/>
      <c r="EQ26" s="60">
        <f>EQ10*EX26</f>
        <v>-112.92023049166613</v>
      </c>
      <c r="ER26" s="105"/>
      <c r="ES26" s="60">
        <f>ES10*EX26</f>
        <v>-31.053063529181475</v>
      </c>
      <c r="ET26" s="105"/>
      <c r="EU26" s="60">
        <f>EU10*EX26</f>
        <v>-118.56624185251499</v>
      </c>
      <c r="EV26" s="105"/>
      <c r="EW26" s="60">
        <f>EH26*1.04</f>
        <v>-774.73971338983927</v>
      </c>
      <c r="EX26" s="105">
        <f>EW26/EW10</f>
        <v>-1.3169530238006137E-3</v>
      </c>
      <c r="EY26" s="71"/>
      <c r="EZ26" s="60">
        <f>EZ10*FM26</f>
        <v>-446.22091156190925</v>
      </c>
      <c r="FA26" s="105"/>
      <c r="FB26" s="60">
        <f>FB10*FM26</f>
        <v>-43.045098945004582</v>
      </c>
      <c r="FC26" s="105"/>
      <c r="FD26" s="60">
        <f>+FD10*FM26</f>
        <v>-42.430832306410252</v>
      </c>
      <c r="FE26" s="105"/>
      <c r="FF26" s="60">
        <f>FF10*FM26</f>
        <v>-117.8634232828968</v>
      </c>
      <c r="FG26" s="105"/>
      <c r="FH26" s="60">
        <f>FH10*FM26</f>
        <v>-32.412441553072476</v>
      </c>
      <c r="FI26" s="105"/>
      <c r="FJ26" s="60">
        <f>FJ10*FM26</f>
        <v>-123.75659427613955</v>
      </c>
      <c r="FK26" s="105"/>
      <c r="FL26" s="60">
        <f>EW26*1.04</f>
        <v>-805.72930192543288</v>
      </c>
      <c r="FM26" s="105">
        <f>FL26/FL10</f>
        <v>-1.2496399289372553E-3</v>
      </c>
      <c r="FN26" s="71"/>
      <c r="FO26" s="60">
        <f>FO10*GB26</f>
        <v>-465.65282542763867</v>
      </c>
      <c r="FP26" s="105"/>
      <c r="FQ26" s="60">
        <f>FQ10*GB26</f>
        <v>-42.061094868550626</v>
      </c>
      <c r="FR26" s="105"/>
      <c r="FS26" s="60">
        <f>+FS10*GB26</f>
        <v>-44.27859931433315</v>
      </c>
      <c r="FT26" s="105"/>
      <c r="FU26" s="60">
        <f>FU10*GB26</f>
        <v>-122.99610942514073</v>
      </c>
      <c r="FV26" s="105"/>
      <c r="FW26" s="60">
        <f>FW10*GB26</f>
        <v>-33.823930248733731</v>
      </c>
      <c r="FX26" s="105"/>
      <c r="FY26" s="60">
        <f>FY10*GB26</f>
        <v>-129.14591471805326</v>
      </c>
      <c r="FZ26" s="105"/>
      <c r="GA26" s="60">
        <f>FL26*1.04</f>
        <v>-837.9584740024502</v>
      </c>
      <c r="GB26" s="105">
        <f>GA26/GA10</f>
        <v>-1.1855081165555927E-3</v>
      </c>
      <c r="GC26" s="71"/>
      <c r="GD26" s="60">
        <f>GD10*GQ26</f>
        <v>-485.830783871579</v>
      </c>
      <c r="GE26" s="105"/>
      <c r="GF26" s="60">
        <f>GF10*GQ26</f>
        <v>-41.091112562571759</v>
      </c>
      <c r="GG26" s="105"/>
      <c r="GH26" s="60">
        <f>+GH10*GQ26</f>
        <v>-46.197307175925069</v>
      </c>
      <c r="GI26" s="105"/>
      <c r="GJ26" s="60">
        <f>GJ10*GQ26</f>
        <v>-128.32585349459339</v>
      </c>
      <c r="GK26" s="105"/>
      <c r="GL26" s="60">
        <f>GL10*GQ26</f>
        <v>-35.289609874628631</v>
      </c>
      <c r="GM26" s="105"/>
      <c r="GN26" s="60">
        <f>GN10*GQ26</f>
        <v>-134.74214598325042</v>
      </c>
      <c r="GO26" s="105"/>
      <c r="GP26" s="60">
        <f>GA26*1.04</f>
        <v>-871.47681296254825</v>
      </c>
      <c r="GQ26" s="105">
        <f>GP26/GP10</f>
        <v>-1.1244357210143834E-3</v>
      </c>
      <c r="GR26" s="71"/>
      <c r="GS26" s="60">
        <f>GS10*HF26</f>
        <v>-506.78463578717066</v>
      </c>
      <c r="GT26" s="105"/>
      <c r="GU26" s="60">
        <f>GU10*HF26</f>
        <v>-40.135700744887025</v>
      </c>
      <c r="GV26" s="105"/>
      <c r="GW26" s="60">
        <f>+GW10*HF26</f>
        <v>-48.189794201447327</v>
      </c>
      <c r="GX26" s="105"/>
      <c r="GY26" s="60">
        <f>GY10*HF26</f>
        <v>-133.86053968643913</v>
      </c>
      <c r="GZ26" s="105"/>
      <c r="HA26" s="60">
        <f>HA10*HF26</f>
        <v>-36.811648584442928</v>
      </c>
      <c r="HB26" s="105"/>
      <c r="HC26" s="60">
        <f>HC10*HF26</f>
        <v>-140.55356647666315</v>
      </c>
      <c r="HD26" s="105"/>
      <c r="HE26" s="60">
        <f>GP26*1.04</f>
        <v>-906.33588548105024</v>
      </c>
      <c r="HF26" s="105">
        <f>HE26/HE10</f>
        <v>-1.0663023315522963E-3</v>
      </c>
      <c r="HG26" s="71"/>
      <c r="HH26" s="60">
        <f>HH10*HU26</f>
        <v>-528.54548310538644</v>
      </c>
      <c r="HI26" s="105"/>
      <c r="HJ26" s="60">
        <f>HJ10*HU26</f>
        <v>-39.195329098972032</v>
      </c>
      <c r="HK26" s="105"/>
      <c r="HL26" s="60">
        <f>+HL10*HU26</f>
        <v>-50.259017851617983</v>
      </c>
      <c r="HM26" s="105"/>
      <c r="HN26" s="60">
        <f>HN10*HU26</f>
        <v>-139.60838316935374</v>
      </c>
      <c r="HO26" s="105"/>
      <c r="HP26" s="60">
        <f>HP10*HU26</f>
        <v>-38.392305549572953</v>
      </c>
      <c r="HQ26" s="105"/>
      <c r="HR26" s="60">
        <f>HR10*HU26</f>
        <v>-146.58880212538915</v>
      </c>
      <c r="HS26" s="105"/>
      <c r="HT26" s="115">
        <f>HE26*1.04</f>
        <v>-942.58932090029225</v>
      </c>
      <c r="HU26" s="105">
        <f>HT26/HT10</f>
        <v>-1.0109893939308076E-3</v>
      </c>
      <c r="HX26" t="s">
        <v>318</v>
      </c>
      <c r="HZ26" s="113">
        <f t="shared" si="20"/>
        <v>-923</v>
      </c>
      <c r="IA26" s="116">
        <f>R26</f>
        <v>-784.27958000000012</v>
      </c>
      <c r="IB26" s="116">
        <f>AG26</f>
        <v>-566.09471999999994</v>
      </c>
      <c r="IC26" s="116">
        <f>AV26</f>
        <v>-588.73850879999998</v>
      </c>
      <c r="ID26" s="116">
        <f>BK26</f>
        <v>-612.28804915199999</v>
      </c>
      <c r="IE26" s="116">
        <f>BZ26</f>
        <v>-636.77957111807996</v>
      </c>
      <c r="IF26" s="116">
        <f>CO26</f>
        <v>-662.25075396280317</v>
      </c>
      <c r="IG26" s="116">
        <f>DD26</f>
        <v>-688.7407841213153</v>
      </c>
      <c r="IH26" s="116">
        <f>DS26</f>
        <v>-716.29041548616794</v>
      </c>
      <c r="II26" s="116">
        <f>EH26</f>
        <v>-744.94203210561466</v>
      </c>
      <c r="IJ26" s="116">
        <f>EW26</f>
        <v>-774.73971338983927</v>
      </c>
      <c r="IK26" s="116">
        <f>FL26</f>
        <v>-805.72930192543288</v>
      </c>
      <c r="IL26" s="116">
        <f>GA26</f>
        <v>-837.9584740024502</v>
      </c>
      <c r="IM26" s="116">
        <f>GP26</f>
        <v>-871.47681296254825</v>
      </c>
      <c r="IN26" s="116">
        <f>+HE26</f>
        <v>-906.33588548105024</v>
      </c>
      <c r="IO26" s="116">
        <f>+HT26</f>
        <v>-942.58932090029225</v>
      </c>
    </row>
    <row r="27" spans="2:249" ht="15.75" hidden="1" customHeight="1">
      <c r="B27" t="s">
        <v>319</v>
      </c>
      <c r="C27" s="114"/>
      <c r="D27" s="114"/>
      <c r="E27" s="71"/>
      <c r="F27" s="21"/>
      <c r="G27" s="105"/>
      <c r="H27" s="21"/>
      <c r="I27" s="105"/>
      <c r="J27" s="21"/>
      <c r="K27" s="105"/>
      <c r="L27" s="21"/>
      <c r="M27" s="105"/>
      <c r="N27" s="111"/>
      <c r="O27" s="105"/>
      <c r="P27" s="21"/>
      <c r="Q27" s="105"/>
      <c r="R27" s="21"/>
      <c r="S27" s="105">
        <f>R27/R10</f>
        <v>0</v>
      </c>
      <c r="T27" s="71"/>
      <c r="U27" s="60"/>
      <c r="V27" s="105"/>
      <c r="W27" s="60"/>
      <c r="X27" s="105"/>
      <c r="Y27" s="60"/>
      <c r="Z27" s="105"/>
      <c r="AA27" s="60"/>
      <c r="AB27" s="105"/>
      <c r="AC27" s="60"/>
      <c r="AD27" s="105"/>
      <c r="AE27" s="60"/>
      <c r="AF27" s="105"/>
      <c r="AG27" s="21"/>
      <c r="AH27" s="21"/>
      <c r="AI27" s="71"/>
      <c r="AJ27" s="21"/>
      <c r="AK27" s="105"/>
      <c r="AL27" s="21"/>
      <c r="AM27" s="105"/>
      <c r="AN27" s="21"/>
      <c r="AO27" s="105"/>
      <c r="AP27" s="21"/>
      <c r="AQ27" s="105"/>
      <c r="AR27" s="111"/>
      <c r="AS27" s="105"/>
      <c r="AT27" s="21"/>
      <c r="AU27" s="105"/>
      <c r="AV27" s="21"/>
      <c r="AW27" s="21"/>
      <c r="AX27" s="71"/>
      <c r="AY27" s="21"/>
      <c r="AZ27" s="105"/>
      <c r="BA27" s="21"/>
      <c r="BB27" s="105"/>
      <c r="BC27" s="21"/>
      <c r="BD27" s="105"/>
      <c r="BE27" s="21"/>
      <c r="BF27" s="105"/>
      <c r="BG27" s="111"/>
      <c r="BH27" s="105"/>
      <c r="BI27" s="21"/>
      <c r="BJ27" s="105"/>
      <c r="BK27" s="21"/>
      <c r="BL27" s="21"/>
      <c r="BM27" s="71"/>
      <c r="BN27" s="21"/>
      <c r="BO27" s="105"/>
      <c r="BP27" s="21"/>
      <c r="BQ27" s="105"/>
      <c r="BR27" s="21"/>
      <c r="BS27" s="105"/>
      <c r="BT27" s="21"/>
      <c r="BU27" s="105"/>
      <c r="BV27" s="111"/>
      <c r="BW27" s="105"/>
      <c r="BX27" s="21"/>
      <c r="BY27" s="105"/>
      <c r="BZ27" s="21"/>
      <c r="CA27" s="21"/>
      <c r="CB27" s="71"/>
      <c r="CC27" s="21"/>
      <c r="CD27" s="105"/>
      <c r="CE27" s="21"/>
      <c r="CF27" s="105"/>
      <c r="CG27" s="21"/>
      <c r="CH27" s="105"/>
      <c r="CI27" s="21"/>
      <c r="CJ27" s="105"/>
      <c r="CK27" s="111"/>
      <c r="CL27" s="105"/>
      <c r="CM27" s="21"/>
      <c r="CN27" s="105"/>
      <c r="CO27" s="21"/>
      <c r="CP27" s="21"/>
      <c r="CQ27" s="71"/>
      <c r="CR27" s="21"/>
      <c r="CS27" s="105"/>
      <c r="CT27" s="21"/>
      <c r="CU27" s="105"/>
      <c r="CV27" s="21"/>
      <c r="CW27" s="105"/>
      <c r="CX27" s="21"/>
      <c r="CY27" s="105"/>
      <c r="CZ27" s="111"/>
      <c r="DA27" s="105"/>
      <c r="DB27" s="21"/>
      <c r="DC27" s="105"/>
      <c r="DD27" s="21"/>
      <c r="DE27" s="21"/>
      <c r="DF27" s="71"/>
      <c r="DG27" s="21"/>
      <c r="DH27" s="105"/>
      <c r="DI27" s="21"/>
      <c r="DJ27" s="105"/>
      <c r="DK27" s="21"/>
      <c r="DL27" s="105"/>
      <c r="DM27" s="21"/>
      <c r="DN27" s="105"/>
      <c r="DO27" s="111"/>
      <c r="DP27" s="105"/>
      <c r="DQ27" s="21"/>
      <c r="DR27" s="105"/>
      <c r="DS27" s="21"/>
      <c r="DT27" s="21"/>
      <c r="DU27" s="71"/>
      <c r="DV27" s="21"/>
      <c r="DW27" s="105"/>
      <c r="DX27" s="21"/>
      <c r="DY27" s="105"/>
      <c r="DZ27" s="21"/>
      <c r="EA27" s="105"/>
      <c r="EB27" s="21"/>
      <c r="EC27" s="105"/>
      <c r="ED27" s="111"/>
      <c r="EE27" s="105"/>
      <c r="EF27" s="21"/>
      <c r="EG27" s="105"/>
      <c r="EH27" s="21"/>
      <c r="EI27" s="21"/>
      <c r="EJ27" s="71"/>
      <c r="EK27" s="21"/>
      <c r="EL27" s="105"/>
      <c r="EM27" s="21"/>
      <c r="EN27" s="105"/>
      <c r="EO27" s="21"/>
      <c r="EP27" s="105"/>
      <c r="EQ27" s="21"/>
      <c r="ER27" s="105"/>
      <c r="ES27" s="111"/>
      <c r="ET27" s="105"/>
      <c r="EU27" s="21"/>
      <c r="EV27" s="105"/>
      <c r="EW27" s="21"/>
      <c r="EX27" s="21"/>
      <c r="EY27" s="71"/>
      <c r="EZ27" s="21"/>
      <c r="FA27" s="105"/>
      <c r="FB27" s="21"/>
      <c r="FC27" s="105"/>
      <c r="FD27" s="21"/>
      <c r="FE27" s="105"/>
      <c r="FF27" s="21"/>
      <c r="FG27" s="105"/>
      <c r="FH27" s="111"/>
      <c r="FI27" s="105"/>
      <c r="FJ27" s="21"/>
      <c r="FK27" s="105"/>
      <c r="FL27" s="21"/>
      <c r="FM27" s="21"/>
      <c r="FN27" s="71"/>
      <c r="FO27" s="21"/>
      <c r="FP27" s="105"/>
      <c r="FQ27" s="21"/>
      <c r="FR27" s="105"/>
      <c r="FS27" s="21"/>
      <c r="FT27" s="105"/>
      <c r="FU27" s="21"/>
      <c r="FV27" s="105"/>
      <c r="FW27" s="111"/>
      <c r="FX27" s="105"/>
      <c r="FY27" s="21"/>
      <c r="FZ27" s="105"/>
      <c r="GA27" s="21"/>
      <c r="GB27" s="21"/>
      <c r="GC27" s="71"/>
      <c r="GD27" s="21"/>
      <c r="GE27" s="105"/>
      <c r="GF27" s="21"/>
      <c r="GG27" s="105"/>
      <c r="GH27" s="21"/>
      <c r="GI27" s="105"/>
      <c r="GJ27" s="21"/>
      <c r="GK27" s="105"/>
      <c r="GL27" s="111"/>
      <c r="GM27" s="105"/>
      <c r="GN27" s="21"/>
      <c r="GO27" s="105"/>
      <c r="GP27" s="21"/>
      <c r="GQ27" s="21"/>
      <c r="GR27" s="71"/>
      <c r="GS27" s="21"/>
      <c r="GT27" s="105"/>
      <c r="GU27" s="21"/>
      <c r="GV27" s="105"/>
      <c r="GW27" s="21"/>
      <c r="GX27" s="105"/>
      <c r="GY27" s="21"/>
      <c r="GZ27" s="105"/>
      <c r="HA27" s="111"/>
      <c r="HB27" s="105"/>
      <c r="HC27" s="21"/>
      <c r="HD27" s="105"/>
      <c r="HE27" s="21"/>
      <c r="HF27" s="21"/>
      <c r="HG27" s="71"/>
      <c r="HH27" s="21"/>
      <c r="HI27" s="105"/>
      <c r="HJ27" s="21"/>
      <c r="HK27" s="105"/>
      <c r="HL27" s="21"/>
      <c r="HM27" s="105"/>
      <c r="HN27" s="21"/>
      <c r="HO27" s="105"/>
      <c r="HP27" s="111"/>
      <c r="HQ27" s="105"/>
      <c r="HR27" s="21"/>
      <c r="HS27" s="105"/>
      <c r="HT27" s="111"/>
      <c r="HU27" s="21"/>
      <c r="HX27" t="s">
        <v>319</v>
      </c>
      <c r="HZ27" s="113">
        <f t="shared" si="20"/>
        <v>0</v>
      </c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</row>
    <row r="28" spans="2:249" ht="15.75" customHeight="1" thickBot="1">
      <c r="B28" s="102" t="s">
        <v>320</v>
      </c>
      <c r="C28" s="121">
        <f>SUM(C22:C27)</f>
        <v>-17099</v>
      </c>
      <c r="D28" s="122"/>
      <c r="E28" s="71"/>
      <c r="F28" s="121">
        <f t="shared" ref="F28:R28" si="21">SUM(F22:F27)</f>
        <v>-11943.892323485776</v>
      </c>
      <c r="G28" s="121">
        <f t="shared" si="21"/>
        <v>0</v>
      </c>
      <c r="H28" s="121">
        <f t="shared" si="21"/>
        <v>-6063.523463718614</v>
      </c>
      <c r="I28" s="121">
        <f t="shared" si="21"/>
        <v>0</v>
      </c>
      <c r="J28" s="121">
        <f t="shared" si="21"/>
        <v>-691.59825078878509</v>
      </c>
      <c r="K28" s="121">
        <f t="shared" si="21"/>
        <v>0</v>
      </c>
      <c r="L28" s="121">
        <f t="shared" si="21"/>
        <v>-676.56350620642036</v>
      </c>
      <c r="M28" s="121">
        <f t="shared" si="21"/>
        <v>0</v>
      </c>
      <c r="N28" s="123">
        <f t="shared" si="21"/>
        <v>-270.62540248256812</v>
      </c>
      <c r="O28" s="121">
        <f t="shared" si="21"/>
        <v>0</v>
      </c>
      <c r="P28" s="121">
        <f t="shared" si="21"/>
        <v>-240.55591331783833</v>
      </c>
      <c r="Q28" s="121">
        <f t="shared" si="21"/>
        <v>0</v>
      </c>
      <c r="R28" s="121">
        <f t="shared" si="21"/>
        <v>-19886.758859999998</v>
      </c>
      <c r="S28" s="105"/>
      <c r="T28" s="71"/>
      <c r="U28" s="121">
        <f t="shared" ref="U28:AE28" si="22">SUM(U22:U27)</f>
        <v>-13627.078752902902</v>
      </c>
      <c r="V28" s="121"/>
      <c r="W28" s="121">
        <f>SUM(W22:W27)</f>
        <v>-2375.6130439607055</v>
      </c>
      <c r="X28" s="121"/>
      <c r="Y28" s="121">
        <f t="shared" si="22"/>
        <v>-1295.789324096811</v>
      </c>
      <c r="Z28" s="121"/>
      <c r="AA28" s="121">
        <f t="shared" si="22"/>
        <v>-3599.4147955567673</v>
      </c>
      <c r="AB28" s="121"/>
      <c r="AC28" s="123">
        <f t="shared" si="22"/>
        <v>-989.83907336736479</v>
      </c>
      <c r="AD28" s="121"/>
      <c r="AE28" s="121">
        <f t="shared" si="22"/>
        <v>-3779.3855301154495</v>
      </c>
      <c r="AF28" s="121"/>
      <c r="AG28" s="121">
        <f>SUM(AG22:AG27)</f>
        <v>-25667.12052</v>
      </c>
      <c r="AH28" s="122"/>
      <c r="AI28" s="71"/>
      <c r="AJ28" s="121">
        <f t="shared" ref="AJ28:AV28" si="23">SUM(AJ22:AJ27)</f>
        <v>-14319.980760721466</v>
      </c>
      <c r="AK28" s="121">
        <f t="shared" si="23"/>
        <v>0</v>
      </c>
      <c r="AL28" s="121">
        <f t="shared" si="23"/>
        <v>-2337.5446192854079</v>
      </c>
      <c r="AM28" s="121">
        <f t="shared" si="23"/>
        <v>0</v>
      </c>
      <c r="AN28" s="121">
        <f t="shared" si="23"/>
        <v>-1361.6768881637086</v>
      </c>
      <c r="AO28" s="121">
        <f t="shared" si="23"/>
        <v>0</v>
      </c>
      <c r="AP28" s="121">
        <f t="shared" si="23"/>
        <v>-3782.4358071790748</v>
      </c>
      <c r="AQ28" s="121">
        <f t="shared" si="23"/>
        <v>0</v>
      </c>
      <c r="AR28" s="123">
        <f t="shared" si="23"/>
        <v>-1040.1698517968512</v>
      </c>
      <c r="AS28" s="121">
        <f t="shared" si="23"/>
        <v>0</v>
      </c>
      <c r="AT28" s="121">
        <f t="shared" si="23"/>
        <v>-3971.557592053492</v>
      </c>
      <c r="AU28" s="121">
        <f t="shared" si="23"/>
        <v>0</v>
      </c>
      <c r="AV28" s="121">
        <f t="shared" si="23"/>
        <v>-26813.365519200001</v>
      </c>
      <c r="AW28" s="122"/>
      <c r="AX28" s="71"/>
      <c r="AY28" s="121">
        <f t="shared" ref="AY28:BK28" si="24">SUM(AY22:AY27)</f>
        <v>-15043.280873564341</v>
      </c>
      <c r="AZ28" s="121">
        <f t="shared" si="24"/>
        <v>0</v>
      </c>
      <c r="BA28" s="121">
        <f t="shared" si="24"/>
        <v>-2299.3473293444313</v>
      </c>
      <c r="BB28" s="121">
        <f t="shared" si="24"/>
        <v>0</v>
      </c>
      <c r="BC28" s="121">
        <f t="shared" si="24"/>
        <v>-1430.4549866347511</v>
      </c>
      <c r="BD28" s="121">
        <f t="shared" si="24"/>
        <v>0</v>
      </c>
      <c r="BE28" s="121">
        <f t="shared" si="24"/>
        <v>-3973.4860810493942</v>
      </c>
      <c r="BF28" s="121">
        <f t="shared" si="24"/>
        <v>0</v>
      </c>
      <c r="BG28" s="123">
        <f t="shared" si="24"/>
        <v>-1092.7086773547778</v>
      </c>
      <c r="BH28" s="121">
        <f t="shared" si="24"/>
        <v>0</v>
      </c>
      <c r="BI28" s="121">
        <f t="shared" si="24"/>
        <v>-4172.1603793403046</v>
      </c>
      <c r="BJ28" s="121">
        <f t="shared" si="24"/>
        <v>0</v>
      </c>
      <c r="BK28" s="121">
        <f t="shared" si="24"/>
        <v>-28011.438327287997</v>
      </c>
      <c r="BL28" s="122"/>
      <c r="BM28" s="71"/>
      <c r="BN28" s="121">
        <f t="shared" ref="BN28:BZ28" si="25">SUM(BN22:BN27)</f>
        <v>-15798.327190995085</v>
      </c>
      <c r="BO28" s="121">
        <f t="shared" si="25"/>
        <v>0</v>
      </c>
      <c r="BP28" s="121">
        <f t="shared" si="25"/>
        <v>-2261.0890048300871</v>
      </c>
      <c r="BQ28" s="121">
        <f t="shared" si="25"/>
        <v>0</v>
      </c>
      <c r="BR28" s="121">
        <f t="shared" si="25"/>
        <v>-1502.2518093482734</v>
      </c>
      <c r="BS28" s="121">
        <f t="shared" si="25"/>
        <v>0</v>
      </c>
      <c r="BT28" s="121">
        <f t="shared" si="25"/>
        <v>-4172.9217000526187</v>
      </c>
      <c r="BU28" s="121">
        <f t="shared" si="25"/>
        <v>0</v>
      </c>
      <c r="BV28" s="123">
        <f t="shared" si="25"/>
        <v>-1147.5534728349451</v>
      </c>
      <c r="BW28" s="121">
        <f t="shared" si="25"/>
        <v>0</v>
      </c>
      <c r="BX28" s="121">
        <f t="shared" si="25"/>
        <v>-4381.5677790045092</v>
      </c>
      <c r="BY28" s="121">
        <f t="shared" si="25"/>
        <v>0</v>
      </c>
      <c r="BZ28" s="121">
        <f t="shared" si="25"/>
        <v>-29263.710957065523</v>
      </c>
      <c r="CA28" s="122"/>
      <c r="CB28" s="71"/>
      <c r="CC28" s="121">
        <f t="shared" ref="CC28:CO28" si="26">SUM(CC22:CC27)</f>
        <v>-16586.53491105299</v>
      </c>
      <c r="CD28" s="121">
        <f t="shared" si="26"/>
        <v>0</v>
      </c>
      <c r="CE28" s="121">
        <f t="shared" si="26"/>
        <v>-2222.8326167399391</v>
      </c>
      <c r="CF28" s="121">
        <f t="shared" si="26"/>
        <v>0</v>
      </c>
      <c r="CG28" s="121">
        <f t="shared" si="26"/>
        <v>-1577.2019264894211</v>
      </c>
      <c r="CH28" s="121">
        <f t="shared" si="26"/>
        <v>0</v>
      </c>
      <c r="CI28" s="121">
        <f t="shared" si="26"/>
        <v>-4381.116470259265</v>
      </c>
      <c r="CJ28" s="121">
        <f t="shared" si="26"/>
        <v>0</v>
      </c>
      <c r="CK28" s="123">
        <f t="shared" si="26"/>
        <v>-1204.8070349072211</v>
      </c>
      <c r="CL28" s="121">
        <f t="shared" si="26"/>
        <v>0</v>
      </c>
      <c r="CM28" s="121">
        <f t="shared" si="26"/>
        <v>-4600.1722874196048</v>
      </c>
      <c r="CN28" s="121">
        <f t="shared" si="26"/>
        <v>0</v>
      </c>
      <c r="CO28" s="121">
        <f t="shared" si="26"/>
        <v>-30572.665246868437</v>
      </c>
      <c r="CP28" s="122"/>
      <c r="CQ28" s="71"/>
      <c r="CR28" s="121">
        <f t="shared" ref="CR28:DD28" si="27">SUM(CR22:CR27)</f>
        <v>-17409.389255253551</v>
      </c>
      <c r="CS28" s="121">
        <f t="shared" si="27"/>
        <v>0</v>
      </c>
      <c r="CT28" s="121">
        <f t="shared" si="27"/>
        <v>-2184.6364172160224</v>
      </c>
      <c r="CU28" s="121">
        <f t="shared" si="27"/>
        <v>0</v>
      </c>
      <c r="CV28" s="121">
        <f t="shared" si="27"/>
        <v>-1655.4465667263928</v>
      </c>
      <c r="CW28" s="121">
        <f t="shared" si="27"/>
        <v>0</v>
      </c>
      <c r="CX28" s="121">
        <f t="shared" si="27"/>
        <v>-4598.4626935261349</v>
      </c>
      <c r="CY28" s="121">
        <f t="shared" si="27"/>
        <v>0</v>
      </c>
      <c r="CZ28" s="123">
        <f t="shared" si="27"/>
        <v>-1264.577246582727</v>
      </c>
      <c r="DA28" s="121">
        <f t="shared" si="27"/>
        <v>0</v>
      </c>
      <c r="DB28" s="121">
        <f t="shared" si="27"/>
        <v>-4828.3858215346654</v>
      </c>
      <c r="DC28" s="121">
        <f t="shared" si="27"/>
        <v>0</v>
      </c>
      <c r="DD28" s="121">
        <f t="shared" si="27"/>
        <v>-31940.898000839501</v>
      </c>
      <c r="DE28" s="122"/>
      <c r="DF28" s="71"/>
      <c r="DG28" s="121">
        <f t="shared" ref="DG28:DS28" si="28">SUM(DG22:DG27)</f>
        <v>-18268.448524344563</v>
      </c>
      <c r="DH28" s="121">
        <f t="shared" si="28"/>
        <v>0</v>
      </c>
      <c r="DI28" s="121">
        <f t="shared" si="28"/>
        <v>-2146.554099869064</v>
      </c>
      <c r="DJ28" s="121">
        <f t="shared" si="28"/>
        <v>0</v>
      </c>
      <c r="DK28" s="121">
        <f t="shared" si="28"/>
        <v>-1737.1339077801329</v>
      </c>
      <c r="DL28" s="121">
        <f t="shared" si="28"/>
        <v>0</v>
      </c>
      <c r="DM28" s="121">
        <f t="shared" si="28"/>
        <v>-4825.3719746343613</v>
      </c>
      <c r="DN28" s="121">
        <f t="shared" si="28"/>
        <v>0</v>
      </c>
      <c r="DO28" s="123">
        <f t="shared" si="28"/>
        <v>-1326.9772991767986</v>
      </c>
      <c r="DP28" s="121">
        <f t="shared" si="28"/>
        <v>0</v>
      </c>
      <c r="DQ28" s="121">
        <f t="shared" si="28"/>
        <v>-5066.6405663692849</v>
      </c>
      <c r="DR28" s="121">
        <f t="shared" si="28"/>
        <v>0</v>
      </c>
      <c r="DS28" s="121">
        <f t="shared" si="28"/>
        <v>-33371.126372174214</v>
      </c>
      <c r="DT28" s="122"/>
      <c r="DU28" s="71"/>
      <c r="DV28" s="121">
        <f t="shared" ref="DV28:EH28" si="29">SUM(DV22:DV27)</f>
        <v>-19165.347294087176</v>
      </c>
      <c r="DW28" s="121">
        <f t="shared" si="29"/>
        <v>0</v>
      </c>
      <c r="DX28" s="121">
        <f t="shared" si="29"/>
        <v>-2108.6349753314862</v>
      </c>
      <c r="DY28" s="121">
        <f t="shared" si="29"/>
        <v>0</v>
      </c>
      <c r="DZ28" s="121">
        <f t="shared" si="29"/>
        <v>-1822.4193803088986</v>
      </c>
      <c r="EA28" s="121">
        <f t="shared" si="29"/>
        <v>0</v>
      </c>
      <c r="EB28" s="121">
        <f t="shared" si="29"/>
        <v>-5062.2760654132098</v>
      </c>
      <c r="EC28" s="121">
        <f t="shared" si="29"/>
        <v>0</v>
      </c>
      <c r="ED28" s="123">
        <f t="shared" si="29"/>
        <v>-1392.1259244430344</v>
      </c>
      <c r="EE28" s="121">
        <f t="shared" si="29"/>
        <v>0</v>
      </c>
      <c r="EF28" s="121">
        <f t="shared" si="29"/>
        <v>-5315.389861343564</v>
      </c>
      <c r="EG28" s="121">
        <f t="shared" si="29"/>
        <v>0</v>
      </c>
      <c r="EH28" s="121">
        <f t="shared" si="29"/>
        <v>-34866.193500927366</v>
      </c>
      <c r="EI28" s="122"/>
      <c r="EJ28" s="71"/>
      <c r="EK28" s="121">
        <f t="shared" ref="EK28:EW28" si="30">SUM(EK22:EK27)</f>
        <v>-20101.799760402737</v>
      </c>
      <c r="EL28" s="121">
        <f t="shared" si="30"/>
        <v>0</v>
      </c>
      <c r="EM28" s="121">
        <f t="shared" si="30"/>
        <v>-2070.9241582176555</v>
      </c>
      <c r="EN28" s="121">
        <f t="shared" si="30"/>
        <v>0</v>
      </c>
      <c r="EO28" s="121">
        <f t="shared" si="30"/>
        <v>-1911.4659859959272</v>
      </c>
      <c r="EP28" s="121">
        <f t="shared" si="30"/>
        <v>0</v>
      </c>
      <c r="EQ28" s="121">
        <f t="shared" si="30"/>
        <v>-5309.6277483169133</v>
      </c>
      <c r="ER28" s="121">
        <f t="shared" si="30"/>
        <v>0</v>
      </c>
      <c r="ES28" s="123">
        <f t="shared" si="30"/>
        <v>-1460.1476375569264</v>
      </c>
      <c r="ET28" s="121">
        <f t="shared" si="30"/>
        <v>0</v>
      </c>
      <c r="EU28" s="121">
        <f t="shared" si="30"/>
        <v>-5575.1091280337941</v>
      </c>
      <c r="EV28" s="121">
        <f t="shared" si="30"/>
        <v>0</v>
      </c>
      <c r="EW28" s="121">
        <f t="shared" si="30"/>
        <v>-36429.07441852396</v>
      </c>
      <c r="EX28" s="122"/>
      <c r="EY28" s="71"/>
      <c r="EZ28" s="121">
        <f t="shared" ref="EZ28:FL28" si="31">SUM(EZ22:EZ27)</f>
        <v>-21079.603243318164</v>
      </c>
      <c r="FA28" s="121">
        <f t="shared" si="31"/>
        <v>0</v>
      </c>
      <c r="FB28" s="121">
        <f t="shared" si="31"/>
        <v>-2033.4627620968856</v>
      </c>
      <c r="FC28" s="121">
        <f t="shared" si="31"/>
        <v>0</v>
      </c>
      <c r="FD28" s="121">
        <f t="shared" si="31"/>
        <v>-2004.4446307371259</v>
      </c>
      <c r="FE28" s="121">
        <f t="shared" si="31"/>
        <v>0</v>
      </c>
      <c r="FF28" s="121">
        <f t="shared" si="31"/>
        <v>-5567.9017619460647</v>
      </c>
      <c r="FG28" s="121">
        <f t="shared" si="31"/>
        <v>0</v>
      </c>
      <c r="FH28" s="123">
        <f t="shared" si="31"/>
        <v>-1531.1729916342422</v>
      </c>
      <c r="FI28" s="121">
        <f t="shared" si="31"/>
        <v>0</v>
      </c>
      <c r="FJ28" s="121">
        <f t="shared" si="31"/>
        <v>-5846.2968419699046</v>
      </c>
      <c r="FK28" s="121">
        <f t="shared" si="31"/>
        <v>0</v>
      </c>
      <c r="FL28" s="121">
        <f t="shared" si="31"/>
        <v>-38062.882231702395</v>
      </c>
      <c r="FM28" s="122"/>
      <c r="FN28" s="71"/>
      <c r="FO28" s="121">
        <f t="shared" ref="FO28:GA28" si="32">SUM(FO22:FO27)</f>
        <v>-22100.641859259398</v>
      </c>
      <c r="FP28" s="121">
        <f t="shared" si="32"/>
        <v>0</v>
      </c>
      <c r="FQ28" s="121">
        <f t="shared" si="32"/>
        <v>-1996.2880994966165</v>
      </c>
      <c r="FR28" s="121">
        <f t="shared" si="32"/>
        <v>0</v>
      </c>
      <c r="FS28" s="121">
        <f t="shared" si="32"/>
        <v>-2101.5344738368717</v>
      </c>
      <c r="FT28" s="121">
        <f t="shared" si="32"/>
        <v>0</v>
      </c>
      <c r="FU28" s="121">
        <f t="shared" si="32"/>
        <v>-5837.5957710359271</v>
      </c>
      <c r="FV28" s="121">
        <f t="shared" si="32"/>
        <v>0</v>
      </c>
      <c r="FW28" s="123">
        <f t="shared" si="32"/>
        <v>-1605.3388444778138</v>
      </c>
      <c r="FX28" s="121">
        <f t="shared" si="32"/>
        <v>0</v>
      </c>
      <c r="FY28" s="121">
        <f t="shared" si="32"/>
        <v>-6129.4755511232024</v>
      </c>
      <c r="FZ28" s="121">
        <f t="shared" si="32"/>
        <v>0</v>
      </c>
      <c r="GA28" s="121">
        <f t="shared" si="32"/>
        <v>-39770.874599229835</v>
      </c>
      <c r="GB28" s="122"/>
      <c r="GC28" s="71"/>
      <c r="GD28" s="121">
        <f t="shared" ref="GD28:GP28" si="33">SUM(GD22:GD27)</f>
        <v>-23166.8903713894</v>
      </c>
      <c r="GE28" s="121">
        <f t="shared" si="33"/>
        <v>0</v>
      </c>
      <c r="GF28" s="121">
        <f t="shared" si="33"/>
        <v>-1959.4338843442949</v>
      </c>
      <c r="GG28" s="121">
        <f t="shared" si="33"/>
        <v>0</v>
      </c>
      <c r="GH28" s="121">
        <f t="shared" si="33"/>
        <v>-2202.9232941339483</v>
      </c>
      <c r="GI28" s="121">
        <f t="shared" si="33"/>
        <v>0</v>
      </c>
      <c r="GJ28" s="121">
        <f t="shared" si="33"/>
        <v>-6119.2313834729339</v>
      </c>
      <c r="GK28" s="121">
        <f t="shared" si="33"/>
        <v>0</v>
      </c>
      <c r="GL28" s="123">
        <f t="shared" si="33"/>
        <v>-1682.7886382570764</v>
      </c>
      <c r="GM28" s="121">
        <f t="shared" si="33"/>
        <v>0</v>
      </c>
      <c r="GN28" s="121">
        <f t="shared" si="33"/>
        <v>-6425.1929437736881</v>
      </c>
      <c r="GO28" s="121">
        <f t="shared" si="33"/>
        <v>0</v>
      </c>
      <c r="GP28" s="121">
        <f t="shared" si="33"/>
        <v>-41556.460515371342</v>
      </c>
      <c r="GQ28" s="122"/>
      <c r="GR28" s="71"/>
      <c r="GS28" s="121">
        <f t="shared" ref="GS28:HE28" si="34">SUM(GS22:GS27)</f>
        <v>-24280.418227866405</v>
      </c>
      <c r="GT28" s="121">
        <f t="shared" si="34"/>
        <v>0</v>
      </c>
      <c r="GU28" s="121">
        <f t="shared" si="34"/>
        <v>-1922.9304346227298</v>
      </c>
      <c r="GV28" s="121">
        <f t="shared" si="34"/>
        <v>0</v>
      </c>
      <c r="GW28" s="121">
        <f t="shared" si="34"/>
        <v>-2308.8078739966663</v>
      </c>
      <c r="GX28" s="121">
        <f t="shared" si="34"/>
        <v>0</v>
      </c>
      <c r="GY28" s="121">
        <f t="shared" si="34"/>
        <v>-6413.3552169478171</v>
      </c>
      <c r="GZ28" s="121">
        <f t="shared" si="34"/>
        <v>0</v>
      </c>
      <c r="HA28" s="123">
        <f t="shared" si="34"/>
        <v>-1763.672692837677</v>
      </c>
      <c r="HB28" s="121">
        <f t="shared" si="34"/>
        <v>0</v>
      </c>
      <c r="HC28" s="121">
        <f t="shared" si="34"/>
        <v>-6734.0229684958349</v>
      </c>
      <c r="HD28" s="121">
        <f t="shared" si="34"/>
        <v>0</v>
      </c>
      <c r="HE28" s="121">
        <f t="shared" si="34"/>
        <v>-43423.207414767123</v>
      </c>
      <c r="HF28" s="122"/>
      <c r="HG28" s="71"/>
      <c r="HH28" s="121">
        <f t="shared" ref="HH28:HT28" si="35">SUM(HH22:HH27)</f>
        <v>-25443.393798112447</v>
      </c>
      <c r="HI28" s="121">
        <f t="shared" si="35"/>
        <v>0</v>
      </c>
      <c r="HJ28" s="121">
        <f t="shared" si="35"/>
        <v>-1886.8048733526261</v>
      </c>
      <c r="HK28" s="121">
        <f t="shared" si="35"/>
        <v>0</v>
      </c>
      <c r="HL28" s="121">
        <f t="shared" si="35"/>
        <v>-2419.3944021466705</v>
      </c>
      <c r="HM28" s="121">
        <f t="shared" si="35"/>
        <v>0</v>
      </c>
      <c r="HN28" s="121">
        <f t="shared" si="35"/>
        <v>-6720.5400179106018</v>
      </c>
      <c r="HO28" s="121">
        <f t="shared" si="35"/>
        <v>0</v>
      </c>
      <c r="HP28" s="123">
        <f t="shared" si="35"/>
        <v>-1848.1485134941031</v>
      </c>
      <c r="HQ28" s="121">
        <f t="shared" si="35"/>
        <v>0</v>
      </c>
      <c r="HR28" s="121">
        <f t="shared" si="35"/>
        <v>-7056.5670090613412</v>
      </c>
      <c r="HS28" s="121">
        <f t="shared" si="35"/>
        <v>0</v>
      </c>
      <c r="HT28" s="123">
        <f t="shared" si="35"/>
        <v>-45374.84861407779</v>
      </c>
      <c r="HU28" s="122"/>
      <c r="HX28" s="108" t="s">
        <v>320</v>
      </c>
      <c r="HZ28" s="124">
        <f>SUM(HZ22:HZ27)</f>
        <v>-17099</v>
      </c>
      <c r="IA28" s="124">
        <f t="shared" ref="IA28:IM28" si="36">SUM(IA22:IA27)</f>
        <v>-19886.758859999998</v>
      </c>
      <c r="IB28" s="124">
        <f t="shared" si="36"/>
        <v>-25667.12052</v>
      </c>
      <c r="IC28" s="124">
        <f t="shared" si="36"/>
        <v>-26813.365519200001</v>
      </c>
      <c r="ID28" s="124">
        <f t="shared" si="36"/>
        <v>-28011.438327287997</v>
      </c>
      <c r="IE28" s="124">
        <f t="shared" si="36"/>
        <v>-29263.710957065523</v>
      </c>
      <c r="IF28" s="124">
        <f t="shared" si="36"/>
        <v>-30572.665246868437</v>
      </c>
      <c r="IG28" s="124">
        <f t="shared" si="36"/>
        <v>-31940.898000839501</v>
      </c>
      <c r="IH28" s="124">
        <f t="shared" si="36"/>
        <v>-33371.126372174214</v>
      </c>
      <c r="II28" s="124">
        <f t="shared" si="36"/>
        <v>-34866.193500927366</v>
      </c>
      <c r="IJ28" s="124">
        <f t="shared" si="36"/>
        <v>-36429.07441852396</v>
      </c>
      <c r="IK28" s="124">
        <f t="shared" si="36"/>
        <v>-38062.882231702395</v>
      </c>
      <c r="IL28" s="124">
        <f t="shared" si="36"/>
        <v>-39770.874599229835</v>
      </c>
      <c r="IM28" s="124">
        <f t="shared" si="36"/>
        <v>-41556.460515371342</v>
      </c>
      <c r="IN28" s="124">
        <f>SUM(IN22:IN27)</f>
        <v>-43423.207414767123</v>
      </c>
      <c r="IO28" s="124">
        <f>SUM(IO22:IO27)</f>
        <v>-45374.84861407779</v>
      </c>
    </row>
    <row r="29" spans="2:249" ht="21.15" customHeight="1" thickTop="1" thickBot="1">
      <c r="B29" s="102" t="s">
        <v>321</v>
      </c>
      <c r="C29" s="142">
        <f>C19+C28</f>
        <v>-54495</v>
      </c>
      <c r="D29" s="117">
        <f>C29/C10</f>
        <v>-0.44645709931919286</v>
      </c>
      <c r="E29" s="71"/>
      <c r="F29" s="143">
        <f>F19+F28</f>
        <v>1902.8373005442445</v>
      </c>
      <c r="G29" s="105">
        <f>F29/F10</f>
        <v>2.3952554176350865E-2</v>
      </c>
      <c r="H29" s="143">
        <f>H19+H28</f>
        <v>-4070.5155790687559</v>
      </c>
      <c r="I29" s="105">
        <f>H29/H10</f>
        <v>-0.10093003253970079</v>
      </c>
      <c r="J29" s="143">
        <f>J19+J28</f>
        <v>412.40174921121491</v>
      </c>
      <c r="K29" s="105">
        <f>J29/J10</f>
        <v>8.9652554176351068E-2</v>
      </c>
      <c r="L29" s="143">
        <f>L19+L28</f>
        <v>52.136493793579461</v>
      </c>
      <c r="M29" s="105">
        <f>L29/L10</f>
        <v>1.1585887509684326E-2</v>
      </c>
      <c r="N29" s="143">
        <f>N19+N28</f>
        <v>126.81459751743193</v>
      </c>
      <c r="O29" s="105">
        <f>N29/N10</f>
        <v>7.0452554176351073E-2</v>
      </c>
      <c r="P29" s="143">
        <f>P19+P28</f>
        <v>75.983280676476824</v>
      </c>
      <c r="Q29" s="105">
        <f>P29/P10</f>
        <v>4.7489550422798017E-2</v>
      </c>
      <c r="R29" s="143">
        <f>R19+R28</f>
        <v>-1500.342157325791</v>
      </c>
      <c r="S29" s="105">
        <f>R29/R10</f>
        <v>-1.1342854449207917E-2</v>
      </c>
      <c r="T29" s="71"/>
      <c r="U29" s="143">
        <f>U19+U28</f>
        <v>12461.650963097143</v>
      </c>
      <c r="V29" s="105">
        <f>U29/U10</f>
        <v>8.2289556903264408E-2</v>
      </c>
      <c r="W29" s="143">
        <f>W19+W28</f>
        <v>4306.0805443448498</v>
      </c>
      <c r="X29" s="105">
        <f>W29/W10</f>
        <v>0.16310916120236765</v>
      </c>
      <c r="Y29" s="143">
        <f>Y19+Y28</f>
        <v>2190.574301935651</v>
      </c>
      <c r="Z29" s="105">
        <f>Y29/Y10</f>
        <v>0.15212321583476243</v>
      </c>
      <c r="AA29" s="143">
        <f>AA19+AA28</f>
        <v>1300.5851720433207</v>
      </c>
      <c r="AB29" s="105">
        <f>AA29/AA10</f>
        <v>3.2514629333597646E-2</v>
      </c>
      <c r="AC29" s="143">
        <f>AC19+AC28</f>
        <v>2018.6609874326371</v>
      </c>
      <c r="AD29" s="105">
        <f>AC29/AC10</f>
        <v>0.18351463455382289</v>
      </c>
      <c r="AE29" s="143">
        <f>AE19+AE28</f>
        <v>5694.8705511464268</v>
      </c>
      <c r="AF29" s="105">
        <f>AE29/AE10</f>
        <v>0.13559215630251545</v>
      </c>
      <c r="AG29" s="143">
        <f>AG19+AG28</f>
        <v>27972.422520000047</v>
      </c>
      <c r="AH29" s="105">
        <f>AG29/AG10</f>
        <v>9.806743953639431E-2</v>
      </c>
      <c r="AI29" s="71"/>
      <c r="AJ29" s="143">
        <f>AJ19+AJ28</f>
        <v>14993.245975262567</v>
      </c>
      <c r="AK29" s="105">
        <f>AJ29/AJ10</f>
        <v>9.0006136827269018E-2</v>
      </c>
      <c r="AL29" s="143">
        <f>AL19+AL28</f>
        <v>4354.5198345573181</v>
      </c>
      <c r="AM29" s="105">
        <f>AL29/AL10</f>
        <v>0.16013978967001119</v>
      </c>
      <c r="AN29" s="143">
        <f>AN19+AN28</f>
        <v>2728.2030997640018</v>
      </c>
      <c r="AO29" s="105">
        <f>AN29/AN10</f>
        <v>0.17223504465545095</v>
      </c>
      <c r="AP29" s="143">
        <f>AP19+AP28</f>
        <v>1751.5641570370235</v>
      </c>
      <c r="AQ29" s="105">
        <f>AP29/AP10</f>
        <v>3.9808276336104266E-2</v>
      </c>
      <c r="AR29" s="143">
        <f>AR19+AR28</f>
        <v>2401.1802155631517</v>
      </c>
      <c r="AS29" s="105">
        <f>AR29/AR10</f>
        <v>0.1984446451926932</v>
      </c>
      <c r="AT29" s="143">
        <f>AT19+AT28</f>
        <v>6705.6822888425722</v>
      </c>
      <c r="AU29" s="105">
        <f>AT29/AT10</f>
        <v>0.14514463863221841</v>
      </c>
      <c r="AV29" s="143">
        <f>AV19+AV28</f>
        <v>32936.486585438441</v>
      </c>
      <c r="AW29" s="105">
        <f>AV29/AV10</f>
        <v>0.10559535916621407</v>
      </c>
      <c r="AX29" s="71"/>
      <c r="AY29" s="143">
        <f>AY19+AY28</f>
        <v>17847.673786821302</v>
      </c>
      <c r="AZ29" s="105">
        <f>AY29/AY10</f>
        <v>9.7401442777847402E-2</v>
      </c>
      <c r="BA29" s="143">
        <f>BA19+BA28</f>
        <v>4393.8951188959709</v>
      </c>
      <c r="BB29" s="105">
        <f>BA29/BA10</f>
        <v>0.15688139490759576</v>
      </c>
      <c r="BC29" s="143">
        <f>BC19+BC28</f>
        <v>3336.0369993423269</v>
      </c>
      <c r="BD29" s="105">
        <f>BC29/BC10</f>
        <v>0.19146217909831817</v>
      </c>
      <c r="BE29" s="143">
        <f>BE19+BE28</f>
        <v>2265.1138794371122</v>
      </c>
      <c r="BF29" s="105">
        <f>BE29/BE10</f>
        <v>4.6799873588888964E-2</v>
      </c>
      <c r="BG29" s="143">
        <f>BG19+BG28</f>
        <v>2831.3763972452234</v>
      </c>
      <c r="BH29" s="105">
        <f>BG29/BG10</f>
        <v>0.21272549864382492</v>
      </c>
      <c r="BI29" s="143">
        <f>BI19+BI28</f>
        <v>7841.1395907287661</v>
      </c>
      <c r="BJ29" s="105">
        <f>BI29/BI10</f>
        <v>0.15429239687914512</v>
      </c>
      <c r="BK29" s="143">
        <f>BK19+BK28</f>
        <v>38517.326786882622</v>
      </c>
      <c r="BL29" s="105">
        <f>BK29/BK10</f>
        <v>0.11288781407037457</v>
      </c>
      <c r="BM29" s="71"/>
      <c r="BN29" s="143">
        <f>BN19+BN28</f>
        <v>21060.448448772469</v>
      </c>
      <c r="BO29" s="105">
        <f>BN29/BN10</f>
        <v>0.10448614347885224</v>
      </c>
      <c r="BP29" s="143">
        <f>BP19+BP28</f>
        <v>4423.387580679052</v>
      </c>
      <c r="BQ29" s="105">
        <f>BP29/BP10</f>
        <v>0.1533343743694377</v>
      </c>
      <c r="BR29" s="143">
        <f>BR19+BR28</f>
        <v>4021.8945744459443</v>
      </c>
      <c r="BS29" s="105">
        <f>BR29/BR10</f>
        <v>0.20984089790559901</v>
      </c>
      <c r="BT29" s="143">
        <f>BT19+BT28</f>
        <v>2848.2982563237747</v>
      </c>
      <c r="BU29" s="105">
        <f>BT29/BT10</f>
        <v>5.3499215987454413E-2</v>
      </c>
      <c r="BV29" s="143">
        <f>BV19+BV28</f>
        <v>3314.4701097542566</v>
      </c>
      <c r="BW29" s="105">
        <f>BV29/BV10</f>
        <v>0.22638276741353996</v>
      </c>
      <c r="BX29" s="143">
        <f>BX19+BX28</f>
        <v>9114.8150942090433</v>
      </c>
      <c r="BY29" s="105">
        <f>BX29/BX10</f>
        <v>0.16304989295393713</v>
      </c>
      <c r="BZ29" s="143">
        <f>BZ19+BZ28</f>
        <v>44785.40507859637</v>
      </c>
      <c r="CA29" s="105">
        <f>BZ29/BZ10</f>
        <v>0.11995249828058192</v>
      </c>
      <c r="CB29" s="71"/>
      <c r="CC29" s="143">
        <f>CC19+CC28</f>
        <v>24670.780081701876</v>
      </c>
      <c r="CD29" s="105">
        <f>CC29/CC10</f>
        <v>0.1112708183615564</v>
      </c>
      <c r="CE29" s="143">
        <f>CE19+CE28</f>
        <v>4442.136973347071</v>
      </c>
      <c r="CF29" s="105">
        <f>CE29/CE10</f>
        <v>0.14949933211594327</v>
      </c>
      <c r="CG29" s="143">
        <f>CG19+CG28</f>
        <v>4794.4145548646211</v>
      </c>
      <c r="CH29" s="105">
        <f>CG29/CG10</f>
        <v>0.22740622643520284</v>
      </c>
      <c r="CI29" s="143">
        <f>CI19+CI28</f>
        <v>3508.9234815880773</v>
      </c>
      <c r="CJ29" s="105">
        <f>CI29/CI10</f>
        <v>5.9916048854193715E-2</v>
      </c>
      <c r="CK29" s="143">
        <f>CK19+CK28</f>
        <v>3856.2254064965628</v>
      </c>
      <c r="CL29" s="105">
        <f>CK29/CK10</f>
        <v>0.23944125727092197</v>
      </c>
      <c r="CM29" s="143">
        <f>CM19+CM28</f>
        <v>10541.68942455975</v>
      </c>
      <c r="CN29" s="105">
        <f>CM29/CM10</f>
        <v>0.17143132705707428</v>
      </c>
      <c r="CO29" s="143">
        <f>CO19+CO28</f>
        <v>51816.260936969789</v>
      </c>
      <c r="CP29" s="105">
        <f>CO29/CO10</f>
        <v>0.12679053587400432</v>
      </c>
      <c r="CQ29" s="71"/>
      <c r="CR29" s="143">
        <f>CR19+CR28</f>
        <v>28478.607128379332</v>
      </c>
      <c r="CS29" s="105">
        <f>CR29/CR10</f>
        <v>0.11676816609762738</v>
      </c>
      <c r="CT29" s="143">
        <f>CT19+CT28</f>
        <v>4449.2389029368187</v>
      </c>
      <c r="CU29" s="105">
        <f>CT29/CT10</f>
        <v>0.14537703523971302</v>
      </c>
      <c r="CV29" s="143">
        <f>CV19+CV28</f>
        <v>5663.1397949024731</v>
      </c>
      <c r="CW29" s="105">
        <f>CV29/CV10</f>
        <v>0.24419196276996349</v>
      </c>
      <c r="CX29" s="143">
        <f>CX19+CX28</f>
        <v>4255.6141533309037</v>
      </c>
      <c r="CY29" s="105">
        <f>CX29/CX10</f>
        <v>6.6060039328947329E-2</v>
      </c>
      <c r="CZ29" s="143">
        <f>CZ19+CZ28</f>
        <v>4463.0052645448777</v>
      </c>
      <c r="DA29" s="105">
        <f>CZ29/CZ10</f>
        <v>0.25192501123674366</v>
      </c>
      <c r="DB29" s="143">
        <f>DB19+DB28</f>
        <v>12138.2946406593</v>
      </c>
      <c r="DC29" s="105">
        <f>DB29/DB10</f>
        <v>0.17945061871202606</v>
      </c>
      <c r="DD29" s="143">
        <f>DD19+DD28</f>
        <v>59449.991896930223</v>
      </c>
      <c r="DE29" s="105">
        <f>DD29/DD10</f>
        <v>0.13285990226701824</v>
      </c>
      <c r="DF29" s="71"/>
      <c r="DG29" s="143">
        <f>DG19+DG28</f>
        <v>32994.057120035752</v>
      </c>
      <c r="DH29" s="105">
        <f>DG29/DG10</f>
        <v>0.12298403897798763</v>
      </c>
      <c r="DI29" s="143">
        <f>DI19+DI28</f>
        <v>4443.7419543697533</v>
      </c>
      <c r="DJ29" s="105">
        <f>DI29/DI10</f>
        <v>0.14096837352026687</v>
      </c>
      <c r="DK29" s="143">
        <f>DK19+DK28</f>
        <v>6638.6097337580122</v>
      </c>
      <c r="DL29" s="105">
        <f>DK29/DK10</f>
        <v>0.26023070395256065</v>
      </c>
      <c r="DM29" s="143">
        <f>DM19+DM28</f>
        <v>5097.8971017245949</v>
      </c>
      <c r="DN29" s="105">
        <f>DM29/DM10</f>
        <v>7.1940750372446849E-2</v>
      </c>
      <c r="DO29" s="143">
        <f>DO19+DO28</f>
        <v>5141.8326299261789</v>
      </c>
      <c r="DP29" s="105">
        <f>DO29/DO10</f>
        <v>0.2638573147035353</v>
      </c>
      <c r="DQ29" s="143">
        <f>DQ19+DQ28</f>
        <v>16679.369959665528</v>
      </c>
      <c r="DR29" s="105">
        <f>DQ29/DQ10</f>
        <v>0.2241683222469085</v>
      </c>
      <c r="DS29" s="143">
        <f>DS19+DS28</f>
        <v>70997.600511656346</v>
      </c>
      <c r="DT29" s="105">
        <f>DS29/DS10</f>
        <v>0.14487301595344065</v>
      </c>
      <c r="DU29" s="71"/>
      <c r="DV29" s="143">
        <f>DV19+DV28</f>
        <v>38048.404018234432</v>
      </c>
      <c r="DW29" s="105">
        <f>DV29/DV10</f>
        <v>0.12893083320497892</v>
      </c>
      <c r="DX29" s="143">
        <f>DX19+DX28</f>
        <v>4424.6446587399478</v>
      </c>
      <c r="DY29" s="105">
        <f>DX29/DX10</f>
        <v>0.13627432228703459</v>
      </c>
      <c r="DZ29" s="143">
        <f>DZ19+DZ28</f>
        <v>7732.4622013167736</v>
      </c>
      <c r="EA29" s="105">
        <f>DZ29/DZ10</f>
        <v>0.2755538724680513</v>
      </c>
      <c r="EB29" s="143">
        <f>EB19+EB28</f>
        <v>6046.2936906386649</v>
      </c>
      <c r="EC29" s="105">
        <f>EB29/EB10</f>
        <v>7.7567617391525914E-2</v>
      </c>
      <c r="ED29" s="143">
        <f>ED19+ED28</f>
        <v>5900.4576227759844</v>
      </c>
      <c r="EE29" s="105">
        <f>ED29/ED10</f>
        <v>0.27526070176302964</v>
      </c>
      <c r="EF29" s="143">
        <f>EF19+EF28</f>
        <v>18947.694135660629</v>
      </c>
      <c r="EG29" s="105">
        <f>EF29/EF10</f>
        <v>0.23150388310992867</v>
      </c>
      <c r="EH29" s="143">
        <f>EH19+EH28</f>
        <v>81102.048339542875</v>
      </c>
      <c r="EI29" s="105">
        <f>EH29/EH10</f>
        <v>0.15106516353452532</v>
      </c>
      <c r="EJ29" s="71"/>
      <c r="EK29" s="143">
        <f>EK19+EK28</f>
        <v>43699.571541829529</v>
      </c>
      <c r="EL29" s="105">
        <f>EK29/EK10</f>
        <v>0.13461852832820065</v>
      </c>
      <c r="EM29" s="143">
        <f>EM19+EM28</f>
        <v>4390.8922979916488</v>
      </c>
      <c r="EN29" s="105">
        <f>EM29/EM10</f>
        <v>0.13129590842922911</v>
      </c>
      <c r="EO29" s="143">
        <f>EO19+EO28</f>
        <v>8957.5455085227059</v>
      </c>
      <c r="EP29" s="105">
        <f>EO29/EO10</f>
        <v>0.29019174304847645</v>
      </c>
      <c r="EQ29" s="143">
        <f>EQ19+EQ28</f>
        <v>7112.4214440000333</v>
      </c>
      <c r="ER29" s="105">
        <f>EQ29/EQ10</f>
        <v>8.2949927452649549E-2</v>
      </c>
      <c r="ES29" s="143">
        <f>ES19+ES28</f>
        <v>6747.4315208500293</v>
      </c>
      <c r="ET29" s="105">
        <f>ES29/ES10</f>
        <v>0.2861569627718224</v>
      </c>
      <c r="EU29" s="143">
        <f>EU19+EU28</f>
        <v>21473.879307954994</v>
      </c>
      <c r="EV29" s="105">
        <f>EU29/EU10</f>
        <v>0.23851721911299567</v>
      </c>
      <c r="EW29" s="143">
        <f>EW19+EW28</f>
        <v>92383.833633325441</v>
      </c>
      <c r="EX29" s="105">
        <f>EW29/EW10</f>
        <v>0.15704005739083673</v>
      </c>
      <c r="EY29" s="71"/>
      <c r="EZ29" s="143">
        <f>EZ19+EZ28</f>
        <v>50011.462290749754</v>
      </c>
      <c r="FA29" s="105">
        <f>EZ29/EZ10</f>
        <v>0.14005690581444194</v>
      </c>
      <c r="FB29" s="143">
        <f>FB19+FB28</f>
        <v>4341.3735425702143</v>
      </c>
      <c r="FC29" s="105">
        <f>FB29/FB10</f>
        <v>0.12603417945812659</v>
      </c>
      <c r="FD29" s="143">
        <f>FD19+FD28</f>
        <v>10328.041855700292</v>
      </c>
      <c r="FE29" s="105">
        <f>FD29/FD10</f>
        <v>0.30417346983477583</v>
      </c>
      <c r="FF29" s="143">
        <f>FF19+FF28</f>
        <v>8309.1059332954464</v>
      </c>
      <c r="FG29" s="105">
        <f>FF29/FF10</f>
        <v>8.8096801015978859E-2</v>
      </c>
      <c r="FH29" s="143">
        <f>FH19+FH28</f>
        <v>7692.1882019027462</v>
      </c>
      <c r="FI29" s="105">
        <f>FH29/FH10</f>
        <v>0.29656715314883603</v>
      </c>
      <c r="FJ29" s="143">
        <f>FJ19+FJ28</f>
        <v>24285.166278866134</v>
      </c>
      <c r="FK29" s="105">
        <f>FJ29/FJ10</f>
        <v>0.24522098107545279</v>
      </c>
      <c r="FL29" s="143">
        <f>FL19+FL28</f>
        <v>104969.43011526106</v>
      </c>
      <c r="FM29" s="105">
        <f>FL29/FL10</f>
        <v>0.16280156483865676</v>
      </c>
      <c r="FN29" s="71"/>
      <c r="FO29" s="143">
        <f>FO19+FO28</f>
        <v>57054.565184908279</v>
      </c>
      <c r="FP29" s="105">
        <f>FO29/FO10</f>
        <v>0.14525553463815455</v>
      </c>
      <c r="FQ29" s="143">
        <f>FQ19+FQ28</f>
        <v>4274.9169168205899</v>
      </c>
      <c r="FR29" s="105">
        <f>FQ29/FQ10</f>
        <v>0.12049017550137431</v>
      </c>
      <c r="FS29" s="143">
        <f>FS19+FS28</f>
        <v>11859.60319583455</v>
      </c>
      <c r="FT29" s="105">
        <f>FS29/FS10</f>
        <v>0.3175271138994531</v>
      </c>
      <c r="FU29" s="143">
        <f>FU19+FU28</f>
        <v>9650.5039566072464</v>
      </c>
      <c r="FV29" s="105">
        <f>FU29/FU10</f>
        <v>9.3017176095093884E-2</v>
      </c>
      <c r="FW29" s="143">
        <f>FW19+FW28</f>
        <v>8745.1337936666714</v>
      </c>
      <c r="FX29" s="105">
        <f>FW29/FW10</f>
        <v>0.30651160336828592</v>
      </c>
      <c r="FY29" s="143">
        <f>FY19+FY28</f>
        <v>27411.588515107262</v>
      </c>
      <c r="FZ29" s="105">
        <f>FY29/FY10</f>
        <v>0.25162747689919013</v>
      </c>
      <c r="GA29" s="143">
        <f>GA19+GA28</f>
        <v>118998.40357512113</v>
      </c>
      <c r="GB29" s="105">
        <f>GA29/GA10</f>
        <v>0.16835389541636361</v>
      </c>
      <c r="GC29" s="71"/>
      <c r="GD29" s="143">
        <f>GD19+GD28</f>
        <v>64906.624081722694</v>
      </c>
      <c r="GE29" s="105">
        <f>GD29/GD10</f>
        <v>0.15022375911698771</v>
      </c>
      <c r="GF29" s="143">
        <f>GF19+GF28</f>
        <v>4190.2870860980274</v>
      </c>
      <c r="GG29" s="105">
        <f>GF29/GF10</f>
        <v>0.11466490408939671</v>
      </c>
      <c r="GH29" s="143">
        <f>GH19+GH28</f>
        <v>13569.500803824392</v>
      </c>
      <c r="GI29" s="105">
        <f>GH29/GH10</f>
        <v>0.33027967110829776</v>
      </c>
      <c r="GJ29" s="143">
        <f>GJ19+GJ28</f>
        <v>11152.239142955945</v>
      </c>
      <c r="GK29" s="105">
        <f>GJ29/GJ10</f>
        <v>9.7719794726811082E-2</v>
      </c>
      <c r="GL29" s="143">
        <f>GL19+GL28</f>
        <v>9917.745355218347</v>
      </c>
      <c r="GM29" s="105">
        <f>GL29/GL10</f>
        <v>0.31600993008850459</v>
      </c>
      <c r="GN29" s="143">
        <f>GN19+GN28</f>
        <v>30886.254894056165</v>
      </c>
      <c r="GO29" s="105">
        <f>GN29/GN10</f>
        <v>0.257748665332592</v>
      </c>
      <c r="GP29" s="143">
        <f>GP19+GP28</f>
        <v>134624.74337605207</v>
      </c>
      <c r="GQ29" s="105">
        <f>GP29/GP10</f>
        <v>0.17370154676844266</v>
      </c>
      <c r="GR29" s="71"/>
      <c r="GS29" s="143">
        <f>GS19+GS28</f>
        <v>73653.373710311018</v>
      </c>
      <c r="GT29" s="105">
        <f>GS29/GS10</f>
        <v>0.15497068886472626</v>
      </c>
      <c r="GU29" s="143">
        <f>GU19+GU28</f>
        <v>4086.1809587502421</v>
      </c>
      <c r="GV29" s="105">
        <f>GU29/GU10</f>
        <v>0.1085593175799987</v>
      </c>
      <c r="GW29" s="143">
        <f>GW19+GW28</f>
        <v>15476.789928143269</v>
      </c>
      <c r="GX29" s="105">
        <f>GW29/GW10</f>
        <v>0.34245710028013809</v>
      </c>
      <c r="GY29" s="143">
        <f>GY19+GY28</f>
        <v>12831.551229446417</v>
      </c>
      <c r="GZ29" s="105">
        <f>GY29/GY10</f>
        <v>0.10221319162048434</v>
      </c>
      <c r="HA29" s="143">
        <f>HA19+HA28</f>
        <v>11222.679496077606</v>
      </c>
      <c r="HB29" s="105">
        <f>HA29/HA10</f>
        <v>0.32508104833938384</v>
      </c>
      <c r="HC29" s="143">
        <f>HC19+HC28</f>
        <v>34745.660886342142</v>
      </c>
      <c r="HD29" s="105">
        <f>HC29/HC10</f>
        <v>0.26359615158241867</v>
      </c>
      <c r="HE29" s="143">
        <f>HE19+HE28</f>
        <v>152018.32822124718</v>
      </c>
      <c r="HF29" s="105">
        <f>HE29/HE10</f>
        <v>0.17884925491498402</v>
      </c>
      <c r="HG29" s="71"/>
      <c r="HH29" s="143">
        <f>HH19+HH28</f>
        <v>83389.349675624413</v>
      </c>
      <c r="HI29" s="105">
        <f>HH29/HH10</f>
        <v>0.15950519072364114</v>
      </c>
      <c r="HJ29" s="143">
        <f>HJ19+HJ28</f>
        <v>3961.2235953297827</v>
      </c>
      <c r="HK29" s="105">
        <f>HJ29/HJ10</f>
        <v>0.10217429305809562</v>
      </c>
      <c r="HL29" s="143">
        <f>HL19+HL28</f>
        <v>17602.491039312306</v>
      </c>
      <c r="HM29" s="105">
        <f>HL29/HL10</f>
        <v>0.3540843515893321</v>
      </c>
      <c r="HN29" s="143">
        <f>HN19+HN28</f>
        <v>14707.460383811636</v>
      </c>
      <c r="HO29" s="105">
        <f>HN29/HN10</f>
        <v>0.10650568484597341</v>
      </c>
      <c r="HP29" s="143">
        <f>HP19+HP28</f>
        <v>12673.89193020964</v>
      </c>
      <c r="HQ29" s="105">
        <f>HP29/HP10</f>
        <v>0.33374318467856956</v>
      </c>
      <c r="HR29" s="143">
        <f>HR19+HR28</f>
        <v>39030.031026146869</v>
      </c>
      <c r="HS29" s="105">
        <f>HR29/HR10</f>
        <v>0.26918118464787266</v>
      </c>
      <c r="HT29" s="143">
        <f>HT19+HT28</f>
        <v>171366.53966261109</v>
      </c>
      <c r="HU29" s="105">
        <f>HT29/HT10</f>
        <v>0.18380194877239583</v>
      </c>
      <c r="HX29" s="144" t="s">
        <v>123</v>
      </c>
      <c r="HZ29" s="124">
        <f>HZ19+HZ28</f>
        <v>-54495</v>
      </c>
      <c r="IA29" s="145">
        <f t="shared" ref="IA29:IM29" si="37">IA19+IA28</f>
        <v>-1500.342157325791</v>
      </c>
      <c r="IB29" s="145">
        <f t="shared" si="37"/>
        <v>27972.422520000047</v>
      </c>
      <c r="IC29" s="145">
        <f t="shared" si="37"/>
        <v>32936.486585438557</v>
      </c>
      <c r="ID29" s="145">
        <f t="shared" si="37"/>
        <v>38517.326786882622</v>
      </c>
      <c r="IE29" s="145">
        <f t="shared" si="37"/>
        <v>44785.405078596312</v>
      </c>
      <c r="IF29" s="145">
        <f t="shared" si="37"/>
        <v>51816.260936969789</v>
      </c>
      <c r="IG29" s="145">
        <f t="shared" si="37"/>
        <v>59449.991896930107</v>
      </c>
      <c r="IH29" s="145">
        <f t="shared" si="37"/>
        <v>70997.600511656346</v>
      </c>
      <c r="II29" s="145">
        <f t="shared" si="37"/>
        <v>81102.048339542875</v>
      </c>
      <c r="IJ29" s="145">
        <f t="shared" si="37"/>
        <v>92383.833633325325</v>
      </c>
      <c r="IK29" s="145">
        <f t="shared" si="37"/>
        <v>104969.43011526106</v>
      </c>
      <c r="IL29" s="145">
        <f t="shared" si="37"/>
        <v>118998.40357512113</v>
      </c>
      <c r="IM29" s="145">
        <f t="shared" si="37"/>
        <v>134624.74337605207</v>
      </c>
      <c r="IN29" s="145">
        <f>IN19+IN28</f>
        <v>152018.32822124718</v>
      </c>
      <c r="IO29" s="145">
        <f>IO19+IO28</f>
        <v>171366.53966261109</v>
      </c>
    </row>
    <row r="30" spans="2:249" ht="15.6" thickTop="1" thickBot="1">
      <c r="E30" s="71"/>
      <c r="R30" s="21"/>
      <c r="T30" s="71"/>
      <c r="AG30" s="72">
        <f>+AG29-'[33]Financial Statements'!AY20</f>
        <v>0</v>
      </c>
      <c r="AH30" s="21"/>
      <c r="AI30" s="71"/>
      <c r="AV30" s="21"/>
      <c r="AW30" s="21"/>
      <c r="AX30" s="71"/>
      <c r="BK30" s="21"/>
      <c r="BL30" s="21"/>
      <c r="BM30" s="71"/>
      <c r="BZ30" s="21"/>
      <c r="CA30" s="21"/>
      <c r="CB30" s="71"/>
      <c r="CO30" s="21"/>
      <c r="CP30" s="21"/>
      <c r="CQ30" s="71"/>
      <c r="DD30" s="21"/>
      <c r="DE30" s="21"/>
      <c r="DF30" s="71"/>
      <c r="DS30" s="21"/>
      <c r="DT30" s="21"/>
      <c r="DU30" s="71"/>
      <c r="EH30" s="21"/>
      <c r="EI30" s="21"/>
      <c r="EJ30" s="71"/>
      <c r="EW30" s="21"/>
      <c r="EX30" s="21"/>
      <c r="EY30" s="71"/>
      <c r="FL30" s="21"/>
      <c r="FM30" s="21"/>
      <c r="FN30" s="71"/>
      <c r="GA30" s="21"/>
      <c r="GB30" s="21"/>
      <c r="GC30" s="71"/>
      <c r="GP30" s="21"/>
      <c r="GQ30" s="21"/>
      <c r="GR30" s="71"/>
      <c r="HE30" s="21"/>
      <c r="HF30" s="21"/>
      <c r="HG30" s="71"/>
      <c r="HT30" s="111"/>
      <c r="HU30" s="21"/>
      <c r="HX30" s="144" t="s">
        <v>322</v>
      </c>
      <c r="HZ30" s="137">
        <f t="shared" ref="HZ30:IM30" si="38">HZ29/HZ10</f>
        <v>-0.44645709931919286</v>
      </c>
      <c r="IA30" s="137">
        <f t="shared" si="38"/>
        <v>-1.1342854449207917E-2</v>
      </c>
      <c r="IB30" s="137">
        <f t="shared" si="38"/>
        <v>9.806743953639431E-2</v>
      </c>
      <c r="IC30" s="137">
        <f t="shared" si="38"/>
        <v>0.1055953591662144</v>
      </c>
      <c r="ID30" s="137">
        <f t="shared" si="38"/>
        <v>0.11288781407037457</v>
      </c>
      <c r="IE30" s="137">
        <f t="shared" si="38"/>
        <v>0.11995249828058178</v>
      </c>
      <c r="IF30" s="137">
        <f t="shared" si="38"/>
        <v>0.12679053587400432</v>
      </c>
      <c r="IG30" s="137">
        <f t="shared" si="38"/>
        <v>0.13285990226701802</v>
      </c>
      <c r="IH30" s="137">
        <f t="shared" si="38"/>
        <v>0.14487301595344065</v>
      </c>
      <c r="II30" s="137">
        <f t="shared" si="38"/>
        <v>0.15106516353452532</v>
      </c>
      <c r="IJ30" s="137">
        <f t="shared" si="38"/>
        <v>0.15704005739083657</v>
      </c>
      <c r="IK30" s="137">
        <f t="shared" si="38"/>
        <v>0.16280156483865676</v>
      </c>
      <c r="IL30" s="137">
        <f t="shared" si="38"/>
        <v>0.16835389541636361</v>
      </c>
      <c r="IM30" s="137">
        <f t="shared" si="38"/>
        <v>0.17370154676844266</v>
      </c>
      <c r="IN30" s="137">
        <f>IN29/IN10</f>
        <v>0.17884925491498402</v>
      </c>
      <c r="IO30" s="137">
        <f>IO29/IO10</f>
        <v>0.18380194877239583</v>
      </c>
    </row>
    <row r="31" spans="2:249" ht="15" hidden="1" thickTop="1">
      <c r="E31" s="71"/>
      <c r="R31" s="21"/>
      <c r="T31" s="71"/>
      <c r="AG31" s="72">
        <f>+AG29-'[33]IS Assumption'!R178/1000</f>
        <v>0</v>
      </c>
      <c r="AH31" s="21"/>
      <c r="AI31" s="71"/>
      <c r="AV31" s="21"/>
      <c r="AW31" s="21"/>
      <c r="AX31" s="71"/>
      <c r="BK31" s="21"/>
      <c r="BL31" s="21"/>
      <c r="BM31" s="71"/>
      <c r="BZ31" s="21"/>
      <c r="CA31" s="21"/>
      <c r="CB31" s="71"/>
      <c r="CO31" s="21"/>
      <c r="CP31" s="21"/>
      <c r="CQ31" s="71"/>
      <c r="DD31" s="21"/>
      <c r="DE31" s="21"/>
      <c r="DF31" s="71"/>
      <c r="DS31" s="21"/>
      <c r="DT31" s="21"/>
      <c r="DU31" s="71"/>
      <c r="EH31" s="21"/>
      <c r="EI31" s="21"/>
      <c r="EJ31" s="71"/>
      <c r="EW31" s="21"/>
      <c r="EX31" s="21"/>
      <c r="EY31" s="71"/>
      <c r="FL31" s="21"/>
      <c r="FM31" s="21"/>
      <c r="FN31" s="71"/>
      <c r="GA31" s="21"/>
      <c r="GB31" s="21"/>
      <c r="GC31" s="71"/>
      <c r="GP31" s="21"/>
      <c r="GQ31" s="21"/>
      <c r="GR31" s="71"/>
      <c r="HE31" s="21"/>
      <c r="HF31" s="21"/>
      <c r="HG31" s="71"/>
      <c r="HT31" s="21"/>
      <c r="HU31" s="21"/>
      <c r="IA31" s="14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</row>
    <row r="32" spans="2:249" s="5" customFormat="1" ht="20.100000000000001" hidden="1" customHeight="1">
      <c r="B32" s="77" t="s">
        <v>323</v>
      </c>
      <c r="C32" s="77"/>
      <c r="D32" s="77"/>
      <c r="E32" s="71"/>
      <c r="R32" s="76"/>
      <c r="T32" s="71"/>
      <c r="AG32" s="111">
        <f>+AG29-AG64</f>
        <v>0</v>
      </c>
      <c r="AH32" s="111"/>
      <c r="AI32" s="71"/>
      <c r="AV32" s="76"/>
      <c r="AW32" s="111"/>
      <c r="AX32" s="71"/>
      <c r="BK32" s="76"/>
      <c r="BL32" s="111"/>
      <c r="BM32" s="71"/>
      <c r="BZ32" s="76"/>
      <c r="CA32" s="111"/>
      <c r="CB32" s="71"/>
      <c r="CO32" s="76"/>
      <c r="CP32" s="111"/>
      <c r="CQ32" s="71"/>
      <c r="DD32" s="76"/>
      <c r="DE32" s="111"/>
      <c r="DF32" s="71"/>
      <c r="DS32" s="76"/>
      <c r="DT32" s="111"/>
      <c r="DU32" s="71"/>
      <c r="EH32" s="76"/>
      <c r="EI32" s="111"/>
      <c r="EJ32" s="71"/>
      <c r="EW32" s="76"/>
      <c r="EX32" s="111"/>
      <c r="EY32" s="71"/>
      <c r="FL32" s="76"/>
      <c r="FM32" s="111"/>
      <c r="FN32" s="71"/>
      <c r="GA32" s="76"/>
      <c r="GB32" s="111"/>
      <c r="GC32" s="71"/>
      <c r="GP32" s="76"/>
      <c r="GQ32" s="111"/>
      <c r="GR32" s="71"/>
      <c r="HE32" s="76"/>
      <c r="HF32" s="111"/>
      <c r="HG32" s="71"/>
      <c r="HT32" s="76"/>
      <c r="HU32" s="111"/>
      <c r="HV32"/>
      <c r="HX32" s="77" t="s">
        <v>323</v>
      </c>
      <c r="HY32" s="6"/>
      <c r="HZ32" s="147">
        <f>[35]Loans!AO9+[35]Loans!AO10</f>
        <v>-3000</v>
      </c>
      <c r="IA32" s="147">
        <f>[35]Loans!AP9+[35]Loans!AP10</f>
        <v>-13600</v>
      </c>
      <c r="IB32" s="147">
        <f>[35]Loans!AQ9+[35]Loans!AQ10</f>
        <v>-13600</v>
      </c>
      <c r="IC32" s="147">
        <f>[35]Loans!AR9+[35]Loans!AR10</f>
        <v>-13600</v>
      </c>
      <c r="ID32" s="147">
        <f>[35]Loans!AS9+[35]Loans!AS10</f>
        <v>-13600</v>
      </c>
      <c r="IE32" s="147">
        <f>[35]Loans!AT9+[35]Loans!AT10</f>
        <v>-11200</v>
      </c>
      <c r="IF32" s="147">
        <f>[35]Loans!AU9+[35]Loans!AU10</f>
        <v>-8800</v>
      </c>
      <c r="IG32" s="147">
        <f>[35]Loans!AV9+[35]Loans!AV10</f>
        <v>-6400</v>
      </c>
      <c r="IH32" s="147">
        <f>[35]Loans!AW9+[35]Loans!AW10</f>
        <v>-4000</v>
      </c>
      <c r="II32" s="147">
        <f>[35]Loans!AX9+[35]Loans!AX10</f>
        <v>-1600</v>
      </c>
      <c r="IJ32" s="147">
        <f>[35]Loans!AY9+[35]Loans!AY10</f>
        <v>-1600</v>
      </c>
      <c r="IK32" s="147">
        <f>[35]Loans!AZ9+[35]Loans!AZ10</f>
        <v>-1600</v>
      </c>
      <c r="IL32" s="147">
        <f>[35]Loans!BA9+[35]Loans!BA10</f>
        <v>-2000</v>
      </c>
      <c r="IM32" s="147">
        <f>[35]Loans!BB9+[35]Loans!BB10</f>
        <v>-2000</v>
      </c>
      <c r="IN32" s="147">
        <f>[35]Loans!BC9+[35]Loans!BC10</f>
        <v>-2000</v>
      </c>
      <c r="IO32" s="147">
        <f>[35]Loans!BD9+[35]Loans!BD10</f>
        <v>-2000</v>
      </c>
    </row>
    <row r="33" spans="2:249" s="5" customFormat="1" ht="15.6" hidden="1">
      <c r="B33" s="148"/>
      <c r="C33" s="148"/>
      <c r="D33" s="148"/>
      <c r="E33" s="71"/>
      <c r="R33" s="111"/>
      <c r="T33" s="71"/>
      <c r="AG33" s="111"/>
      <c r="AH33" s="111"/>
      <c r="AI33" s="71"/>
      <c r="AV33" s="111"/>
      <c r="AW33" s="111"/>
      <c r="AX33" s="71"/>
      <c r="BK33" s="111"/>
      <c r="BL33" s="111"/>
      <c r="BM33" s="71"/>
      <c r="BZ33" s="111"/>
      <c r="CA33" s="111"/>
      <c r="CB33" s="71"/>
      <c r="CO33" s="111"/>
      <c r="CP33" s="111"/>
      <c r="CQ33" s="71"/>
      <c r="DD33" s="111"/>
      <c r="DE33" s="111"/>
      <c r="DF33" s="71"/>
      <c r="DS33" s="111"/>
      <c r="DT33" s="111"/>
      <c r="DU33" s="71"/>
      <c r="EH33" s="111"/>
      <c r="EI33" s="111"/>
      <c r="EJ33" s="71"/>
      <c r="EW33" s="111"/>
      <c r="EX33" s="111"/>
      <c r="EY33" s="71"/>
      <c r="FL33" s="111"/>
      <c r="FM33" s="111"/>
      <c r="FN33" s="71"/>
      <c r="GA33" s="111"/>
      <c r="GB33" s="111"/>
      <c r="GC33" s="71"/>
      <c r="GP33" s="111"/>
      <c r="GQ33" s="111"/>
      <c r="GR33" s="71"/>
      <c r="HE33" s="111"/>
      <c r="HF33" s="111"/>
      <c r="HG33" s="71"/>
      <c r="HT33" s="111"/>
      <c r="HU33" s="111"/>
      <c r="HV33"/>
      <c r="HX33" s="148"/>
      <c r="HY33" s="6"/>
      <c r="HZ33" s="6"/>
      <c r="IA33" s="149"/>
      <c r="IB33" s="149"/>
      <c r="IC33" s="149"/>
      <c r="ID33" s="149"/>
      <c r="IE33" s="149"/>
      <c r="IF33" s="149"/>
      <c r="IG33" s="149"/>
      <c r="IH33" s="149"/>
      <c r="II33" s="149"/>
      <c r="IJ33" s="149"/>
      <c r="IK33" s="149"/>
      <c r="IL33" s="149"/>
      <c r="IM33" s="149"/>
      <c r="IN33" s="149"/>
      <c r="IO33" s="149"/>
    </row>
    <row r="34" spans="2:249" s="5" customFormat="1" ht="24.6" hidden="1" customHeight="1">
      <c r="B34" s="641" t="s">
        <v>324</v>
      </c>
      <c r="C34" s="218"/>
      <c r="D34" s="218"/>
      <c r="E34" s="71"/>
      <c r="R34" s="111"/>
      <c r="T34" s="71"/>
      <c r="AG34" s="111"/>
      <c r="AH34" s="111"/>
      <c r="AI34" s="71"/>
      <c r="AV34" s="111"/>
      <c r="AW34" s="111"/>
      <c r="AX34" s="71"/>
      <c r="BK34" s="111"/>
      <c r="BL34" s="111"/>
      <c r="BM34" s="71"/>
      <c r="BZ34" s="111"/>
      <c r="CA34" s="111"/>
      <c r="CB34" s="71"/>
      <c r="CO34" s="111"/>
      <c r="CP34" s="111"/>
      <c r="CQ34" s="71"/>
      <c r="DD34" s="70"/>
      <c r="DE34" s="111"/>
      <c r="DF34" s="71"/>
      <c r="DS34" s="111"/>
      <c r="DT34" s="111"/>
      <c r="DU34" s="71"/>
      <c r="EH34" s="111"/>
      <c r="EI34" s="111"/>
      <c r="EJ34" s="71"/>
      <c r="EW34" s="111"/>
      <c r="EX34" s="111"/>
      <c r="EY34" s="71"/>
      <c r="FL34" s="111"/>
      <c r="FM34" s="111"/>
      <c r="FN34" s="71"/>
      <c r="GA34" s="111"/>
      <c r="GB34" s="111"/>
      <c r="GC34" s="71"/>
      <c r="GP34" s="111"/>
      <c r="GQ34" s="111"/>
      <c r="GR34" s="71"/>
      <c r="HE34" s="111"/>
      <c r="HF34" s="111"/>
      <c r="HG34" s="71"/>
      <c r="HT34" s="111"/>
      <c r="HU34" s="111"/>
      <c r="HV34"/>
      <c r="HX34" s="641" t="s">
        <v>324</v>
      </c>
      <c r="HY34" s="6"/>
      <c r="HZ34" s="6"/>
      <c r="IA34" s="150">
        <f>-IA29/IA32</f>
        <v>-0.11031927627395523</v>
      </c>
      <c r="IB34" s="150">
        <f t="shared" ref="IB34:IM34" si="39">-IB29/IB32</f>
        <v>2.0567957735294153</v>
      </c>
      <c r="IC34" s="150">
        <f t="shared" si="39"/>
        <v>2.4218004842234233</v>
      </c>
      <c r="ID34" s="150">
        <f t="shared" si="39"/>
        <v>2.8321563813884283</v>
      </c>
      <c r="IE34" s="150">
        <f t="shared" si="39"/>
        <v>3.9986968820175277</v>
      </c>
      <c r="IF34" s="150">
        <f t="shared" si="39"/>
        <v>5.8882114701102033</v>
      </c>
      <c r="IG34" s="150">
        <f t="shared" si="39"/>
        <v>9.28906123389533</v>
      </c>
      <c r="IH34" s="150">
        <f t="shared" si="39"/>
        <v>17.749400127914086</v>
      </c>
      <c r="II34" s="150">
        <f t="shared" si="39"/>
        <v>50.688780212214297</v>
      </c>
      <c r="IJ34" s="150">
        <f t="shared" si="39"/>
        <v>57.739896020828326</v>
      </c>
      <c r="IK34" s="150">
        <f t="shared" si="39"/>
        <v>65.605893822038155</v>
      </c>
      <c r="IL34" s="150">
        <f t="shared" si="39"/>
        <v>59.499201787560565</v>
      </c>
      <c r="IM34" s="150">
        <f t="shared" si="39"/>
        <v>67.312371688026033</v>
      </c>
      <c r="IN34" s="150">
        <f>-IN29/IN32</f>
        <v>76.009164110623587</v>
      </c>
      <c r="IO34" s="150">
        <f>-IO29/IO32</f>
        <v>85.683269831305537</v>
      </c>
    </row>
    <row r="35" spans="2:249" ht="18" hidden="1">
      <c r="B35" s="641"/>
      <c r="C35" s="218"/>
      <c r="D35" s="218"/>
      <c r="E35" s="71"/>
      <c r="R35" s="21"/>
      <c r="T35" s="71"/>
      <c r="AG35" s="21"/>
      <c r="AH35" s="21"/>
      <c r="AI35" s="71"/>
      <c r="AV35" s="21"/>
      <c r="AW35" s="21"/>
      <c r="AX35" s="71"/>
      <c r="BK35" s="21"/>
      <c r="BL35" s="21"/>
      <c r="BM35" s="71"/>
      <c r="BZ35" s="21"/>
      <c r="CA35" s="21"/>
      <c r="CB35" s="71"/>
      <c r="CO35" s="21"/>
      <c r="CP35" s="21"/>
      <c r="CQ35" s="71"/>
      <c r="CR35" s="60"/>
      <c r="CS35" s="60"/>
      <c r="CT35" s="60"/>
      <c r="CU35" s="60"/>
      <c r="CW35" s="60"/>
      <c r="CX35" s="60"/>
      <c r="CY35" s="60"/>
      <c r="CZ35" s="60"/>
      <c r="DA35" s="60"/>
      <c r="DB35" s="60"/>
      <c r="DD35" s="111"/>
      <c r="DE35" s="21"/>
      <c r="DF35" s="71"/>
      <c r="DS35" s="21"/>
      <c r="DT35" s="21"/>
      <c r="DU35" s="71"/>
      <c r="EH35" s="21"/>
      <c r="EI35" s="21"/>
      <c r="EJ35" s="71"/>
      <c r="EW35" s="21"/>
      <c r="EX35" s="21"/>
      <c r="EY35" s="71"/>
      <c r="FL35" s="21"/>
      <c r="FM35" s="21"/>
      <c r="FN35" s="71"/>
      <c r="FO35" s="60"/>
      <c r="FP35" s="60"/>
      <c r="FQ35" s="60"/>
      <c r="FR35" s="60"/>
      <c r="FT35" s="60"/>
      <c r="FU35" s="60"/>
      <c r="FV35" s="60"/>
      <c r="FW35" s="60"/>
      <c r="FX35" s="60"/>
      <c r="FY35" s="60"/>
      <c r="GA35" s="111"/>
      <c r="GB35" s="21"/>
      <c r="GC35" s="71"/>
      <c r="GP35" s="21"/>
      <c r="GQ35" s="21"/>
      <c r="GR35" s="71"/>
      <c r="HE35" s="21"/>
      <c r="HF35" s="21"/>
      <c r="HG35" s="71"/>
      <c r="HT35" s="111"/>
      <c r="HU35" s="21"/>
      <c r="HX35" s="641"/>
      <c r="IA35" s="151" t="s">
        <v>325</v>
      </c>
      <c r="IB35" s="151" t="s">
        <v>325</v>
      </c>
      <c r="IC35" s="151" t="s">
        <v>325</v>
      </c>
      <c r="ID35" s="151" t="s">
        <v>325</v>
      </c>
      <c r="IE35" s="151" t="s">
        <v>325</v>
      </c>
      <c r="IF35" s="151" t="s">
        <v>325</v>
      </c>
      <c r="IG35" s="151" t="s">
        <v>325</v>
      </c>
      <c r="IH35" s="151" t="s">
        <v>325</v>
      </c>
      <c r="II35" s="151" t="s">
        <v>325</v>
      </c>
      <c r="IJ35" s="151" t="s">
        <v>325</v>
      </c>
      <c r="IK35" s="151" t="s">
        <v>325</v>
      </c>
      <c r="IL35" s="151" t="s">
        <v>325</v>
      </c>
      <c r="IM35" s="151" t="s">
        <v>325</v>
      </c>
      <c r="IN35" s="151" t="s">
        <v>325</v>
      </c>
      <c r="IO35" s="151" t="s">
        <v>325</v>
      </c>
    </row>
    <row r="36" spans="2:249" hidden="1">
      <c r="E36" s="71"/>
      <c r="R36" s="21"/>
      <c r="T36" s="71"/>
      <c r="AG36" s="21"/>
      <c r="AH36" s="21"/>
      <c r="AI36" s="71"/>
      <c r="AV36" s="21"/>
      <c r="AW36" s="21"/>
      <c r="AX36" s="71"/>
      <c r="BK36" s="21"/>
      <c r="BL36" s="21"/>
      <c r="BM36" s="71"/>
      <c r="BZ36" s="21"/>
      <c r="CA36" s="21"/>
      <c r="CB36" s="71"/>
      <c r="CO36" s="21"/>
      <c r="CP36" s="21"/>
      <c r="CQ36" s="71"/>
      <c r="CZ36"/>
      <c r="DD36" s="21"/>
      <c r="DE36" s="21"/>
      <c r="DF36" s="71"/>
      <c r="DS36" s="21"/>
      <c r="DT36" s="21"/>
      <c r="DU36" s="71"/>
      <c r="EH36" s="21"/>
      <c r="EI36" s="21"/>
      <c r="EJ36" s="71"/>
      <c r="EW36" s="21"/>
      <c r="EX36" s="21"/>
      <c r="EY36" s="71"/>
      <c r="FL36" s="21"/>
      <c r="FM36" s="21"/>
      <c r="FN36" s="71"/>
      <c r="FW36"/>
      <c r="GA36" s="21"/>
      <c r="GB36" s="21"/>
      <c r="GC36" s="71"/>
      <c r="GP36" s="21"/>
      <c r="GQ36" s="21"/>
      <c r="GR36" s="71"/>
      <c r="HE36" s="21"/>
      <c r="HF36" s="21"/>
      <c r="HG36" s="71"/>
      <c r="HT36" s="111"/>
      <c r="HU36" s="21"/>
      <c r="IA36" s="14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</row>
    <row r="37" spans="2:249" ht="0.75" hidden="1" customHeight="1">
      <c r="E37" s="71"/>
      <c r="R37" s="21"/>
      <c r="T37" s="71"/>
      <c r="AG37" s="21"/>
      <c r="AH37" s="21"/>
      <c r="AI37" s="71"/>
      <c r="AV37" s="21"/>
      <c r="AW37" s="21"/>
      <c r="AX37" s="71"/>
      <c r="BK37" s="21"/>
      <c r="BL37" s="21"/>
      <c r="BM37" s="71"/>
      <c r="BZ37" s="21"/>
      <c r="CA37" s="21"/>
      <c r="CB37" s="71"/>
      <c r="CO37" s="21"/>
      <c r="CP37" s="21"/>
      <c r="CQ37" s="71"/>
      <c r="DD37" s="21"/>
      <c r="DE37" s="21"/>
      <c r="DF37" s="71"/>
      <c r="DS37" s="21"/>
      <c r="DT37" s="21"/>
      <c r="DU37" s="71"/>
      <c r="EH37" s="21"/>
      <c r="EI37" s="21"/>
      <c r="EJ37" s="71"/>
      <c r="EW37" s="21"/>
      <c r="EX37" s="21"/>
      <c r="EY37" s="71"/>
      <c r="FL37" s="21"/>
      <c r="FM37" s="21"/>
      <c r="FN37" s="71"/>
      <c r="GA37" s="21"/>
      <c r="GB37" s="21"/>
      <c r="GC37" s="71"/>
      <c r="GP37" s="21"/>
      <c r="GQ37" s="21"/>
      <c r="GR37" s="71"/>
      <c r="HE37" s="21"/>
      <c r="HF37" s="21"/>
      <c r="HG37" s="71"/>
      <c r="HT37" s="111"/>
      <c r="HU37" s="21"/>
      <c r="IA37" s="152"/>
      <c r="IB37" s="152"/>
      <c r="IC37" s="152"/>
      <c r="ID37" s="152"/>
      <c r="IE37" s="152"/>
      <c r="IF37" s="152"/>
      <c r="IG37" s="152"/>
      <c r="IH37" s="152"/>
      <c r="II37" s="152"/>
      <c r="IJ37" s="152"/>
      <c r="IK37" s="152"/>
      <c r="IL37" s="152"/>
      <c r="IM37" s="152"/>
      <c r="IN37" s="152"/>
      <c r="IO37" s="152"/>
    </row>
    <row r="38" spans="2:249" hidden="1">
      <c r="E38" s="71"/>
      <c r="T38" s="71"/>
      <c r="AI38" s="71"/>
      <c r="AX38" s="71"/>
      <c r="BM38" s="71"/>
      <c r="CB38" s="71"/>
      <c r="CQ38" s="71"/>
      <c r="DF38" s="71"/>
      <c r="DU38" s="71"/>
      <c r="EJ38" s="71"/>
      <c r="EY38" s="71"/>
      <c r="FN38" s="71"/>
      <c r="GC38" s="71"/>
      <c r="GR38" s="71"/>
      <c r="HG38" s="71"/>
      <c r="HX38" s="642"/>
      <c r="HZ38" s="85" t="s">
        <v>326</v>
      </c>
      <c r="IA38" s="85" t="s">
        <v>304</v>
      </c>
      <c r="IB38" s="85" t="s">
        <v>279</v>
      </c>
      <c r="IC38" s="85" t="s">
        <v>280</v>
      </c>
      <c r="ID38" s="85" t="s">
        <v>281</v>
      </c>
      <c r="IE38" s="85" t="s">
        <v>282</v>
      </c>
      <c r="IF38" s="85" t="s">
        <v>283</v>
      </c>
      <c r="IG38" s="85" t="s">
        <v>284</v>
      </c>
      <c r="IH38" s="85" t="s">
        <v>285</v>
      </c>
      <c r="II38" s="85" t="s">
        <v>286</v>
      </c>
      <c r="IJ38" s="85" t="s">
        <v>287</v>
      </c>
      <c r="IK38" s="85" t="s">
        <v>288</v>
      </c>
      <c r="IL38" s="85" t="s">
        <v>289</v>
      </c>
      <c r="IM38" s="85" t="s">
        <v>290</v>
      </c>
      <c r="IN38" s="85" t="s">
        <v>291</v>
      </c>
      <c r="IO38" s="85" t="s">
        <v>292</v>
      </c>
    </row>
    <row r="39" spans="2:249" s="5" customFormat="1" ht="25.5" hidden="1" customHeight="1" thickBot="1">
      <c r="B39" s="153" t="s">
        <v>327</v>
      </c>
      <c r="C39" s="103">
        <f t="shared" ref="C39:Q39" si="40">C10</f>
        <v>122061</v>
      </c>
      <c r="D39" s="104"/>
      <c r="E39" s="71"/>
      <c r="F39" s="103">
        <f>F10</f>
        <v>79441.937028284752</v>
      </c>
      <c r="G39" s="154">
        <f t="shared" si="40"/>
        <v>0.60059522054695313</v>
      </c>
      <c r="H39" s="103">
        <f t="shared" si="40"/>
        <v>40330.072988608423</v>
      </c>
      <c r="I39" s="154">
        <f t="shared" si="40"/>
        <v>0.30490254879666262</v>
      </c>
      <c r="J39" s="103">
        <f t="shared" si="40"/>
        <v>4600</v>
      </c>
      <c r="K39" s="154">
        <f t="shared" si="40"/>
        <v>3.4776820881549382E-2</v>
      </c>
      <c r="L39" s="103">
        <f t="shared" si="40"/>
        <v>4500</v>
      </c>
      <c r="M39" s="154">
        <f t="shared" si="40"/>
        <v>3.4020803036298307E-2</v>
      </c>
      <c r="N39" s="103">
        <f t="shared" si="40"/>
        <v>1800</v>
      </c>
      <c r="O39" s="154">
        <f t="shared" si="40"/>
        <v>1.3608321214519324E-2</v>
      </c>
      <c r="P39" s="103">
        <f>P10</f>
        <v>1600</v>
      </c>
      <c r="Q39" s="154">
        <f t="shared" si="40"/>
        <v>1.2096285524017177E-2</v>
      </c>
      <c r="R39" s="155">
        <f>R10</f>
        <v>132272.01001689318</v>
      </c>
      <c r="S39" s="105"/>
      <c r="T39" s="71"/>
      <c r="U39" s="103">
        <f t="shared" ref="U39:AF39" si="41">U10</f>
        <v>151436.60303999999</v>
      </c>
      <c r="V39" s="154">
        <f t="shared" si="41"/>
        <v>0.53091575824738835</v>
      </c>
      <c r="W39" s="103">
        <f t="shared" si="41"/>
        <v>26399.991959999999</v>
      </c>
      <c r="X39" s="154">
        <f t="shared" si="41"/>
        <v>9.2554715754329012E-2</v>
      </c>
      <c r="Y39" s="103">
        <f t="shared" si="41"/>
        <v>14399.999960000003</v>
      </c>
      <c r="Z39" s="154">
        <f t="shared" si="41"/>
        <v>5.0484405646014044E-2</v>
      </c>
      <c r="AA39" s="103">
        <f t="shared" si="41"/>
        <v>39999.999960000001</v>
      </c>
      <c r="AB39" s="154">
        <f t="shared" si="41"/>
        <v>0.14023446037712248</v>
      </c>
      <c r="AC39" s="103">
        <f t="shared" si="41"/>
        <v>11000.000039999999</v>
      </c>
      <c r="AD39" s="154">
        <f t="shared" si="41"/>
        <v>3.8564476782507615E-2</v>
      </c>
      <c r="AE39" s="103">
        <f t="shared" si="41"/>
        <v>41999.999899999952</v>
      </c>
      <c r="AF39" s="154">
        <f t="shared" si="41"/>
        <v>0.14724618319263846</v>
      </c>
      <c r="AG39" s="155">
        <f>AG10</f>
        <v>285236.59485999995</v>
      </c>
      <c r="AH39" s="156"/>
      <c r="AI39" s="71"/>
      <c r="AJ39" s="103">
        <f t="shared" ref="AJ39:AV39" si="42">AJ10</f>
        <v>166580.26334399998</v>
      </c>
      <c r="AK39" s="154">
        <f t="shared" si="42"/>
        <v>0.53406129679869885</v>
      </c>
      <c r="AL39" s="103">
        <f t="shared" si="42"/>
        <v>27191.9917188</v>
      </c>
      <c r="AM39" s="154">
        <f t="shared" si="42"/>
        <v>8.7178337147255314E-2</v>
      </c>
      <c r="AN39" s="103">
        <f t="shared" si="42"/>
        <v>15839.999956000003</v>
      </c>
      <c r="AO39" s="154">
        <f t="shared" si="42"/>
        <v>5.0783512692155891E-2</v>
      </c>
      <c r="AP39" s="103">
        <f t="shared" si="42"/>
        <v>43999.999956</v>
      </c>
      <c r="AQ39" s="154">
        <f t="shared" si="42"/>
        <v>0.1410653132845491</v>
      </c>
      <c r="AR39" s="103">
        <f t="shared" si="42"/>
        <v>12100.000043999999</v>
      </c>
      <c r="AS39" s="154">
        <f t="shared" si="42"/>
        <v>3.8792961333109277E-2</v>
      </c>
      <c r="AT39" s="103">
        <f t="shared" si="42"/>
        <v>46199.999889999948</v>
      </c>
      <c r="AU39" s="154">
        <f t="shared" si="42"/>
        <v>0.1481185787442317</v>
      </c>
      <c r="AV39" s="155">
        <f t="shared" si="42"/>
        <v>311912.25490879989</v>
      </c>
      <c r="AW39" s="156"/>
      <c r="AX39" s="71"/>
      <c r="AY39" s="103">
        <f t="shared" ref="AY39:BK39" si="43">AY10</f>
        <v>183238.28967839997</v>
      </c>
      <c r="AZ39" s="154">
        <f t="shared" si="43"/>
        <v>0.53704064381833516</v>
      </c>
      <c r="BA39" s="103">
        <f t="shared" si="43"/>
        <v>28007.751470364001</v>
      </c>
      <c r="BB39" s="154">
        <f t="shared" si="43"/>
        <v>8.2086014380220812E-2</v>
      </c>
      <c r="BC39" s="103">
        <f t="shared" si="43"/>
        <v>17423.999951600003</v>
      </c>
      <c r="BD39" s="154">
        <f t="shared" si="43"/>
        <v>5.106681670256253E-2</v>
      </c>
      <c r="BE39" s="103">
        <f t="shared" si="43"/>
        <v>48399.999951600003</v>
      </c>
      <c r="BF39" s="154">
        <f t="shared" si="43"/>
        <v>0.14185226887041105</v>
      </c>
      <c r="BG39" s="103">
        <f t="shared" si="43"/>
        <v>13310.000048399997</v>
      </c>
      <c r="BH39" s="154">
        <f t="shared" si="43"/>
        <v>3.900937412022467E-2</v>
      </c>
      <c r="BI39" s="103">
        <f t="shared" si="43"/>
        <v>50819.999878999944</v>
      </c>
      <c r="BJ39" s="154">
        <f t="shared" si="43"/>
        <v>0.14894488210824564</v>
      </c>
      <c r="BK39" s="155">
        <f t="shared" si="43"/>
        <v>341200.04097936396</v>
      </c>
      <c r="BL39" s="156"/>
      <c r="BM39" s="71"/>
      <c r="BN39" s="103">
        <f t="shared" ref="BN39:BY39" si="44">BN10</f>
        <v>201562.11864623998</v>
      </c>
      <c r="BO39" s="154">
        <f t="shared" si="44"/>
        <v>0.53986069005990811</v>
      </c>
      <c r="BP39" s="103">
        <f t="shared" si="44"/>
        <v>28847.984014474921</v>
      </c>
      <c r="BQ39" s="154">
        <f t="shared" si="44"/>
        <v>7.7265969724327227E-2</v>
      </c>
      <c r="BR39" s="103">
        <f t="shared" si="44"/>
        <v>19166.399946760004</v>
      </c>
      <c r="BS39" s="154">
        <f t="shared" si="44"/>
        <v>5.1334972914143177E-2</v>
      </c>
      <c r="BT39" s="103">
        <f t="shared" si="44"/>
        <v>53239.999946759999</v>
      </c>
      <c r="BU39" s="154">
        <f t="shared" si="44"/>
        <v>0.14259714723723704</v>
      </c>
      <c r="BV39" s="103">
        <f t="shared" si="44"/>
        <v>14641.000053239997</v>
      </c>
      <c r="BW39" s="154">
        <f t="shared" si="44"/>
        <v>3.9214215672051543E-2</v>
      </c>
      <c r="BX39" s="103">
        <f t="shared" si="44"/>
        <v>55901.99986689994</v>
      </c>
      <c r="BY39" s="154">
        <f t="shared" si="44"/>
        <v>0.14972700439233289</v>
      </c>
      <c r="BZ39" s="155">
        <f>BZ10</f>
        <v>373359.50247437484</v>
      </c>
      <c r="CA39" s="156"/>
      <c r="CB39" s="71"/>
      <c r="CC39" s="103">
        <f t="shared" ref="CC39:CO39" si="45">CC10</f>
        <v>221718.33051086398</v>
      </c>
      <c r="CD39" s="154">
        <f t="shared" si="45"/>
        <v>0.54252826101747709</v>
      </c>
      <c r="CE39" s="103">
        <f t="shared" si="45"/>
        <v>29713.423534909169</v>
      </c>
      <c r="CF39" s="154">
        <f t="shared" si="45"/>
        <v>7.2706536992800261E-2</v>
      </c>
      <c r="CG39" s="103">
        <f t="shared" si="45"/>
        <v>21083.039941436004</v>
      </c>
      <c r="CH39" s="154">
        <f t="shared" si="45"/>
        <v>5.1588630358322264E-2</v>
      </c>
      <c r="CI39" s="103">
        <f t="shared" si="45"/>
        <v>58563.999941435999</v>
      </c>
      <c r="CJ39" s="154">
        <f t="shared" si="45"/>
        <v>0.14330175125009825</v>
      </c>
      <c r="CK39" s="103">
        <f t="shared" si="45"/>
        <v>16105.100058563998</v>
      </c>
      <c r="CL39" s="154">
        <f t="shared" si="45"/>
        <v>3.9407981776486752E-2</v>
      </c>
      <c r="CM39" s="103">
        <f t="shared" si="45"/>
        <v>61492.199853589933</v>
      </c>
      <c r="CN39" s="154">
        <f t="shared" si="45"/>
        <v>0.15046683860481547</v>
      </c>
      <c r="CO39" s="155">
        <f t="shared" si="45"/>
        <v>408676.09384079906</v>
      </c>
      <c r="CP39" s="156"/>
      <c r="CQ39" s="71"/>
      <c r="CR39" s="103">
        <f t="shared" ref="CR39:DD39" si="46">CR10</f>
        <v>243890.16356195038</v>
      </c>
      <c r="CS39" s="154">
        <f t="shared" si="46"/>
        <v>0.54505008765864948</v>
      </c>
      <c r="CT39" s="103">
        <f t="shared" si="46"/>
        <v>30604.826240956445</v>
      </c>
      <c r="CU39" s="154">
        <f t="shared" si="46"/>
        <v>6.8396211564202239E-2</v>
      </c>
      <c r="CV39" s="103">
        <f t="shared" si="46"/>
        <v>23191.343935579604</v>
      </c>
      <c r="CW39" s="154">
        <f t="shared" si="46"/>
        <v>5.1828429078070469E-2</v>
      </c>
      <c r="CX39" s="103">
        <f t="shared" si="46"/>
        <v>64420.399935579597</v>
      </c>
      <c r="CY39" s="154">
        <f t="shared" si="46"/>
        <v>0.14396785880613858</v>
      </c>
      <c r="CZ39" s="103">
        <f t="shared" si="46"/>
        <v>17715.610064420398</v>
      </c>
      <c r="DA39" s="154">
        <f t="shared" si="46"/>
        <v>3.959116135524713E-2</v>
      </c>
      <c r="DB39" s="103">
        <f t="shared" si="46"/>
        <v>67641.419838948932</v>
      </c>
      <c r="DC39" s="154">
        <f t="shared" si="46"/>
        <v>0.15116625153769198</v>
      </c>
      <c r="DD39" s="155">
        <f t="shared" si="46"/>
        <v>447463.7635774354</v>
      </c>
      <c r="DE39" s="156"/>
      <c r="DF39" s="71"/>
      <c r="DG39" s="103">
        <f t="shared" ref="DG39:DS39" si="47">DG10</f>
        <v>268279.17991814541</v>
      </c>
      <c r="DH39" s="154">
        <f t="shared" si="47"/>
        <v>0.54743278127936723</v>
      </c>
      <c r="DI39" s="103">
        <f t="shared" si="47"/>
        <v>31522.971028185137</v>
      </c>
      <c r="DJ39" s="154">
        <f t="shared" si="47"/>
        <v>6.4323693360824691E-2</v>
      </c>
      <c r="DK39" s="103">
        <f t="shared" si="47"/>
        <v>25510.478329137564</v>
      </c>
      <c r="DL39" s="154">
        <f t="shared" si="47"/>
        <v>5.2054997736864041E-2</v>
      </c>
      <c r="DM39" s="103">
        <f t="shared" si="47"/>
        <v>70862.439929137559</v>
      </c>
      <c r="DN39" s="154">
        <f t="shared" si="47"/>
        <v>0.14459721619279514</v>
      </c>
      <c r="DO39" s="103">
        <f t="shared" si="47"/>
        <v>19487.171070862438</v>
      </c>
      <c r="DP39" s="154">
        <f t="shared" si="47"/>
        <v>3.9764234637380109E-2</v>
      </c>
      <c r="DQ39" s="103">
        <f t="shared" si="47"/>
        <v>74405.561822843825</v>
      </c>
      <c r="DR39" s="154">
        <f t="shared" si="47"/>
        <v>0.1518270767927688</v>
      </c>
      <c r="DS39" s="155">
        <f t="shared" si="47"/>
        <v>490067.80209831195</v>
      </c>
      <c r="DT39" s="156"/>
      <c r="DU39" s="71"/>
      <c r="DV39" s="103">
        <f t="shared" ref="DV39:EH39" si="48">DV10</f>
        <v>295107.09790995996</v>
      </c>
      <c r="DW39" s="154">
        <f t="shared" si="48"/>
        <v>0.54968281219392134</v>
      </c>
      <c r="DX39" s="103">
        <f t="shared" si="48"/>
        <v>32468.660159030689</v>
      </c>
      <c r="DY39" s="154">
        <f t="shared" si="48"/>
        <v>6.0477923271876559E-2</v>
      </c>
      <c r="DZ39" s="103">
        <f t="shared" si="48"/>
        <v>28061.526162051319</v>
      </c>
      <c r="EA39" s="154">
        <f t="shared" si="48"/>
        <v>5.2268951592333315E-2</v>
      </c>
      <c r="EB39" s="103">
        <f t="shared" si="48"/>
        <v>77948.683922051321</v>
      </c>
      <c r="EC39" s="154">
        <f t="shared" si="48"/>
        <v>0.14519153245904415</v>
      </c>
      <c r="ED39" s="103">
        <f t="shared" si="48"/>
        <v>21435.88817794868</v>
      </c>
      <c r="EE39" s="154">
        <f t="shared" si="48"/>
        <v>3.9927671611356332E-2</v>
      </c>
      <c r="EF39" s="103">
        <f t="shared" si="48"/>
        <v>81846.118005128214</v>
      </c>
      <c r="EG39" s="154">
        <f t="shared" si="48"/>
        <v>0.15245110887146848</v>
      </c>
      <c r="EH39" s="155">
        <f t="shared" si="48"/>
        <v>536867.97433617013</v>
      </c>
      <c r="EI39" s="156"/>
      <c r="EJ39" s="71"/>
      <c r="EK39" s="103">
        <f t="shared" ref="EK39:EW39" si="49">EK10</f>
        <v>324617.80770095595</v>
      </c>
      <c r="EL39" s="154">
        <f t="shared" si="49"/>
        <v>0.55180649196459119</v>
      </c>
      <c r="EM39" s="103">
        <f t="shared" si="49"/>
        <v>33442.71996380161</v>
      </c>
      <c r="EN39" s="154">
        <f t="shared" si="49"/>
        <v>5.684811352672204E-2</v>
      </c>
      <c r="EO39" s="103">
        <f t="shared" si="49"/>
        <v>30867.67877825645</v>
      </c>
      <c r="EP39" s="154">
        <f t="shared" si="49"/>
        <v>5.2470890806491609E-2</v>
      </c>
      <c r="EQ39" s="103">
        <f t="shared" si="49"/>
        <v>85743.552314256449</v>
      </c>
      <c r="ER39" s="154">
        <f t="shared" si="49"/>
        <v>0.1457524747215922</v>
      </c>
      <c r="ES39" s="103">
        <f t="shared" si="49"/>
        <v>23579.476995743549</v>
      </c>
      <c r="ET39" s="154">
        <f t="shared" si="49"/>
        <v>4.0081930734272256E-2</v>
      </c>
      <c r="EU39" s="103">
        <f t="shared" si="49"/>
        <v>90030.729805641036</v>
      </c>
      <c r="EV39" s="154">
        <f t="shared" si="49"/>
        <v>0.15304009824633058</v>
      </c>
      <c r="EW39" s="155">
        <f t="shared" si="49"/>
        <v>588281.96555865509</v>
      </c>
      <c r="EX39" s="156"/>
      <c r="EY39" s="71"/>
      <c r="EZ39" s="103">
        <f t="shared" ref="EZ39:FL39" si="50">EZ10</f>
        <v>357079.58847105154</v>
      </c>
      <c r="FA39" s="154">
        <f t="shared" si="50"/>
        <v>0.5538099588727694</v>
      </c>
      <c r="FB39" s="103">
        <f t="shared" si="50"/>
        <v>34446.001562715661</v>
      </c>
      <c r="FC39" s="154">
        <f t="shared" si="50"/>
        <v>5.3423772527746848E-2</v>
      </c>
      <c r="FD39" s="103">
        <f t="shared" si="50"/>
        <v>33954.446656082095</v>
      </c>
      <c r="FE39" s="154">
        <f t="shared" si="50"/>
        <v>5.2661399064194717E-2</v>
      </c>
      <c r="FF39" s="103">
        <f t="shared" si="50"/>
        <v>94317.907545682101</v>
      </c>
      <c r="FG39" s="154">
        <f t="shared" si="50"/>
        <v>0.14628166432726386</v>
      </c>
      <c r="FH39" s="103">
        <f t="shared" si="50"/>
        <v>25937.424695317903</v>
      </c>
      <c r="FI39" s="154">
        <f t="shared" si="50"/>
        <v>4.0227457876506667E-2</v>
      </c>
      <c r="FJ39" s="103">
        <f t="shared" si="50"/>
        <v>99033.802786205139</v>
      </c>
      <c r="FK39" s="154">
        <f t="shared" si="50"/>
        <v>0.15359574733151846</v>
      </c>
      <c r="FL39" s="155">
        <f t="shared" si="50"/>
        <v>644769.17171705444</v>
      </c>
      <c r="FM39" s="156"/>
      <c r="FN39" s="71"/>
      <c r="FO39" s="103">
        <f t="shared" ref="FO39:GA39" si="51">FO10</f>
        <v>392787.54731815669</v>
      </c>
      <c r="FP39" s="154">
        <f t="shared" si="51"/>
        <v>0.55569916633634653</v>
      </c>
      <c r="FQ39" s="103">
        <f t="shared" si="51"/>
        <v>35479.381609597127</v>
      </c>
      <c r="FR39" s="154">
        <f t="shared" si="51"/>
        <v>5.0194724647450291E-2</v>
      </c>
      <c r="FS39" s="103">
        <f t="shared" si="51"/>
        <v>37349.891321690302</v>
      </c>
      <c r="FT39" s="154">
        <f t="shared" si="51"/>
        <v>5.2841042471758179E-2</v>
      </c>
      <c r="FU39" s="103">
        <f t="shared" si="51"/>
        <v>103749.69830025031</v>
      </c>
      <c r="FV39" s="154">
        <f t="shared" si="51"/>
        <v>0.14678067379360504</v>
      </c>
      <c r="FW39" s="103">
        <f t="shared" si="51"/>
        <v>28531.167164849692</v>
      </c>
      <c r="FX39" s="154">
        <f t="shared" si="51"/>
        <v>4.0364685480386735E-2</v>
      </c>
      <c r="FY39" s="103">
        <f t="shared" si="51"/>
        <v>108937.18306482566</v>
      </c>
      <c r="FZ39" s="154">
        <f t="shared" si="51"/>
        <v>0.15411970727045315</v>
      </c>
      <c r="GA39" s="155">
        <f t="shared" si="51"/>
        <v>706834.86877936986</v>
      </c>
      <c r="GB39" s="156"/>
      <c r="GC39" s="71"/>
      <c r="GD39" s="103">
        <f t="shared" ref="GD39:GP39" si="52">GD10</f>
        <v>432066.30204997235</v>
      </c>
      <c r="GE39" s="154">
        <f t="shared" si="52"/>
        <v>0.55747987398542254</v>
      </c>
      <c r="GF39" s="103">
        <f t="shared" si="52"/>
        <v>36543.763057885044</v>
      </c>
      <c r="GG39" s="154">
        <f t="shared" si="52"/>
        <v>4.7151125481909577E-2</v>
      </c>
      <c r="GH39" s="103">
        <f t="shared" si="52"/>
        <v>41084.880453859332</v>
      </c>
      <c r="GI39" s="154">
        <f t="shared" si="52"/>
        <v>5.3010368708352996E-2</v>
      </c>
      <c r="GJ39" s="103">
        <f t="shared" si="52"/>
        <v>114124.66813027534</v>
      </c>
      <c r="GK39" s="154">
        <f t="shared" si="52"/>
        <v>0.14725102445164903</v>
      </c>
      <c r="GL39" s="103">
        <f t="shared" si="52"/>
        <v>31384.283881334661</v>
      </c>
      <c r="GM39" s="154">
        <f t="shared" si="52"/>
        <v>4.049403191194853E-2</v>
      </c>
      <c r="GN39" s="103">
        <f t="shared" si="52"/>
        <v>119830.90137130822</v>
      </c>
      <c r="GO39" s="154">
        <f t="shared" si="52"/>
        <v>0.15461357546071736</v>
      </c>
      <c r="GP39" s="155">
        <f t="shared" si="52"/>
        <v>775034.79894463497</v>
      </c>
      <c r="GQ39" s="156"/>
      <c r="GR39" s="71"/>
      <c r="GS39" s="103">
        <f t="shared" ref="GS39:HE39" si="53">GS10</f>
        <v>475272.93225496961</v>
      </c>
      <c r="GT39" s="154">
        <f t="shared" si="53"/>
        <v>0.55915764111909549</v>
      </c>
      <c r="GU39" s="103">
        <f t="shared" si="53"/>
        <v>37640.075949621598</v>
      </c>
      <c r="GV39" s="154">
        <f t="shared" si="53"/>
        <v>4.4283473034485939E-2</v>
      </c>
      <c r="GW39" s="103">
        <f t="shared" si="53"/>
        <v>45193.368499245262</v>
      </c>
      <c r="GX39" s="154">
        <f t="shared" si="53"/>
        <v>5.3169906403816213E-2</v>
      </c>
      <c r="GY39" s="103">
        <f t="shared" si="53"/>
        <v>125537.13494330288</v>
      </c>
      <c r="GZ39" s="154">
        <f t="shared" si="53"/>
        <v>0.1476941847176125</v>
      </c>
      <c r="HA39" s="103">
        <f t="shared" si="53"/>
        <v>34522.712269468124</v>
      </c>
      <c r="HB39" s="154">
        <f t="shared" si="53"/>
        <v>4.0615900985653507E-2</v>
      </c>
      <c r="HC39" s="103">
        <f t="shared" si="53"/>
        <v>131813.99150843904</v>
      </c>
      <c r="HD39" s="154">
        <f t="shared" si="53"/>
        <v>0.15507889373933639</v>
      </c>
      <c r="HE39" s="155">
        <f t="shared" si="53"/>
        <v>849980.21542504651</v>
      </c>
      <c r="HF39" s="156"/>
      <c r="HG39" s="71"/>
      <c r="HH39" s="103">
        <f t="shared" ref="HH39:HT39" si="54">HH10</f>
        <v>522800.22548046656</v>
      </c>
      <c r="HI39" s="154">
        <f t="shared" si="54"/>
        <v>0.56073782227933422</v>
      </c>
      <c r="HJ39" s="103">
        <f t="shared" si="54"/>
        <v>38769.278228110248</v>
      </c>
      <c r="HK39" s="154">
        <f t="shared" si="54"/>
        <v>4.158261528099589E-2</v>
      </c>
      <c r="HL39" s="103">
        <f t="shared" si="54"/>
        <v>49712.705349169788</v>
      </c>
      <c r="HM39" s="154">
        <f t="shared" si="54"/>
        <v>5.3320164717773642E-2</v>
      </c>
      <c r="HN39" s="103">
        <f t="shared" si="54"/>
        <v>138090.84843763316</v>
      </c>
      <c r="HO39" s="154">
        <f t="shared" si="54"/>
        <v>0.14811156892379182</v>
      </c>
      <c r="HP39" s="103">
        <f t="shared" si="54"/>
        <v>37974.983496414934</v>
      </c>
      <c r="HQ39" s="154">
        <f t="shared" si="54"/>
        <v>4.0730681642884979E-2</v>
      </c>
      <c r="HR39" s="103">
        <f t="shared" si="54"/>
        <v>144995.39065928294</v>
      </c>
      <c r="HS39" s="154">
        <f t="shared" si="54"/>
        <v>0.15551714715521947</v>
      </c>
      <c r="HT39" s="155">
        <f t="shared" si="54"/>
        <v>932343.43165107758</v>
      </c>
      <c r="HU39" s="156"/>
      <c r="HV39"/>
      <c r="HX39" s="642"/>
      <c r="HY39" s="6"/>
      <c r="HZ39" s="157">
        <f t="shared" ref="HZ39:IM39" si="55">HZ10</f>
        <v>122061</v>
      </c>
      <c r="IA39" s="157">
        <f t="shared" si="55"/>
        <v>132272.01001689318</v>
      </c>
      <c r="IB39" s="157">
        <f t="shared" si="55"/>
        <v>285236.59485999995</v>
      </c>
      <c r="IC39" s="157">
        <f t="shared" si="55"/>
        <v>311912.25490880001</v>
      </c>
      <c r="ID39" s="157">
        <f t="shared" si="55"/>
        <v>341200.04097936396</v>
      </c>
      <c r="IE39" s="157">
        <f t="shared" si="55"/>
        <v>373359.50247437478</v>
      </c>
      <c r="IF39" s="157">
        <f t="shared" si="55"/>
        <v>408676.09384079906</v>
      </c>
      <c r="IG39" s="157">
        <f t="shared" si="55"/>
        <v>447463.76357743528</v>
      </c>
      <c r="IH39" s="158">
        <f t="shared" si="55"/>
        <v>490067.80209831195</v>
      </c>
      <c r="II39" s="158">
        <f t="shared" si="55"/>
        <v>536867.97433617013</v>
      </c>
      <c r="IJ39" s="158">
        <f t="shared" si="55"/>
        <v>588281.96555865498</v>
      </c>
      <c r="IK39" s="158">
        <f t="shared" si="55"/>
        <v>644769.17171705444</v>
      </c>
      <c r="IL39" s="158">
        <f t="shared" si="55"/>
        <v>706834.86877936986</v>
      </c>
      <c r="IM39" s="158">
        <f t="shared" si="55"/>
        <v>775034.79894463497</v>
      </c>
      <c r="IN39" s="158">
        <f>IN10</f>
        <v>849980.21542504651</v>
      </c>
      <c r="IO39" s="158">
        <f>IO10</f>
        <v>932343.43165107758</v>
      </c>
    </row>
    <row r="40" spans="2:249" ht="11.1" hidden="1" customHeight="1" thickTop="1">
      <c r="B40" s="159"/>
      <c r="C40" s="159"/>
      <c r="D40" s="159"/>
      <c r="E40" s="71"/>
      <c r="F40" s="159"/>
      <c r="G40" s="160"/>
      <c r="H40" s="159"/>
      <c r="I40" s="160"/>
      <c r="J40" s="159"/>
      <c r="K40" s="159"/>
      <c r="L40" s="159"/>
      <c r="M40" s="159"/>
      <c r="N40" s="161"/>
      <c r="O40" s="159"/>
      <c r="P40" s="159"/>
      <c r="Q40" s="159"/>
      <c r="R40" s="162"/>
      <c r="S40" s="162"/>
      <c r="T40" s="71"/>
      <c r="U40" s="159"/>
      <c r="V40" s="159"/>
      <c r="W40" s="159"/>
      <c r="X40" s="159"/>
      <c r="Y40" s="159"/>
      <c r="Z40" s="159"/>
      <c r="AA40" s="159"/>
      <c r="AB40" s="159"/>
      <c r="AC40" s="161"/>
      <c r="AD40" s="159"/>
      <c r="AE40" s="159"/>
      <c r="AF40" s="159"/>
      <c r="AG40" s="162"/>
      <c r="AH40" s="162"/>
      <c r="AI40" s="71"/>
      <c r="AJ40" s="159"/>
      <c r="AK40" s="159"/>
      <c r="AL40" s="159"/>
      <c r="AM40" s="159"/>
      <c r="AN40" s="159"/>
      <c r="AO40" s="159"/>
      <c r="AP40" s="159"/>
      <c r="AQ40" s="159"/>
      <c r="AR40" s="161"/>
      <c r="AS40" s="159"/>
      <c r="AT40" s="159"/>
      <c r="AU40" s="159"/>
      <c r="AV40" s="162"/>
      <c r="AW40" s="162"/>
      <c r="AX40" s="71"/>
      <c r="AY40" s="159"/>
      <c r="AZ40" s="159"/>
      <c r="BA40" s="159"/>
      <c r="BB40" s="159"/>
      <c r="BC40" s="159"/>
      <c r="BD40" s="159"/>
      <c r="BE40" s="159"/>
      <c r="BF40" s="159"/>
      <c r="BG40" s="161"/>
      <c r="BH40" s="159"/>
      <c r="BI40" s="159"/>
      <c r="BJ40" s="159"/>
      <c r="BK40" s="162"/>
      <c r="BL40" s="162"/>
      <c r="BM40" s="71"/>
      <c r="BN40" s="159"/>
      <c r="BO40" s="159"/>
      <c r="BP40" s="159"/>
      <c r="BQ40" s="159"/>
      <c r="BR40" s="159"/>
      <c r="BS40" s="159"/>
      <c r="BT40" s="159"/>
      <c r="BU40" s="159"/>
      <c r="BV40" s="161"/>
      <c r="BW40" s="159"/>
      <c r="BX40" s="159"/>
      <c r="BY40" s="159"/>
      <c r="BZ40" s="162"/>
      <c r="CA40" s="162"/>
      <c r="CB40" s="71"/>
      <c r="CC40" s="159"/>
      <c r="CD40" s="159"/>
      <c r="CE40" s="159"/>
      <c r="CF40" s="159"/>
      <c r="CG40" s="159"/>
      <c r="CH40" s="159"/>
      <c r="CI40" s="159"/>
      <c r="CJ40" s="159"/>
      <c r="CK40" s="161"/>
      <c r="CL40" s="159"/>
      <c r="CM40" s="159"/>
      <c r="CN40" s="159"/>
      <c r="CO40" s="162"/>
      <c r="CP40" s="162"/>
      <c r="CQ40" s="71"/>
      <c r="CR40" s="159"/>
      <c r="CS40" s="159"/>
      <c r="CT40" s="159"/>
      <c r="CU40" s="159"/>
      <c r="CV40" s="159"/>
      <c r="CW40" s="159"/>
      <c r="CX40" s="159"/>
      <c r="CY40" s="159"/>
      <c r="CZ40" s="161"/>
      <c r="DA40" s="159"/>
      <c r="DB40" s="159"/>
      <c r="DC40" s="159"/>
      <c r="DD40" s="162"/>
      <c r="DE40" s="162"/>
      <c r="DF40" s="71"/>
      <c r="DG40" s="159"/>
      <c r="DH40" s="159"/>
      <c r="DI40" s="159"/>
      <c r="DJ40" s="159"/>
      <c r="DK40" s="159"/>
      <c r="DL40" s="159"/>
      <c r="DM40" s="159"/>
      <c r="DN40" s="159"/>
      <c r="DO40" s="161"/>
      <c r="DP40" s="159"/>
      <c r="DQ40" s="159"/>
      <c r="DR40" s="159"/>
      <c r="DS40" s="162"/>
      <c r="DT40" s="162"/>
      <c r="DU40" s="71"/>
      <c r="DV40" s="159"/>
      <c r="DW40" s="159"/>
      <c r="DX40" s="159"/>
      <c r="DY40" s="159"/>
      <c r="DZ40" s="159"/>
      <c r="EA40" s="159"/>
      <c r="EB40" s="159"/>
      <c r="EC40" s="159"/>
      <c r="ED40" s="161"/>
      <c r="EE40" s="159"/>
      <c r="EF40" s="159"/>
      <c r="EG40" s="159"/>
      <c r="EH40" s="162"/>
      <c r="EI40" s="162"/>
      <c r="EJ40" s="71"/>
      <c r="EK40" s="159"/>
      <c r="EL40" s="159"/>
      <c r="EM40" s="159"/>
      <c r="EN40" s="159"/>
      <c r="EO40" s="159"/>
      <c r="EP40" s="159"/>
      <c r="EQ40" s="159"/>
      <c r="ER40" s="159"/>
      <c r="ES40" s="161"/>
      <c r="ET40" s="159"/>
      <c r="EU40" s="159"/>
      <c r="EV40" s="159"/>
      <c r="EW40" s="162"/>
      <c r="EX40" s="162"/>
      <c r="EY40" s="71"/>
      <c r="EZ40" s="159"/>
      <c r="FA40" s="159"/>
      <c r="FB40" s="159"/>
      <c r="FC40" s="159"/>
      <c r="FD40" s="159"/>
      <c r="FE40" s="159"/>
      <c r="FF40" s="159"/>
      <c r="FG40" s="159"/>
      <c r="FH40" s="161"/>
      <c r="FI40" s="159"/>
      <c r="FJ40" s="159"/>
      <c r="FK40" s="159"/>
      <c r="FL40" s="162"/>
      <c r="FM40" s="162"/>
      <c r="FN40" s="71"/>
      <c r="FO40" s="159"/>
      <c r="FP40" s="159"/>
      <c r="FQ40" s="159"/>
      <c r="FR40" s="159"/>
      <c r="FS40" s="159"/>
      <c r="FT40" s="159"/>
      <c r="FU40" s="159"/>
      <c r="FV40" s="159"/>
      <c r="FW40" s="161"/>
      <c r="FX40" s="159"/>
      <c r="FY40" s="159"/>
      <c r="FZ40" s="159"/>
      <c r="GA40" s="162"/>
      <c r="GB40" s="162"/>
      <c r="GC40" s="71"/>
      <c r="GD40" s="159"/>
      <c r="GE40" s="159"/>
      <c r="GF40" s="159"/>
      <c r="GG40" s="159"/>
      <c r="GH40" s="159"/>
      <c r="GI40" s="159"/>
      <c r="GJ40" s="159"/>
      <c r="GK40" s="159"/>
      <c r="GL40" s="161"/>
      <c r="GM40" s="159"/>
      <c r="GN40" s="159"/>
      <c r="GO40" s="159"/>
      <c r="GP40" s="162"/>
      <c r="GQ40" s="162"/>
      <c r="GR40" s="71"/>
      <c r="GS40" s="159"/>
      <c r="GT40" s="159"/>
      <c r="GU40" s="159"/>
      <c r="GV40" s="159"/>
      <c r="GW40" s="159"/>
      <c r="GX40" s="159"/>
      <c r="GY40" s="159"/>
      <c r="GZ40" s="159"/>
      <c r="HA40" s="161"/>
      <c r="HB40" s="159"/>
      <c r="HC40" s="159"/>
      <c r="HD40" s="159"/>
      <c r="HE40" s="162"/>
      <c r="HF40" s="162"/>
      <c r="HG40" s="71"/>
      <c r="HH40" s="159"/>
      <c r="HI40" s="159"/>
      <c r="HJ40" s="159"/>
      <c r="HK40" s="159"/>
      <c r="HL40" s="159"/>
      <c r="HM40" s="159"/>
      <c r="HN40" s="159"/>
      <c r="HO40" s="159"/>
      <c r="HP40" s="161"/>
      <c r="HQ40" s="159"/>
      <c r="HR40" s="159"/>
      <c r="HS40" s="159"/>
      <c r="HT40" s="163"/>
      <c r="HU40" s="162"/>
    </row>
    <row r="41" spans="2:249" s="65" customFormat="1" ht="19.2" hidden="1" customHeight="1">
      <c r="B41" s="164" t="s">
        <v>328</v>
      </c>
      <c r="E41" s="71"/>
      <c r="F41" s="165"/>
      <c r="G41" s="160"/>
      <c r="H41" s="165"/>
      <c r="I41" s="160"/>
      <c r="J41" s="165"/>
      <c r="K41" s="160"/>
      <c r="L41" s="165"/>
      <c r="M41" s="160"/>
      <c r="N41" s="165"/>
      <c r="O41" s="160"/>
      <c r="P41" s="165"/>
      <c r="Q41" s="160"/>
      <c r="R41" s="165"/>
      <c r="S41" s="160"/>
      <c r="T41" s="71"/>
      <c r="U41" s="165"/>
      <c r="V41" s="165"/>
      <c r="W41" s="165"/>
      <c r="X41" s="165"/>
      <c r="Y41" s="165"/>
      <c r="Z41" s="165"/>
      <c r="AA41" s="165"/>
      <c r="AB41" s="165"/>
      <c r="AC41" s="165"/>
      <c r="AD41" s="165"/>
      <c r="AE41" s="165"/>
      <c r="AF41" s="165"/>
      <c r="AG41" s="166"/>
      <c r="AH41" s="165"/>
      <c r="AI41" s="71"/>
      <c r="AJ41" s="165"/>
      <c r="AK41" s="160"/>
      <c r="AL41" s="165"/>
      <c r="AM41" s="160"/>
      <c r="AN41" s="165"/>
      <c r="AO41" s="160"/>
      <c r="AP41" s="165"/>
      <c r="AQ41" s="160"/>
      <c r="AR41" s="165"/>
      <c r="AS41" s="160"/>
      <c r="AT41" s="165"/>
      <c r="AU41" s="160"/>
      <c r="AV41" s="165"/>
      <c r="AW41" s="165"/>
      <c r="AX41" s="71"/>
      <c r="AY41" s="165"/>
      <c r="AZ41" s="160"/>
      <c r="BA41" s="165"/>
      <c r="BB41" s="160"/>
      <c r="BC41" s="165"/>
      <c r="BD41" s="160"/>
      <c r="BE41" s="165"/>
      <c r="BF41" s="160"/>
      <c r="BG41" s="165"/>
      <c r="BH41" s="160"/>
      <c r="BI41" s="165"/>
      <c r="BJ41" s="160"/>
      <c r="BK41" s="165"/>
      <c r="BL41" s="165"/>
      <c r="BM41" s="71"/>
      <c r="BN41" s="165"/>
      <c r="BO41" s="160"/>
      <c r="BP41" s="165"/>
      <c r="BQ41" s="160"/>
      <c r="BR41" s="165"/>
      <c r="BS41" s="160"/>
      <c r="BT41" s="165"/>
      <c r="BU41" s="160"/>
      <c r="BV41" s="165"/>
      <c r="BW41" s="160"/>
      <c r="BX41" s="165"/>
      <c r="BY41" s="160"/>
      <c r="BZ41" s="165"/>
      <c r="CA41" s="165"/>
      <c r="CB41" s="71"/>
      <c r="CC41" s="165">
        <f>BN52*1.05</f>
        <v>-14965.897569221057</v>
      </c>
      <c r="CD41" s="160"/>
      <c r="CE41" s="165"/>
      <c r="CF41" s="160"/>
      <c r="CG41" s="165"/>
      <c r="CH41" s="160"/>
      <c r="CI41" s="165"/>
      <c r="CJ41" s="160"/>
      <c r="CK41" s="165"/>
      <c r="CL41" s="160"/>
      <c r="CM41" s="165"/>
      <c r="CN41" s="160"/>
      <c r="CO41" s="165"/>
      <c r="CP41" s="165"/>
      <c r="CQ41" s="71"/>
      <c r="CR41" s="165"/>
      <c r="CS41" s="160"/>
      <c r="CT41" s="165"/>
      <c r="CU41" s="160"/>
      <c r="CV41" s="165"/>
      <c r="CW41" s="160"/>
      <c r="CX41" s="165"/>
      <c r="CY41" s="160"/>
      <c r="CZ41" s="165"/>
      <c r="DA41" s="160"/>
      <c r="DB41" s="165"/>
      <c r="DC41" s="160"/>
      <c r="DD41" s="165"/>
      <c r="DE41" s="165"/>
      <c r="DF41" s="71"/>
      <c r="DG41" s="165"/>
      <c r="DH41" s="160"/>
      <c r="DI41" s="165"/>
      <c r="DJ41" s="160"/>
      <c r="DK41" s="165"/>
      <c r="DL41" s="160"/>
      <c r="DM41" s="165"/>
      <c r="DN41" s="160"/>
      <c r="DO41" s="165"/>
      <c r="DP41" s="160"/>
      <c r="DQ41" s="165"/>
      <c r="DR41" s="160"/>
      <c r="DS41" s="165"/>
      <c r="DT41" s="165"/>
      <c r="DU41" s="71"/>
      <c r="DV41" s="165"/>
      <c r="DW41" s="160"/>
      <c r="DX41" s="165"/>
      <c r="DY41" s="160"/>
      <c r="DZ41" s="165"/>
      <c r="EA41" s="160"/>
      <c r="EB41" s="165"/>
      <c r="EC41" s="160"/>
      <c r="ED41" s="165"/>
      <c r="EE41" s="160"/>
      <c r="EF41" s="165"/>
      <c r="EG41" s="160"/>
      <c r="EH41" s="165"/>
      <c r="EI41" s="165"/>
      <c r="EJ41" s="71"/>
      <c r="EK41" s="165"/>
      <c r="EL41" s="160"/>
      <c r="EM41" s="165"/>
      <c r="EN41" s="160"/>
      <c r="EO41" s="165"/>
      <c r="EP41" s="160"/>
      <c r="EQ41" s="165"/>
      <c r="ER41" s="160"/>
      <c r="ES41" s="165"/>
      <c r="ET41" s="160"/>
      <c r="EU41" s="165"/>
      <c r="EV41" s="160"/>
      <c r="EW41" s="165"/>
      <c r="EX41" s="165"/>
      <c r="EY41" s="71"/>
      <c r="EZ41" s="165"/>
      <c r="FA41" s="160"/>
      <c r="FB41" s="165"/>
      <c r="FC41" s="160"/>
      <c r="FD41" s="165"/>
      <c r="FE41" s="160"/>
      <c r="FF41" s="165"/>
      <c r="FG41" s="160"/>
      <c r="FH41" s="165"/>
      <c r="FI41" s="160"/>
      <c r="FJ41" s="165"/>
      <c r="FK41" s="160"/>
      <c r="FL41" s="165"/>
      <c r="FM41" s="165"/>
      <c r="FN41" s="71"/>
      <c r="FO41" s="165"/>
      <c r="FP41" s="160"/>
      <c r="FQ41" s="165"/>
      <c r="FR41" s="160"/>
      <c r="FS41" s="165"/>
      <c r="FT41" s="160"/>
      <c r="FU41" s="165"/>
      <c r="FV41" s="160"/>
      <c r="FW41" s="165"/>
      <c r="FX41" s="160"/>
      <c r="FY41" s="165"/>
      <c r="FZ41" s="160"/>
      <c r="GA41" s="165"/>
      <c r="GB41" s="165"/>
      <c r="GC41" s="71"/>
      <c r="GD41" s="165"/>
      <c r="GE41" s="160"/>
      <c r="GF41" s="165"/>
      <c r="GG41" s="160"/>
      <c r="GH41" s="165"/>
      <c r="GI41" s="160"/>
      <c r="GJ41" s="165"/>
      <c r="GK41" s="160"/>
      <c r="GL41" s="165"/>
      <c r="GM41" s="160"/>
      <c r="GN41" s="165"/>
      <c r="GO41" s="160"/>
      <c r="GP41" s="165"/>
      <c r="GQ41" s="165"/>
      <c r="GR41" s="71"/>
      <c r="GS41" s="165"/>
      <c r="GT41" s="160"/>
      <c r="GU41" s="165"/>
      <c r="GV41" s="160"/>
      <c r="GW41" s="165"/>
      <c r="GX41" s="160"/>
      <c r="GY41" s="165"/>
      <c r="GZ41" s="160"/>
      <c r="HA41" s="165"/>
      <c r="HB41" s="160"/>
      <c r="HC41" s="165"/>
      <c r="HD41" s="160"/>
      <c r="HE41" s="166"/>
      <c r="HF41" s="165"/>
      <c r="HG41" s="71"/>
      <c r="HH41" s="165"/>
      <c r="HI41" s="160"/>
      <c r="HJ41" s="165"/>
      <c r="HK41" s="160"/>
      <c r="HL41" s="165"/>
      <c r="HM41" s="160"/>
      <c r="HN41" s="165"/>
      <c r="HO41" s="160"/>
      <c r="HP41" s="165"/>
      <c r="HQ41" s="160"/>
      <c r="HR41" s="165"/>
      <c r="HS41" s="160"/>
      <c r="HT41" s="167"/>
      <c r="HU41" s="165"/>
      <c r="HV41"/>
      <c r="HX41" s="168" t="s">
        <v>329</v>
      </c>
      <c r="HY41" s="6"/>
      <c r="HZ41" s="6"/>
      <c r="IA41" s="169"/>
      <c r="IB41" s="169"/>
      <c r="IC41" s="169"/>
      <c r="ID41" s="169"/>
      <c r="IE41" s="169"/>
      <c r="IF41" s="169"/>
      <c r="IG41" s="169"/>
      <c r="IH41" s="169"/>
      <c r="II41" s="169"/>
      <c r="IJ41" s="169"/>
      <c r="IK41" s="169"/>
      <c r="IL41" s="169"/>
      <c r="IM41" s="169"/>
      <c r="IN41" s="169"/>
      <c r="IO41" s="169"/>
    </row>
    <row r="42" spans="2:249" s="65" customFormat="1" ht="19.2" hidden="1" customHeight="1" outlineLevel="1">
      <c r="B42" s="170" t="s">
        <v>14</v>
      </c>
      <c r="C42" s="165">
        <v>-26213</v>
      </c>
      <c r="D42" s="165"/>
      <c r="E42" s="71"/>
      <c r="F42" s="165">
        <f>F13*0.6</f>
        <v>-14197.06856632477</v>
      </c>
      <c r="G42" s="160"/>
      <c r="H42" s="165">
        <f>H13*0.6</f>
        <v>-12099.021896582526</v>
      </c>
      <c r="I42" s="160"/>
      <c r="J42" s="165">
        <f>J13*0.6</f>
        <v>-1794</v>
      </c>
      <c r="K42" s="160"/>
      <c r="L42" s="165">
        <f>L13*0.6</f>
        <v>-399.78000000000003</v>
      </c>
      <c r="M42" s="160"/>
      <c r="N42" s="165">
        <f>N13*0.6</f>
        <v>-377.13600000000002</v>
      </c>
      <c r="O42" s="160"/>
      <c r="P42" s="165">
        <f>P13*0.6</f>
        <v>-192</v>
      </c>
      <c r="Q42" s="160"/>
      <c r="R42" s="165">
        <f>SUM(F42:P42)</f>
        <v>-29059.006462907295</v>
      </c>
      <c r="S42" s="160"/>
      <c r="T42" s="71"/>
      <c r="U42" s="165">
        <f>U13*0.4</f>
        <v>-8208.320645119984</v>
      </c>
      <c r="V42" s="160"/>
      <c r="W42" s="165">
        <f>W13*0.4</f>
        <v>-6335.9980704</v>
      </c>
      <c r="X42" s="160"/>
      <c r="Y42" s="165">
        <f>Y13*0.4</f>
        <v>-3398.3999905600003</v>
      </c>
      <c r="Z42" s="160"/>
      <c r="AA42" s="165">
        <f>AA13*0.4</f>
        <v>-1919.9999980800001</v>
      </c>
      <c r="AB42" s="160"/>
      <c r="AC42" s="165">
        <f>AC13*0.4</f>
        <v>-1760.0000064000001</v>
      </c>
      <c r="AD42" s="160"/>
      <c r="AE42" s="165">
        <f>AE13*0.4</f>
        <v>-3407.4425534400143</v>
      </c>
      <c r="AF42" s="160"/>
      <c r="AG42" s="165">
        <f>SUM(U42:AE42)</f>
        <v>-25030.161263999998</v>
      </c>
      <c r="AH42" s="165"/>
      <c r="AI42" s="71"/>
      <c r="AJ42" s="171">
        <f>U42+(U42*AJ3)</f>
        <v>-9029.1527096319824</v>
      </c>
      <c r="AK42" s="160"/>
      <c r="AL42" s="171">
        <f>W42+(W42*AL3)</f>
        <v>-6526.078012512</v>
      </c>
      <c r="AM42" s="160"/>
      <c r="AN42" s="171">
        <f>Y42+(Y42*AN3)</f>
        <v>-3738.2399896160005</v>
      </c>
      <c r="AO42" s="165"/>
      <c r="AP42" s="171">
        <f>AA42+(AA42*AP3)</f>
        <v>-2111.9999978880001</v>
      </c>
      <c r="AQ42" s="165"/>
      <c r="AR42" s="171">
        <f>AC42+(AC42*AR3)</f>
        <v>-1936.0000070400001</v>
      </c>
      <c r="AS42" s="165"/>
      <c r="AT42" s="171">
        <f>AE42+(AE42*AT3)</f>
        <v>-3748.1868087840157</v>
      </c>
      <c r="AU42" s="165"/>
      <c r="AV42" s="165">
        <f>SUM(AJ42:AT42)</f>
        <v>-27089.657525471997</v>
      </c>
      <c r="AW42" s="165"/>
      <c r="AX42" s="71"/>
      <c r="AY42" s="171">
        <f>AJ42+(AJ42*AY3)</f>
        <v>-9932.0679805951804</v>
      </c>
      <c r="AZ42" s="160"/>
      <c r="BA42" s="171">
        <f>AL42+(AL42*BA3)</f>
        <v>-6721.86035288736</v>
      </c>
      <c r="BB42" s="160"/>
      <c r="BC42" s="171">
        <f>AN42+(AN42*BC3)</f>
        <v>-4112.0639885776009</v>
      </c>
      <c r="BD42" s="165"/>
      <c r="BE42" s="171">
        <f>AP42+(AP42*BE3)</f>
        <v>-2323.1999976768002</v>
      </c>
      <c r="BF42" s="165"/>
      <c r="BG42" s="171">
        <f>AR42+(AR42*BG3)</f>
        <v>-2129.6000077440003</v>
      </c>
      <c r="BH42" s="165"/>
      <c r="BI42" s="171">
        <f>AT42+(AT42*BI3)</f>
        <v>-4123.0054896624169</v>
      </c>
      <c r="BJ42" s="165"/>
      <c r="BK42" s="165">
        <f>SUM(AY42:BI42)</f>
        <v>-29341.797817143357</v>
      </c>
      <c r="BL42" s="165"/>
      <c r="BM42" s="71"/>
      <c r="BN42" s="171">
        <f>AY42+(AY42*BN3)</f>
        <v>-10925.274778654699</v>
      </c>
      <c r="BO42" s="160"/>
      <c r="BP42" s="171">
        <f>BA42+(BA42*BP3)</f>
        <v>-6923.5161634739807</v>
      </c>
      <c r="BQ42" s="160"/>
      <c r="BR42" s="171">
        <f>BC42+(BC42*BR3)</f>
        <v>-4523.270387435361</v>
      </c>
      <c r="BS42" s="165"/>
      <c r="BT42" s="171">
        <f>BE42+(BE42*BT3)</f>
        <v>-2555.5199974444804</v>
      </c>
      <c r="BU42" s="165"/>
      <c r="BV42" s="171">
        <f>BG42+(BG42*BV3)</f>
        <v>-2342.5600085184005</v>
      </c>
      <c r="BW42" s="165"/>
      <c r="BX42" s="171">
        <f>BI42+(BI42*BX3)</f>
        <v>-4535.3060386286588</v>
      </c>
      <c r="BY42" s="165"/>
      <c r="BZ42" s="165">
        <f>SUM(BN42:BX42)</f>
        <v>-31805.447374155581</v>
      </c>
      <c r="CA42" s="165"/>
      <c r="CB42" s="71"/>
      <c r="CC42" s="171">
        <f>BN42+(BN42*CC3)</f>
        <v>-12017.802256520168</v>
      </c>
      <c r="CD42" s="160"/>
      <c r="CE42" s="171">
        <f>BP42+(BP42*CE3)</f>
        <v>-7131.2216483782004</v>
      </c>
      <c r="CF42" s="160"/>
      <c r="CG42" s="171">
        <f>BR42+(BR42*CG3)</f>
        <v>-4975.597426178897</v>
      </c>
      <c r="CH42" s="165"/>
      <c r="CI42" s="171">
        <f>BT42+(BT42*CI3)</f>
        <v>-2811.0719971889284</v>
      </c>
      <c r="CJ42" s="165"/>
      <c r="CK42" s="171">
        <f>BV42+(BV42*CK3)</f>
        <v>-2576.8160093702404</v>
      </c>
      <c r="CL42" s="165"/>
      <c r="CM42" s="171">
        <f>BX42+(BX42*CM3)</f>
        <v>-4988.8366424915248</v>
      </c>
      <c r="CN42" s="165"/>
      <c r="CO42" s="165">
        <f>SUM(CC42:CM42)</f>
        <v>-34501.345980127953</v>
      </c>
      <c r="CP42" s="165"/>
      <c r="CQ42" s="71"/>
      <c r="CR42" s="171">
        <f>CC42+(CC42*CR3)</f>
        <v>-13219.582482172185</v>
      </c>
      <c r="CS42" s="160"/>
      <c r="CT42" s="171">
        <f>CE42+(CE42*CT3)</f>
        <v>-7345.1582978295464</v>
      </c>
      <c r="CU42" s="160"/>
      <c r="CV42" s="171">
        <f>CG42+(CG42*CV3)</f>
        <v>-5473.1571687967862</v>
      </c>
      <c r="CW42" s="165"/>
      <c r="CX42" s="171">
        <f>CI42+(CI42*CX3)</f>
        <v>-3092.1791969078213</v>
      </c>
      <c r="CY42" s="165"/>
      <c r="CZ42" s="171">
        <f>CK42+(CK42*CZ3)</f>
        <v>-2834.4976103072645</v>
      </c>
      <c r="DA42" s="165"/>
      <c r="DB42" s="171">
        <f>CM42+(CM42*DB3)</f>
        <v>-5487.7203067406772</v>
      </c>
      <c r="DC42" s="165"/>
      <c r="DD42" s="165">
        <f>SUM(CR42:DB42)</f>
        <v>-37452.295062754289</v>
      </c>
      <c r="DE42" s="165"/>
      <c r="DF42" s="71"/>
      <c r="DG42" s="171">
        <f>CR42+(CR42*DG3)</f>
        <v>-14541.540730389404</v>
      </c>
      <c r="DH42" s="160"/>
      <c r="DI42" s="171">
        <f>CT42+(CT42*DI3)</f>
        <v>-7565.5130467644331</v>
      </c>
      <c r="DJ42" s="160"/>
      <c r="DK42" s="171">
        <f>CV42+(CV42*DK3)</f>
        <v>-6020.472885676465</v>
      </c>
      <c r="DL42" s="165"/>
      <c r="DM42" s="171">
        <f>CX42+(CX42*DM3)</f>
        <v>-3401.3971165986036</v>
      </c>
      <c r="DN42" s="165"/>
      <c r="DO42" s="171">
        <f>CZ42+(CZ42*DO3)</f>
        <v>-3117.9473713379912</v>
      </c>
      <c r="DP42" s="165"/>
      <c r="DQ42" s="171">
        <f>DB42+(DB42*DQ3)</f>
        <v>-6036.4923374147447</v>
      </c>
      <c r="DR42" s="165"/>
      <c r="DS42" s="165">
        <f>SUM(DG42:DQ42)</f>
        <v>-40683.36348818164</v>
      </c>
      <c r="DT42" s="165"/>
      <c r="DU42" s="71"/>
      <c r="DV42" s="171">
        <f>DG42+(DG42*DV3)</f>
        <v>-15995.694803428345</v>
      </c>
      <c r="DW42" s="160"/>
      <c r="DX42" s="171">
        <f>DI42+(DI42*DX3)</f>
        <v>-7792.4784381673662</v>
      </c>
      <c r="DY42" s="160"/>
      <c r="DZ42" s="171">
        <f>DK42+(DK42*DZ3)</f>
        <v>-6622.5201742441113</v>
      </c>
      <c r="EA42" s="165"/>
      <c r="EB42" s="171">
        <f>DM42+(DM42*EB3)</f>
        <v>-3741.5368282584641</v>
      </c>
      <c r="EC42" s="165"/>
      <c r="ED42" s="171">
        <f>DO42+(DO42*ED3)</f>
        <v>-3429.7421084717903</v>
      </c>
      <c r="EE42" s="165"/>
      <c r="EF42" s="171">
        <f>DQ42+(DQ42*EF3)</f>
        <v>-6640.1415711562195</v>
      </c>
      <c r="EG42" s="165"/>
      <c r="EH42" s="165">
        <f>SUM(DV42:EF42)</f>
        <v>-44222.113923726305</v>
      </c>
      <c r="EI42" s="165"/>
      <c r="EJ42" s="71"/>
      <c r="EK42" s="171">
        <f>DV42+(DV42*EK3)</f>
        <v>-17595.264283771179</v>
      </c>
      <c r="EL42" s="160"/>
      <c r="EM42" s="171">
        <f>DX42+(DX42*EM3)</f>
        <v>-8026.2527913123868</v>
      </c>
      <c r="EN42" s="160"/>
      <c r="EO42" s="171">
        <f>DZ42+(DZ42*EO3)</f>
        <v>-7284.7721916685223</v>
      </c>
      <c r="EP42" s="165"/>
      <c r="EQ42" s="171">
        <f>EB42+(EB42*EQ3)</f>
        <v>-4115.6905110843109</v>
      </c>
      <c r="ER42" s="165"/>
      <c r="ES42" s="171">
        <f>ED42+(ED42*ES3)</f>
        <v>-3772.7163193189695</v>
      </c>
      <c r="ET42" s="165"/>
      <c r="EU42" s="171">
        <f>EF42+(EF42*EU3)</f>
        <v>-7304.1557282718413</v>
      </c>
      <c r="EV42" s="165"/>
      <c r="EW42" s="165">
        <f>SUM(EK42:EU42)</f>
        <v>-48098.851825427213</v>
      </c>
      <c r="EX42" s="165"/>
      <c r="EY42" s="71"/>
      <c r="EZ42" s="171">
        <f>EK42+(EK42*EZ3)</f>
        <v>-19354.790712148297</v>
      </c>
      <c r="FA42" s="160"/>
      <c r="FB42" s="171">
        <f>EM42+(EM42*FB3)</f>
        <v>-8267.040375051758</v>
      </c>
      <c r="FC42" s="160"/>
      <c r="FD42" s="171">
        <f>EO42+(EO42*FD3)</f>
        <v>-8013.2494108353749</v>
      </c>
      <c r="FE42" s="165"/>
      <c r="FF42" s="171">
        <f>EQ42+(EQ42*FF3)</f>
        <v>-4527.2595621927421</v>
      </c>
      <c r="FG42" s="165"/>
      <c r="FH42" s="171">
        <f>ES42+(ES42*FH3)</f>
        <v>-4149.9879512508669</v>
      </c>
      <c r="FI42" s="165"/>
      <c r="FJ42" s="171">
        <f>EU42+(EU42*FJ3)</f>
        <v>-8034.5713010990257</v>
      </c>
      <c r="FK42" s="165"/>
      <c r="FL42" s="165">
        <f>SUM(EZ42:FJ42)</f>
        <v>-52346.899312578069</v>
      </c>
      <c r="FM42" s="165"/>
      <c r="FN42" s="71"/>
      <c r="FO42" s="171">
        <f>EZ42+(EZ42*FO3)</f>
        <v>-21290.269783363125</v>
      </c>
      <c r="FP42" s="160"/>
      <c r="FQ42" s="171">
        <f>FB42+(FB42*FQ3)</f>
        <v>-8515.0515863033106</v>
      </c>
      <c r="FR42" s="160"/>
      <c r="FS42" s="171">
        <f>FD42+(FD42*FS3)</f>
        <v>-8814.5743519189127</v>
      </c>
      <c r="FT42" s="165"/>
      <c r="FU42" s="171">
        <f>FF42+(FF42*FU3)</f>
        <v>-4979.9855184120161</v>
      </c>
      <c r="FV42" s="165"/>
      <c r="FW42" s="171">
        <f>FH42+(FH42*FW3)</f>
        <v>-4564.9867463759538</v>
      </c>
      <c r="FX42" s="165"/>
      <c r="FY42" s="171">
        <f>FJ42+(FJ42*FY3)</f>
        <v>-8838.0284312089279</v>
      </c>
      <c r="FZ42" s="165"/>
      <c r="GA42" s="165">
        <f>SUM(FO42:FY42)</f>
        <v>-57002.89641758224</v>
      </c>
      <c r="GB42" s="165"/>
      <c r="GC42" s="71"/>
      <c r="GD42" s="171">
        <f>FO42+(FO42*GD3)</f>
        <v>-23419.296761699436</v>
      </c>
      <c r="GE42" s="160"/>
      <c r="GF42" s="171">
        <f>FQ42+(FQ42*GF3)</f>
        <v>-8770.5031338924091</v>
      </c>
      <c r="GG42" s="160"/>
      <c r="GH42" s="171">
        <f>FS42+(FS42*GH3)</f>
        <v>-9696.0317871108036</v>
      </c>
      <c r="GI42" s="165"/>
      <c r="GJ42" s="171">
        <f>FU42+(FU42*GJ3)</f>
        <v>-5477.9840702532174</v>
      </c>
      <c r="GK42" s="165"/>
      <c r="GL42" s="171">
        <f>FW42+(FW42*GL3)</f>
        <v>-5021.4854210135491</v>
      </c>
      <c r="GM42" s="165"/>
      <c r="GN42" s="171">
        <f>FY42+(FY42*GN3)</f>
        <v>-9721.8312743298211</v>
      </c>
      <c r="GO42" s="165"/>
      <c r="GP42" s="165">
        <f>SUM(GD42:GN42)</f>
        <v>-62107.132448299242</v>
      </c>
      <c r="GQ42" s="165"/>
      <c r="GR42" s="71"/>
      <c r="GS42" s="171">
        <f>GD42+(GD42*GS3)</f>
        <v>-25761.22643786938</v>
      </c>
      <c r="GT42" s="160"/>
      <c r="GU42" s="171">
        <f>GF42+(GF42*GU3)</f>
        <v>-9033.6182279091809</v>
      </c>
      <c r="GV42" s="160"/>
      <c r="GW42" s="171">
        <f>GH42+(GH42*GW3)</f>
        <v>-10665.634965821884</v>
      </c>
      <c r="GX42" s="165"/>
      <c r="GY42" s="171">
        <f>GJ42+(GJ42*GY3)</f>
        <v>-6025.7824772785389</v>
      </c>
      <c r="GZ42" s="165"/>
      <c r="HA42" s="171">
        <f>GL42+(GL42*HA3)</f>
        <v>-5523.633963114904</v>
      </c>
      <c r="HB42" s="165"/>
      <c r="HC42" s="171">
        <f>GN42+(GN42*HC3)</f>
        <v>-10694.014401762803</v>
      </c>
      <c r="HD42" s="165"/>
      <c r="HE42" s="165">
        <f>SUM(GS42:HC42)</f>
        <v>-67703.910473756681</v>
      </c>
      <c r="HF42" s="165"/>
      <c r="HG42" s="71"/>
      <c r="HH42" s="172">
        <f>GS42+(GS42*HH3)</f>
        <v>-28337.349081656317</v>
      </c>
      <c r="HI42" s="173"/>
      <c r="HJ42" s="172">
        <f>GU42+(GU42*HJ3)</f>
        <v>-9304.6267747464553</v>
      </c>
      <c r="HK42" s="173"/>
      <c r="HL42" s="171">
        <f>GW42+(GW42*HL3)</f>
        <v>-11732.198462404072</v>
      </c>
      <c r="HM42" s="174"/>
      <c r="HN42" s="172">
        <f>GY42+(GY42*HN3)</f>
        <v>-6628.3607250063924</v>
      </c>
      <c r="HO42" s="174"/>
      <c r="HP42" s="172">
        <f>HA42+(HA42*HP3)</f>
        <v>-6075.9973594263947</v>
      </c>
      <c r="HQ42" s="174"/>
      <c r="HR42" s="172">
        <f>HC42+(HC42*HR3)</f>
        <v>-11763.415841939082</v>
      </c>
      <c r="HS42" s="174"/>
      <c r="HT42" s="165">
        <f>SUM(HH42:HR42)</f>
        <v>-73841.948245178719</v>
      </c>
      <c r="HU42"/>
      <c r="HV42"/>
      <c r="HX42" s="170" t="s">
        <v>330</v>
      </c>
      <c r="HY42" s="6"/>
      <c r="HZ42" s="169">
        <f>(HZ13*0.45)</f>
        <v>-26736.3</v>
      </c>
      <c r="IA42" s="169">
        <f>+R42</f>
        <v>-29059.006462907295</v>
      </c>
      <c r="IB42" s="169">
        <f>+AG42</f>
        <v>-25030.161263999998</v>
      </c>
      <c r="IC42" s="169">
        <f>+AV42</f>
        <v>-27089.657525471997</v>
      </c>
      <c r="ID42" s="169">
        <f>+BK42</f>
        <v>-29341.797817143357</v>
      </c>
      <c r="IE42" s="169">
        <f>+BZ42</f>
        <v>-31805.447374155581</v>
      </c>
      <c r="IF42" s="169">
        <f>+CO42</f>
        <v>-34501.345980127953</v>
      </c>
      <c r="IG42" s="169">
        <f>+DD42</f>
        <v>-37452.295062754289</v>
      </c>
      <c r="IH42" s="169">
        <f>+DS42</f>
        <v>-40683.36348818164</v>
      </c>
      <c r="II42" s="169">
        <f>+EH42</f>
        <v>-44222.113923726305</v>
      </c>
      <c r="IJ42" s="169">
        <f>+EW42</f>
        <v>-48098.851825427213</v>
      </c>
      <c r="IK42" s="169">
        <f>+FL42</f>
        <v>-52346.899312578069</v>
      </c>
      <c r="IL42" s="169">
        <f>+GA42</f>
        <v>-57002.89641758224</v>
      </c>
      <c r="IM42" s="169">
        <f>+GP42</f>
        <v>-62107.132448299242</v>
      </c>
      <c r="IN42" s="169">
        <f>+HE42</f>
        <v>-67703.910473756681</v>
      </c>
      <c r="IO42" s="169">
        <f>+HT42</f>
        <v>-73841.948245178719</v>
      </c>
    </row>
    <row r="43" spans="2:249" s="65" customFormat="1" ht="19.2" hidden="1" customHeight="1" outlineLevel="1">
      <c r="B43" s="170" t="s">
        <v>331</v>
      </c>
      <c r="C43" s="165">
        <v>-42780</v>
      </c>
      <c r="D43" s="165"/>
      <c r="E43" s="71"/>
      <c r="F43" s="165">
        <f>F12</f>
        <v>-29071.776855500804</v>
      </c>
      <c r="G43" s="160"/>
      <c r="H43" s="165">
        <f t="shared" ref="H43:P43" si="56">H12</f>
        <v>-8165.3308997208323</v>
      </c>
      <c r="I43" s="160"/>
      <c r="J43" s="165">
        <f t="shared" ref="J43" si="57">J12</f>
        <v>-230</v>
      </c>
      <c r="K43" s="160"/>
      <c r="L43" s="165">
        <f t="shared" si="56"/>
        <v>-2880</v>
      </c>
      <c r="M43" s="160"/>
      <c r="N43" s="165">
        <f t="shared" si="56"/>
        <v>-450</v>
      </c>
      <c r="O43" s="160"/>
      <c r="P43" s="165">
        <f t="shared" si="56"/>
        <v>-724.623053421544</v>
      </c>
      <c r="Q43" s="160"/>
      <c r="R43" s="165">
        <f>SUM(F43:P43)</f>
        <v>-41521.73080864318</v>
      </c>
      <c r="S43" s="160">
        <f>R43/R39</f>
        <v>-0.31391169457045531</v>
      </c>
      <c r="T43" s="71"/>
      <c r="U43" s="165">
        <f>U12</f>
        <v>-81758.131651199976</v>
      </c>
      <c r="V43" s="160"/>
      <c r="W43" s="165">
        <f t="shared" ref="W43" si="58">W12</f>
        <v>-1319.9995980000001</v>
      </c>
      <c r="X43" s="160"/>
      <c r="Y43" s="165">
        <f t="shared" ref="Y43" si="59">Y12</f>
        <v>-431.99999880000007</v>
      </c>
      <c r="Z43" s="160"/>
      <c r="AA43" s="165">
        <f t="shared" ref="AA43" si="60">AA12</f>
        <v>-27499.999999999913</v>
      </c>
      <c r="AB43" s="160"/>
      <c r="AC43" s="165">
        <f t="shared" ref="AC43" si="61">AC12</f>
        <v>-2409.9999599999969</v>
      </c>
      <c r="AD43" s="160"/>
      <c r="AE43" s="165">
        <f t="shared" ref="AE43" si="62">AE12</f>
        <v>-20274.802652000031</v>
      </c>
      <c r="AF43" s="160"/>
      <c r="AG43" s="165">
        <f t="shared" ref="AG43:AG46" si="63">SUM(U43:AE43)</f>
        <v>-133694.93385999993</v>
      </c>
      <c r="AH43" s="165"/>
      <c r="AI43" s="71"/>
      <c r="AJ43" s="165">
        <f>AJ12</f>
        <v>-89933.94481631997</v>
      </c>
      <c r="AK43" s="160"/>
      <c r="AL43" s="165">
        <f>AL12</f>
        <v>-1359.59958594</v>
      </c>
      <c r="AM43" s="160"/>
      <c r="AN43" s="165">
        <f>AN12</f>
        <v>-475.19999868000008</v>
      </c>
      <c r="AO43" s="160"/>
      <c r="AP43" s="165">
        <f>AP12</f>
        <v>-30249.999999999905</v>
      </c>
      <c r="AQ43" s="160"/>
      <c r="AR43" s="165">
        <f>AR12</f>
        <v>-2650.9999559999965</v>
      </c>
      <c r="AS43" s="160"/>
      <c r="AT43" s="165">
        <f>AT12</f>
        <v>-22302.282917200035</v>
      </c>
      <c r="AU43" s="160"/>
      <c r="AV43" s="165">
        <f>SUM(AJ43:AT43)</f>
        <v>-146972.02727413992</v>
      </c>
      <c r="AW43" s="165"/>
      <c r="AX43" s="71"/>
      <c r="AY43" s="165">
        <f>AY12</f>
        <v>-98927.33929795197</v>
      </c>
      <c r="AZ43" s="160"/>
      <c r="BA43" s="165">
        <f>BA12</f>
        <v>-1400.3875735182</v>
      </c>
      <c r="BB43" s="160"/>
      <c r="BC43" s="165">
        <f>BC12</f>
        <v>-522.71999854800004</v>
      </c>
      <c r="BD43" s="160"/>
      <c r="BE43" s="165">
        <f>BE12</f>
        <v>-33274.999999999898</v>
      </c>
      <c r="BF43" s="160"/>
      <c r="BG43" s="165">
        <f>BG12</f>
        <v>-2916.0999515999961</v>
      </c>
      <c r="BH43" s="160"/>
      <c r="BI43" s="165">
        <f>BI12</f>
        <v>-24532.511208920037</v>
      </c>
      <c r="BJ43" s="160"/>
      <c r="BK43" s="165">
        <f>SUM(AY43:BI43)</f>
        <v>-161574.05803053809</v>
      </c>
      <c r="BL43" s="165"/>
      <c r="BM43" s="71"/>
      <c r="BN43" s="165">
        <f>BN12</f>
        <v>-108820.07322774717</v>
      </c>
      <c r="BO43" s="160"/>
      <c r="BP43" s="165">
        <f>BP12</f>
        <v>-1442.3992007237462</v>
      </c>
      <c r="BQ43" s="160"/>
      <c r="BR43" s="165">
        <f>BR12</f>
        <v>-574.99199840280005</v>
      </c>
      <c r="BS43" s="160"/>
      <c r="BT43" s="165">
        <f>BT12</f>
        <v>-36602.499999999884</v>
      </c>
      <c r="BU43" s="160"/>
      <c r="BV43" s="165">
        <f>BV12</f>
        <v>-3207.7099467599955</v>
      </c>
      <c r="BW43" s="160"/>
      <c r="BX43" s="165">
        <f>BX12</f>
        <v>-26985.762329812042</v>
      </c>
      <c r="BY43" s="160"/>
      <c r="BZ43" s="165">
        <f>SUM(BN43:BX43)</f>
        <v>-177633.43670344565</v>
      </c>
      <c r="CA43" s="165"/>
      <c r="CB43" s="71"/>
      <c r="CC43" s="165">
        <f>CC12</f>
        <v>-119702.08055052189</v>
      </c>
      <c r="CD43" s="160"/>
      <c r="CE43" s="165">
        <f>CE12</f>
        <v>-1485.6711767454585</v>
      </c>
      <c r="CF43" s="160"/>
      <c r="CG43" s="165">
        <f>CG12</f>
        <v>-632.49119824308013</v>
      </c>
      <c r="CH43" s="160"/>
      <c r="CI43" s="165">
        <f>CI12</f>
        <v>-40262.749999999869</v>
      </c>
      <c r="CJ43" s="160"/>
      <c r="CK43" s="165">
        <f>CK12</f>
        <v>-3528.4809414359952</v>
      </c>
      <c r="CL43" s="160"/>
      <c r="CM43" s="165">
        <f>CM12</f>
        <v>-29684.338562793248</v>
      </c>
      <c r="CN43" s="160"/>
      <c r="CO43" s="165">
        <f>SUM(CC43:CM43)</f>
        <v>-195295.81242973951</v>
      </c>
      <c r="CP43" s="165"/>
      <c r="CQ43" s="71"/>
      <c r="CR43" s="165">
        <f>CR12</f>
        <v>-131672.28860557408</v>
      </c>
      <c r="CS43" s="160"/>
      <c r="CT43" s="165">
        <f>CT12</f>
        <v>-1530.2413120478222</v>
      </c>
      <c r="CU43" s="160"/>
      <c r="CV43" s="165">
        <f>CV12</f>
        <v>-695.7403180673881</v>
      </c>
      <c r="CW43" s="160"/>
      <c r="CX43" s="165">
        <f>CX12</f>
        <v>-44289.024999999856</v>
      </c>
      <c r="CY43" s="160"/>
      <c r="CZ43" s="165">
        <f>CZ12</f>
        <v>-3881.3290355795948</v>
      </c>
      <c r="DA43" s="160"/>
      <c r="DB43" s="165">
        <f>DB12</f>
        <v>-32652.772419072575</v>
      </c>
      <c r="DC43" s="160"/>
      <c r="DD43" s="165">
        <f>SUM(CR43:DB43)</f>
        <v>-214721.39669034132</v>
      </c>
      <c r="DE43" s="165"/>
      <c r="DF43" s="71"/>
      <c r="DG43" s="165">
        <f>DG12</f>
        <v>-144839.51746613148</v>
      </c>
      <c r="DH43" s="160"/>
      <c r="DI43" s="165">
        <f>DI12</f>
        <v>-1576.1485514092569</v>
      </c>
      <c r="DJ43" s="160"/>
      <c r="DK43" s="165">
        <f>DK12</f>
        <v>-765.31434987412695</v>
      </c>
      <c r="DL43" s="160"/>
      <c r="DM43" s="165">
        <f>DM12</f>
        <v>-48717.927499999845</v>
      </c>
      <c r="DN43" s="160"/>
      <c r="DO43" s="165">
        <f>DO12</f>
        <v>-4269.4619391375545</v>
      </c>
      <c r="DP43" s="160"/>
      <c r="DQ43" s="165">
        <f>DQ12</f>
        <v>-35918.049660979836</v>
      </c>
      <c r="DR43" s="160"/>
      <c r="DS43" s="165">
        <f>SUM(DG43:DQ43)</f>
        <v>-236086.41946753208</v>
      </c>
      <c r="DT43" s="165"/>
      <c r="DU43" s="71"/>
      <c r="DV43" s="165">
        <f>DV12</f>
        <v>-159323.46921274465</v>
      </c>
      <c r="DW43" s="160"/>
      <c r="DX43" s="165">
        <f>DX12</f>
        <v>-1623.4330079515346</v>
      </c>
      <c r="DY43" s="160"/>
      <c r="DZ43" s="165">
        <f>DZ12</f>
        <v>-841.84578486153953</v>
      </c>
      <c r="EA43" s="160"/>
      <c r="EB43" s="165">
        <f>EB12</f>
        <v>-53589.720249999838</v>
      </c>
      <c r="EC43" s="160"/>
      <c r="ED43" s="165">
        <f>ED12</f>
        <v>-4696.40813305131</v>
      </c>
      <c r="EE43" s="160"/>
      <c r="EF43" s="165">
        <f>EF12</f>
        <v>-39509.854627077817</v>
      </c>
      <c r="EG43" s="160"/>
      <c r="EH43" s="165">
        <f>SUM(DV43:EF43)</f>
        <v>-259584.73101568667</v>
      </c>
      <c r="EI43" s="165"/>
      <c r="EJ43" s="71"/>
      <c r="EK43" s="165">
        <f>EK12</f>
        <v>-175255.81613401911</v>
      </c>
      <c r="EL43" s="160"/>
      <c r="EM43" s="165">
        <f>EM12</f>
        <v>-1672.1359981900805</v>
      </c>
      <c r="EN43" s="160"/>
      <c r="EO43" s="165">
        <f>EO12</f>
        <v>-926.03036334769342</v>
      </c>
      <c r="EP43" s="160"/>
      <c r="EQ43" s="165">
        <f>EQ12</f>
        <v>-58948.692274999812</v>
      </c>
      <c r="ER43" s="160"/>
      <c r="ES43" s="165">
        <f>ES12</f>
        <v>-5166.0489463564409</v>
      </c>
      <c r="ET43" s="160"/>
      <c r="EU43" s="165">
        <f>EU12</f>
        <v>-43460.840089785597</v>
      </c>
      <c r="EV43" s="160"/>
      <c r="EW43" s="165">
        <f>SUM(EK43:EU43)</f>
        <v>-285429.56380669872</v>
      </c>
      <c r="EX43" s="165"/>
      <c r="EY43" s="71"/>
      <c r="EZ43" s="165">
        <f>EZ12</f>
        <v>-192781.397747421</v>
      </c>
      <c r="FA43" s="160"/>
      <c r="FB43" s="165">
        <f>FB12</f>
        <v>-1722.3000781357832</v>
      </c>
      <c r="FC43" s="160"/>
      <c r="FD43" s="165">
        <f>FD12</f>
        <v>-1018.6333996824628</v>
      </c>
      <c r="FE43" s="160"/>
      <c r="FF43" s="165">
        <f>FF12</f>
        <v>-64843.561502499804</v>
      </c>
      <c r="FG43" s="160"/>
      <c r="FH43" s="165">
        <f>FH12</f>
        <v>-5682.653840992085</v>
      </c>
      <c r="FI43" s="160"/>
      <c r="FJ43" s="165">
        <f>FJ12</f>
        <v>-47806.924098764161</v>
      </c>
      <c r="FK43" s="160"/>
      <c r="FL43" s="165">
        <f>SUM(EZ43:FJ43)</f>
        <v>-313855.47066749528</v>
      </c>
      <c r="FM43" s="165"/>
      <c r="FN43" s="71"/>
      <c r="FO43" s="165">
        <f>FO12</f>
        <v>-212059.5375221631</v>
      </c>
      <c r="FP43" s="160"/>
      <c r="FQ43" s="165">
        <f>FQ12</f>
        <v>-1773.9690804798565</v>
      </c>
      <c r="FR43" s="160"/>
      <c r="FS43" s="165">
        <f>FS12</f>
        <v>-1120.4967396507091</v>
      </c>
      <c r="FT43" s="160"/>
      <c r="FU43" s="165">
        <f>FU12</f>
        <v>-71327.917652749777</v>
      </c>
      <c r="FV43" s="160"/>
      <c r="FW43" s="165">
        <f>FW12</f>
        <v>-6250.9192250912929</v>
      </c>
      <c r="FX43" s="160"/>
      <c r="FY43" s="165">
        <f>FY12</f>
        <v>-52587.616508640582</v>
      </c>
      <c r="FZ43" s="160"/>
      <c r="GA43" s="165">
        <f>SUM(FO43:FY43)</f>
        <v>-345120.45672877529</v>
      </c>
      <c r="GB43" s="165"/>
      <c r="GC43" s="71"/>
      <c r="GD43" s="165">
        <f>GD12</f>
        <v>-233265.49127437943</v>
      </c>
      <c r="GE43" s="160"/>
      <c r="GF43" s="165">
        <f>GF12</f>
        <v>-1827.1881528942522</v>
      </c>
      <c r="GG43" s="160"/>
      <c r="GH43" s="165">
        <f>GH12</f>
        <v>-1232.54641361578</v>
      </c>
      <c r="GI43" s="160"/>
      <c r="GJ43" s="165">
        <f>GJ12</f>
        <v>-78460.709418024766</v>
      </c>
      <c r="GK43" s="160"/>
      <c r="GL43" s="165">
        <f>GL12</f>
        <v>-6876.0111476004222</v>
      </c>
      <c r="GM43" s="160"/>
      <c r="GN43" s="165">
        <f>GN12</f>
        <v>-57846.378159504638</v>
      </c>
      <c r="GO43" s="160"/>
      <c r="GP43" s="165">
        <f>SUM(GD43:GN43)</f>
        <v>-379508.32456601929</v>
      </c>
      <c r="GQ43" s="165"/>
      <c r="GR43" s="71"/>
      <c r="GS43" s="165">
        <f>GS12</f>
        <v>-256592.04040181736</v>
      </c>
      <c r="GT43" s="160"/>
      <c r="GU43" s="165">
        <f>GU12</f>
        <v>-1882.00379748108</v>
      </c>
      <c r="GV43" s="160"/>
      <c r="GW43" s="165">
        <f>GW12</f>
        <v>-1355.8010549773578</v>
      </c>
      <c r="GX43" s="160"/>
      <c r="GY43" s="165">
        <f>GY12</f>
        <v>-86306.780359827244</v>
      </c>
      <c r="GZ43" s="160"/>
      <c r="HA43" s="165">
        <f>HA12</f>
        <v>-7563.6122623604633</v>
      </c>
      <c r="HB43" s="160"/>
      <c r="HC43" s="165">
        <f>HC12</f>
        <v>-63631.015975455099</v>
      </c>
      <c r="HD43" s="160"/>
      <c r="HE43" s="165">
        <f>SUM(GS43:HC43)</f>
        <v>-417331.25385191862</v>
      </c>
      <c r="HF43" s="165"/>
      <c r="HG43" s="71"/>
      <c r="HH43" s="174">
        <f>HH12</f>
        <v>-282251.24444199912</v>
      </c>
      <c r="HI43" s="173"/>
      <c r="HJ43" s="174">
        <f>HJ12</f>
        <v>-1938.4639114055126</v>
      </c>
      <c r="HK43" s="173"/>
      <c r="HL43" s="165">
        <f>HL12</f>
        <v>-1491.3811604750936</v>
      </c>
      <c r="HM43" s="173"/>
      <c r="HN43" s="174">
        <f>HN12</f>
        <v>-94937.458395809954</v>
      </c>
      <c r="HO43" s="173"/>
      <c r="HP43" s="174">
        <f>HP12</f>
        <v>-8319.9734885965099</v>
      </c>
      <c r="HQ43" s="173"/>
      <c r="HR43" s="174">
        <f>HR12</f>
        <v>-69994.117573000607</v>
      </c>
      <c r="HS43" s="173"/>
      <c r="HT43" s="175">
        <f>SUM(HH43:HR43)</f>
        <v>-458932.63897128683</v>
      </c>
      <c r="HU43" s="174"/>
      <c r="HV43"/>
      <c r="HX43" s="64" t="str">
        <f t="shared" ref="HX43" si="64">HX12</f>
        <v>Material</v>
      </c>
      <c r="HY43" s="6"/>
      <c r="HZ43" s="169">
        <f>HZ12</f>
        <v>-48805</v>
      </c>
      <c r="IA43" s="169">
        <f t="shared" ref="IA43:IA45" si="65">+R43</f>
        <v>-41521.73080864318</v>
      </c>
      <c r="IB43" s="169">
        <f t="shared" ref="IB43:IB45" si="66">+AG43</f>
        <v>-133694.93385999993</v>
      </c>
      <c r="IC43" s="169">
        <f t="shared" ref="IC43:IC45" si="67">+AV43</f>
        <v>-146972.02727413992</v>
      </c>
      <c r="ID43" s="169">
        <f t="shared" ref="ID43:ID45" si="68">+BK43</f>
        <v>-161574.05803053809</v>
      </c>
      <c r="IE43" s="169">
        <f t="shared" ref="IE43:IE45" si="69">+BZ43</f>
        <v>-177633.43670344565</v>
      </c>
      <c r="IF43" s="169">
        <f t="shared" ref="IF43:IF45" si="70">+CO43</f>
        <v>-195295.81242973951</v>
      </c>
      <c r="IG43" s="169">
        <f t="shared" ref="IG43:IG45" si="71">+DD43</f>
        <v>-214721.39669034132</v>
      </c>
      <c r="IH43" s="169">
        <f t="shared" ref="IH43:IH45" si="72">+DS43</f>
        <v>-236086.41946753208</v>
      </c>
      <c r="II43" s="169">
        <f t="shared" ref="II43:II45" si="73">+EH43</f>
        <v>-259584.73101568667</v>
      </c>
      <c r="IJ43" s="169">
        <f t="shared" ref="IJ43:IJ45" si="74">+EW43</f>
        <v>-285429.56380669872</v>
      </c>
      <c r="IK43" s="169">
        <f t="shared" ref="IK43:IK45" si="75">+FL43</f>
        <v>-313855.47066749528</v>
      </c>
      <c r="IL43" s="169">
        <f t="shared" ref="IL43:IL45" si="76">+GA43</f>
        <v>-345120.45672877529</v>
      </c>
      <c r="IM43" s="169">
        <f t="shared" ref="IM43:IM45" si="77">+GP43</f>
        <v>-379508.32456601929</v>
      </c>
      <c r="IN43" s="169">
        <f t="shared" ref="IN43:IN45" si="78">+HE43</f>
        <v>-417331.25385191862</v>
      </c>
      <c r="IO43" s="169">
        <f t="shared" ref="IO43:IO45" si="79">+HT43</f>
        <v>-458932.63897128683</v>
      </c>
    </row>
    <row r="44" spans="2:249" s="65" customFormat="1" ht="19.2" hidden="1" customHeight="1" outlineLevel="1">
      <c r="B44" s="170" t="s">
        <v>216</v>
      </c>
      <c r="C44" s="165">
        <v>-7413</v>
      </c>
      <c r="D44" s="165"/>
      <c r="E44" s="71"/>
      <c r="F44" s="165">
        <f>F15</f>
        <v>-6347.410768559952</v>
      </c>
      <c r="G44" s="160"/>
      <c r="H44" s="165">
        <f t="shared" ref="H44:P44" si="80">H15</f>
        <v>-2863.4351821911978</v>
      </c>
      <c r="I44" s="160"/>
      <c r="J44" s="165">
        <f t="shared" ref="J44" si="81">J15</f>
        <v>-46</v>
      </c>
      <c r="K44" s="160"/>
      <c r="L44" s="165">
        <f t="shared" si="80"/>
        <v>-135</v>
      </c>
      <c r="M44" s="160"/>
      <c r="N44" s="165">
        <f t="shared" si="80"/>
        <v>-72</v>
      </c>
      <c r="O44" s="160"/>
      <c r="P44" s="165">
        <f t="shared" si="80"/>
        <v>-78.83775258414083</v>
      </c>
      <c r="Q44" s="160"/>
      <c r="R44" s="165">
        <f>SUM(F44:P44)</f>
        <v>-9542.6837033352913</v>
      </c>
      <c r="S44" s="160">
        <f>R44/R39</f>
        <v>-7.2144391713080819E-2</v>
      </c>
      <c r="T44" s="71"/>
      <c r="U44" s="165">
        <f>U15</f>
        <v>-2976.9400499999997</v>
      </c>
      <c r="V44" s="160"/>
      <c r="W44" s="165">
        <f t="shared" ref="W44" si="82">W15</f>
        <v>-1238.3039996944449</v>
      </c>
      <c r="X44" s="160"/>
      <c r="Y44" s="165">
        <f t="shared" ref="Y44" si="83">Y15</f>
        <v>-113.63636396753924</v>
      </c>
      <c r="Z44" s="160"/>
      <c r="AA44" s="165">
        <f t="shared" ref="AA44" si="84">AA15</f>
        <v>0</v>
      </c>
      <c r="AB44" s="160"/>
      <c r="AC44" s="165">
        <f t="shared" ref="AC44" si="85">AC15</f>
        <v>-301.5</v>
      </c>
      <c r="AD44" s="160"/>
      <c r="AE44" s="165">
        <f t="shared" ref="AE44" si="86">AE15</f>
        <v>-76.363636338016548</v>
      </c>
      <c r="AF44" s="160"/>
      <c r="AG44" s="165">
        <f t="shared" si="63"/>
        <v>-4706.7440500000002</v>
      </c>
      <c r="AH44" s="165"/>
      <c r="AI44" s="71"/>
      <c r="AJ44" s="165">
        <f>AJ15</f>
        <v>-3274.6340549999991</v>
      </c>
      <c r="AK44" s="160"/>
      <c r="AL44" s="165">
        <f>AL15</f>
        <v>-1275.4531196852784</v>
      </c>
      <c r="AM44" s="160"/>
      <c r="AN44" s="165">
        <f>AN15</f>
        <v>-125.00000036429316</v>
      </c>
      <c r="AO44" s="160"/>
      <c r="AP44" s="165">
        <f>AP15</f>
        <v>0</v>
      </c>
      <c r="AQ44" s="160"/>
      <c r="AR44" s="165">
        <f>AR15</f>
        <v>-331.65000000000003</v>
      </c>
      <c r="AS44" s="160"/>
      <c r="AT44" s="165">
        <f>AT15</f>
        <v>-83.999999971818198</v>
      </c>
      <c r="AU44" s="160"/>
      <c r="AV44" s="165">
        <f>SUM(AJ44:AT44)</f>
        <v>-5090.7371750213888</v>
      </c>
      <c r="AW44" s="165"/>
      <c r="AX44" s="71"/>
      <c r="AY44" s="165">
        <f>AY15</f>
        <v>-3602.0974604999992</v>
      </c>
      <c r="AZ44" s="160"/>
      <c r="BA44" s="165">
        <f>BA15</f>
        <v>-1313.7167132758368</v>
      </c>
      <c r="BB44" s="160"/>
      <c r="BC44" s="165">
        <f>BC15</f>
        <v>-137.50000040072246</v>
      </c>
      <c r="BD44" s="160"/>
      <c r="BE44" s="165">
        <f>BE15</f>
        <v>0</v>
      </c>
      <c r="BF44" s="160"/>
      <c r="BG44" s="165">
        <f>BG15</f>
        <v>-364.815</v>
      </c>
      <c r="BH44" s="160"/>
      <c r="BI44" s="165">
        <f>BI15</f>
        <v>-92.399999969000021</v>
      </c>
      <c r="BJ44" s="160"/>
      <c r="BK44" s="165">
        <f>SUM(AY44:BI44)</f>
        <v>-5510.5291741455585</v>
      </c>
      <c r="BL44" s="165"/>
      <c r="BM44" s="71"/>
      <c r="BN44" s="165">
        <f>BN15</f>
        <v>-3962.3072065499991</v>
      </c>
      <c r="BO44" s="160"/>
      <c r="BP44" s="165">
        <f>BP15</f>
        <v>-1353.1282146741119</v>
      </c>
      <c r="BQ44" s="160"/>
      <c r="BR44" s="165">
        <f>BR15</f>
        <v>-151.25000044079474</v>
      </c>
      <c r="BS44" s="160"/>
      <c r="BT44" s="165">
        <f>BT15</f>
        <v>0</v>
      </c>
      <c r="BU44" s="160"/>
      <c r="BV44" s="165">
        <f>BV15</f>
        <v>-401.29649999999998</v>
      </c>
      <c r="BW44" s="160"/>
      <c r="BX44" s="165">
        <f>BX15</f>
        <v>-101.63999996590003</v>
      </c>
      <c r="BY44" s="160"/>
      <c r="BZ44" s="165">
        <f>SUM(BN44:BX44)</f>
        <v>-5969.6219216308054</v>
      </c>
      <c r="CA44" s="165"/>
      <c r="CB44" s="71"/>
      <c r="CC44" s="165">
        <f>CC15</f>
        <v>-4358.5379272049995</v>
      </c>
      <c r="CD44" s="160"/>
      <c r="CE44" s="165">
        <f>CE15</f>
        <v>-1393.7220611143352</v>
      </c>
      <c r="CF44" s="160"/>
      <c r="CG44" s="165">
        <f>CG15</f>
        <v>-166.37500048487419</v>
      </c>
      <c r="CH44" s="160"/>
      <c r="CI44" s="165">
        <f>CI15</f>
        <v>0</v>
      </c>
      <c r="CJ44" s="160"/>
      <c r="CK44" s="165">
        <f>CK15</f>
        <v>-441.42615000000001</v>
      </c>
      <c r="CL44" s="160"/>
      <c r="CM44" s="165">
        <f>CM15</f>
        <v>-111.80399996249004</v>
      </c>
      <c r="CN44" s="160"/>
      <c r="CO44" s="165">
        <f>SUM(CC44:CM44)</f>
        <v>-6471.8651387666987</v>
      </c>
      <c r="CP44" s="165"/>
      <c r="CQ44" s="71"/>
      <c r="CR44" s="165">
        <f>CR15</f>
        <v>-4794.3917199254993</v>
      </c>
      <c r="CS44" s="160"/>
      <c r="CT44" s="165">
        <f>CT15</f>
        <v>-1435.5337229477652</v>
      </c>
      <c r="CU44" s="160"/>
      <c r="CV44" s="165">
        <f>CV15</f>
        <v>-183.01250053336162</v>
      </c>
      <c r="CW44" s="160"/>
      <c r="CX44" s="165">
        <f>CX15</f>
        <v>0</v>
      </c>
      <c r="CY44" s="160"/>
      <c r="CZ44" s="165">
        <f>CZ15</f>
        <v>-485.56876500000004</v>
      </c>
      <c r="DA44" s="160"/>
      <c r="DB44" s="165">
        <f>DB15</f>
        <v>-122.98439995873905</v>
      </c>
      <c r="DC44" s="160"/>
      <c r="DD44" s="165">
        <f>SUM(CR44:DB44)</f>
        <v>-7021.491108365366</v>
      </c>
      <c r="DE44" s="165"/>
      <c r="DF44" s="71"/>
      <c r="DG44" s="165">
        <f>DG15</f>
        <v>-5273.830891918049</v>
      </c>
      <c r="DH44" s="160"/>
      <c r="DI44" s="165">
        <f>DI15</f>
        <v>-1478.5997346361983</v>
      </c>
      <c r="DJ44" s="160"/>
      <c r="DK44" s="165">
        <f>DK15</f>
        <v>-201.31375058669778</v>
      </c>
      <c r="DL44" s="160"/>
      <c r="DM44" s="165">
        <f>DM15</f>
        <v>0</v>
      </c>
      <c r="DN44" s="160"/>
      <c r="DO44" s="165">
        <f>DO15</f>
        <v>-534.12564150000003</v>
      </c>
      <c r="DP44" s="160"/>
      <c r="DQ44" s="165">
        <f>DQ15</f>
        <v>-135.28283995461294</v>
      </c>
      <c r="DR44" s="160"/>
      <c r="DS44" s="165">
        <f>SUM(DG44:DQ44)</f>
        <v>-7623.1528585955584</v>
      </c>
      <c r="DT44" s="165"/>
      <c r="DU44" s="71"/>
      <c r="DV44" s="165">
        <f>DV15</f>
        <v>-5801.2139811098541</v>
      </c>
      <c r="DW44" s="160"/>
      <c r="DX44" s="165">
        <f>DX15</f>
        <v>-1522.957726675284</v>
      </c>
      <c r="DY44" s="160"/>
      <c r="DZ44" s="165">
        <f>DZ15</f>
        <v>-221.44512564536754</v>
      </c>
      <c r="EA44" s="160"/>
      <c r="EB44" s="165">
        <f>EB15</f>
        <v>0</v>
      </c>
      <c r="EC44" s="160"/>
      <c r="ED44" s="165">
        <f>ED15</f>
        <v>-587.53820565000001</v>
      </c>
      <c r="EE44" s="160"/>
      <c r="EF44" s="165">
        <f>EF15</f>
        <v>-148.81112395007426</v>
      </c>
      <c r="EG44" s="160"/>
      <c r="EH44" s="165">
        <f>SUM(DV44:EF44)</f>
        <v>-8281.96616303058</v>
      </c>
      <c r="EI44" s="165"/>
      <c r="EJ44" s="71"/>
      <c r="EK44" s="165">
        <f>EK15</f>
        <v>-6381.3353792208391</v>
      </c>
      <c r="EL44" s="160"/>
      <c r="EM44" s="165">
        <f>EM15</f>
        <v>-1568.6464584755427</v>
      </c>
      <c r="EN44" s="160"/>
      <c r="EO44" s="165">
        <f>EO15</f>
        <v>-243.58963820990428</v>
      </c>
      <c r="EP44" s="160"/>
      <c r="EQ44" s="165">
        <f>EQ15</f>
        <v>0</v>
      </c>
      <c r="ER44" s="160"/>
      <c r="ES44" s="165">
        <f>ES15</f>
        <v>-646.29202621499996</v>
      </c>
      <c r="ET44" s="160"/>
      <c r="EU44" s="165">
        <f>EU15</f>
        <v>-163.69223634508168</v>
      </c>
      <c r="EV44" s="160"/>
      <c r="EW44" s="165">
        <f>SUM(EK44:EU44)</f>
        <v>-9003.5557384663662</v>
      </c>
      <c r="EX44" s="165"/>
      <c r="EY44" s="71"/>
      <c r="EZ44" s="165">
        <f>EZ15</f>
        <v>-7019.4689171429236</v>
      </c>
      <c r="FA44" s="160"/>
      <c r="FB44" s="165">
        <f>FB15</f>
        <v>-1615.7058522298089</v>
      </c>
      <c r="FC44" s="160"/>
      <c r="FD44" s="165">
        <f>FD15</f>
        <v>-267.94860203089473</v>
      </c>
      <c r="FE44" s="160"/>
      <c r="FF44" s="165">
        <f>FF15</f>
        <v>0</v>
      </c>
      <c r="FG44" s="160"/>
      <c r="FH44" s="165">
        <f>FH15</f>
        <v>-710.92122883649995</v>
      </c>
      <c r="FI44" s="160"/>
      <c r="FJ44" s="165">
        <f>FJ15</f>
        <v>-180.06145997958984</v>
      </c>
      <c r="FK44" s="160"/>
      <c r="FL44" s="165">
        <f>SUM(EZ44:FJ44)</f>
        <v>-9794.1060602197158</v>
      </c>
      <c r="FM44" s="165"/>
      <c r="FN44" s="71"/>
      <c r="FO44" s="165">
        <f>FO15</f>
        <v>-7721.4158088572158</v>
      </c>
      <c r="FP44" s="160"/>
      <c r="FQ44" s="165">
        <f>FQ15</f>
        <v>-1664.177027796703</v>
      </c>
      <c r="FR44" s="160"/>
      <c r="FS44" s="165">
        <f>FS15</f>
        <v>-294.74346223398413</v>
      </c>
      <c r="FT44" s="160"/>
      <c r="FU44" s="165">
        <f>FU15</f>
        <v>0</v>
      </c>
      <c r="FV44" s="160"/>
      <c r="FW44" s="165">
        <f>FW15</f>
        <v>-782.0133517201499</v>
      </c>
      <c r="FX44" s="160"/>
      <c r="FY44" s="165">
        <f>FY15</f>
        <v>-198.06760597754885</v>
      </c>
      <c r="FZ44" s="160"/>
      <c r="GA44" s="165">
        <f>SUM(FO44:FY44)</f>
        <v>-10660.417256585602</v>
      </c>
      <c r="GB44" s="165"/>
      <c r="GC44" s="71"/>
      <c r="GD44" s="165">
        <f>GD15</f>
        <v>-8493.5573897429367</v>
      </c>
      <c r="GE44" s="160"/>
      <c r="GF44" s="165">
        <f>GF15</f>
        <v>-1714.1023386306042</v>
      </c>
      <c r="GG44" s="160"/>
      <c r="GH44" s="165">
        <f>GH15</f>
        <v>-324.2178084573826</v>
      </c>
      <c r="GI44" s="160"/>
      <c r="GJ44" s="165">
        <f>GJ15</f>
        <v>0</v>
      </c>
      <c r="GK44" s="160"/>
      <c r="GL44" s="165">
        <f>GL15</f>
        <v>-860.21468689216488</v>
      </c>
      <c r="GM44" s="160"/>
      <c r="GN44" s="165">
        <f>GN15</f>
        <v>-217.87436657530372</v>
      </c>
      <c r="GO44" s="160"/>
      <c r="GP44" s="165">
        <f>SUM(GD44:GN44)</f>
        <v>-11609.966590298392</v>
      </c>
      <c r="GQ44" s="165"/>
      <c r="GR44" s="71"/>
      <c r="GS44" s="165">
        <f>GS15</f>
        <v>-9342.9131287172313</v>
      </c>
      <c r="GT44" s="160"/>
      <c r="GU44" s="165">
        <f>GU15</f>
        <v>-1765.5254087895225</v>
      </c>
      <c r="GV44" s="160"/>
      <c r="GW44" s="165">
        <f>GW15</f>
        <v>-356.63958930312083</v>
      </c>
      <c r="GX44" s="160"/>
      <c r="GY44" s="165">
        <f>GY15</f>
        <v>0</v>
      </c>
      <c r="GZ44" s="160"/>
      <c r="HA44" s="165">
        <f>HA15</f>
        <v>-946.23615558138135</v>
      </c>
      <c r="HB44" s="160"/>
      <c r="HC44" s="165">
        <f>HC15</f>
        <v>-239.66180323283407</v>
      </c>
      <c r="HD44" s="160"/>
      <c r="HE44" s="165">
        <f>SUM(GS44:HC44)</f>
        <v>-12650.97608562409</v>
      </c>
      <c r="HF44" s="165"/>
      <c r="HG44" s="71"/>
      <c r="HH44" s="174">
        <f>HH15</f>
        <v>-10277.204441588954</v>
      </c>
      <c r="HI44" s="173"/>
      <c r="HJ44" s="174">
        <f>HJ15</f>
        <v>-1818.4911710532083</v>
      </c>
      <c r="HK44" s="173"/>
      <c r="HL44" s="165">
        <f>HL15</f>
        <v>-392.30354823343288</v>
      </c>
      <c r="HM44" s="173"/>
      <c r="HN44" s="174">
        <f>HN15</f>
        <v>0</v>
      </c>
      <c r="HO44" s="173"/>
      <c r="HP44" s="174">
        <f>HP15</f>
        <v>-1040.8597711395194</v>
      </c>
      <c r="HQ44" s="173"/>
      <c r="HR44" s="174">
        <f>HR15</f>
        <v>-263.6279835561175</v>
      </c>
      <c r="HS44" s="173"/>
      <c r="HT44" s="175">
        <f>SUM(HH44:HR44)</f>
        <v>-13792.486915571233</v>
      </c>
      <c r="HU44" s="174"/>
      <c r="HV44"/>
      <c r="HX44" s="64" t="str">
        <f>HX15</f>
        <v>Outsourcing</v>
      </c>
      <c r="HY44" s="6"/>
      <c r="HZ44" s="169">
        <f>HZ15</f>
        <v>-9308</v>
      </c>
      <c r="IA44" s="169">
        <f t="shared" si="65"/>
        <v>-9542.6837033352913</v>
      </c>
      <c r="IB44" s="169">
        <f t="shared" si="66"/>
        <v>-4706.7440500000002</v>
      </c>
      <c r="IC44" s="169">
        <f t="shared" si="67"/>
        <v>-5090.7371750213888</v>
      </c>
      <c r="ID44" s="169">
        <f t="shared" si="68"/>
        <v>-5510.5291741455585</v>
      </c>
      <c r="IE44" s="169">
        <f t="shared" si="69"/>
        <v>-5969.6219216308054</v>
      </c>
      <c r="IF44" s="169">
        <f t="shared" si="70"/>
        <v>-6471.8651387666987</v>
      </c>
      <c r="IG44" s="169">
        <f t="shared" si="71"/>
        <v>-7021.491108365366</v>
      </c>
      <c r="IH44" s="169">
        <f t="shared" si="72"/>
        <v>-7623.1528585955584</v>
      </c>
      <c r="II44" s="169">
        <f t="shared" si="73"/>
        <v>-8281.96616303058</v>
      </c>
      <c r="IJ44" s="169">
        <f t="shared" si="74"/>
        <v>-9003.5557384663662</v>
      </c>
      <c r="IK44" s="169">
        <f t="shared" si="75"/>
        <v>-9794.1060602197158</v>
      </c>
      <c r="IL44" s="169">
        <f t="shared" si="76"/>
        <v>-10660.417256585602</v>
      </c>
      <c r="IM44" s="169">
        <f t="shared" si="77"/>
        <v>-11609.966590298392</v>
      </c>
      <c r="IN44" s="169">
        <f t="shared" si="78"/>
        <v>-12650.97608562409</v>
      </c>
      <c r="IO44" s="169">
        <f t="shared" si="79"/>
        <v>-13792.486915571233</v>
      </c>
    </row>
    <row r="45" spans="2:249" s="65" customFormat="1" ht="19.2" hidden="1" customHeight="1" outlineLevel="1">
      <c r="B45" s="170" t="s">
        <v>309</v>
      </c>
      <c r="C45" s="165">
        <v>-25662</v>
      </c>
      <c r="D45" s="165"/>
      <c r="E45" s="71"/>
      <c r="F45" s="165">
        <f t="shared" ref="F45:P45" si="87">F14</f>
        <v>-6514.2388363193495</v>
      </c>
      <c r="G45" s="160"/>
      <c r="H45" s="165">
        <f t="shared" si="87"/>
        <v>-7143.262527742324</v>
      </c>
      <c r="I45" s="160"/>
      <c r="J45" s="165">
        <f t="shared" ref="J45" si="88">J14</f>
        <v>-230</v>
      </c>
      <c r="K45" s="160"/>
      <c r="L45" s="165">
        <f t="shared" si="87"/>
        <v>-90</v>
      </c>
      <c r="M45" s="160"/>
      <c r="N45" s="165">
        <f t="shared" si="87"/>
        <v>-252.00000000000003</v>
      </c>
      <c r="O45" s="160"/>
      <c r="P45" s="165">
        <f t="shared" si="87"/>
        <v>-160</v>
      </c>
      <c r="Q45" s="160"/>
      <c r="R45" s="165">
        <f>SUM(F45:P45)</f>
        <v>-14389.501364061674</v>
      </c>
      <c r="S45" s="160">
        <f>R45/R39</f>
        <v>-0.10878719815495291</v>
      </c>
      <c r="T45" s="71"/>
      <c r="U45" s="165">
        <f t="shared" ref="U45" si="89">U14</f>
        <v>-4392.0000000000055</v>
      </c>
      <c r="V45" s="160"/>
      <c r="W45" s="165">
        <f t="shared" ref="W45" si="90">W14</f>
        <v>-1319.9995980000001</v>
      </c>
      <c r="X45" s="160"/>
      <c r="Y45" s="165">
        <f t="shared" ref="Y45" si="91">Y14</f>
        <v>-1871.9999948000004</v>
      </c>
      <c r="Z45" s="160"/>
      <c r="AA45" s="165">
        <f t="shared" ref="AA45" si="92">AA14</f>
        <v>-2799.9999972000005</v>
      </c>
      <c r="AB45" s="160"/>
      <c r="AC45" s="165">
        <f t="shared" ref="AC45" si="93">AC14</f>
        <v>-880.00000319999992</v>
      </c>
      <c r="AD45" s="160"/>
      <c r="AE45" s="165">
        <f t="shared" ref="AE45" si="94">AE14</f>
        <v>-3655.9711467999928</v>
      </c>
      <c r="AF45" s="160"/>
      <c r="AG45" s="165">
        <f t="shared" si="63"/>
        <v>-14919.970740000001</v>
      </c>
      <c r="AH45" s="165"/>
      <c r="AI45" s="71"/>
      <c r="AJ45" s="165">
        <f>AJ14</f>
        <v>-4831.2000000000062</v>
      </c>
      <c r="AK45" s="160"/>
      <c r="AL45" s="165">
        <f>AL14</f>
        <v>-1359.59958594</v>
      </c>
      <c r="AM45" s="160"/>
      <c r="AN45" s="165">
        <f>AN14</f>
        <v>-2059.1999942800003</v>
      </c>
      <c r="AO45" s="160"/>
      <c r="AP45" s="165">
        <f>AP14</f>
        <v>-3079.9999969200003</v>
      </c>
      <c r="AQ45" s="160"/>
      <c r="AR45" s="165">
        <f>AR14</f>
        <v>-968.00000351999995</v>
      </c>
      <c r="AS45" s="160"/>
      <c r="AT45" s="165">
        <f>AT14</f>
        <v>-4021.5682614799925</v>
      </c>
      <c r="AU45" s="160"/>
      <c r="AV45" s="165">
        <f>SUM(AJ45:AT45)</f>
        <v>-16319.567842139997</v>
      </c>
      <c r="AW45" s="165"/>
      <c r="AX45" s="71"/>
      <c r="AY45" s="165">
        <f>AY14</f>
        <v>-5314.3200000000061</v>
      </c>
      <c r="AZ45" s="160"/>
      <c r="BA45" s="165">
        <f>BA14</f>
        <v>-1400.3875735182</v>
      </c>
      <c r="BB45" s="160"/>
      <c r="BC45" s="165">
        <f>BC14</f>
        <v>-2265.1199937080005</v>
      </c>
      <c r="BD45" s="160"/>
      <c r="BE45" s="165">
        <f>BE14</f>
        <v>-3387.9999966120004</v>
      </c>
      <c r="BF45" s="160"/>
      <c r="BG45" s="165">
        <f>BG14</f>
        <v>-1064.8000038719997</v>
      </c>
      <c r="BH45" s="160"/>
      <c r="BI45" s="165">
        <f>BI14</f>
        <v>-4423.7250876279913</v>
      </c>
      <c r="BJ45" s="160"/>
      <c r="BK45" s="165">
        <f>SUM(AY45:BI45)</f>
        <v>-17856.3526553382</v>
      </c>
      <c r="BL45" s="165"/>
      <c r="BM45" s="71"/>
      <c r="BN45" s="165">
        <f>BN14</f>
        <v>-5845.7520000000077</v>
      </c>
      <c r="BO45" s="160"/>
      <c r="BP45" s="165">
        <f>BP14</f>
        <v>-1442.3992007237462</v>
      </c>
      <c r="BQ45" s="160"/>
      <c r="BR45" s="165">
        <f>BR14</f>
        <v>-2491.6319930788009</v>
      </c>
      <c r="BS45" s="160"/>
      <c r="BT45" s="165">
        <f>BT14</f>
        <v>-3726.7999962732001</v>
      </c>
      <c r="BU45" s="160"/>
      <c r="BV45" s="165">
        <f>BV14</f>
        <v>-1171.2800042591998</v>
      </c>
      <c r="BW45" s="160"/>
      <c r="BX45" s="165">
        <f>BX14</f>
        <v>-4866.0975963907913</v>
      </c>
      <c r="BY45" s="160"/>
      <c r="BZ45" s="165">
        <f>SUM(BN45:BX45)</f>
        <v>-19543.960790725745</v>
      </c>
      <c r="CA45" s="165"/>
      <c r="CB45" s="71"/>
      <c r="CC45" s="165">
        <f>CC14</f>
        <v>-6430.3272000000079</v>
      </c>
      <c r="CD45" s="160"/>
      <c r="CE45" s="165">
        <f>CE14</f>
        <v>-1485.6711767454585</v>
      </c>
      <c r="CF45" s="160"/>
      <c r="CG45" s="165">
        <f>CG14</f>
        <v>-2740.7951923866804</v>
      </c>
      <c r="CH45" s="160"/>
      <c r="CI45" s="165">
        <f>CI14</f>
        <v>-4099.4799959005204</v>
      </c>
      <c r="CJ45" s="160"/>
      <c r="CK45" s="165">
        <f>CK14</f>
        <v>-1288.4080046851197</v>
      </c>
      <c r="CL45" s="160"/>
      <c r="CM45" s="165">
        <f>CM14</f>
        <v>-5352.7073560298695</v>
      </c>
      <c r="CN45" s="160"/>
      <c r="CO45" s="165">
        <f>SUM(CC45:CM45)</f>
        <v>-21397.388925747659</v>
      </c>
      <c r="CP45" s="165"/>
      <c r="CQ45" s="71"/>
      <c r="CR45" s="165">
        <f>CR14</f>
        <v>-7316.7049068585111</v>
      </c>
      <c r="CS45" s="160"/>
      <c r="CT45" s="165">
        <f>CT14</f>
        <v>-1530.2413120478222</v>
      </c>
      <c r="CU45" s="160"/>
      <c r="CV45" s="165">
        <f>CV14</f>
        <v>-3014.8747116253485</v>
      </c>
      <c r="CW45" s="160"/>
      <c r="CX45" s="165">
        <f>CX14</f>
        <v>-4509.4279954905724</v>
      </c>
      <c r="CY45" s="160"/>
      <c r="CZ45" s="165">
        <f>CZ14</f>
        <v>-1417.2488051536318</v>
      </c>
      <c r="DA45" s="160"/>
      <c r="DB45" s="165">
        <f>DB14</f>
        <v>-5887.9780916328573</v>
      </c>
      <c r="DC45" s="160"/>
      <c r="DD45" s="165">
        <f>SUM(CR45:DB45)</f>
        <v>-23676.475822808745</v>
      </c>
      <c r="DE45" s="165"/>
      <c r="DF45" s="71"/>
      <c r="DG45" s="165">
        <f>DG14</f>
        <v>-8048.3753975443624</v>
      </c>
      <c r="DH45" s="160"/>
      <c r="DI45" s="165">
        <f>DI14</f>
        <v>-1576.1485514092569</v>
      </c>
      <c r="DJ45" s="160"/>
      <c r="DK45" s="165">
        <f>DK14</f>
        <v>-3316.3621827878833</v>
      </c>
      <c r="DL45" s="160"/>
      <c r="DM45" s="165">
        <f>DM14</f>
        <v>-4960.3707950396292</v>
      </c>
      <c r="DN45" s="160"/>
      <c r="DO45" s="165">
        <f>DO14</f>
        <v>-1558.9736856689951</v>
      </c>
      <c r="DP45" s="160"/>
      <c r="DQ45" s="165">
        <f>DQ14</f>
        <v>-3720.2780911421914</v>
      </c>
      <c r="DR45" s="160"/>
      <c r="DS45" s="165">
        <f>SUM(DG45:DQ45)</f>
        <v>-23180.508703592321</v>
      </c>
      <c r="DT45" s="165"/>
      <c r="DU45" s="71"/>
      <c r="DV45" s="165">
        <f>DV14</f>
        <v>-8853.2129372987984</v>
      </c>
      <c r="DW45" s="160"/>
      <c r="DX45" s="165">
        <f>DX14</f>
        <v>-1623.4330079515346</v>
      </c>
      <c r="DY45" s="160"/>
      <c r="DZ45" s="165">
        <f>DZ14</f>
        <v>-3647.9984010666717</v>
      </c>
      <c r="EA45" s="160"/>
      <c r="EB45" s="165">
        <f>EB14</f>
        <v>-5456.4078745435927</v>
      </c>
      <c r="EC45" s="160"/>
      <c r="ED45" s="165">
        <f>ED14</f>
        <v>-1714.8710542358945</v>
      </c>
      <c r="EE45" s="160"/>
      <c r="EF45" s="165">
        <f>EF14</f>
        <v>-4092.305900256411</v>
      </c>
      <c r="EG45" s="160"/>
      <c r="EH45" s="165">
        <f>SUM(DV45:EF45)</f>
        <v>-25388.229175352903</v>
      </c>
      <c r="EI45" s="165"/>
      <c r="EJ45" s="71"/>
      <c r="EK45" s="165">
        <f>EK14</f>
        <v>-9738.5342310286778</v>
      </c>
      <c r="EL45" s="160"/>
      <c r="EM45" s="165">
        <f>EM14</f>
        <v>-1672.1359981900805</v>
      </c>
      <c r="EN45" s="160"/>
      <c r="EO45" s="165">
        <f>EO14</f>
        <v>-4012.7982411733387</v>
      </c>
      <c r="EP45" s="160"/>
      <c r="EQ45" s="165">
        <f>EQ14</f>
        <v>-6002.048661997952</v>
      </c>
      <c r="ER45" s="160"/>
      <c r="ES45" s="165">
        <f>ES14</f>
        <v>-1886.358159659484</v>
      </c>
      <c r="ET45" s="160"/>
      <c r="EU45" s="165">
        <f>EU14</f>
        <v>-4501.536490282052</v>
      </c>
      <c r="EV45" s="160"/>
      <c r="EW45" s="165">
        <f>SUM(EK45:EU45)</f>
        <v>-27813.411782331586</v>
      </c>
      <c r="EX45" s="165"/>
      <c r="EY45" s="71"/>
      <c r="EZ45" s="165">
        <f>EZ14</f>
        <v>-10712.387654131546</v>
      </c>
      <c r="FA45" s="160"/>
      <c r="FB45" s="165">
        <f>FB14</f>
        <v>-1722.3000781357832</v>
      </c>
      <c r="FC45" s="160"/>
      <c r="FD45" s="165">
        <f>FD14</f>
        <v>-4414.0780652906724</v>
      </c>
      <c r="FE45" s="160"/>
      <c r="FF45" s="165">
        <f>FF14</f>
        <v>-6602.253528197748</v>
      </c>
      <c r="FG45" s="160"/>
      <c r="FH45" s="165">
        <f>FH14</f>
        <v>-2074.9939756254321</v>
      </c>
      <c r="FI45" s="160"/>
      <c r="FJ45" s="165">
        <f>FJ14</f>
        <v>-4951.6901393102571</v>
      </c>
      <c r="FK45" s="160"/>
      <c r="FL45" s="165">
        <f>SUM(EZ45:FJ45)</f>
        <v>-30477.703440691435</v>
      </c>
      <c r="FM45" s="165"/>
      <c r="FN45" s="71"/>
      <c r="FO45" s="165">
        <f>FO14</f>
        <v>-11783.6264195447</v>
      </c>
      <c r="FP45" s="160"/>
      <c r="FQ45" s="165">
        <f>FQ14</f>
        <v>-1773.9690804798565</v>
      </c>
      <c r="FR45" s="160"/>
      <c r="FS45" s="165">
        <f>FS14</f>
        <v>-4855.4858718197393</v>
      </c>
      <c r="FT45" s="160"/>
      <c r="FU45" s="165">
        <f>FU14</f>
        <v>-7262.4788810175223</v>
      </c>
      <c r="FV45" s="160"/>
      <c r="FW45" s="165">
        <f>FW14</f>
        <v>-2282.4933731879755</v>
      </c>
      <c r="FX45" s="160"/>
      <c r="FY45" s="165">
        <f>FY14</f>
        <v>-5446.8591532412829</v>
      </c>
      <c r="FZ45" s="160"/>
      <c r="GA45" s="165">
        <f>SUM(FO45:FY45)</f>
        <v>-33404.912779291073</v>
      </c>
      <c r="GB45" s="165"/>
      <c r="GC45" s="71"/>
      <c r="GD45" s="165">
        <f>GD14</f>
        <v>-12961.989061499169</v>
      </c>
      <c r="GE45" s="160"/>
      <c r="GF45" s="165">
        <f>GF14</f>
        <v>-1827.1881528942522</v>
      </c>
      <c r="GG45" s="160"/>
      <c r="GH45" s="165">
        <f>GH14</f>
        <v>-5341.034459001713</v>
      </c>
      <c r="GI45" s="160"/>
      <c r="GJ45" s="165">
        <f>GJ14</f>
        <v>-7988.7267691192746</v>
      </c>
      <c r="GK45" s="160"/>
      <c r="GL45" s="165">
        <f>GL14</f>
        <v>-2510.7427105067727</v>
      </c>
      <c r="GM45" s="160"/>
      <c r="GN45" s="165">
        <f>GN14</f>
        <v>-5991.5450685654114</v>
      </c>
      <c r="GO45" s="160"/>
      <c r="GP45" s="165">
        <f>SUM(GD45:GN45)</f>
        <v>-36621.226221586592</v>
      </c>
      <c r="GQ45" s="165"/>
      <c r="GR45" s="71"/>
      <c r="GS45" s="165">
        <f>GS14</f>
        <v>-14258.187967649088</v>
      </c>
      <c r="GT45" s="160"/>
      <c r="GU45" s="165">
        <f>GU14</f>
        <v>-1882.00379748108</v>
      </c>
      <c r="GV45" s="160"/>
      <c r="GW45" s="165">
        <f>GW14</f>
        <v>-5875.1379049018842</v>
      </c>
      <c r="GX45" s="160"/>
      <c r="GY45" s="165">
        <f>GY14</f>
        <v>-8787.5994460312031</v>
      </c>
      <c r="GZ45" s="160"/>
      <c r="HA45" s="165">
        <f>HA14</f>
        <v>-2761.8169815574502</v>
      </c>
      <c r="HB45" s="160"/>
      <c r="HC45" s="165">
        <f>HC14</f>
        <v>-6590.6995754219524</v>
      </c>
      <c r="HD45" s="160"/>
      <c r="HE45" s="165">
        <f>SUM(GS45:HC45)</f>
        <v>-40155.445673042661</v>
      </c>
      <c r="HF45" s="165"/>
      <c r="HG45" s="71"/>
      <c r="HH45" s="174">
        <f>HH14</f>
        <v>-15684.006764413996</v>
      </c>
      <c r="HI45" s="173"/>
      <c r="HJ45" s="174">
        <f>HJ14</f>
        <v>-1938.4639114055126</v>
      </c>
      <c r="HK45" s="173"/>
      <c r="HL45" s="165">
        <f>HL14</f>
        <v>-6462.6516953920727</v>
      </c>
      <c r="HM45" s="173"/>
      <c r="HN45" s="174">
        <f>HN14</f>
        <v>-9666.3593906343231</v>
      </c>
      <c r="HO45" s="173"/>
      <c r="HP45" s="174">
        <f>HP14</f>
        <v>-3037.9986797131946</v>
      </c>
      <c r="HQ45" s="173"/>
      <c r="HR45" s="174">
        <f>HR14</f>
        <v>-7249.7695329641474</v>
      </c>
      <c r="HS45" s="173"/>
      <c r="HT45" s="175">
        <f>SUM(HH45:HR45)</f>
        <v>-44039.249974523249</v>
      </c>
      <c r="HU45" s="174"/>
      <c r="HV45"/>
      <c r="HX45" s="64" t="str">
        <f t="shared" ref="HX45" si="95">HX14</f>
        <v>Others</v>
      </c>
      <c r="HY45" s="6"/>
      <c r="HZ45" s="169">
        <f>HZ14</f>
        <v>-29715</v>
      </c>
      <c r="IA45" s="169">
        <f t="shared" si="65"/>
        <v>-14389.501364061674</v>
      </c>
      <c r="IB45" s="169">
        <f t="shared" si="66"/>
        <v>-14919.970740000001</v>
      </c>
      <c r="IC45" s="169">
        <f t="shared" si="67"/>
        <v>-16319.567842139997</v>
      </c>
      <c r="ID45" s="169">
        <f t="shared" si="68"/>
        <v>-17856.3526553382</v>
      </c>
      <c r="IE45" s="169">
        <f t="shared" si="69"/>
        <v>-19543.960790725745</v>
      </c>
      <c r="IF45" s="169">
        <f t="shared" si="70"/>
        <v>-21397.388925747659</v>
      </c>
      <c r="IG45" s="169">
        <f t="shared" si="71"/>
        <v>-23676.475822808745</v>
      </c>
      <c r="IH45" s="169">
        <f t="shared" si="72"/>
        <v>-23180.508703592321</v>
      </c>
      <c r="II45" s="169">
        <f t="shared" si="73"/>
        <v>-25388.229175352903</v>
      </c>
      <c r="IJ45" s="169">
        <f t="shared" si="74"/>
        <v>-27813.411782331586</v>
      </c>
      <c r="IK45" s="169">
        <f t="shared" si="75"/>
        <v>-30477.703440691435</v>
      </c>
      <c r="IL45" s="169">
        <f t="shared" si="76"/>
        <v>-33404.912779291073</v>
      </c>
      <c r="IM45" s="169">
        <f t="shared" si="77"/>
        <v>-36621.226221586592</v>
      </c>
      <c r="IN45" s="169">
        <f t="shared" si="78"/>
        <v>-40155.445673042661</v>
      </c>
      <c r="IO45" s="169">
        <f t="shared" si="79"/>
        <v>-44039.249974523249</v>
      </c>
    </row>
    <row r="46" spans="2:249" hidden="1" outlineLevel="1">
      <c r="B46" s="159" t="s">
        <v>311</v>
      </c>
      <c r="E46" s="71"/>
      <c r="G46" s="160"/>
      <c r="I46" s="160"/>
      <c r="K46" s="160"/>
      <c r="M46" s="160"/>
      <c r="O46" s="160"/>
      <c r="Q46" s="160"/>
      <c r="T46" s="71"/>
      <c r="U46" s="165">
        <f>+U16</f>
        <v>-15700.000010000002</v>
      </c>
      <c r="W46" s="165">
        <f>+W16</f>
        <v>0</v>
      </c>
      <c r="Y46" s="165">
        <f>+Y16</f>
        <v>0</v>
      </c>
      <c r="AA46" s="165">
        <f>+AA16</f>
        <v>0</v>
      </c>
      <c r="AC46" s="165">
        <f>+AC16</f>
        <v>0</v>
      </c>
      <c r="AE46" s="165">
        <f>+AE16</f>
        <v>0</v>
      </c>
      <c r="AG46" s="165">
        <f t="shared" si="63"/>
        <v>-15700.000010000002</v>
      </c>
      <c r="AI46" s="71"/>
      <c r="AJ46" s="165">
        <f>+AJ16</f>
        <v>-17270.000011</v>
      </c>
      <c r="AL46" s="165">
        <f>+AL16</f>
        <v>0</v>
      </c>
      <c r="AN46" s="165">
        <f>+AN16</f>
        <v>0</v>
      </c>
      <c r="AP46" s="165">
        <f>+AP16</f>
        <v>0</v>
      </c>
      <c r="AR46" s="165">
        <f>+AR16</f>
        <v>0</v>
      </c>
      <c r="AT46" s="165">
        <f>+AT16</f>
        <v>0</v>
      </c>
      <c r="AV46" s="165">
        <f>SUM(AJ46:AT46)</f>
        <v>-17270.000011</v>
      </c>
      <c r="AX46" s="71"/>
      <c r="AY46" s="165">
        <f>+AY16</f>
        <v>-18997.000012100001</v>
      </c>
      <c r="BA46" s="165">
        <f>+BA16</f>
        <v>0</v>
      </c>
      <c r="BC46" s="165">
        <f>+BC16</f>
        <v>0</v>
      </c>
      <c r="BE46" s="165">
        <f>+BE16</f>
        <v>0</v>
      </c>
      <c r="BG46" s="165">
        <f>+BG16</f>
        <v>0</v>
      </c>
      <c r="BI46" s="165">
        <f>+BI16</f>
        <v>0</v>
      </c>
      <c r="BK46" s="165">
        <f>SUM(AY46:BI46)</f>
        <v>-18997.000012100001</v>
      </c>
      <c r="BM46" s="71"/>
      <c r="BN46" s="165">
        <f>+BN16</f>
        <v>-20896.700013310001</v>
      </c>
      <c r="BP46" s="165">
        <f>+BP16</f>
        <v>0</v>
      </c>
      <c r="BR46" s="165">
        <f>+BR16</f>
        <v>0</v>
      </c>
      <c r="BT46" s="165">
        <f>+BT16</f>
        <v>0</v>
      </c>
      <c r="BV46" s="165">
        <f>+BV16</f>
        <v>0</v>
      </c>
      <c r="BX46" s="165">
        <f>+BX16</f>
        <v>0</v>
      </c>
      <c r="BZ46" s="165">
        <f>SUM(BN46:BX46)</f>
        <v>-20896.700013310001</v>
      </c>
      <c r="CB46" s="71"/>
      <c r="CC46" s="165">
        <f>+CC16</f>
        <v>-22986.370014641001</v>
      </c>
      <c r="CE46" s="165">
        <f>+CE16</f>
        <v>0</v>
      </c>
      <c r="CG46" s="165">
        <f>+CG16</f>
        <v>0</v>
      </c>
      <c r="CI46" s="165">
        <f>+CI16</f>
        <v>0</v>
      </c>
      <c r="CK46" s="165">
        <f>+CK16</f>
        <v>0</v>
      </c>
      <c r="CM46" s="165">
        <f>+CM16</f>
        <v>0</v>
      </c>
      <c r="CO46" s="165">
        <f>SUM(CC46:CM46)</f>
        <v>-22986.370014641001</v>
      </c>
      <c r="CQ46" s="71"/>
      <c r="CR46" s="165">
        <f>+CR16</f>
        <v>-25285.007016105101</v>
      </c>
      <c r="CT46" s="165">
        <f>+CT16</f>
        <v>0</v>
      </c>
      <c r="CV46" s="165">
        <f>+CV16</f>
        <v>0</v>
      </c>
      <c r="CX46" s="165">
        <f>+CX16</f>
        <v>0</v>
      </c>
      <c r="CZ46" s="165">
        <f>+CZ16</f>
        <v>0</v>
      </c>
      <c r="DB46" s="165">
        <f>+DB16</f>
        <v>0</v>
      </c>
      <c r="DD46" s="165">
        <f>SUM(CR46:DB46)</f>
        <v>-25285.007016105101</v>
      </c>
      <c r="DF46" s="71"/>
      <c r="DG46" s="165">
        <f>+DG16</f>
        <v>-27813.507717715609</v>
      </c>
      <c r="DI46" s="165">
        <f>+DI16</f>
        <v>0</v>
      </c>
      <c r="DK46" s="165">
        <f>+DK16</f>
        <v>0</v>
      </c>
      <c r="DM46" s="165">
        <f>+DM16</f>
        <v>0</v>
      </c>
      <c r="DO46" s="165">
        <f>+DO16</f>
        <v>0</v>
      </c>
      <c r="DQ46" s="165">
        <f>+DQ16</f>
        <v>0</v>
      </c>
      <c r="DS46" s="165">
        <f>SUM(DG46:DQ46)</f>
        <v>-27813.507717715609</v>
      </c>
      <c r="DU46" s="71"/>
      <c r="DV46" s="165">
        <f>+DV16</f>
        <v>-30594.858489487175</v>
      </c>
      <c r="DX46" s="165">
        <f>+DX16</f>
        <v>0</v>
      </c>
      <c r="DZ46" s="165">
        <f>+DZ16</f>
        <v>0</v>
      </c>
      <c r="EB46" s="165">
        <f>+EB16</f>
        <v>0</v>
      </c>
      <c r="ED46" s="165">
        <f>+ED16</f>
        <v>0</v>
      </c>
      <c r="EF46" s="165">
        <f>+EF16</f>
        <v>0</v>
      </c>
      <c r="EH46" s="165">
        <f>SUM(DV46:EF46)</f>
        <v>-30594.858489487175</v>
      </c>
      <c r="EJ46" s="71"/>
      <c r="EK46" s="165">
        <f>+EK16</f>
        <v>-33654.344338435891</v>
      </c>
      <c r="EM46" s="165">
        <f>+EM16</f>
        <v>0</v>
      </c>
      <c r="EO46" s="165">
        <f>+EO16</f>
        <v>0</v>
      </c>
      <c r="EQ46" s="165">
        <f>+EQ16</f>
        <v>0</v>
      </c>
      <c r="ES46" s="165">
        <f>+ES16</f>
        <v>0</v>
      </c>
      <c r="EU46" s="165">
        <f>+EU16</f>
        <v>0</v>
      </c>
      <c r="EW46" s="165">
        <f>SUM(EK46:EU46)</f>
        <v>-33654.344338435891</v>
      </c>
      <c r="EY46" s="71"/>
      <c r="EZ46" s="165">
        <f>+EZ16</f>
        <v>-37019.778772279475</v>
      </c>
      <c r="FB46" s="165">
        <f>+FB16</f>
        <v>0</v>
      </c>
      <c r="FD46" s="165">
        <f>+FD16</f>
        <v>0</v>
      </c>
      <c r="FF46" s="165">
        <f>+FF16</f>
        <v>0</v>
      </c>
      <c r="FH46" s="165">
        <f>+FH16</f>
        <v>0</v>
      </c>
      <c r="FJ46" s="165">
        <f>+FJ16</f>
        <v>0</v>
      </c>
      <c r="FL46" s="165">
        <f>SUM(EZ46:FJ46)</f>
        <v>-37019.778772279475</v>
      </c>
      <c r="FN46" s="71"/>
      <c r="FO46" s="165">
        <f>+FO16</f>
        <v>-40721.756649507428</v>
      </c>
      <c r="FQ46" s="165">
        <f>+FQ16</f>
        <v>0</v>
      </c>
      <c r="FS46" s="165">
        <f>+FS16</f>
        <v>0</v>
      </c>
      <c r="FU46" s="165">
        <f>+FU16</f>
        <v>0</v>
      </c>
      <c r="FW46" s="165">
        <f>+FW16</f>
        <v>0</v>
      </c>
      <c r="FY46" s="165">
        <f>+FY16</f>
        <v>0</v>
      </c>
      <c r="GA46" s="165">
        <f>SUM(FO46:FY46)</f>
        <v>-40721.756649507428</v>
      </c>
      <c r="GC46" s="71"/>
      <c r="GD46" s="165">
        <f>+GD16</f>
        <v>-44793.932314458165</v>
      </c>
      <c r="GF46" s="165">
        <f>+GF16</f>
        <v>0</v>
      </c>
      <c r="GH46" s="165">
        <f>+GH16</f>
        <v>0</v>
      </c>
      <c r="GJ46" s="165">
        <f>+GJ16</f>
        <v>0</v>
      </c>
      <c r="GL46" s="165">
        <f>+GL16</f>
        <v>0</v>
      </c>
      <c r="GN46" s="165">
        <f>+GN16</f>
        <v>0</v>
      </c>
      <c r="GP46" s="165">
        <f>SUM(GD46:GN46)</f>
        <v>-44793.932314458165</v>
      </c>
      <c r="GR46" s="71"/>
      <c r="GS46" s="165">
        <f>+GS16</f>
        <v>-49273.325545903986</v>
      </c>
      <c r="GU46" s="165">
        <f>+GU16</f>
        <v>0</v>
      </c>
      <c r="GW46" s="165">
        <f>+GW16</f>
        <v>0</v>
      </c>
      <c r="GY46" s="165">
        <f>+GY16</f>
        <v>0</v>
      </c>
      <c r="HA46" s="165">
        <f>+HA16</f>
        <v>0</v>
      </c>
      <c r="HC46" s="165">
        <f>+HC16</f>
        <v>0</v>
      </c>
      <c r="HE46" s="165">
        <f>SUM(GS46:HC46)</f>
        <v>-49273.325545903986</v>
      </c>
      <c r="HG46" s="71"/>
      <c r="HH46" s="165">
        <f>+HH16</f>
        <v>-54200.65810049438</v>
      </c>
      <c r="HJ46" s="165">
        <f>+HJ16</f>
        <v>0</v>
      </c>
      <c r="HL46" s="165">
        <f>+HL16</f>
        <v>0</v>
      </c>
      <c r="HN46" s="165">
        <f>+HN16</f>
        <v>0</v>
      </c>
      <c r="HP46" s="165">
        <f>+HP16</f>
        <v>0</v>
      </c>
      <c r="HR46" s="165">
        <f>+HR16</f>
        <v>0</v>
      </c>
      <c r="HT46" s="165">
        <f>SUM(HH46:HR46)</f>
        <v>-54200.65810049438</v>
      </c>
      <c r="HX46" s="159" t="s">
        <v>311</v>
      </c>
      <c r="HZ46" s="165"/>
      <c r="IA46" s="165">
        <f>+IA16</f>
        <v>0</v>
      </c>
      <c r="IB46" s="165">
        <f>+IB16</f>
        <v>-15700.000010000002</v>
      </c>
      <c r="IC46" s="165">
        <f>+IC16</f>
        <v>-17269.896337253398</v>
      </c>
      <c r="ID46" s="165">
        <f t="shared" ref="ID46:IO46" si="96">+ID16</f>
        <v>-18996.896338353399</v>
      </c>
      <c r="IE46" s="165">
        <f t="shared" si="96"/>
        <v>-20896.596339563399</v>
      </c>
      <c r="IF46" s="165">
        <f t="shared" si="96"/>
        <v>-22986.266340894399</v>
      </c>
      <c r="IG46" s="165">
        <f t="shared" si="96"/>
        <v>-25284.903342358499</v>
      </c>
      <c r="IH46" s="165">
        <f t="shared" si="96"/>
        <v>-27813.404043969007</v>
      </c>
      <c r="II46" s="165">
        <f t="shared" si="96"/>
        <v>-30594.754815740573</v>
      </c>
      <c r="IJ46" s="165">
        <f t="shared" si="96"/>
        <v>-33654.240664689285</v>
      </c>
      <c r="IK46" s="165">
        <f t="shared" si="96"/>
        <v>-37019.675098532869</v>
      </c>
      <c r="IL46" s="165">
        <f t="shared" si="96"/>
        <v>-40721.652975760822</v>
      </c>
      <c r="IM46" s="165">
        <f t="shared" si="96"/>
        <v>-44793.828640711559</v>
      </c>
      <c r="IN46" s="165">
        <f t="shared" si="96"/>
        <v>-49273.221872157381</v>
      </c>
      <c r="IO46" s="165">
        <f t="shared" si="96"/>
        <v>-54200.554426747774</v>
      </c>
    </row>
    <row r="47" spans="2:249" hidden="1">
      <c r="B47" s="159"/>
      <c r="C47" s="159"/>
      <c r="D47" s="159"/>
      <c r="E47" s="71"/>
      <c r="F47" s="159"/>
      <c r="G47" s="160"/>
      <c r="H47" s="159"/>
      <c r="I47" s="160"/>
      <c r="J47" s="159"/>
      <c r="K47" s="159"/>
      <c r="L47" s="159"/>
      <c r="M47" s="159"/>
      <c r="N47" s="161"/>
      <c r="O47" s="159"/>
      <c r="P47" s="159"/>
      <c r="Q47" s="159"/>
      <c r="R47" s="176"/>
      <c r="T47" s="71"/>
      <c r="U47" s="159"/>
      <c r="V47" s="160"/>
      <c r="W47" s="159"/>
      <c r="X47" s="160"/>
      <c r="Y47" s="159"/>
      <c r="Z47" s="159"/>
      <c r="AA47" s="159"/>
      <c r="AB47" s="159"/>
      <c r="AC47" s="161"/>
      <c r="AD47" s="159"/>
      <c r="AE47" s="159"/>
      <c r="AF47" s="159"/>
      <c r="AG47" s="176"/>
      <c r="AH47" s="176"/>
      <c r="AI47" s="71"/>
      <c r="AJ47" s="159"/>
      <c r="AK47" s="160"/>
      <c r="AL47" s="159"/>
      <c r="AM47" s="160"/>
      <c r="AN47" s="159"/>
      <c r="AO47" s="159"/>
      <c r="AP47" s="159"/>
      <c r="AQ47" s="159"/>
      <c r="AR47" s="161"/>
      <c r="AS47" s="159"/>
      <c r="AT47" s="159"/>
      <c r="AU47" s="159"/>
      <c r="AV47" s="176"/>
      <c r="AW47" s="176"/>
      <c r="AX47" s="71"/>
      <c r="AY47" s="159"/>
      <c r="AZ47" s="160"/>
      <c r="BA47" s="159"/>
      <c r="BB47" s="160"/>
      <c r="BC47" s="159"/>
      <c r="BD47" s="159"/>
      <c r="BE47" s="159"/>
      <c r="BF47" s="159"/>
      <c r="BG47" s="161"/>
      <c r="BH47" s="159"/>
      <c r="BI47" s="159"/>
      <c r="BJ47" s="159"/>
      <c r="BK47" s="176"/>
      <c r="BL47" s="176"/>
      <c r="BM47" s="71"/>
      <c r="BN47" s="159"/>
      <c r="BO47" s="160"/>
      <c r="BP47" s="159"/>
      <c r="BQ47" s="160"/>
      <c r="BR47" s="159"/>
      <c r="BS47" s="159"/>
      <c r="BT47" s="159"/>
      <c r="BU47" s="159"/>
      <c r="BV47" s="161"/>
      <c r="BW47" s="159"/>
      <c r="BX47" s="159"/>
      <c r="BY47" s="159"/>
      <c r="BZ47" s="176"/>
      <c r="CA47" s="176"/>
      <c r="CB47" s="71"/>
      <c r="CC47" s="159"/>
      <c r="CD47" s="160"/>
      <c r="CE47" s="159"/>
      <c r="CF47" s="160"/>
      <c r="CG47" s="159"/>
      <c r="CH47" s="159"/>
      <c r="CI47" s="159"/>
      <c r="CJ47" s="159"/>
      <c r="CK47" s="161"/>
      <c r="CL47" s="159"/>
      <c r="CM47" s="159"/>
      <c r="CN47" s="159"/>
      <c r="CO47" s="176"/>
      <c r="CP47" s="176"/>
      <c r="CQ47" s="71"/>
      <c r="CR47" s="159"/>
      <c r="CS47" s="160"/>
      <c r="CT47" s="159"/>
      <c r="CU47" s="160"/>
      <c r="CV47" s="159"/>
      <c r="CW47" s="159"/>
      <c r="CX47" s="159"/>
      <c r="CY47" s="159"/>
      <c r="CZ47" s="161"/>
      <c r="DA47" s="159"/>
      <c r="DB47" s="159"/>
      <c r="DC47" s="159"/>
      <c r="DD47" s="176"/>
      <c r="DE47" s="176"/>
      <c r="DF47" s="71"/>
      <c r="DG47" s="159"/>
      <c r="DH47" s="160"/>
      <c r="DI47" s="159"/>
      <c r="DJ47" s="160"/>
      <c r="DK47" s="159"/>
      <c r="DL47" s="159"/>
      <c r="DM47" s="159"/>
      <c r="DN47" s="159"/>
      <c r="DO47" s="161"/>
      <c r="DP47" s="159"/>
      <c r="DQ47" s="159"/>
      <c r="DR47" s="159"/>
      <c r="DS47" s="176"/>
      <c r="DT47" s="176"/>
      <c r="DU47" s="71"/>
      <c r="DV47" s="159"/>
      <c r="DW47" s="160"/>
      <c r="DX47" s="159"/>
      <c r="DY47" s="160"/>
      <c r="DZ47" s="159"/>
      <c r="EA47" s="159"/>
      <c r="EB47" s="159"/>
      <c r="EC47" s="159"/>
      <c r="ED47" s="161"/>
      <c r="EE47" s="159"/>
      <c r="EF47" s="159"/>
      <c r="EG47" s="159"/>
      <c r="EH47" s="176"/>
      <c r="EI47" s="176"/>
      <c r="EJ47" s="71"/>
      <c r="EK47" s="159"/>
      <c r="EL47" s="160"/>
      <c r="EM47" s="159"/>
      <c r="EN47" s="160"/>
      <c r="EO47" s="159"/>
      <c r="EP47" s="159"/>
      <c r="EQ47" s="159"/>
      <c r="ER47" s="159"/>
      <c r="ES47" s="161"/>
      <c r="ET47" s="159"/>
      <c r="EU47" s="159"/>
      <c r="EV47" s="159"/>
      <c r="EW47" s="176"/>
      <c r="EX47" s="176"/>
      <c r="EY47" s="71"/>
      <c r="EZ47" s="159"/>
      <c r="FA47" s="160"/>
      <c r="FB47" s="159"/>
      <c r="FC47" s="160"/>
      <c r="FD47" s="159"/>
      <c r="FE47" s="159"/>
      <c r="FF47" s="159"/>
      <c r="FG47" s="159"/>
      <c r="FH47" s="161"/>
      <c r="FI47" s="159"/>
      <c r="FJ47" s="159"/>
      <c r="FK47" s="159"/>
      <c r="FL47" s="176"/>
      <c r="FM47" s="176"/>
      <c r="FN47" s="71"/>
      <c r="FO47" s="159"/>
      <c r="FP47" s="160"/>
      <c r="FQ47" s="159"/>
      <c r="FR47" s="160"/>
      <c r="FS47" s="159"/>
      <c r="FT47" s="159"/>
      <c r="FU47" s="159"/>
      <c r="FV47" s="159"/>
      <c r="FW47" s="161"/>
      <c r="FX47" s="159"/>
      <c r="FY47" s="159"/>
      <c r="FZ47" s="159"/>
      <c r="GA47" s="176"/>
      <c r="GB47" s="176"/>
      <c r="GC47" s="71"/>
      <c r="GD47" s="159"/>
      <c r="GE47" s="160"/>
      <c r="GF47" s="159"/>
      <c r="GG47" s="160"/>
      <c r="GH47" s="159"/>
      <c r="GI47" s="159"/>
      <c r="GJ47" s="159"/>
      <c r="GK47" s="159"/>
      <c r="GL47" s="161"/>
      <c r="GM47" s="159"/>
      <c r="GN47" s="159"/>
      <c r="GO47" s="159"/>
      <c r="GP47" s="176"/>
      <c r="GQ47" s="176"/>
      <c r="GR47" s="71"/>
      <c r="GS47" s="159"/>
      <c r="GT47" s="160"/>
      <c r="GU47" s="159"/>
      <c r="GV47" s="160"/>
      <c r="GW47" s="159"/>
      <c r="GX47" s="159"/>
      <c r="GY47" s="159"/>
      <c r="GZ47" s="159"/>
      <c r="HA47" s="161"/>
      <c r="HB47" s="159"/>
      <c r="HC47" s="159"/>
      <c r="HD47" s="159"/>
      <c r="HE47" s="176"/>
      <c r="HF47" s="176"/>
      <c r="HG47" s="71"/>
      <c r="HH47" s="159"/>
      <c r="HI47" s="160"/>
      <c r="HJ47" s="159"/>
      <c r="HK47" s="160"/>
      <c r="HL47" s="159"/>
      <c r="HM47" s="159"/>
      <c r="HN47" s="159"/>
      <c r="HO47" s="159"/>
      <c r="HP47" s="161"/>
      <c r="HQ47" s="159"/>
      <c r="HR47" s="159"/>
      <c r="HS47" s="159"/>
      <c r="HT47" s="177"/>
      <c r="HU47" s="176"/>
      <c r="HX47" s="178"/>
    </row>
    <row r="48" spans="2:249" ht="15" hidden="1" thickBot="1">
      <c r="B48" s="179" t="s">
        <v>332</v>
      </c>
      <c r="C48" s="121">
        <f>SUM(C41:C47)</f>
        <v>-102068</v>
      </c>
      <c r="D48" s="122"/>
      <c r="E48" s="71"/>
      <c r="F48" s="121">
        <f>SUM(F41:F47)</f>
        <v>-56130.49502670487</v>
      </c>
      <c r="G48" s="180">
        <f t="shared" ref="G48:Q48" si="97">SUM(G42:G47)</f>
        <v>0</v>
      </c>
      <c r="H48" s="121">
        <f>SUM(H41:H47)</f>
        <v>-30271.050506236883</v>
      </c>
      <c r="I48" s="180">
        <f>SUM(I42:I47)</f>
        <v>0</v>
      </c>
      <c r="J48" s="121">
        <f>SUM(J41:J47)</f>
        <v>-2300</v>
      </c>
      <c r="K48" s="180">
        <f>SUM(K42:K47)</f>
        <v>0</v>
      </c>
      <c r="L48" s="121">
        <f>SUM(L41:L47)</f>
        <v>-3504.78</v>
      </c>
      <c r="M48" s="180">
        <f t="shared" si="97"/>
        <v>0</v>
      </c>
      <c r="N48" s="121">
        <f>SUM(N41:N47)</f>
        <v>-1151.136</v>
      </c>
      <c r="O48" s="180">
        <f t="shared" si="97"/>
        <v>0</v>
      </c>
      <c r="P48" s="121">
        <f>SUM(P41:P47)</f>
        <v>-1155.4608060056848</v>
      </c>
      <c r="Q48" s="180">
        <f t="shared" si="97"/>
        <v>0</v>
      </c>
      <c r="R48" s="121">
        <f>SUM(R41:R47)</f>
        <v>-94512.92233894745</v>
      </c>
      <c r="S48" s="105"/>
      <c r="T48" s="71"/>
      <c r="U48" s="121">
        <f>SUM(U41:U47)</f>
        <v>-113035.39235631996</v>
      </c>
      <c r="V48" s="180">
        <f>SUM(V42:V47)</f>
        <v>0</v>
      </c>
      <c r="W48" s="121">
        <f>SUM(W41:W47)</f>
        <v>-10214.301266094446</v>
      </c>
      <c r="X48" s="180">
        <f>SUM(X42:X47)</f>
        <v>0</v>
      </c>
      <c r="Y48" s="121">
        <f>SUM(Y41:Y47)</f>
        <v>-5816.0363481275399</v>
      </c>
      <c r="Z48" s="180">
        <f>SUM(Z42:Z47)</f>
        <v>0</v>
      </c>
      <c r="AA48" s="121">
        <f>SUM(AA41:AA47)</f>
        <v>-32219.999995279912</v>
      </c>
      <c r="AB48" s="180">
        <f>SUM(AB42:AB47)</f>
        <v>0</v>
      </c>
      <c r="AC48" s="121">
        <f>SUM(AC41:AC47)</f>
        <v>-5351.4999695999968</v>
      </c>
      <c r="AD48" s="180">
        <f>SUM(AD42:AD47)</f>
        <v>0</v>
      </c>
      <c r="AE48" s="121">
        <f>SUM(AE41:AE47)</f>
        <v>-27414.579988578054</v>
      </c>
      <c r="AF48" s="180">
        <f>SUM(AF42:AF47)</f>
        <v>0</v>
      </c>
      <c r="AG48" s="121">
        <f>SUM(AG42:AG47)</f>
        <v>-194051.80992399991</v>
      </c>
      <c r="AH48" s="122"/>
      <c r="AI48" s="71"/>
      <c r="AJ48" s="121">
        <f>SUM(AJ41:AJ47)</f>
        <v>-124338.93159195196</v>
      </c>
      <c r="AK48" s="180">
        <f>SUM(AK42:AK47)</f>
        <v>0</v>
      </c>
      <c r="AL48" s="121">
        <f>SUM(AL41:AL47)</f>
        <v>-10520.730304077279</v>
      </c>
      <c r="AM48" s="180">
        <f>SUM(AM42:AM47)</f>
        <v>0</v>
      </c>
      <c r="AN48" s="121">
        <f>SUM(AN41:AN47)</f>
        <v>-6397.6399829402944</v>
      </c>
      <c r="AO48" s="180">
        <f>SUM(AO42:AO47)</f>
        <v>0</v>
      </c>
      <c r="AP48" s="121">
        <f>SUM(AP41:AP47)</f>
        <v>-35441.999994807906</v>
      </c>
      <c r="AQ48" s="180">
        <f>SUM(AQ42:AQ47)</f>
        <v>0</v>
      </c>
      <c r="AR48" s="121">
        <f>SUM(AR41:AR47)</f>
        <v>-5886.6499665599958</v>
      </c>
      <c r="AS48" s="180">
        <f>SUM(AS42:AS47)</f>
        <v>0</v>
      </c>
      <c r="AT48" s="121">
        <f>SUM(AT41:AT47)</f>
        <v>-30156.037987435859</v>
      </c>
      <c r="AU48" s="180">
        <f>SUM(AU42:AU47)</f>
        <v>0</v>
      </c>
      <c r="AV48" s="121">
        <f>SUM(AV41:AV47)</f>
        <v>-212741.9898277733</v>
      </c>
      <c r="AW48" s="122"/>
      <c r="AX48" s="71"/>
      <c r="AY48" s="121">
        <f>SUM(AY41:AY47)</f>
        <v>-136772.82475114716</v>
      </c>
      <c r="AZ48" s="180">
        <f>SUM(AZ42:AZ47)</f>
        <v>0</v>
      </c>
      <c r="BA48" s="121">
        <f>SUM(BA41:BA47)</f>
        <v>-10836.352213199596</v>
      </c>
      <c r="BB48" s="180">
        <f>SUM(BB42:BB47)</f>
        <v>0</v>
      </c>
      <c r="BC48" s="121">
        <f>SUM(BC41:BC47)</f>
        <v>-7037.4039812343235</v>
      </c>
      <c r="BD48" s="180">
        <f>SUM(BD42:BD47)</f>
        <v>0</v>
      </c>
      <c r="BE48" s="121">
        <f>SUM(BE41:BE47)</f>
        <v>-38986.199994288698</v>
      </c>
      <c r="BF48" s="180">
        <f>SUM(BF42:BF47)</f>
        <v>0</v>
      </c>
      <c r="BG48" s="121">
        <f>SUM(BG41:BG47)</f>
        <v>-6475.3149632159948</v>
      </c>
      <c r="BH48" s="180">
        <f>SUM(BH42:BH47)</f>
        <v>0</v>
      </c>
      <c r="BI48" s="121">
        <f>SUM(BI41:BI47)</f>
        <v>-33171.641786179447</v>
      </c>
      <c r="BJ48" s="180">
        <f>SUM(BJ42:BJ47)</f>
        <v>0</v>
      </c>
      <c r="BK48" s="121">
        <f>SUM(BK41:BK47)</f>
        <v>-233279.73768926522</v>
      </c>
      <c r="BL48" s="122"/>
      <c r="BM48" s="71"/>
      <c r="BN48" s="121">
        <f>SUM(BN41:BN47)</f>
        <v>-150450.10722626187</v>
      </c>
      <c r="BO48" s="180">
        <f>SUM(BO42:BO47)</f>
        <v>0</v>
      </c>
      <c r="BP48" s="121">
        <f>SUM(BP41:BP47)</f>
        <v>-11161.442779595585</v>
      </c>
      <c r="BQ48" s="180">
        <f>SUM(BQ42:BQ47)</f>
        <v>0</v>
      </c>
      <c r="BR48" s="121">
        <f>SUM(BR41:BR47)</f>
        <v>-7741.1443793577564</v>
      </c>
      <c r="BS48" s="180">
        <f>SUM(BS42:BS47)</f>
        <v>0</v>
      </c>
      <c r="BT48" s="121">
        <f>SUM(BT41:BT47)</f>
        <v>-42884.819993717567</v>
      </c>
      <c r="BU48" s="180">
        <f>SUM(BU42:BU47)</f>
        <v>0</v>
      </c>
      <c r="BV48" s="121">
        <f>SUM(BV41:BV47)</f>
        <v>-7122.8464595375963</v>
      </c>
      <c r="BW48" s="180">
        <f>SUM(BW42:BW47)</f>
        <v>0</v>
      </c>
      <c r="BX48" s="121">
        <f>SUM(BX41:BX47)</f>
        <v>-36488.805964797393</v>
      </c>
      <c r="BY48" s="180">
        <f>SUM(BY42:BY47)</f>
        <v>0</v>
      </c>
      <c r="BZ48" s="121">
        <f>SUM(BZ41:BZ47)</f>
        <v>-255849.16680326778</v>
      </c>
      <c r="CA48" s="122"/>
      <c r="CB48" s="71"/>
      <c r="CC48" s="121">
        <f>SUM(CC41:CC47)</f>
        <v>-180461.01551810911</v>
      </c>
      <c r="CD48" s="180">
        <f>SUM(CD42:CD47)</f>
        <v>0</v>
      </c>
      <c r="CE48" s="121">
        <f>SUM(CE41:CE47)</f>
        <v>-11496.286062983452</v>
      </c>
      <c r="CF48" s="180">
        <f>SUM(CF42:CF47)</f>
        <v>0</v>
      </c>
      <c r="CG48" s="121">
        <f>SUM(CG41:CG47)</f>
        <v>-8515.258817293532</v>
      </c>
      <c r="CH48" s="180">
        <f>SUM(CH42:CH47)</f>
        <v>0</v>
      </c>
      <c r="CI48" s="121">
        <f>SUM(CI41:CI47)</f>
        <v>-47173.301993089313</v>
      </c>
      <c r="CJ48" s="180">
        <f>SUM(CJ42:CJ47)</f>
        <v>0</v>
      </c>
      <c r="CK48" s="121">
        <f>SUM(CK41:CK47)</f>
        <v>-7835.1311054913558</v>
      </c>
      <c r="CL48" s="180">
        <f>SUM(CL42:CL47)</f>
        <v>0</v>
      </c>
      <c r="CM48" s="121">
        <f>SUM(CM41:CM47)</f>
        <v>-40137.686561277129</v>
      </c>
      <c r="CN48" s="180">
        <f>SUM(CN42:CN47)</f>
        <v>0</v>
      </c>
      <c r="CO48" s="121">
        <f>SUM(CO41:CO47)</f>
        <v>-280652.78248902282</v>
      </c>
      <c r="CP48" s="122"/>
      <c r="CQ48" s="71"/>
      <c r="CR48" s="121">
        <f>SUM(CR41:CR47)</f>
        <v>-182287.97473063538</v>
      </c>
      <c r="CS48" s="180">
        <f>SUM(CS42:CS47)</f>
        <v>0</v>
      </c>
      <c r="CT48" s="121">
        <f>SUM(CT41:CT47)</f>
        <v>-11841.174644872954</v>
      </c>
      <c r="CU48" s="180">
        <f>SUM(CU42:CU47)</f>
        <v>0</v>
      </c>
      <c r="CV48" s="121">
        <f>SUM(CV41:CV47)</f>
        <v>-9366.7846990228845</v>
      </c>
      <c r="CW48" s="180">
        <f>SUM(CW42:CW47)</f>
        <v>0</v>
      </c>
      <c r="CX48" s="121">
        <f>SUM(CX41:CX47)</f>
        <v>-51890.632192398247</v>
      </c>
      <c r="CY48" s="180">
        <f>SUM(CY42:CY47)</f>
        <v>0</v>
      </c>
      <c r="CZ48" s="121">
        <f>SUM(CZ41:CZ47)</f>
        <v>-8618.6442160404913</v>
      </c>
      <c r="DA48" s="180">
        <f>SUM(DA42:DA47)</f>
        <v>0</v>
      </c>
      <c r="DB48" s="121">
        <f>SUM(DB41:DB47)</f>
        <v>-44151.455217404851</v>
      </c>
      <c r="DC48" s="180">
        <f>SUM(DC42:DC47)</f>
        <v>0</v>
      </c>
      <c r="DD48" s="121">
        <f>SUM(DD41:DD47)</f>
        <v>-308156.66570037481</v>
      </c>
      <c r="DE48" s="122"/>
      <c r="DF48" s="71"/>
      <c r="DG48" s="121">
        <f>SUM(DG41:DG47)</f>
        <v>-200516.7722036989</v>
      </c>
      <c r="DH48" s="180">
        <f>SUM(DH42:DH47)</f>
        <v>0</v>
      </c>
      <c r="DI48" s="121">
        <f>SUM(DI41:DI47)</f>
        <v>-12196.409884219145</v>
      </c>
      <c r="DJ48" s="180">
        <f>SUM(DJ42:DJ47)</f>
        <v>0</v>
      </c>
      <c r="DK48" s="121">
        <f>SUM(DK41:DK47)</f>
        <v>-10303.463168925173</v>
      </c>
      <c r="DL48" s="180">
        <f>SUM(DL42:DL47)</f>
        <v>0</v>
      </c>
      <c r="DM48" s="121">
        <f>SUM(DM41:DM47)</f>
        <v>-57079.695411638073</v>
      </c>
      <c r="DN48" s="180">
        <f>SUM(DN42:DN47)</f>
        <v>0</v>
      </c>
      <c r="DO48" s="121">
        <f>SUM(DO41:DO47)</f>
        <v>-9480.5086376445397</v>
      </c>
      <c r="DP48" s="180">
        <f>SUM(DP42:DP47)</f>
        <v>0</v>
      </c>
      <c r="DQ48" s="121">
        <f>SUM(DQ41:DQ47)</f>
        <v>-45810.10292949139</v>
      </c>
      <c r="DR48" s="180">
        <f>SUM(DR42:DR47)</f>
        <v>0</v>
      </c>
      <c r="DS48" s="121">
        <f>SUM(DS41:DS47)</f>
        <v>-335386.95223561715</v>
      </c>
      <c r="DT48" s="122"/>
      <c r="DU48" s="71"/>
      <c r="DV48" s="121">
        <f>SUM(DV41:DV47)</f>
        <v>-220568.44942406882</v>
      </c>
      <c r="DW48" s="180">
        <f>SUM(DW42:DW47)</f>
        <v>0</v>
      </c>
      <c r="DX48" s="121">
        <f>SUM(DX41:DX47)</f>
        <v>-12562.302180745719</v>
      </c>
      <c r="DY48" s="180">
        <f>SUM(DY42:DY47)</f>
        <v>0</v>
      </c>
      <c r="DZ48" s="121">
        <f>SUM(DZ41:DZ47)</f>
        <v>-11333.80948581769</v>
      </c>
      <c r="EA48" s="180">
        <f>SUM(EA42:EA47)</f>
        <v>0</v>
      </c>
      <c r="EB48" s="121">
        <f>SUM(EB41:EB47)</f>
        <v>-62787.664952801897</v>
      </c>
      <c r="EC48" s="180">
        <f>SUM(EC42:EC47)</f>
        <v>0</v>
      </c>
      <c r="ED48" s="121">
        <f>SUM(ED41:ED47)</f>
        <v>-10428.559501408996</v>
      </c>
      <c r="EE48" s="180">
        <f>SUM(EE42:EE47)</f>
        <v>0</v>
      </c>
      <c r="EF48" s="121">
        <f>SUM(EF41:EF47)</f>
        <v>-50391.113222440523</v>
      </c>
      <c r="EG48" s="180">
        <f>SUM(EG42:EG47)</f>
        <v>0</v>
      </c>
      <c r="EH48" s="121">
        <f>SUM(EH41:EH47)</f>
        <v>-368071.89876728365</v>
      </c>
      <c r="EI48" s="122"/>
      <c r="EJ48" s="71"/>
      <c r="EK48" s="121">
        <f>SUM(EK41:EK47)</f>
        <v>-242625.29436647569</v>
      </c>
      <c r="EL48" s="180">
        <f>SUM(EL42:EL47)</f>
        <v>0</v>
      </c>
      <c r="EM48" s="121">
        <f>SUM(EM41:EM47)</f>
        <v>-12939.171246168091</v>
      </c>
      <c r="EN48" s="180">
        <f>SUM(EN42:EN47)</f>
        <v>0</v>
      </c>
      <c r="EO48" s="121">
        <f>SUM(EO41:EO47)</f>
        <v>-12467.190434399459</v>
      </c>
      <c r="EP48" s="180">
        <f>SUM(EP42:EP47)</f>
        <v>0</v>
      </c>
      <c r="EQ48" s="121">
        <f>SUM(EQ41:EQ47)</f>
        <v>-69066.431448082076</v>
      </c>
      <c r="ER48" s="180">
        <f>SUM(ER42:ER47)</f>
        <v>0</v>
      </c>
      <c r="ES48" s="121">
        <f>SUM(ES41:ES47)</f>
        <v>-11471.415451549896</v>
      </c>
      <c r="ET48" s="180">
        <f>SUM(ET42:ET47)</f>
        <v>0</v>
      </c>
      <c r="EU48" s="121">
        <f>SUM(EU41:EU47)</f>
        <v>-55430.22454468457</v>
      </c>
      <c r="EV48" s="180">
        <f>SUM(EV42:EV47)</f>
        <v>0</v>
      </c>
      <c r="EW48" s="121">
        <f>SUM(EW41:EW47)</f>
        <v>-403999.72749135981</v>
      </c>
      <c r="EX48" s="122"/>
      <c r="EY48" s="71"/>
      <c r="EZ48" s="121">
        <f>SUM(EZ41:EZ47)</f>
        <v>-266887.8238031232</v>
      </c>
      <c r="FA48" s="180">
        <f>SUM(FA42:FA47)</f>
        <v>0</v>
      </c>
      <c r="FB48" s="121">
        <f>SUM(FB41:FB47)</f>
        <v>-13327.346383553133</v>
      </c>
      <c r="FC48" s="180">
        <f>SUM(FC42:FC47)</f>
        <v>0</v>
      </c>
      <c r="FD48" s="121">
        <f>SUM(FD41:FD47)</f>
        <v>-13713.909477839405</v>
      </c>
      <c r="FE48" s="180">
        <f>SUM(FE42:FE47)</f>
        <v>0</v>
      </c>
      <c r="FF48" s="121">
        <f>SUM(FF41:FF47)</f>
        <v>-75973.074592890291</v>
      </c>
      <c r="FG48" s="180">
        <f>SUM(FG42:FG47)</f>
        <v>0</v>
      </c>
      <c r="FH48" s="121">
        <f>SUM(FH41:FH47)</f>
        <v>-12618.556996704883</v>
      </c>
      <c r="FI48" s="180">
        <f>SUM(FI42:FI47)</f>
        <v>0</v>
      </c>
      <c r="FJ48" s="121">
        <f>SUM(FJ41:FJ47)</f>
        <v>-60973.246999153031</v>
      </c>
      <c r="FK48" s="180">
        <f>SUM(FK42:FK47)</f>
        <v>0</v>
      </c>
      <c r="FL48" s="121">
        <f>SUM(FL41:FL47)</f>
        <v>-443493.95825326396</v>
      </c>
      <c r="FM48" s="122"/>
      <c r="FN48" s="71"/>
      <c r="FO48" s="121">
        <f>SUM(FO41:FO47)</f>
        <v>-293576.60618343559</v>
      </c>
      <c r="FP48" s="180">
        <f>SUM(FP42:FP47)</f>
        <v>0</v>
      </c>
      <c r="FQ48" s="121">
        <f>SUM(FQ41:FQ47)</f>
        <v>-13727.166775059726</v>
      </c>
      <c r="FR48" s="180">
        <f>SUM(FR42:FR47)</f>
        <v>0</v>
      </c>
      <c r="FS48" s="121">
        <f>SUM(FS41:FS47)</f>
        <v>-15085.300425623345</v>
      </c>
      <c r="FT48" s="180">
        <f>SUM(FT42:FT47)</f>
        <v>0</v>
      </c>
      <c r="FU48" s="121">
        <f>SUM(FU41:FU47)</f>
        <v>-83570.38205217931</v>
      </c>
      <c r="FV48" s="180">
        <f>SUM(FV42:FV47)</f>
        <v>0</v>
      </c>
      <c r="FW48" s="121">
        <f>SUM(FW41:FW47)</f>
        <v>-13880.412696375373</v>
      </c>
      <c r="FX48" s="180">
        <f>SUM(FX42:FX47)</f>
        <v>0</v>
      </c>
      <c r="FY48" s="121">
        <f>SUM(FY41:FY47)</f>
        <v>-67070.571699068343</v>
      </c>
      <c r="FZ48" s="180">
        <f>SUM(FZ42:FZ47)</f>
        <v>0</v>
      </c>
      <c r="GA48" s="121">
        <f>SUM(GA41:GA47)</f>
        <v>-486910.43983174162</v>
      </c>
      <c r="GB48" s="122"/>
      <c r="GC48" s="71"/>
      <c r="GD48" s="121">
        <f>SUM(GD41:GD47)</f>
        <v>-322934.26680177916</v>
      </c>
      <c r="GE48" s="180">
        <f>SUM(GE42:GE47)</f>
        <v>0</v>
      </c>
      <c r="GF48" s="121">
        <f>SUM(GF41:GF47)</f>
        <v>-14138.981778311518</v>
      </c>
      <c r="GG48" s="180">
        <f>SUM(GG42:GG47)</f>
        <v>0</v>
      </c>
      <c r="GH48" s="121">
        <f>SUM(GH41:GH47)</f>
        <v>-16593.830468185679</v>
      </c>
      <c r="GI48" s="180">
        <f>SUM(GI42:GI47)</f>
        <v>0</v>
      </c>
      <c r="GJ48" s="121">
        <f>SUM(GJ41:GJ47)</f>
        <v>-91927.420257397258</v>
      </c>
      <c r="GK48" s="180">
        <f>SUM(GK42:GK47)</f>
        <v>0</v>
      </c>
      <c r="GL48" s="121">
        <f>SUM(GL41:GL47)</f>
        <v>-15268.453966012908</v>
      </c>
      <c r="GM48" s="180">
        <f>SUM(GM42:GM47)</f>
        <v>0</v>
      </c>
      <c r="GN48" s="121">
        <f>SUM(GN41:GN47)</f>
        <v>-73777.628868975167</v>
      </c>
      <c r="GO48" s="180">
        <f>SUM(GO42:GO47)</f>
        <v>0</v>
      </c>
      <c r="GP48" s="121">
        <f>SUM(GP41:GP47)</f>
        <v>-534640.58214066166</v>
      </c>
      <c r="GQ48" s="122"/>
      <c r="GR48" s="71"/>
      <c r="GS48" s="121">
        <f>SUM(GS41:GS47)</f>
        <v>-355227.69348195702</v>
      </c>
      <c r="GT48" s="180">
        <f>SUM(GT42:GT47)</f>
        <v>0</v>
      </c>
      <c r="GU48" s="121">
        <f>SUM(GU41:GU47)</f>
        <v>-14563.151231660864</v>
      </c>
      <c r="GV48" s="180">
        <f>SUM(GV42:GV47)</f>
        <v>0</v>
      </c>
      <c r="GW48" s="121">
        <f>SUM(GW41:GW47)</f>
        <v>-18253.213515004245</v>
      </c>
      <c r="GX48" s="180">
        <f>SUM(GX42:GX47)</f>
        <v>0</v>
      </c>
      <c r="GY48" s="121">
        <f>SUM(GY41:GY47)</f>
        <v>-101120.16228313699</v>
      </c>
      <c r="GZ48" s="180">
        <f>SUM(GZ42:GZ47)</f>
        <v>0</v>
      </c>
      <c r="HA48" s="121">
        <f>SUM(HA41:HA47)</f>
        <v>-16795.299362614198</v>
      </c>
      <c r="HB48" s="180">
        <f>SUM(HB42:HB47)</f>
        <v>0</v>
      </c>
      <c r="HC48" s="121">
        <f>SUM(HC41:HC47)</f>
        <v>-81155.391755872697</v>
      </c>
      <c r="HD48" s="180">
        <f>SUM(HD42:HD47)</f>
        <v>0</v>
      </c>
      <c r="HE48" s="121">
        <f>SUM(HE41:HE47)</f>
        <v>-587114.91163024597</v>
      </c>
      <c r="HF48" s="122"/>
      <c r="HG48" s="71"/>
      <c r="HH48" s="121">
        <f>SUM(HH41:HH47)</f>
        <v>-390750.46283015277</v>
      </c>
      <c r="HI48" s="180">
        <f>SUM(HI42:HI47)</f>
        <v>0</v>
      </c>
      <c r="HJ48" s="121">
        <f>SUM(HJ41:HJ47)</f>
        <v>-15000.045768610689</v>
      </c>
      <c r="HK48" s="180">
        <f>SUM(HK42:HK47)</f>
        <v>0</v>
      </c>
      <c r="HL48" s="121">
        <f>SUM(HL41:HL47)</f>
        <v>-20078.534866504669</v>
      </c>
      <c r="HM48" s="180">
        <f>SUM(HM42:HM47)</f>
        <v>0</v>
      </c>
      <c r="HN48" s="121">
        <f>SUM(HN41:HN47)</f>
        <v>-111232.17851145068</v>
      </c>
      <c r="HO48" s="180">
        <f>SUM(HO42:HO47)</f>
        <v>0</v>
      </c>
      <c r="HP48" s="121">
        <f>SUM(HP41:HP47)</f>
        <v>-18474.829298875618</v>
      </c>
      <c r="HQ48" s="180">
        <f>SUM(HQ42:HQ47)</f>
        <v>0</v>
      </c>
      <c r="HR48" s="121">
        <f>SUM(HR41:HR47)</f>
        <v>-89270.930931459952</v>
      </c>
      <c r="HS48" s="180">
        <f>SUM(HS42:HS47)</f>
        <v>0</v>
      </c>
      <c r="HT48" s="123">
        <f>SUM(HT41:HT47)</f>
        <v>-644806.98220705439</v>
      </c>
      <c r="HU48" s="122"/>
      <c r="HX48" s="85" t="s">
        <v>333</v>
      </c>
      <c r="HZ48" s="121">
        <f>SUM(HZ42:HZ47)</f>
        <v>-114564.3</v>
      </c>
      <c r="IA48" s="121">
        <f>SUM(IA42:IA47)</f>
        <v>-94512.92233894745</v>
      </c>
      <c r="IB48" s="121">
        <f t="shared" ref="IB48:IM48" si="98">SUM(IB42:IB47)</f>
        <v>-194051.80992399991</v>
      </c>
      <c r="IC48" s="121">
        <f t="shared" si="98"/>
        <v>-212741.8861540267</v>
      </c>
      <c r="ID48" s="121">
        <f t="shared" si="98"/>
        <v>-233279.63401551862</v>
      </c>
      <c r="IE48" s="121">
        <f t="shared" si="98"/>
        <v>-255849.06312952118</v>
      </c>
      <c r="IF48" s="121">
        <f t="shared" si="98"/>
        <v>-280652.67881527625</v>
      </c>
      <c r="IG48" s="121">
        <f t="shared" si="98"/>
        <v>-308156.56202662818</v>
      </c>
      <c r="IH48" s="121">
        <f t="shared" si="98"/>
        <v>-335386.84856187052</v>
      </c>
      <c r="II48" s="121">
        <f t="shared" si="98"/>
        <v>-368071.79509353702</v>
      </c>
      <c r="IJ48" s="121">
        <f t="shared" si="98"/>
        <v>-403999.62381761317</v>
      </c>
      <c r="IK48" s="121">
        <f t="shared" si="98"/>
        <v>-443493.85457951738</v>
      </c>
      <c r="IL48" s="121">
        <f t="shared" si="98"/>
        <v>-486910.33615799499</v>
      </c>
      <c r="IM48" s="121">
        <f t="shared" si="98"/>
        <v>-534640.47846691508</v>
      </c>
      <c r="IN48" s="121">
        <f>SUM(IN42:IN47)</f>
        <v>-587114.8079564994</v>
      </c>
      <c r="IO48" s="121">
        <f>SUM(IO42:IO47)</f>
        <v>-644806.8785333077</v>
      </c>
    </row>
    <row r="49" spans="2:249" ht="15.6" hidden="1" thickTop="1" thickBot="1">
      <c r="B49" s="179" t="s">
        <v>334</v>
      </c>
      <c r="C49" s="128">
        <f>C39+C48</f>
        <v>19993</v>
      </c>
      <c r="D49" s="127"/>
      <c r="E49" s="71"/>
      <c r="F49" s="128">
        <f>F39+F48</f>
        <v>23311.442001579882</v>
      </c>
      <c r="G49" s="180">
        <f>F49/F39</f>
        <v>0.29344000000000003</v>
      </c>
      <c r="H49" s="128">
        <f t="shared" ref="H49:P49" si="99">H39+H48</f>
        <v>10059.02248237154</v>
      </c>
      <c r="I49" s="180">
        <f>H49/H39</f>
        <v>0.24941741328394812</v>
      </c>
      <c r="J49" s="128">
        <f t="shared" si="99"/>
        <v>2300</v>
      </c>
      <c r="K49" s="180"/>
      <c r="L49" s="128">
        <f t="shared" si="99"/>
        <v>995.2199999999998</v>
      </c>
      <c r="M49" s="180">
        <f>L49/L39</f>
        <v>0.22115999999999997</v>
      </c>
      <c r="N49" s="128">
        <f t="shared" si="99"/>
        <v>648.86400000000003</v>
      </c>
      <c r="O49" s="180">
        <f>N49/N39</f>
        <v>0.36048000000000002</v>
      </c>
      <c r="P49" s="128">
        <f t="shared" si="99"/>
        <v>444.53919399431516</v>
      </c>
      <c r="Q49" s="180">
        <f>P49/P39</f>
        <v>0.27783699624644698</v>
      </c>
      <c r="R49" s="128">
        <f>R39+R48</f>
        <v>37759.087677945732</v>
      </c>
      <c r="S49" s="105"/>
      <c r="T49" s="71"/>
      <c r="U49" s="128">
        <f>U39+U48</f>
        <v>38401.210683680023</v>
      </c>
      <c r="V49" s="180">
        <f>U49/U39</f>
        <v>0.25357945115512692</v>
      </c>
      <c r="W49" s="128">
        <f>W39+W48</f>
        <v>16185.690693905553</v>
      </c>
      <c r="X49" s="180">
        <f>W49/W39</f>
        <v>0.61309453118127211</v>
      </c>
      <c r="Y49" s="128">
        <f>Y39+Y48</f>
        <v>8583.9636118724629</v>
      </c>
      <c r="Z49" s="180">
        <f>Y49/Y39</f>
        <v>0.59610858581366699</v>
      </c>
      <c r="AA49" s="128">
        <f>AA39+AA48</f>
        <v>7779.9999647200893</v>
      </c>
      <c r="AB49" s="180">
        <f>AA49/AA39</f>
        <v>0.19449999931250223</v>
      </c>
      <c r="AC49" s="128">
        <f>AC39+AC48</f>
        <v>5648.5000704000022</v>
      </c>
      <c r="AD49" s="180">
        <f>AC49/AC39</f>
        <v>0.51350000453272748</v>
      </c>
      <c r="AE49" s="128">
        <f>AE39+AE48</f>
        <v>14585.419911421897</v>
      </c>
      <c r="AF49" s="180">
        <f>AE49/AE39</f>
        <v>0.34727190347974057</v>
      </c>
      <c r="AG49" s="128">
        <f>AG39+AG48</f>
        <v>91184.78493600004</v>
      </c>
      <c r="AH49" s="127"/>
      <c r="AI49" s="71"/>
      <c r="AJ49" s="128">
        <f>AJ39+AJ48</f>
        <v>42241.33175204802</v>
      </c>
      <c r="AK49" s="180">
        <f>AJ49/AJ39</f>
        <v>0.25357945115512692</v>
      </c>
      <c r="AL49" s="128">
        <f>AL39+AL48</f>
        <v>16671.261414722721</v>
      </c>
      <c r="AM49" s="180">
        <f>AL49/AL39</f>
        <v>0.61309453118127222</v>
      </c>
      <c r="AN49" s="128">
        <f>AN39+AN48</f>
        <v>9442.3599730597089</v>
      </c>
      <c r="AO49" s="180">
        <f>AN49/AN39</f>
        <v>0.59610858581366699</v>
      </c>
      <c r="AP49" s="128">
        <f>AP39+AP48</f>
        <v>8557.9999611920939</v>
      </c>
      <c r="AQ49" s="180">
        <f>AP49/AP39</f>
        <v>0.19449999931250214</v>
      </c>
      <c r="AR49" s="128">
        <f>AR39+AR48</f>
        <v>6213.3500774400027</v>
      </c>
      <c r="AS49" s="180">
        <f>AR49/AR39</f>
        <v>0.51350000453272759</v>
      </c>
      <c r="AT49" s="128">
        <f>AT39+AT48</f>
        <v>16043.96190256409</v>
      </c>
      <c r="AU49" s="180">
        <f>AT49/AT39</f>
        <v>0.34727190347974063</v>
      </c>
      <c r="AV49" s="128">
        <f>AV39+AV48</f>
        <v>99170.265081026591</v>
      </c>
      <c r="AW49" s="127"/>
      <c r="AX49" s="71"/>
      <c r="AY49" s="128">
        <f>AY39+AY48</f>
        <v>46465.464927252819</v>
      </c>
      <c r="AZ49" s="180">
        <f>AY49/AY39</f>
        <v>0.25357945115512687</v>
      </c>
      <c r="BA49" s="128">
        <f>BA39+BA48</f>
        <v>17171.399257164405</v>
      </c>
      <c r="BB49" s="180">
        <f>BA49/BA39</f>
        <v>0.61309453118127222</v>
      </c>
      <c r="BC49" s="128">
        <f>BC39+BC48</f>
        <v>10386.595970365679</v>
      </c>
      <c r="BD49" s="180">
        <f>BC49/BC39</f>
        <v>0.59610858581366699</v>
      </c>
      <c r="BE49" s="128">
        <f>BE39+BE48</f>
        <v>9413.7999573113048</v>
      </c>
      <c r="BF49" s="180">
        <f>BE49/BE39</f>
        <v>0.19449999931250214</v>
      </c>
      <c r="BG49" s="128">
        <f>BG39+BG48</f>
        <v>6834.6850851840027</v>
      </c>
      <c r="BH49" s="180">
        <f>BG49/BG39</f>
        <v>0.51350000453272759</v>
      </c>
      <c r="BI49" s="128">
        <f>BI39+BI48</f>
        <v>17648.358092820497</v>
      </c>
      <c r="BJ49" s="180">
        <f>BI49/BI39</f>
        <v>0.34727190347974057</v>
      </c>
      <c r="BK49" s="128">
        <f>BK39+BK48</f>
        <v>107920.30329009873</v>
      </c>
      <c r="BL49" s="127"/>
      <c r="BM49" s="71"/>
      <c r="BN49" s="128">
        <f>BN39+BN48</f>
        <v>51112.011419978109</v>
      </c>
      <c r="BO49" s="180">
        <f>BN49/BN39</f>
        <v>0.25357945115512692</v>
      </c>
      <c r="BP49" s="128">
        <f>BP39+BP48</f>
        <v>17686.541234879336</v>
      </c>
      <c r="BQ49" s="180">
        <f>BP49/BP39</f>
        <v>0.61309453118127222</v>
      </c>
      <c r="BR49" s="128">
        <f>BR39+BR48</f>
        <v>11425.255567402248</v>
      </c>
      <c r="BS49" s="180">
        <f>BR49/BR39</f>
        <v>0.59610858581366699</v>
      </c>
      <c r="BT49" s="128">
        <f>BT39+BT48</f>
        <v>10355.179953042432</v>
      </c>
      <c r="BU49" s="180">
        <f>BT49/BT39</f>
        <v>0.19449999931250211</v>
      </c>
      <c r="BV49" s="128">
        <f>BV39+BV48</f>
        <v>7518.1535937024009</v>
      </c>
      <c r="BW49" s="180">
        <f>BV49/BV39</f>
        <v>0.51350000453272737</v>
      </c>
      <c r="BX49" s="128">
        <f>BX39+BX48</f>
        <v>19413.193902102546</v>
      </c>
      <c r="BY49" s="180">
        <f>BX49/BX39</f>
        <v>0.34727190347974057</v>
      </c>
      <c r="BZ49" s="128">
        <f>BZ39+BZ48</f>
        <v>117510.33567110705</v>
      </c>
      <c r="CA49" s="127"/>
      <c r="CB49" s="71"/>
      <c r="CC49" s="128">
        <f>CC39+CC48</f>
        <v>41257.314992754866</v>
      </c>
      <c r="CD49" s="180">
        <f>CC49/CC39</f>
        <v>0.18607985590408052</v>
      </c>
      <c r="CE49" s="128">
        <f>CE39+CE48</f>
        <v>18217.137471925715</v>
      </c>
      <c r="CF49" s="180">
        <f>CE49/CE39</f>
        <v>0.61309453118127211</v>
      </c>
      <c r="CG49" s="128">
        <f>CG39+CG48</f>
        <v>12567.781124142472</v>
      </c>
      <c r="CH49" s="180">
        <f>CG49/CG39</f>
        <v>0.59610858581366699</v>
      </c>
      <c r="CI49" s="128">
        <f>CI39+CI48</f>
        <v>11390.697948346686</v>
      </c>
      <c r="CJ49" s="180">
        <f>CI49/CI39</f>
        <v>0.19449999931250228</v>
      </c>
      <c r="CK49" s="128">
        <f>CK39+CK48</f>
        <v>8269.9689530726428</v>
      </c>
      <c r="CL49" s="180">
        <f>CK49/CK39</f>
        <v>0.51350000453272748</v>
      </c>
      <c r="CM49" s="128">
        <f>CM39+CM48</f>
        <v>21354.513292312804</v>
      </c>
      <c r="CN49" s="180">
        <f>CM49/CM39</f>
        <v>0.34727190347974063</v>
      </c>
      <c r="CO49" s="128">
        <f>CO39+CO48</f>
        <v>128023.31135177624</v>
      </c>
      <c r="CP49" s="127"/>
      <c r="CQ49" s="71"/>
      <c r="CR49" s="128">
        <f>CR39+CR48</f>
        <v>61602.188831314998</v>
      </c>
      <c r="CS49" s="180">
        <f>CR49/CR39</f>
        <v>0.25258168649211415</v>
      </c>
      <c r="CT49" s="128">
        <f>CT39+CT48</f>
        <v>18763.651596083491</v>
      </c>
      <c r="CU49" s="180">
        <f>CT49/CT39</f>
        <v>0.61309453118127233</v>
      </c>
      <c r="CV49" s="128">
        <f>CV39+CV48</f>
        <v>13824.559236556719</v>
      </c>
      <c r="CW49" s="180">
        <f>CV49/CV39</f>
        <v>0.59610858581366699</v>
      </c>
      <c r="CX49" s="128">
        <f>CX39+CX48</f>
        <v>12529.76774318135</v>
      </c>
      <c r="CY49" s="180">
        <f>CX49/CX39</f>
        <v>0.19449999931250223</v>
      </c>
      <c r="CZ49" s="128">
        <f>CZ39+CZ48</f>
        <v>9096.9658483799067</v>
      </c>
      <c r="DA49" s="180">
        <f>CZ49/CZ39</f>
        <v>0.51350000453272748</v>
      </c>
      <c r="DB49" s="128">
        <f>DB39+DB48</f>
        <v>23489.964621544081</v>
      </c>
      <c r="DC49" s="180">
        <f>DB49/DB39</f>
        <v>0.34727190347974052</v>
      </c>
      <c r="DD49" s="128">
        <f>DD39+DD48</f>
        <v>139307.09787706059</v>
      </c>
      <c r="DE49" s="127"/>
      <c r="DF49" s="71"/>
      <c r="DG49" s="128">
        <f>DG39+DG48</f>
        <v>67762.407714446512</v>
      </c>
      <c r="DH49" s="180">
        <f>DG49/DG39</f>
        <v>0.25258168649211421</v>
      </c>
      <c r="DI49" s="128">
        <f>DI39+DI48</f>
        <v>19326.561143965992</v>
      </c>
      <c r="DJ49" s="180">
        <f>DI49/DI39</f>
        <v>0.61309453118127222</v>
      </c>
      <c r="DK49" s="128">
        <f>DK39+DK48</f>
        <v>15207.015160212391</v>
      </c>
      <c r="DL49" s="180">
        <f>DK49/DK39</f>
        <v>0.59610858581366699</v>
      </c>
      <c r="DM49" s="128">
        <f>DM39+DM48</f>
        <v>13782.744517499486</v>
      </c>
      <c r="DN49" s="180">
        <f>DM49/DM39</f>
        <v>0.19449999931250223</v>
      </c>
      <c r="DO49" s="128">
        <f>DO39+DO48</f>
        <v>10006.662433217898</v>
      </c>
      <c r="DP49" s="180">
        <f>DO49/DO39</f>
        <v>0.51350000453272748</v>
      </c>
      <c r="DQ49" s="128">
        <f>DQ39+DQ48</f>
        <v>28595.458893352436</v>
      </c>
      <c r="DR49" s="180">
        <f>DQ49/DQ39</f>
        <v>0.38431883575366166</v>
      </c>
      <c r="DS49" s="128">
        <f>DS39+DS48</f>
        <v>154680.8498626948</v>
      </c>
      <c r="DT49" s="127"/>
      <c r="DU49" s="71"/>
      <c r="DV49" s="128">
        <f>DV39+DV48</f>
        <v>74538.648485891143</v>
      </c>
      <c r="DW49" s="180">
        <f>DV49/DV39</f>
        <v>0.25258168649211415</v>
      </c>
      <c r="DX49" s="128">
        <f>DX39+DX48</f>
        <v>19906.35797828497</v>
      </c>
      <c r="DY49" s="180">
        <f>DX49/DX39</f>
        <v>0.61309453118127222</v>
      </c>
      <c r="DZ49" s="128">
        <f>DZ39+DZ48</f>
        <v>16727.716676233627</v>
      </c>
      <c r="EA49" s="180">
        <f>DZ49/DZ39</f>
        <v>0.59610858581366688</v>
      </c>
      <c r="EB49" s="128">
        <f>EB39+EB48</f>
        <v>15161.018969249424</v>
      </c>
      <c r="EC49" s="180">
        <f>EB49/EB39</f>
        <v>0.19449999931250209</v>
      </c>
      <c r="ED49" s="128">
        <f>ED39+ED48</f>
        <v>11007.328676539684</v>
      </c>
      <c r="EE49" s="180">
        <f>ED49/ED39</f>
        <v>0.51350000453272737</v>
      </c>
      <c r="EF49" s="128">
        <f>EF39+EF48</f>
        <v>31455.004782687691</v>
      </c>
      <c r="EG49" s="180">
        <f>EF49/EF39</f>
        <v>0.38431883575366177</v>
      </c>
      <c r="EH49" s="128">
        <f>EH39+EH48</f>
        <v>168796.07556888647</v>
      </c>
      <c r="EI49" s="127"/>
      <c r="EJ49" s="71"/>
      <c r="EK49" s="128">
        <f>EK39+EK48</f>
        <v>81992.51333448026</v>
      </c>
      <c r="EL49" s="180">
        <f>EK49/EK39</f>
        <v>0.25258168649211415</v>
      </c>
      <c r="EM49" s="128">
        <f>EM39+EM48</f>
        <v>20503.548717633519</v>
      </c>
      <c r="EN49" s="180">
        <f>EM49/EM39</f>
        <v>0.61309453118127211</v>
      </c>
      <c r="EO49" s="128">
        <f>EO39+EO48</f>
        <v>18400.488343856989</v>
      </c>
      <c r="EP49" s="180">
        <f>EO49/EO39</f>
        <v>0.59610858581366688</v>
      </c>
      <c r="EQ49" s="128">
        <f>EQ39+EQ48</f>
        <v>16677.120866174373</v>
      </c>
      <c r="ER49" s="180">
        <f>EQ49/EQ39</f>
        <v>0.19449999931250217</v>
      </c>
      <c r="ES49" s="128">
        <f>ES39+ES48</f>
        <v>12108.061544193653</v>
      </c>
      <c r="ET49" s="180">
        <f>ES49/ES39</f>
        <v>0.51350000453272737</v>
      </c>
      <c r="EU49" s="128">
        <f>EU39+EU48</f>
        <v>34600.505260956466</v>
      </c>
      <c r="EV49" s="180">
        <f>EU49/EU39</f>
        <v>0.38431883575366188</v>
      </c>
      <c r="EW49" s="128">
        <f>EW39+EW48</f>
        <v>184282.23806729529</v>
      </c>
      <c r="EX49" s="127"/>
      <c r="EY49" s="71"/>
      <c r="EZ49" s="128">
        <f>EZ39+EZ48</f>
        <v>90191.764667928335</v>
      </c>
      <c r="FA49" s="180">
        <f>EZ49/EZ39</f>
        <v>0.25258168649211432</v>
      </c>
      <c r="FB49" s="128">
        <f>FB39+FB48</f>
        <v>21118.655179162528</v>
      </c>
      <c r="FC49" s="180">
        <f>FB49/FB39</f>
        <v>0.61309453118127222</v>
      </c>
      <c r="FD49" s="128">
        <f>FD39+FD48</f>
        <v>20240.537178242688</v>
      </c>
      <c r="FE49" s="180">
        <f>FD49/FD39</f>
        <v>0.59610858581366688</v>
      </c>
      <c r="FF49" s="128">
        <f>FF39+FF48</f>
        <v>18344.83295279181</v>
      </c>
      <c r="FG49" s="180">
        <f>FF49/FF39</f>
        <v>0.19449999931250214</v>
      </c>
      <c r="FH49" s="128">
        <f>FH39+FH48</f>
        <v>13318.867698613019</v>
      </c>
      <c r="FI49" s="180">
        <f>FH49/FH39</f>
        <v>0.51350000453272748</v>
      </c>
      <c r="FJ49" s="128">
        <f>FJ39+FJ48</f>
        <v>38060.555787052108</v>
      </c>
      <c r="FK49" s="180">
        <f>FJ49/FJ39</f>
        <v>0.38431883575366182</v>
      </c>
      <c r="FL49" s="128">
        <f>FL39+FL48</f>
        <v>201275.21346379048</v>
      </c>
      <c r="FM49" s="127"/>
      <c r="FN49" s="71"/>
      <c r="FO49" s="128">
        <f>FO39+FO48</f>
        <v>99210.941134721099</v>
      </c>
      <c r="FP49" s="180">
        <f>FO49/FO39</f>
        <v>0.25258168649211415</v>
      </c>
      <c r="FQ49" s="128">
        <f>FQ39+FQ48</f>
        <v>21752.214834537401</v>
      </c>
      <c r="FR49" s="180">
        <f>FQ49/FQ39</f>
        <v>0.61309453118127222</v>
      </c>
      <c r="FS49" s="128">
        <f>FS39+FS48</f>
        <v>22264.590896066955</v>
      </c>
      <c r="FT49" s="180">
        <f>FS49/FS39</f>
        <v>0.59610858581366688</v>
      </c>
      <c r="FU49" s="128">
        <f>FU39+FU48</f>
        <v>20179.316248071002</v>
      </c>
      <c r="FV49" s="180">
        <f>FU49/FU39</f>
        <v>0.19449999931250225</v>
      </c>
      <c r="FW49" s="128">
        <f>FW39+FW48</f>
        <v>14650.754468474319</v>
      </c>
      <c r="FX49" s="180">
        <f>FW49/FW39</f>
        <v>0.51350000453272737</v>
      </c>
      <c r="FY49" s="128">
        <f>FY39+FY48</f>
        <v>41866.611365757315</v>
      </c>
      <c r="FZ49" s="180">
        <f>FY49/FY39</f>
        <v>0.38431883575366177</v>
      </c>
      <c r="GA49" s="128">
        <f>GA39+GA48</f>
        <v>219924.42894762824</v>
      </c>
      <c r="GB49" s="127"/>
      <c r="GC49" s="71"/>
      <c r="GD49" s="128">
        <f>GD39+GD48</f>
        <v>109132.03524819319</v>
      </c>
      <c r="GE49" s="180">
        <f>GD49/GD39</f>
        <v>0.2525816864921141</v>
      </c>
      <c r="GF49" s="128">
        <f>GF39+GF48</f>
        <v>22404.781279573526</v>
      </c>
      <c r="GG49" s="180">
        <f>GF49/GF39</f>
        <v>0.61309453118127222</v>
      </c>
      <c r="GH49" s="128">
        <f>GH39+GH48</f>
        <v>24491.049985673653</v>
      </c>
      <c r="GI49" s="180">
        <f>GH49/GH39</f>
        <v>0.59610858581366699</v>
      </c>
      <c r="GJ49" s="128">
        <f>GJ39+GJ48</f>
        <v>22197.247872878084</v>
      </c>
      <c r="GK49" s="180">
        <f>GJ49/GJ39</f>
        <v>0.19449999931250209</v>
      </c>
      <c r="GL49" s="128">
        <f>GL39+GL48</f>
        <v>16115.829915321752</v>
      </c>
      <c r="GM49" s="180">
        <f>GL49/GL39</f>
        <v>0.51350000453272737</v>
      </c>
      <c r="GN49" s="128">
        <f>GN39+GN48</f>
        <v>46053.272502333057</v>
      </c>
      <c r="GO49" s="180">
        <f>GN49/GN39</f>
        <v>0.38431883575366182</v>
      </c>
      <c r="GP49" s="128">
        <f>GP39+GP48</f>
        <v>240394.21680397331</v>
      </c>
      <c r="GQ49" s="127"/>
      <c r="GR49" s="71"/>
      <c r="GS49" s="128">
        <f>GS39+GS48</f>
        <v>120045.23877301259</v>
      </c>
      <c r="GT49" s="180">
        <f>GS49/GS39</f>
        <v>0.25258168649211427</v>
      </c>
      <c r="GU49" s="128">
        <f>GU39+GU48</f>
        <v>23076.924717960734</v>
      </c>
      <c r="GV49" s="180">
        <f>GU49/GU39</f>
        <v>0.61309453118127222</v>
      </c>
      <c r="GW49" s="128">
        <f>GW39+GW48</f>
        <v>26940.154984241017</v>
      </c>
      <c r="GX49" s="180">
        <f>GW49/GW39</f>
        <v>0.59610858581366699</v>
      </c>
      <c r="GY49" s="128">
        <f>GY39+GY48</f>
        <v>24416.972660165891</v>
      </c>
      <c r="GZ49" s="180">
        <f>GY49/GY39</f>
        <v>0.19449999931250209</v>
      </c>
      <c r="HA49" s="128">
        <f>HA39+HA48</f>
        <v>17727.412906853926</v>
      </c>
      <c r="HB49" s="180">
        <f>HA49/HA39</f>
        <v>0.51350000453272737</v>
      </c>
      <c r="HC49" s="128">
        <f>HC39+HC48</f>
        <v>50658.599752566341</v>
      </c>
      <c r="HD49" s="180">
        <f>HC49/HC39</f>
        <v>0.38431883575366171</v>
      </c>
      <c r="HE49" s="128">
        <f>HE39+HE48</f>
        <v>262865.30379480054</v>
      </c>
      <c r="HF49" s="127"/>
      <c r="HG49" s="71"/>
      <c r="HH49" s="128">
        <f>HH39+HH48</f>
        <v>132049.76265031379</v>
      </c>
      <c r="HI49" s="180">
        <f>HH49/HH39</f>
        <v>0.25258168649211415</v>
      </c>
      <c r="HJ49" s="128">
        <f>HJ39+HJ48</f>
        <v>23769.232459499559</v>
      </c>
      <c r="HK49" s="180">
        <f>HJ49/HJ39</f>
        <v>0.61309453118127233</v>
      </c>
      <c r="HL49" s="128">
        <f>HL39+HL48</f>
        <v>29634.170482665118</v>
      </c>
      <c r="HM49" s="180">
        <f>HL49/HL39</f>
        <v>0.59610858581366699</v>
      </c>
      <c r="HN49" s="128">
        <f>HN39+HN48</f>
        <v>26858.669926182483</v>
      </c>
      <c r="HO49" s="180">
        <f>HN49/HN39</f>
        <v>0.19449999931250211</v>
      </c>
      <c r="HP49" s="128">
        <f>HP39+HP48</f>
        <v>19500.154197539316</v>
      </c>
      <c r="HQ49" s="180">
        <f>HP49/HP39</f>
        <v>0.51350000453272737</v>
      </c>
      <c r="HR49" s="128">
        <f>HR39+HR48</f>
        <v>55724.459727822992</v>
      </c>
      <c r="HS49" s="180">
        <f>HR49/HR39</f>
        <v>0.38431883575366182</v>
      </c>
      <c r="HT49" s="129">
        <f>HT39+HT48</f>
        <v>287536.44944402319</v>
      </c>
      <c r="HU49" s="127"/>
      <c r="HX49" s="181" t="s">
        <v>334</v>
      </c>
      <c r="HZ49" s="128">
        <f>HZ39+HZ48</f>
        <v>7496.6999999999971</v>
      </c>
      <c r="IA49" s="128">
        <f t="shared" ref="IA49:IM49" si="100">IA39+IA48</f>
        <v>37759.087677945732</v>
      </c>
      <c r="IB49" s="128">
        <f t="shared" si="100"/>
        <v>91184.78493600004</v>
      </c>
      <c r="IC49" s="128">
        <f t="shared" si="100"/>
        <v>99170.368754773313</v>
      </c>
      <c r="ID49" s="128">
        <f t="shared" si="100"/>
        <v>107920.40696384534</v>
      </c>
      <c r="IE49" s="128">
        <f t="shared" si="100"/>
        <v>117510.4393448536</v>
      </c>
      <c r="IF49" s="128">
        <f t="shared" si="100"/>
        <v>128023.41502552282</v>
      </c>
      <c r="IG49" s="128">
        <f t="shared" si="100"/>
        <v>139307.20155080711</v>
      </c>
      <c r="IH49" s="128">
        <f t="shared" si="100"/>
        <v>154680.95353644143</v>
      </c>
      <c r="II49" s="128">
        <f t="shared" si="100"/>
        <v>168796.17924263311</v>
      </c>
      <c r="IJ49" s="128">
        <f t="shared" si="100"/>
        <v>184282.3417410418</v>
      </c>
      <c r="IK49" s="128">
        <f t="shared" si="100"/>
        <v>201275.31713753706</v>
      </c>
      <c r="IL49" s="128">
        <f t="shared" si="100"/>
        <v>219924.53262137488</v>
      </c>
      <c r="IM49" s="128">
        <f t="shared" si="100"/>
        <v>240394.32047771988</v>
      </c>
      <c r="IN49" s="128">
        <f>IN39+IN48</f>
        <v>262865.40746854711</v>
      </c>
      <c r="IO49" s="128">
        <f>IO39+IO48</f>
        <v>287536.55311776989</v>
      </c>
    </row>
    <row r="50" spans="2:249" ht="19.2" hidden="1" thickTop="1" thickBot="1">
      <c r="B50" s="179" t="s">
        <v>335</v>
      </c>
      <c r="C50" s="182">
        <f>C49/C39</f>
        <v>0.1637951516045256</v>
      </c>
      <c r="D50" s="183"/>
      <c r="E50" s="71"/>
      <c r="F50" s="182">
        <f>F49/F39</f>
        <v>0.29344000000000003</v>
      </c>
      <c r="G50" s="182"/>
      <c r="H50" s="182">
        <f>H49/H39</f>
        <v>0.24941741328394812</v>
      </c>
      <c r="I50" s="182"/>
      <c r="J50" s="182">
        <f>J49/J39</f>
        <v>0.5</v>
      </c>
      <c r="K50" s="182"/>
      <c r="L50" s="182">
        <f>L49/L39</f>
        <v>0.22115999999999997</v>
      </c>
      <c r="M50" s="182"/>
      <c r="N50" s="182">
        <f>N49/N39</f>
        <v>0.36048000000000002</v>
      </c>
      <c r="O50" s="182"/>
      <c r="P50" s="182">
        <f>P49/P39</f>
        <v>0.27783699624644698</v>
      </c>
      <c r="Q50" s="182"/>
      <c r="R50" s="182">
        <f>R49/R39</f>
        <v>0.28546544104926896</v>
      </c>
      <c r="S50" s="105"/>
      <c r="T50" s="71"/>
      <c r="U50" s="182">
        <f>U49/U39</f>
        <v>0.25357945115512692</v>
      </c>
      <c r="V50" s="182"/>
      <c r="W50" s="182">
        <f>W49/W39</f>
        <v>0.61309453118127211</v>
      </c>
      <c r="X50" s="182"/>
      <c r="Y50" s="182">
        <f>Y49/Y39</f>
        <v>0.59610858581366699</v>
      </c>
      <c r="Z50" s="182"/>
      <c r="AA50" s="182">
        <f>AA49/AA39</f>
        <v>0.19449999931250223</v>
      </c>
      <c r="AB50" s="182"/>
      <c r="AC50" s="182">
        <f>AC49/AC39</f>
        <v>0.51350000453272748</v>
      </c>
      <c r="AD50" s="182"/>
      <c r="AE50" s="182">
        <f>AE49/AE39</f>
        <v>0.34727190347974057</v>
      </c>
      <c r="AF50" s="182"/>
      <c r="AG50" s="180">
        <f>AG49/AG39</f>
        <v>0.31968122807227956</v>
      </c>
      <c r="AH50" s="183"/>
      <c r="AI50" s="71"/>
      <c r="AJ50" s="182">
        <f>AJ49/AJ39</f>
        <v>0.25357945115512692</v>
      </c>
      <c r="AK50" s="182"/>
      <c r="AL50" s="182">
        <f>AL49/AL39</f>
        <v>0.61309453118127222</v>
      </c>
      <c r="AM50" s="182"/>
      <c r="AN50" s="182">
        <f>AN49/AN39</f>
        <v>0.59610858581366699</v>
      </c>
      <c r="AO50" s="182"/>
      <c r="AP50" s="182">
        <f>AP49/AP39</f>
        <v>0.19449999931250214</v>
      </c>
      <c r="AQ50" s="182"/>
      <c r="AR50" s="182">
        <f>AR49/AR39</f>
        <v>0.51350000453272759</v>
      </c>
      <c r="AS50" s="182"/>
      <c r="AT50" s="182">
        <f>AT49/AT39</f>
        <v>0.34727190347974063</v>
      </c>
      <c r="AU50" s="182"/>
      <c r="AV50" s="182">
        <f>AV49/AV39</f>
        <v>0.31794283013991553</v>
      </c>
      <c r="AW50" s="183"/>
      <c r="AX50" s="71"/>
      <c r="AY50" s="182">
        <f>AY49/AY39</f>
        <v>0.25357945115512687</v>
      </c>
      <c r="AZ50" s="182"/>
      <c r="BA50" s="182">
        <f>BA49/BA39</f>
        <v>0.61309453118127222</v>
      </c>
      <c r="BB50" s="182"/>
      <c r="BC50" s="182">
        <f>BC49/BC39</f>
        <v>0.59610858581366699</v>
      </c>
      <c r="BD50" s="182"/>
      <c r="BE50" s="182">
        <f>BE49/BE39</f>
        <v>0.19449999931250214</v>
      </c>
      <c r="BF50" s="182"/>
      <c r="BG50" s="182">
        <f>BG49/BG39</f>
        <v>0.51350000453272759</v>
      </c>
      <c r="BH50" s="182"/>
      <c r="BI50" s="182">
        <f>BI49/BI39</f>
        <v>0.34727190347974057</v>
      </c>
      <c r="BJ50" s="182"/>
      <c r="BK50" s="182">
        <f>BK49/BK39</f>
        <v>0.3162962788056225</v>
      </c>
      <c r="BL50" s="183"/>
      <c r="BM50" s="71"/>
      <c r="BN50" s="182">
        <f>BN49/BN39</f>
        <v>0.25357945115512692</v>
      </c>
      <c r="BO50" s="182"/>
      <c r="BP50" s="182">
        <f>BP49/BP39</f>
        <v>0.61309453118127222</v>
      </c>
      <c r="BQ50" s="182"/>
      <c r="BR50" s="182">
        <f>BR49/BR39</f>
        <v>0.59610858581366699</v>
      </c>
      <c r="BS50" s="182"/>
      <c r="BT50" s="182">
        <f>BT49/BT39</f>
        <v>0.19449999931250211</v>
      </c>
      <c r="BU50" s="182"/>
      <c r="BV50" s="182">
        <f>BV49/BV39</f>
        <v>0.51350000453272737</v>
      </c>
      <c r="BW50" s="182"/>
      <c r="BX50" s="182">
        <f>BX49/BX39</f>
        <v>0.34727190347974057</v>
      </c>
      <c r="BY50" s="182"/>
      <c r="BZ50" s="182">
        <f>BZ49/BZ39</f>
        <v>0.31473776585925317</v>
      </c>
      <c r="CA50" s="183"/>
      <c r="CB50" s="71"/>
      <c r="CC50" s="182">
        <f>CC49/CC39</f>
        <v>0.18607985590408052</v>
      </c>
      <c r="CD50" s="182"/>
      <c r="CE50" s="182">
        <f>CE49/CE39</f>
        <v>0.61309453118127211</v>
      </c>
      <c r="CF50" s="182"/>
      <c r="CG50" s="182">
        <f>CG49/CG39</f>
        <v>0.59610858581366699</v>
      </c>
      <c r="CH50" s="182"/>
      <c r="CI50" s="182">
        <f>CI49/CI39</f>
        <v>0.19449999931250228</v>
      </c>
      <c r="CJ50" s="182"/>
      <c r="CK50" s="182">
        <f>CK49/CK39</f>
        <v>0.51350000453272748</v>
      </c>
      <c r="CL50" s="182"/>
      <c r="CM50" s="182">
        <f>CM49/CM39</f>
        <v>0.34727190347974063</v>
      </c>
      <c r="CN50" s="182"/>
      <c r="CO50" s="182">
        <f>CO49/CO39</f>
        <v>0.31326351915668471</v>
      </c>
      <c r="CP50" s="183"/>
      <c r="CQ50" s="71"/>
      <c r="CR50" s="182">
        <f>CR49/CR39</f>
        <v>0.25258168649211415</v>
      </c>
      <c r="CS50" s="182"/>
      <c r="CT50" s="182">
        <f>CT49/CT39</f>
        <v>0.61309453118127233</v>
      </c>
      <c r="CU50" s="182"/>
      <c r="CV50" s="182">
        <f>CV49/CV39</f>
        <v>0.59610858581366699</v>
      </c>
      <c r="CW50" s="182"/>
      <c r="CX50" s="182">
        <f>CX49/CX39</f>
        <v>0.19449999931250223</v>
      </c>
      <c r="CY50" s="182"/>
      <c r="CZ50" s="182">
        <f>CZ49/CZ39</f>
        <v>0.51350000453272748</v>
      </c>
      <c r="DA50" s="182"/>
      <c r="DB50" s="182">
        <f>DB49/DB39</f>
        <v>0.34727190347974052</v>
      </c>
      <c r="DC50" s="182"/>
      <c r="DD50" s="182">
        <f>DD49/DD39</f>
        <v>0.31132598707728193</v>
      </c>
      <c r="DE50" s="183"/>
      <c r="DF50" s="71"/>
      <c r="DG50" s="182">
        <f>DG49/DG39</f>
        <v>0.25258168649211421</v>
      </c>
      <c r="DH50" s="182"/>
      <c r="DI50" s="182">
        <f>DI49/DI39</f>
        <v>0.61309453118127222</v>
      </c>
      <c r="DJ50" s="182"/>
      <c r="DK50" s="182">
        <f>DK49/DK39</f>
        <v>0.59610858581366699</v>
      </c>
      <c r="DL50" s="182"/>
      <c r="DM50" s="182">
        <f>DM49/DM39</f>
        <v>0.19449999931250223</v>
      </c>
      <c r="DN50" s="182"/>
      <c r="DO50" s="182">
        <f>DO49/DO39</f>
        <v>0.51350000453272748</v>
      </c>
      <c r="DP50" s="182"/>
      <c r="DQ50" s="182">
        <f>DQ49/DQ39</f>
        <v>0.38431883575366166</v>
      </c>
      <c r="DR50" s="182"/>
      <c r="DS50" s="182">
        <f>DS49/DS39</f>
        <v>0.31563152935247202</v>
      </c>
      <c r="DT50" s="183"/>
      <c r="DU50" s="71"/>
      <c r="DV50" s="182">
        <f>DV49/DV39</f>
        <v>0.25258168649211415</v>
      </c>
      <c r="DW50" s="182"/>
      <c r="DX50" s="182">
        <f>DX49/DX39</f>
        <v>0.61309453118127222</v>
      </c>
      <c r="DY50" s="182"/>
      <c r="DZ50" s="182">
        <f>DZ49/DZ39</f>
        <v>0.59610858581366688</v>
      </c>
      <c r="EA50" s="182"/>
      <c r="EB50" s="182">
        <f>EB49/EB39</f>
        <v>0.19449999931250209</v>
      </c>
      <c r="EC50" s="182"/>
      <c r="ED50" s="182">
        <f>ED49/ED39</f>
        <v>0.51350000453272737</v>
      </c>
      <c r="EE50" s="182"/>
      <c r="EF50" s="182">
        <f>EF49/EF39</f>
        <v>0.38431883575366177</v>
      </c>
      <c r="EG50" s="182"/>
      <c r="EH50" s="182">
        <f>EH49/EH39</f>
        <v>0.31440891175824093</v>
      </c>
      <c r="EI50" s="183"/>
      <c r="EJ50" s="71"/>
      <c r="EK50" s="182">
        <f>EK49/EK39</f>
        <v>0.25258168649211415</v>
      </c>
      <c r="EL50" s="182"/>
      <c r="EM50" s="182">
        <f>EM49/EM39</f>
        <v>0.61309453118127211</v>
      </c>
      <c r="EN50" s="182"/>
      <c r="EO50" s="182">
        <f>EO49/EO39</f>
        <v>0.59610858581366688</v>
      </c>
      <c r="EP50" s="182"/>
      <c r="EQ50" s="182">
        <f>EQ49/EQ39</f>
        <v>0.19449999931250217</v>
      </c>
      <c r="ER50" s="182"/>
      <c r="ES50" s="182">
        <f>ES49/ES39</f>
        <v>0.51350000453272737</v>
      </c>
      <c r="ET50" s="182"/>
      <c r="EU50" s="182">
        <f>EU49/EU39</f>
        <v>0.38431883575366188</v>
      </c>
      <c r="EV50" s="182"/>
      <c r="EW50" s="182">
        <f>EW49/EW39</f>
        <v>0.31325495061249042</v>
      </c>
      <c r="EX50" s="183"/>
      <c r="EY50" s="71"/>
      <c r="EZ50" s="182">
        <f>EZ49/EZ39</f>
        <v>0.25258168649211432</v>
      </c>
      <c r="FA50" s="182"/>
      <c r="FB50" s="182">
        <f>FB49/FB39</f>
        <v>0.61309453118127222</v>
      </c>
      <c r="FC50" s="182"/>
      <c r="FD50" s="182">
        <f>FD49/FD39</f>
        <v>0.59610858581366688</v>
      </c>
      <c r="FE50" s="182"/>
      <c r="FF50" s="182">
        <f>FF49/FF39</f>
        <v>0.19449999931250214</v>
      </c>
      <c r="FG50" s="182"/>
      <c r="FH50" s="182">
        <f>FH49/FH39</f>
        <v>0.51350000453272748</v>
      </c>
      <c r="FI50" s="182"/>
      <c r="FJ50" s="182">
        <f>FJ49/FJ39</f>
        <v>0.38431883575366182</v>
      </c>
      <c r="FK50" s="182"/>
      <c r="FL50" s="182">
        <f>FL49/FL39</f>
        <v>0.31216631050734628</v>
      </c>
      <c r="FM50" s="183"/>
      <c r="FN50" s="71"/>
      <c r="FO50" s="182">
        <f>FO49/FO39</f>
        <v>0.25258168649211415</v>
      </c>
      <c r="FP50" s="182"/>
      <c r="FQ50" s="182">
        <f>FQ49/FQ39</f>
        <v>0.61309453118127222</v>
      </c>
      <c r="FR50" s="182"/>
      <c r="FS50" s="182">
        <f>FS49/FS39</f>
        <v>0.59610858581366688</v>
      </c>
      <c r="FT50" s="182"/>
      <c r="FU50" s="182">
        <f>FU49/FU39</f>
        <v>0.19449999931250225</v>
      </c>
      <c r="FV50" s="182"/>
      <c r="FW50" s="182">
        <f>FW49/FW39</f>
        <v>0.51350000453272737</v>
      </c>
      <c r="FX50" s="182"/>
      <c r="FY50" s="182">
        <f>FY49/FY39</f>
        <v>0.38431883575366177</v>
      </c>
      <c r="FZ50" s="182"/>
      <c r="GA50" s="182">
        <f>GA49/GA39</f>
        <v>0.31113975648571895</v>
      </c>
      <c r="GB50" s="183"/>
      <c r="GC50" s="71"/>
      <c r="GD50" s="182">
        <f>GD49/GD39</f>
        <v>0.2525816864921141</v>
      </c>
      <c r="GE50" s="182"/>
      <c r="GF50" s="182">
        <f>GF49/GF39</f>
        <v>0.61309453118127222</v>
      </c>
      <c r="GG50" s="182"/>
      <c r="GH50" s="182">
        <f>GH49/GH39</f>
        <v>0.59610858581366699</v>
      </c>
      <c r="GI50" s="182"/>
      <c r="GJ50" s="182">
        <f>GJ49/GJ39</f>
        <v>0.19449999931250209</v>
      </c>
      <c r="GK50" s="182"/>
      <c r="GL50" s="182">
        <f>GL49/GL39</f>
        <v>0.51350000453272737</v>
      </c>
      <c r="GM50" s="182"/>
      <c r="GN50" s="182">
        <f>GN49/GN39</f>
        <v>0.38431883575366182</v>
      </c>
      <c r="GO50" s="182"/>
      <c r="GP50" s="182">
        <f>GP49/GP39</f>
        <v>0.31017215889056615</v>
      </c>
      <c r="GQ50" s="183"/>
      <c r="GR50" s="71"/>
      <c r="GS50" s="182">
        <f>GS49/GS39</f>
        <v>0.25258168649211427</v>
      </c>
      <c r="GT50" s="182"/>
      <c r="GU50" s="182">
        <f>GU49/GU39</f>
        <v>0.61309453118127222</v>
      </c>
      <c r="GV50" s="182"/>
      <c r="GW50" s="182">
        <f>GW49/GW39</f>
        <v>0.59610858581366699</v>
      </c>
      <c r="GX50" s="182"/>
      <c r="GY50" s="182">
        <f>GY49/GY39</f>
        <v>0.19449999931250209</v>
      </c>
      <c r="GZ50" s="182"/>
      <c r="HA50" s="182">
        <f>HA49/HA39</f>
        <v>0.51350000453272737</v>
      </c>
      <c r="HB50" s="182"/>
      <c r="HC50" s="182">
        <f>HC49/HC39</f>
        <v>0.38431883575366171</v>
      </c>
      <c r="HD50" s="182"/>
      <c r="HE50" s="182">
        <f>HE49/HE39</f>
        <v>0.30926049692033175</v>
      </c>
      <c r="HF50" s="183"/>
      <c r="HG50" s="71"/>
      <c r="HH50" s="182">
        <f>HH49/HH39</f>
        <v>0.25258168649211415</v>
      </c>
      <c r="HI50" s="182"/>
      <c r="HJ50" s="182">
        <f>HJ49/HJ39</f>
        <v>0.61309453118127233</v>
      </c>
      <c r="HK50" s="182"/>
      <c r="HL50" s="182">
        <f>HL49/HL39</f>
        <v>0.59610858581366699</v>
      </c>
      <c r="HM50" s="182"/>
      <c r="HN50" s="182">
        <f>HN49/HN39</f>
        <v>0.19449999931250211</v>
      </c>
      <c r="HO50" s="182"/>
      <c r="HP50" s="182">
        <f>HP49/HP39</f>
        <v>0.51350000453272737</v>
      </c>
      <c r="HQ50" s="182"/>
      <c r="HR50" s="182">
        <f>HR49/HR39</f>
        <v>0.38431883575366182</v>
      </c>
      <c r="HS50" s="182"/>
      <c r="HT50" s="184">
        <f>HT49/HT39</f>
        <v>0.30840186103400524</v>
      </c>
      <c r="HU50" s="183"/>
      <c r="HX50" s="185" t="s">
        <v>335</v>
      </c>
      <c r="HY50" s="186"/>
      <c r="HZ50" s="187">
        <f t="shared" ref="HZ50:IM50" si="101">HZ49/HZ39</f>
        <v>6.141765182982277E-2</v>
      </c>
      <c r="IA50" s="187">
        <f t="shared" si="101"/>
        <v>0.28546544104926896</v>
      </c>
      <c r="IB50" s="187">
        <f t="shared" si="101"/>
        <v>0.31968122807227956</v>
      </c>
      <c r="IC50" s="187">
        <f t="shared" si="101"/>
        <v>0.3179431625210421</v>
      </c>
      <c r="ID50" s="187">
        <f t="shared" si="101"/>
        <v>0.31629658265595706</v>
      </c>
      <c r="IE50" s="187">
        <f t="shared" si="101"/>
        <v>0.31473804353732454</v>
      </c>
      <c r="IF50" s="187">
        <f t="shared" si="101"/>
        <v>0.31326377283863027</v>
      </c>
      <c r="IG50" s="187">
        <f t="shared" si="101"/>
        <v>0.3113262187692199</v>
      </c>
      <c r="IH50" s="187">
        <f t="shared" si="101"/>
        <v>0.3156317409022743</v>
      </c>
      <c r="II50" s="187">
        <f t="shared" si="101"/>
        <v>0.31440910486669887</v>
      </c>
      <c r="IJ50" s="187">
        <f t="shared" si="101"/>
        <v>0.31325512684387707</v>
      </c>
      <c r="IK50" s="187">
        <f t="shared" si="101"/>
        <v>0.31216647129938024</v>
      </c>
      <c r="IL50" s="187">
        <f t="shared" si="101"/>
        <v>0.31113990315893952</v>
      </c>
      <c r="IM50" s="187">
        <f t="shared" si="101"/>
        <v>0.31017229265713603</v>
      </c>
      <c r="IN50" s="187">
        <f>IN49/IN39</f>
        <v>0.3092606188922844</v>
      </c>
      <c r="IO50" s="187">
        <f>IO49/IO39</f>
        <v>0.30840197223095606</v>
      </c>
    </row>
    <row r="51" spans="2:249" ht="15" hidden="1" thickTop="1">
      <c r="E51" s="71"/>
      <c r="T51" s="71"/>
      <c r="AI51" s="71"/>
      <c r="AX51" s="71"/>
      <c r="BM51" s="71"/>
      <c r="CB51" s="71"/>
      <c r="CQ51" s="71"/>
      <c r="DF51" s="71"/>
      <c r="DU51" s="71"/>
      <c r="EJ51" s="71"/>
      <c r="EY51" s="71"/>
      <c r="FN51" s="71"/>
      <c r="GC51" s="71"/>
      <c r="GR51" s="71"/>
      <c r="HG51" s="71"/>
      <c r="HX51" s="168" t="s">
        <v>336</v>
      </c>
      <c r="IA51" s="72"/>
      <c r="IB51" s="72"/>
      <c r="IC51" s="72"/>
      <c r="ID51" s="72"/>
      <c r="IE51" s="72"/>
      <c r="IF51" s="72"/>
      <c r="IG51" s="72"/>
      <c r="IH51" s="72"/>
      <c r="II51" s="72"/>
      <c r="IJ51" s="72"/>
      <c r="IK51" s="72"/>
      <c r="IL51" s="72"/>
      <c r="IM51" s="72"/>
      <c r="IN51" s="72"/>
      <c r="IO51" s="72"/>
    </row>
    <row r="52" spans="2:249" s="63" customFormat="1" hidden="1">
      <c r="B52" s="188" t="s">
        <v>14</v>
      </c>
      <c r="C52" s="189">
        <f>-26917-6284</f>
        <v>-33201</v>
      </c>
      <c r="D52" s="189"/>
      <c r="E52" s="190"/>
      <c r="F52" s="189">
        <f>F13*0.4</f>
        <v>-9464.7123775498458</v>
      </c>
      <c r="G52" s="189">
        <f t="shared" ref="G52:Q52" si="102">G13*0.7</f>
        <v>0.20849499999999999</v>
      </c>
      <c r="H52" s="189">
        <f>H13*0.4</f>
        <v>-8066.0145977216853</v>
      </c>
      <c r="I52" s="189">
        <f t="shared" si="102"/>
        <v>0.35</v>
      </c>
      <c r="J52" s="189">
        <f>J13*0.4</f>
        <v>-1196</v>
      </c>
      <c r="K52" s="189">
        <f t="shared" si="102"/>
        <v>0.45499999999999996</v>
      </c>
      <c r="L52" s="189">
        <f>L13*0.4</f>
        <v>-266.52000000000004</v>
      </c>
      <c r="M52" s="189">
        <f t="shared" si="102"/>
        <v>0.10364666666666666</v>
      </c>
      <c r="N52" s="189">
        <f>N13*0.4</f>
        <v>-251.42400000000004</v>
      </c>
      <c r="O52" s="189">
        <f t="shared" si="102"/>
        <v>0.24443999999999999</v>
      </c>
      <c r="P52" s="189">
        <f>P13*0.4</f>
        <v>-128</v>
      </c>
      <c r="Q52" s="189">
        <f t="shared" si="102"/>
        <v>0.13999999999999999</v>
      </c>
      <c r="R52" s="189">
        <f>SUM(F52:Q52)</f>
        <v>-19371.169393604865</v>
      </c>
      <c r="T52" s="190"/>
      <c r="U52" s="189">
        <f>U13*0.6</f>
        <v>-12312.480967679974</v>
      </c>
      <c r="V52" s="189"/>
      <c r="W52" s="189">
        <f>W13*0.6</f>
        <v>-9503.9971055999995</v>
      </c>
      <c r="X52" s="189"/>
      <c r="Y52" s="189">
        <f>Y13*0.6</f>
        <v>-5097.59998584</v>
      </c>
      <c r="Z52" s="189"/>
      <c r="AA52" s="189">
        <f>AA13*0.6</f>
        <v>-2879.99999712</v>
      </c>
      <c r="AB52" s="189"/>
      <c r="AC52" s="189">
        <f>AC13*0.6</f>
        <v>-2640.0000095999999</v>
      </c>
      <c r="AD52" s="189"/>
      <c r="AE52" s="189">
        <f>AE13*0.6</f>
        <v>-5111.1638301600215</v>
      </c>
      <c r="AF52" s="189"/>
      <c r="AG52" s="189">
        <f>SUM(U52:AE52)</f>
        <v>-37545.241895999992</v>
      </c>
      <c r="AH52" s="189"/>
      <c r="AI52" s="190"/>
      <c r="AJ52" s="172">
        <f>U52+(U52*AJ2)</f>
        <v>-12928.105016063973</v>
      </c>
      <c r="AK52" s="189">
        <f t="shared" ref="AK52:AU52" si="103">AK13*0.7</f>
        <v>0</v>
      </c>
      <c r="AL52" s="172">
        <f>W52+(W52*AL2)</f>
        <v>-9979.1969608799991</v>
      </c>
      <c r="AM52" s="189">
        <f t="shared" si="103"/>
        <v>0</v>
      </c>
      <c r="AN52" s="172">
        <f>Y52+(Y52*AN2)</f>
        <v>-5352.4799851320004</v>
      </c>
      <c r="AO52" s="189">
        <f t="shared" si="103"/>
        <v>0</v>
      </c>
      <c r="AP52" s="172">
        <f>AA52+(AA52*AP2)</f>
        <v>-3023.9999969760001</v>
      </c>
      <c r="AQ52" s="189">
        <f t="shared" si="103"/>
        <v>0</v>
      </c>
      <c r="AR52" s="172">
        <f>AC52+(AC52*AR2)</f>
        <v>-2772.0000100799998</v>
      </c>
      <c r="AS52" s="189">
        <f t="shared" si="103"/>
        <v>0</v>
      </c>
      <c r="AT52" s="172">
        <f>AE52+(AE52*AT2)</f>
        <v>-5366.7220216680225</v>
      </c>
      <c r="AU52" s="189">
        <f t="shared" si="103"/>
        <v>0</v>
      </c>
      <c r="AV52" s="189">
        <f>SUM(AJ52:AT52)</f>
        <v>-39422.503990799989</v>
      </c>
      <c r="AW52" s="189"/>
      <c r="AX52" s="190"/>
      <c r="AY52" s="172">
        <f>AJ52+(AJ52*AY2)</f>
        <v>-13574.510266867172</v>
      </c>
      <c r="AZ52" s="189">
        <f t="shared" ref="AZ52:BJ52" si="104">AZ13*0.7</f>
        <v>0</v>
      </c>
      <c r="BA52" s="172">
        <f>AL52+(AL52*BA2)</f>
        <v>-10478.156808923999</v>
      </c>
      <c r="BB52" s="189">
        <f t="shared" si="104"/>
        <v>0</v>
      </c>
      <c r="BC52" s="172">
        <f>AN52+(AN52*BC2)</f>
        <v>-5620.1039843886001</v>
      </c>
      <c r="BD52" s="189">
        <f t="shared" si="104"/>
        <v>0</v>
      </c>
      <c r="BE52" s="172">
        <f>AP52+(AP52*BE2)</f>
        <v>-3175.1999968248001</v>
      </c>
      <c r="BF52" s="189">
        <f t="shared" si="104"/>
        <v>0</v>
      </c>
      <c r="BG52" s="172">
        <f>AR52+(AR52*BG2)</f>
        <v>-2910.6000105839998</v>
      </c>
      <c r="BH52" s="189">
        <f t="shared" si="104"/>
        <v>0</v>
      </c>
      <c r="BI52" s="172">
        <f>AT52+(AT52*BI2)</f>
        <v>-5635.058122751424</v>
      </c>
      <c r="BJ52" s="189">
        <f t="shared" si="104"/>
        <v>0</v>
      </c>
      <c r="BK52" s="189">
        <f>SUM(AY52:BI52)</f>
        <v>-41393.629190339998</v>
      </c>
      <c r="BL52" s="189"/>
      <c r="BM52" s="190"/>
      <c r="BN52" s="172">
        <f>AY52+(AY52*BN2)</f>
        <v>-14253.235780210531</v>
      </c>
      <c r="BO52" s="189">
        <f t="shared" ref="BO52:BY52" si="105">BO13*0.7</f>
        <v>0</v>
      </c>
      <c r="BP52" s="172">
        <f>BA52+(BA52*BP2)</f>
        <v>-11002.064649370199</v>
      </c>
      <c r="BQ52" s="189">
        <f t="shared" si="105"/>
        <v>0</v>
      </c>
      <c r="BR52" s="172">
        <f>BC52+(BC52*BR2)</f>
        <v>-5901.1091836080304</v>
      </c>
      <c r="BS52" s="189">
        <f t="shared" si="105"/>
        <v>0</v>
      </c>
      <c r="BT52" s="172">
        <f>BE52+(BE52*BT2)</f>
        <v>-3333.9599966660403</v>
      </c>
      <c r="BU52" s="189">
        <f t="shared" si="105"/>
        <v>0</v>
      </c>
      <c r="BV52" s="172">
        <f>BG52+(BG52*BV2)</f>
        <v>-3056.1300111132</v>
      </c>
      <c r="BW52" s="189">
        <f t="shared" si="105"/>
        <v>0</v>
      </c>
      <c r="BX52" s="172">
        <f>BI52+(BI52*BX2)</f>
        <v>-5916.8110288889948</v>
      </c>
      <c r="BY52" s="189">
        <f t="shared" si="105"/>
        <v>0</v>
      </c>
      <c r="BZ52" s="189">
        <f>SUM(BN52:BX52)</f>
        <v>-43463.310649856998</v>
      </c>
      <c r="CA52" s="189"/>
      <c r="CB52" s="190"/>
      <c r="CC52" s="172">
        <f>BN52+(BN52*CC2)</f>
        <v>-14965.897569221057</v>
      </c>
      <c r="CD52" s="189">
        <f t="shared" ref="CD52:CN52" si="106">CD13*0.7</f>
        <v>0</v>
      </c>
      <c r="CE52" s="172">
        <f>BP52+(BP52*CE2)</f>
        <v>-11552.167881838708</v>
      </c>
      <c r="CF52" s="189">
        <f t="shared" si="106"/>
        <v>0</v>
      </c>
      <c r="CG52" s="172">
        <f>BR52+(BR52*CG2)</f>
        <v>-6196.1646427884316</v>
      </c>
      <c r="CH52" s="189">
        <f t="shared" si="106"/>
        <v>0</v>
      </c>
      <c r="CI52" s="172">
        <f>BT52+(BT52*CI2)</f>
        <v>-3500.6579964993425</v>
      </c>
      <c r="CJ52" s="189">
        <f t="shared" si="106"/>
        <v>0</v>
      </c>
      <c r="CK52" s="172">
        <f>BV52+(BV52*CK2)</f>
        <v>-3208.93651166886</v>
      </c>
      <c r="CL52" s="189">
        <f t="shared" si="106"/>
        <v>0</v>
      </c>
      <c r="CM52" s="172">
        <f>BX52+(BX52*CM2)</f>
        <v>-6212.6515803334441</v>
      </c>
      <c r="CN52" s="189">
        <f t="shared" si="106"/>
        <v>0</v>
      </c>
      <c r="CO52" s="189">
        <f>SUM(CC52:CM52)</f>
        <v>-45636.476182349841</v>
      </c>
      <c r="CP52" s="189"/>
      <c r="CQ52" s="190"/>
      <c r="CR52" s="172">
        <f>CC52+(CC52*CR2)</f>
        <v>-15714.19244768211</v>
      </c>
      <c r="CS52" s="189">
        <f t="shared" ref="CS52:DC52" si="107">CS13*0.7</f>
        <v>0</v>
      </c>
      <c r="CT52" s="172">
        <f>CE52+(CE52*CT2)</f>
        <v>-12129.776275930644</v>
      </c>
      <c r="CU52" s="189">
        <f t="shared" si="107"/>
        <v>0</v>
      </c>
      <c r="CV52" s="172">
        <f>CG52+(CG52*CV2)</f>
        <v>-6505.9728749278529</v>
      </c>
      <c r="CW52" s="189">
        <f t="shared" si="107"/>
        <v>0</v>
      </c>
      <c r="CX52" s="172">
        <f>CI52+(CI52*CX2)</f>
        <v>-3675.6908963243095</v>
      </c>
      <c r="CY52" s="189">
        <f t="shared" si="107"/>
        <v>0</v>
      </c>
      <c r="CZ52" s="172">
        <f>CK52+(CK52*CZ2)</f>
        <v>-3369.3833372523031</v>
      </c>
      <c r="DA52" s="189">
        <f t="shared" si="107"/>
        <v>0</v>
      </c>
      <c r="DB52" s="172">
        <f>CM52+(CM52*DB2)</f>
        <v>-6523.2841593501162</v>
      </c>
      <c r="DC52" s="189">
        <f t="shared" si="107"/>
        <v>0</v>
      </c>
      <c r="DD52" s="189">
        <f>SUM(CR52:DB52)</f>
        <v>-47918.299991467335</v>
      </c>
      <c r="DE52" s="189"/>
      <c r="DF52" s="190"/>
      <c r="DG52" s="172">
        <f>CR52+(CR52*DG2)</f>
        <v>-16499.902070066215</v>
      </c>
      <c r="DH52" s="189">
        <f t="shared" ref="DH52:DR52" si="108">DH13*0.7</f>
        <v>0</v>
      </c>
      <c r="DI52" s="172">
        <f>CT52+(CT52*DI2)</f>
        <v>-12736.265089727176</v>
      </c>
      <c r="DJ52" s="189">
        <f t="shared" si="108"/>
        <v>0</v>
      </c>
      <c r="DK52" s="172">
        <f>CV52+(CV52*DK2)</f>
        <v>-6831.2715186742453</v>
      </c>
      <c r="DL52" s="189">
        <f t="shared" si="108"/>
        <v>0</v>
      </c>
      <c r="DM52" s="172">
        <f>CX52+(CX52*DM2)</f>
        <v>-3859.4754411405252</v>
      </c>
      <c r="DN52" s="189">
        <f t="shared" si="108"/>
        <v>0</v>
      </c>
      <c r="DO52" s="172">
        <f>CZ52+(CZ52*DO2)</f>
        <v>-3537.8525041149182</v>
      </c>
      <c r="DP52" s="189">
        <f t="shared" si="108"/>
        <v>0</v>
      </c>
      <c r="DQ52" s="172">
        <f>DB52+(DB52*DQ2)</f>
        <v>-6849.4483673176219</v>
      </c>
      <c r="DR52" s="189">
        <f t="shared" si="108"/>
        <v>0</v>
      </c>
      <c r="DS52" s="189">
        <f>SUM(DG52:DQ52)</f>
        <v>-50314.214991040695</v>
      </c>
      <c r="DT52" s="189"/>
      <c r="DU52" s="190"/>
      <c r="DV52" s="172">
        <f>DG52+(DG52*DV2)</f>
        <v>-17324.897173569527</v>
      </c>
      <c r="DW52" s="189">
        <f t="shared" ref="DW52:EG52" si="109">DW13*0.7</f>
        <v>0</v>
      </c>
      <c r="DX52" s="172">
        <f>DI52+(DI52*DX2)</f>
        <v>-13373.078344213534</v>
      </c>
      <c r="DY52" s="189">
        <f t="shared" si="109"/>
        <v>0</v>
      </c>
      <c r="DZ52" s="172">
        <f>DK52+(DK52*DZ2)</f>
        <v>-7172.8350946079572</v>
      </c>
      <c r="EA52" s="189">
        <f t="shared" si="109"/>
        <v>0</v>
      </c>
      <c r="EB52" s="172">
        <f>DM52+(DM52*EB2)</f>
        <v>-4052.4492131975512</v>
      </c>
      <c r="EC52" s="189">
        <f t="shared" si="109"/>
        <v>0</v>
      </c>
      <c r="ED52" s="172">
        <f>DO52+(DO52*ED2)</f>
        <v>-3714.7451293206641</v>
      </c>
      <c r="EE52" s="189">
        <f t="shared" si="109"/>
        <v>0</v>
      </c>
      <c r="EF52" s="172">
        <f>DQ52+(DQ52*EF2)</f>
        <v>-7191.9207856835028</v>
      </c>
      <c r="EG52" s="189">
        <f t="shared" si="109"/>
        <v>0</v>
      </c>
      <c r="EH52" s="189">
        <f>SUM(DV52:EF52)</f>
        <v>-52829.925740592735</v>
      </c>
      <c r="EI52" s="189"/>
      <c r="EJ52" s="190"/>
      <c r="EK52" s="172">
        <f>DV52+(DV52*EK2)</f>
        <v>-18191.142032248004</v>
      </c>
      <c r="EL52" s="189">
        <f t="shared" ref="EL52:EV52" si="110">EL13*0.7</f>
        <v>0</v>
      </c>
      <c r="EM52" s="172">
        <f>DX52+(DX52*EM2)</f>
        <v>-14041.732261424211</v>
      </c>
      <c r="EN52" s="189">
        <f t="shared" si="110"/>
        <v>0</v>
      </c>
      <c r="EO52" s="172">
        <f>DZ52+(DZ52*EO2)</f>
        <v>-7531.4768493383554</v>
      </c>
      <c r="EP52" s="189">
        <f t="shared" si="110"/>
        <v>0</v>
      </c>
      <c r="EQ52" s="172">
        <f>EB52+(EB52*EQ2)</f>
        <v>-4255.0716738574283</v>
      </c>
      <c r="ER52" s="189">
        <f t="shared" si="110"/>
        <v>0</v>
      </c>
      <c r="ES52" s="172">
        <f>ED52+(ED52*ES2)</f>
        <v>-3900.4823857866973</v>
      </c>
      <c r="ET52" s="189">
        <f t="shared" si="110"/>
        <v>0</v>
      </c>
      <c r="EU52" s="172">
        <f>EF52+(EF52*EU2)</f>
        <v>-7551.5168249676781</v>
      </c>
      <c r="EV52" s="189">
        <f t="shared" si="110"/>
        <v>0</v>
      </c>
      <c r="EW52" s="189">
        <f>SUM(EK52:EU52)</f>
        <v>-55471.422027622371</v>
      </c>
      <c r="EX52" s="189"/>
      <c r="EY52" s="190"/>
      <c r="EZ52" s="172">
        <f>EK52+(EK52*EZ2)</f>
        <v>-19100.699133860406</v>
      </c>
      <c r="FA52" s="189">
        <f t="shared" ref="FA52:FK52" si="111">FA13*0.7</f>
        <v>0</v>
      </c>
      <c r="FB52" s="172">
        <f>EM52+(EM52*FB2)</f>
        <v>-14743.818874495422</v>
      </c>
      <c r="FC52" s="189">
        <f t="shared" si="111"/>
        <v>0</v>
      </c>
      <c r="FD52" s="172">
        <f>EO52+(EO52*FD2)</f>
        <v>-7908.0506918052733</v>
      </c>
      <c r="FE52" s="189">
        <f t="shared" si="111"/>
        <v>0</v>
      </c>
      <c r="FF52" s="172">
        <f>EQ52+(EQ52*FF2)</f>
        <v>-4467.8252575502993</v>
      </c>
      <c r="FG52" s="189">
        <f t="shared" si="111"/>
        <v>0</v>
      </c>
      <c r="FH52" s="172">
        <f>ES52+(ES52*FH2)</f>
        <v>-4095.5065050760322</v>
      </c>
      <c r="FI52" s="189">
        <f t="shared" si="111"/>
        <v>0</v>
      </c>
      <c r="FJ52" s="172">
        <f>EU52+(EU52*FJ2)</f>
        <v>-7929.0926662160618</v>
      </c>
      <c r="FK52" s="189">
        <f t="shared" si="111"/>
        <v>0</v>
      </c>
      <c r="FL52" s="189">
        <f>SUM(EZ52:FJ52)</f>
        <v>-58244.993129003495</v>
      </c>
      <c r="FM52" s="189"/>
      <c r="FN52" s="190"/>
      <c r="FO52" s="172">
        <f>EZ52+(EZ52*FO2)</f>
        <v>-20055.734090553426</v>
      </c>
      <c r="FP52" s="189">
        <f t="shared" ref="FP52:FZ52" si="112">FP13*0.7</f>
        <v>0</v>
      </c>
      <c r="FQ52" s="172">
        <f>FB52+(FB52*FQ2)</f>
        <v>-15481.009818220193</v>
      </c>
      <c r="FR52" s="189">
        <f t="shared" si="112"/>
        <v>0</v>
      </c>
      <c r="FS52" s="172">
        <f>FD52+(FD52*FS2)</f>
        <v>-8303.4532263955371</v>
      </c>
      <c r="FT52" s="189">
        <f t="shared" si="112"/>
        <v>0</v>
      </c>
      <c r="FU52" s="172">
        <f>FF52+(FF52*FU2)</f>
        <v>-4691.2165204278144</v>
      </c>
      <c r="FV52" s="189">
        <f t="shared" si="112"/>
        <v>0</v>
      </c>
      <c r="FW52" s="172">
        <f>FH52+(FH52*FW2)</f>
        <v>-4300.2818303298336</v>
      </c>
      <c r="FX52" s="189">
        <f t="shared" si="112"/>
        <v>0</v>
      </c>
      <c r="FY52" s="172">
        <f>FJ52+(FJ52*FY2)</f>
        <v>-8325.5472995268647</v>
      </c>
      <c r="FZ52" s="189">
        <f t="shared" si="112"/>
        <v>0</v>
      </c>
      <c r="GA52" s="189">
        <f>SUM(FO52:FY52)</f>
        <v>-61157.242785453673</v>
      </c>
      <c r="GB52" s="189"/>
      <c r="GC52" s="190"/>
      <c r="GD52" s="172">
        <f>FO52+(FO52*GD2)</f>
        <v>-21058.520795081098</v>
      </c>
      <c r="GE52" s="189">
        <f t="shared" ref="GE52:GO52" si="113">GE13*0.7</f>
        <v>0</v>
      </c>
      <c r="GF52" s="172">
        <f>FQ52+(FQ52*GF2)</f>
        <v>-16255.060309131202</v>
      </c>
      <c r="GG52" s="189">
        <f t="shared" si="113"/>
        <v>0</v>
      </c>
      <c r="GH52" s="172">
        <f>FS52+(FS52*GH2)</f>
        <v>-8718.6258877153141</v>
      </c>
      <c r="GI52" s="189">
        <f t="shared" si="113"/>
        <v>0</v>
      </c>
      <c r="GJ52" s="172">
        <f>FU52+(FU52*GJ2)</f>
        <v>-4925.7773464492047</v>
      </c>
      <c r="GK52" s="189">
        <f t="shared" si="113"/>
        <v>0</v>
      </c>
      <c r="GL52" s="172">
        <f>FW52+(FW52*GL2)</f>
        <v>-4515.2959218463257</v>
      </c>
      <c r="GM52" s="189">
        <f t="shared" si="113"/>
        <v>0</v>
      </c>
      <c r="GN52" s="172">
        <f>FY52+(FY52*GN2)</f>
        <v>-8741.8246645032086</v>
      </c>
      <c r="GO52" s="189">
        <f t="shared" si="113"/>
        <v>0</v>
      </c>
      <c r="GP52" s="189">
        <f>SUM(GD52:GN52)</f>
        <v>-64215.104924726358</v>
      </c>
      <c r="GQ52" s="189"/>
      <c r="GR52" s="190"/>
      <c r="GS52" s="172">
        <f>GD52+(GD52*GS2)</f>
        <v>-22111.446834835155</v>
      </c>
      <c r="GT52" s="189">
        <f>GT13*0.7</f>
        <v>0</v>
      </c>
      <c r="GU52" s="172">
        <f>GF52+(GF52*GU2)</f>
        <v>-17067.813324587762</v>
      </c>
      <c r="GV52" s="189">
        <f>GV13*0.7</f>
        <v>0</v>
      </c>
      <c r="GW52" s="172">
        <f>GH52+(GH52*GW2)</f>
        <v>-9154.5571821010799</v>
      </c>
      <c r="GX52" s="189">
        <f>GX13*0.7</f>
        <v>0</v>
      </c>
      <c r="GY52" s="172">
        <f>GJ52+(GJ52*GY2)</f>
        <v>-5172.0662137716654</v>
      </c>
      <c r="GZ52" s="189">
        <f>GZ13*0.7</f>
        <v>0</v>
      </c>
      <c r="HA52" s="172">
        <f>GL52+(GL52*HA2)</f>
        <v>-4741.0607179386416</v>
      </c>
      <c r="HB52" s="189">
        <f>HB13*0.7</f>
        <v>0</v>
      </c>
      <c r="HC52" s="172">
        <f>GN52+(GN52*HC2)</f>
        <v>-9178.9158977283696</v>
      </c>
      <c r="HD52" s="189">
        <f>HD13*0.7</f>
        <v>0</v>
      </c>
      <c r="HE52" s="189">
        <f>SUM(GS52:HC52)</f>
        <v>-67425.860170962682</v>
      </c>
      <c r="HF52" s="189"/>
      <c r="HG52" s="190"/>
      <c r="HH52" s="172">
        <f>GS52+(GS52*HH2)</f>
        <v>-23217.019176576912</v>
      </c>
      <c r="HI52" s="189">
        <f>HI13*0.7</f>
        <v>0</v>
      </c>
      <c r="HJ52" s="172">
        <f>GU52+(GU52*HJ2)</f>
        <v>-17921.20399081715</v>
      </c>
      <c r="HK52" s="189">
        <f>HK13*0.7</f>
        <v>0</v>
      </c>
      <c r="HL52" s="172">
        <f>GW52+(GW52*HL2)</f>
        <v>-9612.2850412061343</v>
      </c>
      <c r="HM52" s="189">
        <f>HM13*0.7</f>
        <v>0</v>
      </c>
      <c r="HN52" s="172">
        <f>GY52+(GY52*HN2)</f>
        <v>-5430.6695244602488</v>
      </c>
      <c r="HO52" s="189">
        <f>HO13*0.7</f>
        <v>0</v>
      </c>
      <c r="HP52" s="172">
        <f>HA52+(HA52*HP2)</f>
        <v>-4978.1137538355733</v>
      </c>
      <c r="HQ52" s="189">
        <f>HQ13*0.7</f>
        <v>0</v>
      </c>
      <c r="HR52" s="172">
        <f>HC52+(HC52*HR2)</f>
        <v>-9637.8616926147879</v>
      </c>
      <c r="HS52" s="189">
        <f>HS13*0.7</f>
        <v>0</v>
      </c>
      <c r="HT52" s="189">
        <f>SUM(HH52:HR52)</f>
        <v>-70797.153179510802</v>
      </c>
      <c r="HU52" s="189"/>
      <c r="HV52"/>
      <c r="HX52" s="170" t="s">
        <v>330</v>
      </c>
      <c r="HY52" s="191"/>
      <c r="HZ52" s="192">
        <f>(HZ13*0.55)</f>
        <v>-32677.700000000004</v>
      </c>
      <c r="IA52" s="192">
        <f>+R52</f>
        <v>-19371.169393604865</v>
      </c>
      <c r="IB52" s="192">
        <f>+AG52</f>
        <v>-37545.241895999992</v>
      </c>
      <c r="IC52" s="192">
        <f>+AV52</f>
        <v>-39422.503990799989</v>
      </c>
      <c r="ID52" s="192">
        <f>+BK52</f>
        <v>-41393.629190339998</v>
      </c>
      <c r="IE52" s="192">
        <f>+BZ52</f>
        <v>-43463.310649856998</v>
      </c>
      <c r="IF52" s="192">
        <f>+CO52</f>
        <v>-45636.476182349841</v>
      </c>
      <c r="IG52" s="192">
        <f>+DD52</f>
        <v>-47918.299991467335</v>
      </c>
      <c r="IH52" s="192">
        <f>+DS52</f>
        <v>-50314.214991040695</v>
      </c>
      <c r="II52" s="192">
        <f>+EH52</f>
        <v>-52829.925740592735</v>
      </c>
      <c r="IJ52" s="192">
        <f>+EW52</f>
        <v>-55471.422027622371</v>
      </c>
      <c r="IK52" s="192">
        <f>+FL52</f>
        <v>-58244.993129003495</v>
      </c>
      <c r="IL52" s="192">
        <f>+GA52</f>
        <v>-61157.242785453673</v>
      </c>
      <c r="IM52" s="192">
        <f>+GP52</f>
        <v>-64215.104924726358</v>
      </c>
      <c r="IN52" s="192">
        <f>+HE52</f>
        <v>-67425.860170962682</v>
      </c>
      <c r="IO52" s="169">
        <f t="shared" ref="IO52:IO58" si="114">+HT52</f>
        <v>-70797.153179510802</v>
      </c>
    </row>
    <row r="53" spans="2:249" hidden="1">
      <c r="B53" s="159" t="s">
        <v>337</v>
      </c>
      <c r="C53" s="176">
        <f>C16</f>
        <v>-12215</v>
      </c>
      <c r="D53" s="176"/>
      <c r="E53" s="71"/>
      <c r="F53" s="176">
        <f>F16</f>
        <v>0</v>
      </c>
      <c r="G53" s="176">
        <f t="shared" ref="G53:Q53" si="115">G16</f>
        <v>0</v>
      </c>
      <c r="H53" s="176">
        <f>H16</f>
        <v>0</v>
      </c>
      <c r="I53" s="176">
        <f t="shared" si="115"/>
        <v>0</v>
      </c>
      <c r="J53" s="176">
        <f>J16</f>
        <v>0</v>
      </c>
      <c r="K53" s="176">
        <f t="shared" si="115"/>
        <v>0</v>
      </c>
      <c r="L53" s="176">
        <f t="shared" si="115"/>
        <v>0</v>
      </c>
      <c r="M53" s="176">
        <f t="shared" si="115"/>
        <v>0</v>
      </c>
      <c r="N53" s="177">
        <f t="shared" si="115"/>
        <v>0</v>
      </c>
      <c r="O53" s="176">
        <f t="shared" si="115"/>
        <v>0</v>
      </c>
      <c r="P53" s="176">
        <f t="shared" si="115"/>
        <v>0</v>
      </c>
      <c r="Q53" s="176">
        <f t="shared" si="115"/>
        <v>0</v>
      </c>
      <c r="R53" s="176">
        <f t="shared" ref="R53:R59" si="116">SUM(F53:Q53)</f>
        <v>0</v>
      </c>
      <c r="T53" s="71"/>
      <c r="U53" s="176">
        <v>0</v>
      </c>
      <c r="V53" s="176"/>
      <c r="W53" s="176">
        <f>W16</f>
        <v>0</v>
      </c>
      <c r="X53" s="176"/>
      <c r="Y53" s="176">
        <f>Y16</f>
        <v>0</v>
      </c>
      <c r="Z53" s="176"/>
      <c r="AA53" s="176">
        <f t="shared" ref="AA53:AE53" si="117">AA16</f>
        <v>0</v>
      </c>
      <c r="AB53" s="176"/>
      <c r="AC53" s="176">
        <f t="shared" si="117"/>
        <v>0</v>
      </c>
      <c r="AD53" s="176"/>
      <c r="AE53" s="176">
        <f t="shared" si="117"/>
        <v>0</v>
      </c>
      <c r="AF53" s="176"/>
      <c r="AG53" s="176">
        <f t="shared" ref="AG53:AG59" si="118">SUM(U53:AF53)</f>
        <v>0</v>
      </c>
      <c r="AH53" s="176"/>
      <c r="AI53" s="71"/>
      <c r="AJ53" s="176">
        <v>0</v>
      </c>
      <c r="AK53" s="176">
        <f t="shared" ref="AK53:AU53" si="119">AK16</f>
        <v>0.10367374660307886</v>
      </c>
      <c r="AL53" s="176">
        <f t="shared" si="119"/>
        <v>0</v>
      </c>
      <c r="AM53" s="176">
        <f t="shared" si="119"/>
        <v>0</v>
      </c>
      <c r="AN53" s="176">
        <f>AN16</f>
        <v>0</v>
      </c>
      <c r="AO53" s="176">
        <f t="shared" si="119"/>
        <v>0</v>
      </c>
      <c r="AP53" s="176">
        <f t="shared" si="119"/>
        <v>0</v>
      </c>
      <c r="AQ53" s="176">
        <f t="shared" si="119"/>
        <v>0</v>
      </c>
      <c r="AR53" s="177">
        <f t="shared" si="119"/>
        <v>0</v>
      </c>
      <c r="AS53" s="176">
        <f t="shared" si="119"/>
        <v>0</v>
      </c>
      <c r="AT53" s="176">
        <f t="shared" si="119"/>
        <v>0</v>
      </c>
      <c r="AU53" s="176">
        <f t="shared" si="119"/>
        <v>0</v>
      </c>
      <c r="AV53" s="176">
        <f t="shared" ref="AV53:AV59" si="120">SUM(AJ53:AU53)</f>
        <v>0.10367374660307886</v>
      </c>
      <c r="AW53" s="176"/>
      <c r="AX53" s="71"/>
      <c r="AY53" s="176">
        <v>0</v>
      </c>
      <c r="AZ53" s="176">
        <f t="shared" ref="AZ53:BJ53" si="121">AZ16</f>
        <v>0.10367374660307886</v>
      </c>
      <c r="BA53" s="176">
        <f t="shared" si="121"/>
        <v>0</v>
      </c>
      <c r="BB53" s="176">
        <f t="shared" si="121"/>
        <v>0</v>
      </c>
      <c r="BC53" s="176">
        <f>BC16</f>
        <v>0</v>
      </c>
      <c r="BD53" s="176">
        <f t="shared" si="121"/>
        <v>0</v>
      </c>
      <c r="BE53" s="176">
        <f t="shared" si="121"/>
        <v>0</v>
      </c>
      <c r="BF53" s="176">
        <f t="shared" si="121"/>
        <v>0</v>
      </c>
      <c r="BG53" s="177">
        <f t="shared" si="121"/>
        <v>0</v>
      </c>
      <c r="BH53" s="176">
        <f t="shared" si="121"/>
        <v>0</v>
      </c>
      <c r="BI53" s="176">
        <f t="shared" si="121"/>
        <v>0</v>
      </c>
      <c r="BJ53" s="176">
        <f t="shared" si="121"/>
        <v>0</v>
      </c>
      <c r="BK53" s="176">
        <f t="shared" ref="BK53:BK59" si="122">SUM(AY53:BJ53)</f>
        <v>0.10367374660307886</v>
      </c>
      <c r="BL53" s="176"/>
      <c r="BM53" s="71"/>
      <c r="BN53" s="176"/>
      <c r="BO53" s="176">
        <f t="shared" ref="BO53:BY53" si="123">BO16</f>
        <v>0.10367374660307886</v>
      </c>
      <c r="BP53" s="176">
        <f t="shared" si="123"/>
        <v>0</v>
      </c>
      <c r="BQ53" s="176">
        <f t="shared" si="123"/>
        <v>0</v>
      </c>
      <c r="BR53" s="176">
        <f>BR16</f>
        <v>0</v>
      </c>
      <c r="BS53" s="176">
        <f t="shared" si="123"/>
        <v>0</v>
      </c>
      <c r="BT53" s="176">
        <f t="shared" si="123"/>
        <v>0</v>
      </c>
      <c r="BU53" s="176">
        <f t="shared" si="123"/>
        <v>0</v>
      </c>
      <c r="BV53" s="177">
        <f t="shared" si="123"/>
        <v>0</v>
      </c>
      <c r="BW53" s="176">
        <f t="shared" si="123"/>
        <v>0</v>
      </c>
      <c r="BX53" s="176">
        <f t="shared" si="123"/>
        <v>0</v>
      </c>
      <c r="BY53" s="176">
        <f t="shared" si="123"/>
        <v>0</v>
      </c>
      <c r="BZ53" s="176">
        <f t="shared" ref="BZ53:BZ59" si="124">SUM(BN53:BY53)</f>
        <v>0.10367374660307886</v>
      </c>
      <c r="CA53" s="176"/>
      <c r="CB53" s="71"/>
      <c r="CC53" s="176"/>
      <c r="CD53" s="176">
        <f t="shared" ref="CD53:CN53" si="125">CD16</f>
        <v>0.10367374660307886</v>
      </c>
      <c r="CE53" s="176">
        <f t="shared" si="125"/>
        <v>0</v>
      </c>
      <c r="CF53" s="176">
        <f t="shared" si="125"/>
        <v>0</v>
      </c>
      <c r="CG53" s="176">
        <f>CG16</f>
        <v>0</v>
      </c>
      <c r="CH53" s="176">
        <f t="shared" si="125"/>
        <v>0</v>
      </c>
      <c r="CI53" s="176">
        <f t="shared" si="125"/>
        <v>0</v>
      </c>
      <c r="CJ53" s="176">
        <f t="shared" si="125"/>
        <v>0</v>
      </c>
      <c r="CK53" s="177">
        <f t="shared" si="125"/>
        <v>0</v>
      </c>
      <c r="CL53" s="176">
        <f t="shared" si="125"/>
        <v>0</v>
      </c>
      <c r="CM53" s="176">
        <f t="shared" si="125"/>
        <v>0</v>
      </c>
      <c r="CN53" s="176">
        <f t="shared" si="125"/>
        <v>0</v>
      </c>
      <c r="CO53" s="176">
        <f t="shared" ref="CO53:CO59" si="126">SUM(CC53:CN53)</f>
        <v>0.10367374660307886</v>
      </c>
      <c r="CP53" s="176"/>
      <c r="CQ53" s="71"/>
      <c r="CR53" s="176"/>
      <c r="CS53" s="176">
        <f t="shared" ref="CS53:DC53" si="127">CS16</f>
        <v>0.10367374660307886</v>
      </c>
      <c r="CT53" s="176">
        <f t="shared" si="127"/>
        <v>0</v>
      </c>
      <c r="CU53" s="176">
        <f t="shared" si="127"/>
        <v>0</v>
      </c>
      <c r="CV53" s="176">
        <f>CV16</f>
        <v>0</v>
      </c>
      <c r="CW53" s="176">
        <f t="shared" si="127"/>
        <v>0</v>
      </c>
      <c r="CX53" s="176">
        <f t="shared" si="127"/>
        <v>0</v>
      </c>
      <c r="CY53" s="176">
        <f t="shared" si="127"/>
        <v>0</v>
      </c>
      <c r="CZ53" s="177">
        <f t="shared" si="127"/>
        <v>0</v>
      </c>
      <c r="DA53" s="176">
        <f t="shared" si="127"/>
        <v>0</v>
      </c>
      <c r="DB53" s="176">
        <f t="shared" si="127"/>
        <v>0</v>
      </c>
      <c r="DC53" s="176">
        <f t="shared" si="127"/>
        <v>0</v>
      </c>
      <c r="DD53" s="176">
        <f t="shared" ref="DD53:DD59" si="128">SUM(CR53:DC53)</f>
        <v>0.10367374660307886</v>
      </c>
      <c r="DE53" s="176"/>
      <c r="DF53" s="71"/>
      <c r="DG53" s="176"/>
      <c r="DH53" s="176">
        <f t="shared" ref="DH53:DR53" si="129">DH16</f>
        <v>0.10367374660307886</v>
      </c>
      <c r="DI53" s="176">
        <f t="shared" si="129"/>
        <v>0</v>
      </c>
      <c r="DJ53" s="176">
        <f t="shared" si="129"/>
        <v>0</v>
      </c>
      <c r="DK53" s="176">
        <f>DK16</f>
        <v>0</v>
      </c>
      <c r="DL53" s="176">
        <f t="shared" si="129"/>
        <v>0</v>
      </c>
      <c r="DM53" s="176">
        <f t="shared" si="129"/>
        <v>0</v>
      </c>
      <c r="DN53" s="176">
        <f t="shared" si="129"/>
        <v>0</v>
      </c>
      <c r="DO53" s="177">
        <f t="shared" si="129"/>
        <v>0</v>
      </c>
      <c r="DP53" s="176">
        <f t="shared" si="129"/>
        <v>0</v>
      </c>
      <c r="DQ53" s="176">
        <f t="shared" si="129"/>
        <v>0</v>
      </c>
      <c r="DR53" s="176">
        <f t="shared" si="129"/>
        <v>0</v>
      </c>
      <c r="DS53" s="176">
        <f t="shared" ref="DS53:DS59" si="130">SUM(DG53:DR53)</f>
        <v>0.10367374660307886</v>
      </c>
      <c r="DT53" s="176"/>
      <c r="DU53" s="71"/>
      <c r="DV53" s="176"/>
      <c r="DW53" s="176">
        <f t="shared" ref="DW53:EG53" si="131">DW16</f>
        <v>0.10367374660307886</v>
      </c>
      <c r="DX53" s="176">
        <f t="shared" si="131"/>
        <v>0</v>
      </c>
      <c r="DY53" s="176">
        <f t="shared" si="131"/>
        <v>0</v>
      </c>
      <c r="DZ53" s="176">
        <f>DZ16</f>
        <v>0</v>
      </c>
      <c r="EA53" s="176">
        <f t="shared" si="131"/>
        <v>0</v>
      </c>
      <c r="EB53" s="176">
        <f t="shared" si="131"/>
        <v>0</v>
      </c>
      <c r="EC53" s="176">
        <f t="shared" si="131"/>
        <v>0</v>
      </c>
      <c r="ED53" s="177">
        <f t="shared" si="131"/>
        <v>0</v>
      </c>
      <c r="EE53" s="176">
        <f t="shared" si="131"/>
        <v>0</v>
      </c>
      <c r="EF53" s="176">
        <f t="shared" si="131"/>
        <v>0</v>
      </c>
      <c r="EG53" s="176">
        <f t="shared" si="131"/>
        <v>0</v>
      </c>
      <c r="EH53" s="176">
        <f t="shared" ref="EH53:EH59" si="132">SUM(DV53:EG53)</f>
        <v>0.10367374660307886</v>
      </c>
      <c r="EI53" s="176"/>
      <c r="EJ53" s="71"/>
      <c r="EK53" s="176"/>
      <c r="EL53" s="176">
        <f t="shared" ref="EL53:EV53" si="133">EL16</f>
        <v>0.10367374660307886</v>
      </c>
      <c r="EM53" s="176">
        <f t="shared" si="133"/>
        <v>0</v>
      </c>
      <c r="EN53" s="176">
        <f t="shared" si="133"/>
        <v>0</v>
      </c>
      <c r="EO53" s="176">
        <f>EO16</f>
        <v>0</v>
      </c>
      <c r="EP53" s="176">
        <f t="shared" si="133"/>
        <v>0</v>
      </c>
      <c r="EQ53" s="176">
        <f t="shared" si="133"/>
        <v>0</v>
      </c>
      <c r="ER53" s="176">
        <f t="shared" si="133"/>
        <v>0</v>
      </c>
      <c r="ES53" s="177">
        <f t="shared" si="133"/>
        <v>0</v>
      </c>
      <c r="ET53" s="176">
        <f t="shared" si="133"/>
        <v>0</v>
      </c>
      <c r="EU53" s="176">
        <f t="shared" si="133"/>
        <v>0</v>
      </c>
      <c r="EV53" s="176">
        <f t="shared" si="133"/>
        <v>0</v>
      </c>
      <c r="EW53" s="176">
        <f t="shared" ref="EW53:EW59" si="134">SUM(EK53:EV53)</f>
        <v>0.10367374660307886</v>
      </c>
      <c r="EX53" s="176"/>
      <c r="EY53" s="71"/>
      <c r="EZ53" s="176"/>
      <c r="FA53" s="176">
        <f t="shared" ref="FA53:FK53" si="135">FA16</f>
        <v>0.10367374660307886</v>
      </c>
      <c r="FB53" s="176">
        <f t="shared" si="135"/>
        <v>0</v>
      </c>
      <c r="FC53" s="176">
        <f t="shared" si="135"/>
        <v>0</v>
      </c>
      <c r="FD53" s="176">
        <f>FD16</f>
        <v>0</v>
      </c>
      <c r="FE53" s="176">
        <f t="shared" si="135"/>
        <v>0</v>
      </c>
      <c r="FF53" s="176">
        <f t="shared" si="135"/>
        <v>0</v>
      </c>
      <c r="FG53" s="176">
        <f t="shared" si="135"/>
        <v>0</v>
      </c>
      <c r="FH53" s="177">
        <f t="shared" si="135"/>
        <v>0</v>
      </c>
      <c r="FI53" s="176">
        <f t="shared" si="135"/>
        <v>0</v>
      </c>
      <c r="FJ53" s="176">
        <f t="shared" si="135"/>
        <v>0</v>
      </c>
      <c r="FK53" s="176">
        <f t="shared" si="135"/>
        <v>0</v>
      </c>
      <c r="FL53" s="176">
        <f t="shared" ref="FL53:FL59" si="136">SUM(EZ53:FK53)</f>
        <v>0.10367374660307886</v>
      </c>
      <c r="FM53" s="176"/>
      <c r="FN53" s="71"/>
      <c r="FO53" s="176"/>
      <c r="FP53" s="176">
        <f t="shared" ref="FP53:FZ53" si="137">FP16</f>
        <v>0.10367374660307886</v>
      </c>
      <c r="FQ53" s="176">
        <f t="shared" si="137"/>
        <v>0</v>
      </c>
      <c r="FR53" s="176">
        <f t="shared" si="137"/>
        <v>0</v>
      </c>
      <c r="FS53" s="176">
        <f>FS16</f>
        <v>0</v>
      </c>
      <c r="FT53" s="176">
        <f t="shared" si="137"/>
        <v>0</v>
      </c>
      <c r="FU53" s="176">
        <f t="shared" si="137"/>
        <v>0</v>
      </c>
      <c r="FV53" s="176">
        <f t="shared" si="137"/>
        <v>0</v>
      </c>
      <c r="FW53" s="177">
        <f t="shared" si="137"/>
        <v>0</v>
      </c>
      <c r="FX53" s="176">
        <f t="shared" si="137"/>
        <v>0</v>
      </c>
      <c r="FY53" s="176">
        <f t="shared" si="137"/>
        <v>0</v>
      </c>
      <c r="FZ53" s="176">
        <f t="shared" si="137"/>
        <v>0</v>
      </c>
      <c r="GA53" s="176">
        <f t="shared" ref="GA53:GA59" si="138">SUM(FO53:FZ53)</f>
        <v>0.10367374660307886</v>
      </c>
      <c r="GB53" s="176"/>
      <c r="GC53" s="71"/>
      <c r="GD53" s="176"/>
      <c r="GE53" s="176">
        <f t="shared" ref="GE53:GO53" si="139">GE16</f>
        <v>0.10367374660307886</v>
      </c>
      <c r="GF53" s="176">
        <f t="shared" si="139"/>
        <v>0</v>
      </c>
      <c r="GG53" s="176">
        <f t="shared" si="139"/>
        <v>0</v>
      </c>
      <c r="GH53" s="176">
        <f>GH16</f>
        <v>0</v>
      </c>
      <c r="GI53" s="176">
        <f t="shared" si="139"/>
        <v>0</v>
      </c>
      <c r="GJ53" s="176">
        <f t="shared" si="139"/>
        <v>0</v>
      </c>
      <c r="GK53" s="176">
        <f t="shared" si="139"/>
        <v>0</v>
      </c>
      <c r="GL53" s="177">
        <f t="shared" si="139"/>
        <v>0</v>
      </c>
      <c r="GM53" s="176">
        <f t="shared" si="139"/>
        <v>0</v>
      </c>
      <c r="GN53" s="176">
        <f t="shared" si="139"/>
        <v>0</v>
      </c>
      <c r="GO53" s="176">
        <f t="shared" si="139"/>
        <v>0</v>
      </c>
      <c r="GP53" s="176">
        <f t="shared" ref="GP53:GP59" si="140">SUM(GD53:GO53)</f>
        <v>0.10367374660307886</v>
      </c>
      <c r="GQ53" s="176"/>
      <c r="GR53" s="71"/>
      <c r="GS53" s="176"/>
      <c r="GT53" s="176">
        <f t="shared" ref="GT53:HD53" si="141">GT16</f>
        <v>0.10367374660307886</v>
      </c>
      <c r="GU53" s="176">
        <f t="shared" si="141"/>
        <v>0</v>
      </c>
      <c r="GV53" s="176">
        <f t="shared" si="141"/>
        <v>0</v>
      </c>
      <c r="GW53" s="176">
        <f>GW16</f>
        <v>0</v>
      </c>
      <c r="GX53" s="176">
        <f t="shared" si="141"/>
        <v>0</v>
      </c>
      <c r="GY53" s="176">
        <f t="shared" si="141"/>
        <v>0</v>
      </c>
      <c r="GZ53" s="176">
        <f t="shared" si="141"/>
        <v>0</v>
      </c>
      <c r="HA53" s="177">
        <f t="shared" si="141"/>
        <v>0</v>
      </c>
      <c r="HB53" s="176">
        <f t="shared" si="141"/>
        <v>0</v>
      </c>
      <c r="HC53" s="176">
        <f t="shared" si="141"/>
        <v>0</v>
      </c>
      <c r="HD53" s="176">
        <f t="shared" si="141"/>
        <v>0</v>
      </c>
      <c r="HE53" s="176">
        <f t="shared" ref="HE53:HE59" si="142">SUM(GS53:HD53)</f>
        <v>0.10367374660307886</v>
      </c>
      <c r="HF53" s="176"/>
      <c r="HG53" s="71"/>
      <c r="HH53" s="176"/>
      <c r="HI53" s="176">
        <f t="shared" ref="HI53:HS53" si="143">HI16</f>
        <v>0.10367374660307886</v>
      </c>
      <c r="HJ53" s="176">
        <f t="shared" si="143"/>
        <v>0</v>
      </c>
      <c r="HK53" s="176">
        <f t="shared" si="143"/>
        <v>0</v>
      </c>
      <c r="HL53" s="176">
        <f>HL16</f>
        <v>0</v>
      </c>
      <c r="HM53" s="176">
        <f t="shared" si="143"/>
        <v>0</v>
      </c>
      <c r="HN53" s="176">
        <f t="shared" si="143"/>
        <v>0</v>
      </c>
      <c r="HO53" s="176">
        <f t="shared" si="143"/>
        <v>0</v>
      </c>
      <c r="HP53" s="177">
        <f t="shared" si="143"/>
        <v>0</v>
      </c>
      <c r="HQ53" s="176">
        <f t="shared" si="143"/>
        <v>0</v>
      </c>
      <c r="HR53" s="176">
        <f t="shared" si="143"/>
        <v>0</v>
      </c>
      <c r="HS53" s="176">
        <f t="shared" si="143"/>
        <v>0</v>
      </c>
      <c r="HT53" s="177">
        <f t="shared" ref="HT53:HT59" si="144">SUM(HH53:HS53)</f>
        <v>0.10367374660307886</v>
      </c>
      <c r="HU53" s="176"/>
      <c r="HX53" s="64" t="s">
        <v>338</v>
      </c>
      <c r="HZ53" s="113">
        <f>+HZ16</f>
        <v>-12215</v>
      </c>
      <c r="IA53" s="192">
        <f t="shared" ref="IA53:IA58" si="145">+R53</f>
        <v>0</v>
      </c>
      <c r="IB53" s="192">
        <f t="shared" ref="IB53:IB58" si="146">+AG53</f>
        <v>0</v>
      </c>
      <c r="IC53" s="192">
        <f t="shared" ref="IC53:IC58" si="147">+AV53</f>
        <v>0.10367374660307886</v>
      </c>
      <c r="ID53" s="192">
        <f t="shared" ref="ID53:ID58" si="148">+BK53</f>
        <v>0.10367374660307886</v>
      </c>
      <c r="IE53" s="192">
        <f t="shared" ref="IE53:IE58" si="149">+BZ53</f>
        <v>0.10367374660307886</v>
      </c>
      <c r="IF53" s="192">
        <f t="shared" ref="IF53:IF58" si="150">+CO53</f>
        <v>0.10367374660307886</v>
      </c>
      <c r="IG53" s="192">
        <f t="shared" ref="IG53:IG58" si="151">+DD53</f>
        <v>0.10367374660307886</v>
      </c>
      <c r="IH53" s="192">
        <f t="shared" ref="IH53:IH58" si="152">+DS53</f>
        <v>0.10367374660307886</v>
      </c>
      <c r="II53" s="192">
        <f t="shared" ref="II53:II58" si="153">+EH53</f>
        <v>0.10367374660307886</v>
      </c>
      <c r="IJ53" s="192">
        <f t="shared" ref="IJ53:IJ58" si="154">+EW53</f>
        <v>0.10367374660307886</v>
      </c>
      <c r="IK53" s="192">
        <f t="shared" ref="IK53:IK58" si="155">+FL53</f>
        <v>0.10367374660307886</v>
      </c>
      <c r="IL53" s="192">
        <f t="shared" ref="IL53:IL58" si="156">+GA53</f>
        <v>0.10367374660307886</v>
      </c>
      <c r="IM53" s="192">
        <f t="shared" ref="IM53:IM58" si="157">+GP53</f>
        <v>0.10367374660307886</v>
      </c>
      <c r="IN53" s="192">
        <f t="shared" ref="IN53:IN58" si="158">+HE53</f>
        <v>0.10367374660307886</v>
      </c>
      <c r="IO53" s="169">
        <f t="shared" si="114"/>
        <v>0.10367374660307886</v>
      </c>
    </row>
    <row r="54" spans="2:249" hidden="1">
      <c r="B54" s="159" t="str">
        <f t="shared" ref="B54:B59" si="159">B22</f>
        <v>G&amp;A- Salaries</v>
      </c>
      <c r="C54" s="176">
        <v>-6688</v>
      </c>
      <c r="D54" s="176"/>
      <c r="E54" s="71"/>
      <c r="F54" s="176">
        <f t="shared" ref="F54:Q59" si="160">F22</f>
        <v>-3891.8676656856119</v>
      </c>
      <c r="G54" s="176">
        <f t="shared" si="160"/>
        <v>0</v>
      </c>
      <c r="H54" s="176">
        <f t="shared" si="160"/>
        <v>-1975.773916026513</v>
      </c>
      <c r="I54" s="176">
        <f t="shared" si="160"/>
        <v>0</v>
      </c>
      <c r="J54" s="176">
        <f>J22</f>
        <v>-225.3544152099378</v>
      </c>
      <c r="K54" s="176">
        <f t="shared" si="160"/>
        <v>0</v>
      </c>
      <c r="L54" s="176">
        <f t="shared" si="160"/>
        <v>-220.45540618363481</v>
      </c>
      <c r="M54" s="176">
        <f t="shared" si="160"/>
        <v>0</v>
      </c>
      <c r="N54" s="177">
        <f t="shared" si="160"/>
        <v>-88.182162473453928</v>
      </c>
      <c r="O54" s="176">
        <f t="shared" si="160"/>
        <v>0</v>
      </c>
      <c r="P54" s="176">
        <f t="shared" si="160"/>
        <v>-78.384144420847932</v>
      </c>
      <c r="Q54" s="176">
        <f>Q22</f>
        <v>0</v>
      </c>
      <c r="R54" s="176">
        <f t="shared" si="116"/>
        <v>-6480.0177100000001</v>
      </c>
      <c r="T54" s="71"/>
      <c r="U54" s="176">
        <f t="shared" ref="U54:AE58" si="161">U22</f>
        <v>-3955.5885576309679</v>
      </c>
      <c r="V54" s="176"/>
      <c r="W54" s="176">
        <f t="shared" si="161"/>
        <v>-689.57903189985313</v>
      </c>
      <c r="X54" s="176"/>
      <c r="Y54" s="176">
        <f>Y22</f>
        <v>-376.13413090504315</v>
      </c>
      <c r="Z54" s="176"/>
      <c r="AA54" s="176">
        <f t="shared" ref="AA54:AE54" si="162">AA22</f>
        <v>-1044.8170321492389</v>
      </c>
      <c r="AB54" s="176"/>
      <c r="AC54" s="176">
        <f t="shared" si="162"/>
        <v>-287.32468517318233</v>
      </c>
      <c r="AD54" s="176"/>
      <c r="AE54" s="176">
        <f t="shared" si="162"/>
        <v>-1097.0578822417147</v>
      </c>
      <c r="AF54" s="176"/>
      <c r="AG54" s="176">
        <f t="shared" si="118"/>
        <v>-7450.5013199999994</v>
      </c>
      <c r="AH54" s="176"/>
      <c r="AI54" s="71"/>
      <c r="AJ54" s="176">
        <f t="shared" ref="AJ54:AU59" si="163">AJ22</f>
        <v>-4177.9756165975987</v>
      </c>
      <c r="AK54" s="176">
        <f t="shared" si="163"/>
        <v>0</v>
      </c>
      <c r="AL54" s="176">
        <f t="shared" si="163"/>
        <v>-681.99843179058234</v>
      </c>
      <c r="AM54" s="176">
        <f t="shared" si="163"/>
        <v>0</v>
      </c>
      <c r="AN54" s="176">
        <f t="shared" si="163"/>
        <v>-397.28075976450145</v>
      </c>
      <c r="AO54" s="176">
        <f t="shared" si="163"/>
        <v>0</v>
      </c>
      <c r="AP54" s="176">
        <f>AP22</f>
        <v>-1103.5576679743842</v>
      </c>
      <c r="AQ54" s="176">
        <f t="shared" si="163"/>
        <v>0</v>
      </c>
      <c r="AR54" s="177">
        <f t="shared" si="163"/>
        <v>-303.47836009999162</v>
      </c>
      <c r="AS54" s="176">
        <f t="shared" si="163"/>
        <v>0</v>
      </c>
      <c r="AT54" s="176">
        <f t="shared" si="163"/>
        <v>-1158.7355497729434</v>
      </c>
      <c r="AU54" s="176">
        <f t="shared" si="163"/>
        <v>0</v>
      </c>
      <c r="AV54" s="176">
        <f t="shared" si="120"/>
        <v>-7823.0263860000023</v>
      </c>
      <c r="AW54" s="176"/>
      <c r="AX54" s="71"/>
      <c r="AY54" s="176">
        <f t="shared" ref="AY54:BJ59" si="164">AY22</f>
        <v>-4411.3472832925281</v>
      </c>
      <c r="AZ54" s="176">
        <f t="shared" si="164"/>
        <v>0</v>
      </c>
      <c r="BA54" s="176">
        <f t="shared" si="164"/>
        <v>-674.26910923894513</v>
      </c>
      <c r="BB54" s="176">
        <f t="shared" si="164"/>
        <v>0</v>
      </c>
      <c r="BC54" s="176">
        <f t="shared" si="164"/>
        <v>-419.47190723883085</v>
      </c>
      <c r="BD54" s="176">
        <f t="shared" si="164"/>
        <v>0</v>
      </c>
      <c r="BE54" s="176">
        <f t="shared" si="164"/>
        <v>-1165.1997444015517</v>
      </c>
      <c r="BF54" s="176">
        <f t="shared" si="164"/>
        <v>0</v>
      </c>
      <c r="BG54" s="177">
        <f t="shared" si="164"/>
        <v>-320.42993119605632</v>
      </c>
      <c r="BH54" s="176">
        <f t="shared" si="164"/>
        <v>0</v>
      </c>
      <c r="BI54" s="176">
        <f t="shared" si="164"/>
        <v>-1223.4597299320883</v>
      </c>
      <c r="BJ54" s="176">
        <f t="shared" si="164"/>
        <v>0</v>
      </c>
      <c r="BK54" s="176">
        <f t="shared" si="122"/>
        <v>-8214.1777053000005</v>
      </c>
      <c r="BL54" s="176"/>
      <c r="BM54" s="71"/>
      <c r="BN54" s="176">
        <f t="shared" ref="BN54:BY59" si="165">BN22</f>
        <v>-4656.2372264708702</v>
      </c>
      <c r="BO54" s="176">
        <f t="shared" si="165"/>
        <v>0</v>
      </c>
      <c r="BP54" s="176">
        <f t="shared" si="165"/>
        <v>-666.41022618235138</v>
      </c>
      <c r="BQ54" s="176">
        <f t="shared" si="165"/>
        <v>0</v>
      </c>
      <c r="BR54" s="176">
        <f t="shared" si="165"/>
        <v>-442.75831951421105</v>
      </c>
      <c r="BS54" s="176">
        <f t="shared" si="165"/>
        <v>0</v>
      </c>
      <c r="BT54" s="176">
        <f t="shared" si="165"/>
        <v>-1229.8842230592691</v>
      </c>
      <c r="BU54" s="176">
        <f t="shared" si="165"/>
        <v>0</v>
      </c>
      <c r="BV54" s="177">
        <f t="shared" si="165"/>
        <v>-338.21816290940131</v>
      </c>
      <c r="BW54" s="176">
        <f t="shared" si="165"/>
        <v>0</v>
      </c>
      <c r="BX54" s="176">
        <f t="shared" si="165"/>
        <v>-1291.378432428899</v>
      </c>
      <c r="BY54" s="176">
        <f t="shared" si="165"/>
        <v>0</v>
      </c>
      <c r="BZ54" s="176">
        <f t="shared" si="124"/>
        <v>-8624.8865905650018</v>
      </c>
      <c r="CA54" s="176"/>
      <c r="CB54" s="71"/>
      <c r="CC54" s="176">
        <f t="shared" ref="CC54:CN59" si="166">CC22</f>
        <v>-4913.2069596247966</v>
      </c>
      <c r="CD54" s="176">
        <f t="shared" si="166"/>
        <v>0</v>
      </c>
      <c r="CE54" s="176">
        <f t="shared" si="166"/>
        <v>-658.43991775340226</v>
      </c>
      <c r="CF54" s="176">
        <f t="shared" si="166"/>
        <v>0</v>
      </c>
      <c r="CG54" s="176">
        <f t="shared" si="166"/>
        <v>-467.19339051326364</v>
      </c>
      <c r="CH54" s="176">
        <f t="shared" si="166"/>
        <v>0</v>
      </c>
      <c r="CI54" s="176">
        <f t="shared" si="166"/>
        <v>-1297.7594203995266</v>
      </c>
      <c r="CJ54" s="176">
        <f t="shared" si="166"/>
        <v>0</v>
      </c>
      <c r="CK54" s="177">
        <f t="shared" si="166"/>
        <v>-356.88384226451302</v>
      </c>
      <c r="CL54" s="176">
        <f t="shared" si="166"/>
        <v>0</v>
      </c>
      <c r="CM54" s="176">
        <f t="shared" si="166"/>
        <v>-1362.6473895377503</v>
      </c>
      <c r="CN54" s="176">
        <f t="shared" si="166"/>
        <v>0</v>
      </c>
      <c r="CO54" s="176">
        <f t="shared" si="126"/>
        <v>-9056.1309200932519</v>
      </c>
      <c r="CP54" s="176"/>
      <c r="CQ54" s="71"/>
      <c r="CR54" s="176">
        <f t="shared" ref="CR54:DC59" si="167">CR22</f>
        <v>-5182.8471994372849</v>
      </c>
      <c r="CS54" s="176">
        <f t="shared" si="167"/>
        <v>0</v>
      </c>
      <c r="CT54" s="176">
        <f t="shared" si="167"/>
        <v>-650.37529868200215</v>
      </c>
      <c r="CU54" s="176">
        <f t="shared" si="167"/>
        <v>0</v>
      </c>
      <c r="CV54" s="176">
        <f t="shared" si="167"/>
        <v>-492.83329106946292</v>
      </c>
      <c r="CW54" s="176">
        <f t="shared" si="167"/>
        <v>0</v>
      </c>
      <c r="CX54" s="176">
        <f t="shared" si="167"/>
        <v>-1368.9813665155859</v>
      </c>
      <c r="CY54" s="176">
        <f t="shared" si="167"/>
        <v>0</v>
      </c>
      <c r="CZ54" s="177">
        <f t="shared" si="167"/>
        <v>-376.46987753723732</v>
      </c>
      <c r="DA54" s="176">
        <f t="shared" si="167"/>
        <v>0</v>
      </c>
      <c r="DB54" s="176">
        <f t="shared" si="167"/>
        <v>-1437.4304328563408</v>
      </c>
      <c r="DC54" s="176">
        <f t="shared" si="167"/>
        <v>0</v>
      </c>
      <c r="DD54" s="176">
        <f t="shared" si="128"/>
        <v>-9508.9374660979138</v>
      </c>
      <c r="DE54" s="176"/>
      <c r="DF54" s="71"/>
      <c r="DG54" s="176">
        <f t="shared" ref="DG54:DR59" si="168">DG22</f>
        <v>-5465.7792882814383</v>
      </c>
      <c r="DH54" s="176">
        <f t="shared" si="168"/>
        <v>0</v>
      </c>
      <c r="DI54" s="176">
        <f t="shared" si="168"/>
        <v>-642.23247664436667</v>
      </c>
      <c r="DJ54" s="176">
        <f t="shared" si="168"/>
        <v>0</v>
      </c>
      <c r="DK54" s="176">
        <f t="shared" si="168"/>
        <v>-519.7371041915942</v>
      </c>
      <c r="DL54" s="176">
        <f t="shared" si="168"/>
        <v>0</v>
      </c>
      <c r="DM54" s="176">
        <f t="shared" si="168"/>
        <v>-1443.7141808765866</v>
      </c>
      <c r="DN54" s="176">
        <f t="shared" si="168"/>
        <v>0</v>
      </c>
      <c r="DO54" s="177">
        <f t="shared" si="168"/>
        <v>-397.02140158179685</v>
      </c>
      <c r="DP54" s="176">
        <f t="shared" si="168"/>
        <v>0</v>
      </c>
      <c r="DQ54" s="176">
        <f t="shared" si="168"/>
        <v>-1515.8998878270288</v>
      </c>
      <c r="DR54" s="176">
        <f t="shared" si="168"/>
        <v>0</v>
      </c>
      <c r="DS54" s="176">
        <f t="shared" si="130"/>
        <v>-9984.3843394028099</v>
      </c>
      <c r="DT54" s="176"/>
      <c r="DU54" s="71"/>
      <c r="DV54" s="176">
        <f t="shared" ref="DV54:EG59" si="169">DV22</f>
        <v>-5762.6566847932791</v>
      </c>
      <c r="DW54" s="176">
        <f t="shared" si="169"/>
        <v>0</v>
      </c>
      <c r="DX54" s="176">
        <f t="shared" si="169"/>
        <v>-634.0265714950956</v>
      </c>
      <c r="DY54" s="176">
        <f t="shared" si="169"/>
        <v>0</v>
      </c>
      <c r="DZ54" s="176">
        <f t="shared" si="169"/>
        <v>-547.96696680127116</v>
      </c>
      <c r="EA54" s="176">
        <f t="shared" si="169"/>
        <v>0</v>
      </c>
      <c r="EB54" s="176">
        <f t="shared" si="169"/>
        <v>-1522.1304660428741</v>
      </c>
      <c r="EC54" s="176">
        <f t="shared" si="169"/>
        <v>0</v>
      </c>
      <c r="ED54" s="177">
        <f t="shared" si="169"/>
        <v>-418.58588010250662</v>
      </c>
      <c r="EE54" s="176">
        <f t="shared" si="169"/>
        <v>0</v>
      </c>
      <c r="EF54" s="176">
        <f t="shared" si="169"/>
        <v>-1598.2369871379269</v>
      </c>
      <c r="EG54" s="176">
        <f t="shared" si="169"/>
        <v>0</v>
      </c>
      <c r="EH54" s="176">
        <f t="shared" si="132"/>
        <v>-10483.603556372953</v>
      </c>
      <c r="EI54" s="176"/>
      <c r="EJ54" s="71"/>
      <c r="EK54" s="176">
        <f t="shared" ref="EK54:EV59" si="170">EK22</f>
        <v>-6074.1665266691552</v>
      </c>
      <c r="EL54" s="176">
        <f t="shared" si="170"/>
        <v>0</v>
      </c>
      <c r="EM54" s="176">
        <f t="shared" si="170"/>
        <v>-625.77173939892839</v>
      </c>
      <c r="EN54" s="176">
        <f t="shared" si="170"/>
        <v>0</v>
      </c>
      <c r="EO54" s="176">
        <f t="shared" si="170"/>
        <v>-577.58821833824186</v>
      </c>
      <c r="EP54" s="176">
        <f t="shared" si="170"/>
        <v>0</v>
      </c>
      <c r="EQ54" s="176">
        <f t="shared" si="170"/>
        <v>-1604.411720458515</v>
      </c>
      <c r="ER54" s="176">
        <f t="shared" si="170"/>
        <v>0</v>
      </c>
      <c r="ES54" s="177">
        <f t="shared" si="170"/>
        <v>-441.21322517171649</v>
      </c>
      <c r="ET54" s="176">
        <f t="shared" si="170"/>
        <v>0</v>
      </c>
      <c r="EU54" s="176">
        <f t="shared" si="170"/>
        <v>-1684.632304155042</v>
      </c>
      <c r="EV54" s="176">
        <f t="shared" si="170"/>
        <v>0</v>
      </c>
      <c r="EW54" s="176">
        <f t="shared" si="134"/>
        <v>-11007.783734191598</v>
      </c>
      <c r="EX54" s="176"/>
      <c r="EY54" s="71"/>
      <c r="EZ54" s="176">
        <f t="shared" ref="EZ54:FK59" si="171">EZ22</f>
        <v>-6401.0312699686401</v>
      </c>
      <c r="FA54" s="176">
        <f t="shared" si="171"/>
        <v>0</v>
      </c>
      <c r="FB54" s="176">
        <f t="shared" si="171"/>
        <v>-617.48120096258799</v>
      </c>
      <c r="FC54" s="176">
        <f t="shared" si="171"/>
        <v>0</v>
      </c>
      <c r="FD54" s="176">
        <f t="shared" si="171"/>
        <v>-608.66955664054615</v>
      </c>
      <c r="FE54" s="176">
        <f t="shared" si="171"/>
        <v>0</v>
      </c>
      <c r="FF54" s="176">
        <f t="shared" si="171"/>
        <v>-1690.7487714517372</v>
      </c>
      <c r="FG54" s="176">
        <f t="shared" si="171"/>
        <v>0</v>
      </c>
      <c r="FH54" s="177">
        <f t="shared" si="171"/>
        <v>-464.95591430493232</v>
      </c>
      <c r="FI54" s="176">
        <f t="shared" si="171"/>
        <v>0</v>
      </c>
      <c r="FJ54" s="176">
        <f t="shared" si="171"/>
        <v>-1775.2862075727367</v>
      </c>
      <c r="FK54" s="176">
        <f t="shared" si="171"/>
        <v>0</v>
      </c>
      <c r="FL54" s="176">
        <f t="shared" si="136"/>
        <v>-11558.172920901179</v>
      </c>
      <c r="FM54" s="176"/>
      <c r="FN54" s="71"/>
      <c r="FO54" s="176">
        <f t="shared" ref="FO54:FZ59" si="172">FO22</f>
        <v>-6744.0104093419277</v>
      </c>
      <c r="FP54" s="176">
        <f t="shared" si="172"/>
        <v>0</v>
      </c>
      <c r="FQ54" s="176">
        <f t="shared" si="172"/>
        <v>-609.16727255186368</v>
      </c>
      <c r="FR54" s="176">
        <f t="shared" si="172"/>
        <v>0</v>
      </c>
      <c r="FS54" s="176">
        <f t="shared" si="172"/>
        <v>-641.28320151972787</v>
      </c>
      <c r="FT54" s="176">
        <f t="shared" si="172"/>
        <v>0</v>
      </c>
      <c r="FU54" s="176">
        <f t="shared" si="172"/>
        <v>-1781.3422296105193</v>
      </c>
      <c r="FV54" s="176">
        <f t="shared" si="172"/>
        <v>0</v>
      </c>
      <c r="FW54" s="177">
        <f t="shared" si="172"/>
        <v>-489.86911541410399</v>
      </c>
      <c r="FX54" s="176">
        <f t="shared" si="172"/>
        <v>0</v>
      </c>
      <c r="FY54" s="176">
        <f t="shared" si="172"/>
        <v>-1870.4093385080973</v>
      </c>
      <c r="FZ54" s="176">
        <f t="shared" si="172"/>
        <v>0</v>
      </c>
      <c r="GA54" s="176">
        <f t="shared" si="138"/>
        <v>-12136.081566946241</v>
      </c>
      <c r="GB54" s="176"/>
      <c r="GC54" s="71"/>
      <c r="GD54" s="176">
        <f t="shared" ref="GD54:GO59" si="173">GD22</f>
        <v>-7103.9022837488992</v>
      </c>
      <c r="GE54" s="176">
        <f t="shared" si="173"/>
        <v>0</v>
      </c>
      <c r="GF54" s="176">
        <f t="shared" si="173"/>
        <v>-600.84140006286066</v>
      </c>
      <c r="GG54" s="176">
        <f t="shared" si="173"/>
        <v>0</v>
      </c>
      <c r="GH54" s="176">
        <f t="shared" si="173"/>
        <v>-675.50506646538997</v>
      </c>
      <c r="GI54" s="176">
        <f t="shared" si="173"/>
        <v>0</v>
      </c>
      <c r="GJ54" s="176">
        <f t="shared" si="173"/>
        <v>-1876.4029657396886</v>
      </c>
      <c r="GK54" s="176">
        <f t="shared" si="173"/>
        <v>0</v>
      </c>
      <c r="GL54" s="177">
        <f t="shared" si="173"/>
        <v>-516.01081797082804</v>
      </c>
      <c r="GM54" s="176">
        <f t="shared" si="173"/>
        <v>0</v>
      </c>
      <c r="GN54" s="176">
        <f t="shared" si="173"/>
        <v>-1970.223111305887</v>
      </c>
      <c r="GO54" s="176">
        <f t="shared" si="173"/>
        <v>0</v>
      </c>
      <c r="GP54" s="176">
        <f t="shared" si="140"/>
        <v>-12742.885645293554</v>
      </c>
      <c r="GQ54" s="176"/>
      <c r="GR54" s="71"/>
      <c r="GS54" s="176">
        <f t="shared" ref="GS54:HD59" si="174">GS22</f>
        <v>-7481.5459723963631</v>
      </c>
      <c r="GT54" s="176">
        <f t="shared" si="174"/>
        <v>0</v>
      </c>
      <c r="GU54" s="176">
        <f t="shared" si="174"/>
        <v>-592.51419449763989</v>
      </c>
      <c r="GV54" s="176">
        <f t="shared" si="174"/>
        <v>0</v>
      </c>
      <c r="GW54" s="176">
        <f t="shared" si="174"/>
        <v>-711.414938928531</v>
      </c>
      <c r="GX54" s="176">
        <f t="shared" si="174"/>
        <v>0</v>
      </c>
      <c r="GY54" s="176">
        <f t="shared" si="174"/>
        <v>-1976.1526116479688</v>
      </c>
      <c r="GZ54" s="176">
        <f t="shared" si="174"/>
        <v>0</v>
      </c>
      <c r="HA54" s="177">
        <f t="shared" si="174"/>
        <v>-543.44197072278575</v>
      </c>
      <c r="HB54" s="176">
        <f t="shared" si="174"/>
        <v>0</v>
      </c>
      <c r="HC54" s="176">
        <f t="shared" si="174"/>
        <v>-2074.9602393649438</v>
      </c>
      <c r="HD54" s="176">
        <f t="shared" si="174"/>
        <v>0</v>
      </c>
      <c r="HE54" s="176">
        <f t="shared" si="142"/>
        <v>-13380.029927558233</v>
      </c>
      <c r="HF54" s="176"/>
      <c r="HG54" s="71"/>
      <c r="HH54" s="176">
        <f t="shared" ref="HH54:HS59" si="175">HH22</f>
        <v>-7877.8232857918883</v>
      </c>
      <c r="HI54" s="176">
        <f t="shared" si="175"/>
        <v>0</v>
      </c>
      <c r="HJ54" s="176">
        <f t="shared" si="175"/>
        <v>-584.19546877215862</v>
      </c>
      <c r="HK54" s="176">
        <f t="shared" si="175"/>
        <v>0</v>
      </c>
      <c r="HL54" s="176">
        <f t="shared" si="175"/>
        <v>-749.09666964945325</v>
      </c>
      <c r="HM54" s="176">
        <f t="shared" si="175"/>
        <v>0</v>
      </c>
      <c r="HN54" s="176">
        <f t="shared" si="175"/>
        <v>-2080.8240860588353</v>
      </c>
      <c r="HO54" s="176">
        <f t="shared" si="175"/>
        <v>0</v>
      </c>
      <c r="HP54" s="177">
        <f t="shared" si="175"/>
        <v>-572.22662631923026</v>
      </c>
      <c r="HQ54" s="176">
        <f t="shared" si="175"/>
        <v>0</v>
      </c>
      <c r="HR54" s="176">
        <f t="shared" si="175"/>
        <v>-2184.8652873445803</v>
      </c>
      <c r="HS54" s="176">
        <f t="shared" si="175"/>
        <v>0</v>
      </c>
      <c r="HT54" s="177">
        <f t="shared" si="144"/>
        <v>-14049.031423936147</v>
      </c>
      <c r="HU54" s="176"/>
      <c r="HX54" s="64" t="str">
        <f t="shared" ref="HX54:HX59" si="176">HX22</f>
        <v>G&amp;A- Salaries</v>
      </c>
      <c r="HZ54" s="113">
        <f>+HZ22</f>
        <v>-9283</v>
      </c>
      <c r="IA54" s="192">
        <f t="shared" si="145"/>
        <v>-6480.0177100000001</v>
      </c>
      <c r="IB54" s="192">
        <f t="shared" si="146"/>
        <v>-7450.5013199999994</v>
      </c>
      <c r="IC54" s="192">
        <f t="shared" si="147"/>
        <v>-7823.0263860000023</v>
      </c>
      <c r="ID54" s="192">
        <f t="shared" si="148"/>
        <v>-8214.1777053000005</v>
      </c>
      <c r="IE54" s="192">
        <f t="shared" si="149"/>
        <v>-8624.8865905650018</v>
      </c>
      <c r="IF54" s="192">
        <f t="shared" si="150"/>
        <v>-9056.1309200932519</v>
      </c>
      <c r="IG54" s="192">
        <f t="shared" si="151"/>
        <v>-9508.9374660979138</v>
      </c>
      <c r="IH54" s="192">
        <f t="shared" si="152"/>
        <v>-9984.3843394028099</v>
      </c>
      <c r="II54" s="192">
        <f t="shared" si="153"/>
        <v>-10483.603556372953</v>
      </c>
      <c r="IJ54" s="192">
        <f t="shared" si="154"/>
        <v>-11007.783734191598</v>
      </c>
      <c r="IK54" s="192">
        <f t="shared" si="155"/>
        <v>-11558.172920901179</v>
      </c>
      <c r="IL54" s="192">
        <f t="shared" si="156"/>
        <v>-12136.081566946241</v>
      </c>
      <c r="IM54" s="192">
        <f t="shared" si="157"/>
        <v>-12742.885645293554</v>
      </c>
      <c r="IN54" s="192">
        <f t="shared" si="158"/>
        <v>-13380.029927558233</v>
      </c>
      <c r="IO54" s="169">
        <f t="shared" si="114"/>
        <v>-14049.031423936147</v>
      </c>
    </row>
    <row r="55" spans="2:249" hidden="1">
      <c r="B55" s="159" t="str">
        <f t="shared" si="159"/>
        <v>G&amp;A- Others</v>
      </c>
      <c r="C55" s="176">
        <f>-4390+999-1113</f>
        <v>-4504</v>
      </c>
      <c r="D55" s="176"/>
      <c r="E55" s="71"/>
      <c r="F55" s="176">
        <f t="shared" si="160"/>
        <v>-5609.8620899294592</v>
      </c>
      <c r="G55" s="176">
        <f t="shared" si="160"/>
        <v>0</v>
      </c>
      <c r="H55" s="176">
        <f t="shared" si="160"/>
        <v>-2847.9434918905504</v>
      </c>
      <c r="I55" s="176">
        <f t="shared" si="160"/>
        <v>0</v>
      </c>
      <c r="J55" s="176">
        <f t="shared" si="160"/>
        <v>-324.83303629023658</v>
      </c>
      <c r="K55" s="176">
        <f t="shared" si="160"/>
        <v>0</v>
      </c>
      <c r="L55" s="176">
        <f t="shared" si="160"/>
        <v>-317.77144854479667</v>
      </c>
      <c r="M55" s="176">
        <f t="shared" si="160"/>
        <v>0</v>
      </c>
      <c r="N55" s="177">
        <f t="shared" si="160"/>
        <v>-127.10857941791868</v>
      </c>
      <c r="O55" s="176">
        <f t="shared" si="160"/>
        <v>0</v>
      </c>
      <c r="P55" s="176">
        <f t="shared" si="160"/>
        <v>-112.98540392703882</v>
      </c>
      <c r="Q55" s="176">
        <f t="shared" si="160"/>
        <v>0</v>
      </c>
      <c r="R55" s="176">
        <f t="shared" si="116"/>
        <v>-9340.5040499999996</v>
      </c>
      <c r="T55" s="71"/>
      <c r="U55" s="176">
        <f t="shared" si="161"/>
        <v>-6835.5446135245602</v>
      </c>
      <c r="V55" s="176"/>
      <c r="W55" s="176">
        <f t="shared" si="161"/>
        <v>-1191.6427020725234</v>
      </c>
      <c r="X55" s="176"/>
      <c r="Y55" s="176">
        <f t="shared" si="161"/>
        <v>-649.98712454829979</v>
      </c>
      <c r="Z55" s="176"/>
      <c r="AA55" s="176">
        <f t="shared" si="161"/>
        <v>-1805.5197936217564</v>
      </c>
      <c r="AB55" s="176"/>
      <c r="AC55" s="176">
        <f t="shared" si="161"/>
        <v>-496.51794554802069</v>
      </c>
      <c r="AD55" s="176"/>
      <c r="AE55" s="176">
        <f t="shared" si="161"/>
        <v>-1895.7957806848383</v>
      </c>
      <c r="AF55" s="176"/>
      <c r="AG55" s="176">
        <f t="shared" si="118"/>
        <v>-12875.007959999999</v>
      </c>
      <c r="AH55" s="176"/>
      <c r="AI55" s="71"/>
      <c r="AJ55" s="176">
        <f t="shared" si="163"/>
        <v>-7151.0851853076156</v>
      </c>
      <c r="AK55" s="176">
        <f t="shared" si="163"/>
        <v>0</v>
      </c>
      <c r="AL55" s="176">
        <f t="shared" si="163"/>
        <v>-1167.3186560988947</v>
      </c>
      <c r="AM55" s="176">
        <f t="shared" si="163"/>
        <v>0</v>
      </c>
      <c r="AN55" s="176">
        <f t="shared" si="163"/>
        <v>-679.99165535419877</v>
      </c>
      <c r="AO55" s="176">
        <f t="shared" si="163"/>
        <v>0</v>
      </c>
      <c r="AP55" s="176">
        <f t="shared" si="163"/>
        <v>-1888.8657126752018</v>
      </c>
      <c r="AQ55" s="176">
        <f t="shared" si="163"/>
        <v>0</v>
      </c>
      <c r="AR55" s="177">
        <f t="shared" si="163"/>
        <v>-519.43807339398427</v>
      </c>
      <c r="AS55" s="176">
        <f t="shared" si="163"/>
        <v>0</v>
      </c>
      <c r="AT55" s="176">
        <f t="shared" si="163"/>
        <v>-1983.3089955701046</v>
      </c>
      <c r="AU55" s="176">
        <f t="shared" si="163"/>
        <v>0</v>
      </c>
      <c r="AV55" s="176">
        <f t="shared" si="120"/>
        <v>-13390.008278400002</v>
      </c>
      <c r="AW55" s="176"/>
      <c r="AX55" s="71"/>
      <c r="AY55" s="176">
        <f t="shared" si="164"/>
        <v>-7478.6178132273644</v>
      </c>
      <c r="AZ55" s="176">
        <f t="shared" si="164"/>
        <v>0</v>
      </c>
      <c r="BA55" s="176">
        <f t="shared" si="164"/>
        <v>-1143.0977085756988</v>
      </c>
      <c r="BB55" s="176">
        <f t="shared" si="164"/>
        <v>0</v>
      </c>
      <c r="BC55" s="176">
        <f>BC23</f>
        <v>-711.13650233480143</v>
      </c>
      <c r="BD55" s="176">
        <f t="shared" si="164"/>
        <v>0</v>
      </c>
      <c r="BE55" s="176">
        <f t="shared" si="164"/>
        <v>-1975.3791766640113</v>
      </c>
      <c r="BF55" s="176">
        <f t="shared" si="164"/>
        <v>0</v>
      </c>
      <c r="BG55" s="177">
        <f t="shared" si="164"/>
        <v>-543.22927610121144</v>
      </c>
      <c r="BH55" s="176">
        <f t="shared" si="164"/>
        <v>0</v>
      </c>
      <c r="BI55" s="176">
        <f t="shared" si="164"/>
        <v>-2074.1481326329099</v>
      </c>
      <c r="BJ55" s="176">
        <f t="shared" si="164"/>
        <v>0</v>
      </c>
      <c r="BK55" s="176">
        <f t="shared" si="122"/>
        <v>-13925.608609535999</v>
      </c>
      <c r="BL55" s="176"/>
      <c r="BM55" s="71"/>
      <c r="BN55" s="176">
        <f t="shared" si="165"/>
        <v>-7818.6042203862335</v>
      </c>
      <c r="BO55" s="176">
        <f t="shared" si="165"/>
        <v>0</v>
      </c>
      <c r="BP55" s="176">
        <f t="shared" si="165"/>
        <v>-1119.0146793459285</v>
      </c>
      <c r="BQ55" s="176">
        <f t="shared" si="165"/>
        <v>0</v>
      </c>
      <c r="BR55" s="176">
        <f>BR23</f>
        <v>-743.46557041482902</v>
      </c>
      <c r="BS55" s="176">
        <f t="shared" si="165"/>
        <v>0</v>
      </c>
      <c r="BT55" s="176">
        <f t="shared" si="165"/>
        <v>-2065.1821437126259</v>
      </c>
      <c r="BU55" s="176">
        <f t="shared" si="165"/>
        <v>0</v>
      </c>
      <c r="BV55" s="177">
        <f t="shared" si="165"/>
        <v>-567.92509215407938</v>
      </c>
      <c r="BW55" s="176">
        <f t="shared" si="165"/>
        <v>0</v>
      </c>
      <c r="BX55" s="176">
        <f t="shared" si="165"/>
        <v>-2168.441247903741</v>
      </c>
      <c r="BY55" s="176">
        <f t="shared" si="165"/>
        <v>0</v>
      </c>
      <c r="BZ55" s="176">
        <f t="shared" si="124"/>
        <v>-14482.632953917437</v>
      </c>
      <c r="CA55" s="176"/>
      <c r="CB55" s="71"/>
      <c r="CC55" s="176">
        <f t="shared" si="166"/>
        <v>-8171.5271783009639</v>
      </c>
      <c r="CD55" s="176">
        <f t="shared" si="166"/>
        <v>0</v>
      </c>
      <c r="CE55" s="176">
        <f t="shared" si="166"/>
        <v>-1095.1013721618322</v>
      </c>
      <c r="CF55" s="176">
        <f t="shared" si="166"/>
        <v>0</v>
      </c>
      <c r="CG55" s="176">
        <f>CG23</f>
        <v>-777.02476599789964</v>
      </c>
      <c r="CH55" s="176">
        <f t="shared" si="166"/>
        <v>0</v>
      </c>
      <c r="CI55" s="176">
        <f t="shared" si="166"/>
        <v>-2158.4021316091025</v>
      </c>
      <c r="CJ55" s="176">
        <f t="shared" si="166"/>
        <v>0</v>
      </c>
      <c r="CK55" s="177">
        <f t="shared" si="166"/>
        <v>-593.56058894446585</v>
      </c>
      <c r="CL55" s="176">
        <f t="shared" si="166"/>
        <v>0</v>
      </c>
      <c r="CM55" s="176">
        <f t="shared" si="166"/>
        <v>-2266.3222350598721</v>
      </c>
      <c r="CN55" s="176">
        <f t="shared" si="166"/>
        <v>0</v>
      </c>
      <c r="CO55" s="176">
        <f t="shared" si="126"/>
        <v>-15061.938272074134</v>
      </c>
      <c r="CP55" s="176"/>
      <c r="CQ55" s="71"/>
      <c r="CR55" s="176">
        <f t="shared" si="167"/>
        <v>-8537.8912065233035</v>
      </c>
      <c r="CS55" s="176">
        <f t="shared" si="167"/>
        <v>0</v>
      </c>
      <c r="CT55" s="176">
        <f t="shared" si="167"/>
        <v>-1071.3866972886869</v>
      </c>
      <c r="CU55" s="176">
        <f t="shared" si="167"/>
        <v>0</v>
      </c>
      <c r="CV55" s="176">
        <f>CV23</f>
        <v>-811.86206349296845</v>
      </c>
      <c r="CW55" s="176">
        <f t="shared" si="167"/>
        <v>0</v>
      </c>
      <c r="CX55" s="176">
        <f t="shared" si="167"/>
        <v>-2255.1724026007741</v>
      </c>
      <c r="CY55" s="176">
        <f t="shared" si="167"/>
        <v>0</v>
      </c>
      <c r="CZ55" s="177">
        <f t="shared" si="167"/>
        <v>-620.17241359055765</v>
      </c>
      <c r="DA55" s="176">
        <f t="shared" si="167"/>
        <v>0</v>
      </c>
      <c r="DB55" s="176">
        <f t="shared" si="167"/>
        <v>-2367.9310194608106</v>
      </c>
      <c r="DC55" s="176">
        <f t="shared" si="167"/>
        <v>0</v>
      </c>
      <c r="DD55" s="176">
        <f t="shared" si="128"/>
        <v>-15664.415802957101</v>
      </c>
      <c r="DE55" s="176"/>
      <c r="DF55" s="71"/>
      <c r="DG55" s="176">
        <f t="shared" si="168"/>
        <v>-8918.2232985344508</v>
      </c>
      <c r="DH55" s="176">
        <f t="shared" si="168"/>
        <v>0</v>
      </c>
      <c r="DI55" s="176">
        <f t="shared" si="168"/>
        <v>-1047.896801937304</v>
      </c>
      <c r="DJ55" s="176">
        <f t="shared" si="168"/>
        <v>0</v>
      </c>
      <c r="DK55" s="176">
        <f>DK23</f>
        <v>-848.02757433911859</v>
      </c>
      <c r="DL55" s="176">
        <f t="shared" si="168"/>
        <v>0</v>
      </c>
      <c r="DM55" s="176">
        <f t="shared" si="168"/>
        <v>-2355.632155129786</v>
      </c>
      <c r="DN55" s="176">
        <f t="shared" si="168"/>
        <v>0</v>
      </c>
      <c r="DO55" s="177">
        <f t="shared" si="168"/>
        <v>-647.79884566412215</v>
      </c>
      <c r="DP55" s="176">
        <f t="shared" si="168"/>
        <v>0</v>
      </c>
      <c r="DQ55" s="176">
        <f t="shared" si="168"/>
        <v>-2473.4137594706062</v>
      </c>
      <c r="DR55" s="176">
        <f t="shared" si="168"/>
        <v>0</v>
      </c>
      <c r="DS55" s="176">
        <f t="shared" si="130"/>
        <v>-16290.992435075388</v>
      </c>
      <c r="DT55" s="176"/>
      <c r="DU55" s="71"/>
      <c r="DV55" s="176">
        <f t="shared" si="169"/>
        <v>-9313.0736765478232</v>
      </c>
      <c r="DW55" s="176">
        <f t="shared" si="169"/>
        <v>0</v>
      </c>
      <c r="DX55" s="176">
        <f t="shared" si="169"/>
        <v>-1024.6552061316593</v>
      </c>
      <c r="DY55" s="176">
        <f t="shared" si="169"/>
        <v>0</v>
      </c>
      <c r="DZ55" s="176">
        <f>DZ23</f>
        <v>-885.5736187792246</v>
      </c>
      <c r="EA55" s="176">
        <f t="shared" si="169"/>
        <v>0</v>
      </c>
      <c r="EB55" s="176">
        <f t="shared" si="169"/>
        <v>-2459.9267232043826</v>
      </c>
      <c r="EC55" s="176">
        <f t="shared" si="169"/>
        <v>0</v>
      </c>
      <c r="ED55" s="177">
        <f t="shared" si="169"/>
        <v>-676.47985201761162</v>
      </c>
      <c r="EE55" s="176">
        <f t="shared" si="169"/>
        <v>0</v>
      </c>
      <c r="EF55" s="176">
        <f t="shared" si="169"/>
        <v>-2582.9230557977053</v>
      </c>
      <c r="EG55" s="176">
        <f t="shared" si="169"/>
        <v>0</v>
      </c>
      <c r="EH55" s="176">
        <f t="shared" si="132"/>
        <v>-16942.632132478408</v>
      </c>
      <c r="EI55" s="176"/>
      <c r="EJ55" s="71"/>
      <c r="EK55" s="176">
        <f t="shared" si="170"/>
        <v>-9723.016577736249</v>
      </c>
      <c r="EL55" s="176">
        <f t="shared" si="170"/>
        <v>0</v>
      </c>
      <c r="EM55" s="176">
        <f t="shared" si="170"/>
        <v>-1001.6829419049659</v>
      </c>
      <c r="EN55" s="176">
        <f t="shared" si="170"/>
        <v>0</v>
      </c>
      <c r="EO55" s="176">
        <f>EO23</f>
        <v>-924.55480062174365</v>
      </c>
      <c r="EP55" s="176">
        <f t="shared" si="170"/>
        <v>0</v>
      </c>
      <c r="EQ55" s="176">
        <f t="shared" si="170"/>
        <v>-2568.207784070546</v>
      </c>
      <c r="ER55" s="176">
        <f t="shared" si="170"/>
        <v>0</v>
      </c>
      <c r="ES55" s="177">
        <f t="shared" si="170"/>
        <v>-706.25714389386508</v>
      </c>
      <c r="ET55" s="176">
        <f t="shared" si="170"/>
        <v>0</v>
      </c>
      <c r="EU55" s="176">
        <f t="shared" si="170"/>
        <v>-2696.6181695501696</v>
      </c>
      <c r="EV55" s="176">
        <f t="shared" si="170"/>
        <v>0</v>
      </c>
      <c r="EW55" s="176">
        <f t="shared" si="134"/>
        <v>-17620.33741777754</v>
      </c>
      <c r="EX55" s="176"/>
      <c r="EY55" s="71"/>
      <c r="EZ55" s="176">
        <f t="shared" si="171"/>
        <v>-10148.651074290248</v>
      </c>
      <c r="FA55" s="176">
        <f t="shared" si="171"/>
        <v>0</v>
      </c>
      <c r="FB55" s="176">
        <f t="shared" si="171"/>
        <v>-978.99869399227339</v>
      </c>
      <c r="FC55" s="176">
        <f t="shared" si="171"/>
        <v>0</v>
      </c>
      <c r="FD55" s="176">
        <f>FD23</f>
        <v>-965.02808521947929</v>
      </c>
      <c r="FE55" s="176">
        <f t="shared" si="171"/>
        <v>0</v>
      </c>
      <c r="FF55" s="176">
        <f t="shared" si="171"/>
        <v>-2680.6335748196798</v>
      </c>
      <c r="FG55" s="176">
        <f t="shared" si="171"/>
        <v>0</v>
      </c>
      <c r="FH55" s="177">
        <f t="shared" si="171"/>
        <v>-737.17423649321961</v>
      </c>
      <c r="FI55" s="176">
        <f t="shared" si="171"/>
        <v>0</v>
      </c>
      <c r="FJ55" s="176">
        <f t="shared" si="171"/>
        <v>-2814.6652496737424</v>
      </c>
      <c r="FK55" s="176">
        <f t="shared" si="171"/>
        <v>0</v>
      </c>
      <c r="FL55" s="176">
        <f t="shared" si="136"/>
        <v>-18325.150914488644</v>
      </c>
      <c r="FM55" s="176"/>
      <c r="FN55" s="71"/>
      <c r="FO55" s="176">
        <f t="shared" si="172"/>
        <v>-10590.601929615841</v>
      </c>
      <c r="FP55" s="176">
        <f t="shared" si="172"/>
        <v>0</v>
      </c>
      <c r="FQ55" s="176">
        <f t="shared" si="172"/>
        <v>-956.61894044675864</v>
      </c>
      <c r="FR55" s="176">
        <f t="shared" si="172"/>
        <v>0</v>
      </c>
      <c r="FS55" s="176">
        <f>FS23</f>
        <v>-1007.0528808848277</v>
      </c>
      <c r="FT55" s="176">
        <f t="shared" si="172"/>
        <v>0</v>
      </c>
      <c r="FU55" s="176">
        <f t="shared" si="172"/>
        <v>-2797.3691185420666</v>
      </c>
      <c r="FV55" s="176">
        <f t="shared" si="172"/>
        <v>0</v>
      </c>
      <c r="FW55" s="177">
        <f t="shared" si="172"/>
        <v>-769.27651116571371</v>
      </c>
      <c r="FX55" s="176">
        <f t="shared" si="172"/>
        <v>0</v>
      </c>
      <c r="FY55" s="176">
        <f t="shared" si="172"/>
        <v>-2937.2375704129818</v>
      </c>
      <c r="FZ55" s="176">
        <f t="shared" si="172"/>
        <v>0</v>
      </c>
      <c r="GA55" s="176">
        <f t="shared" si="138"/>
        <v>-19058.156951068191</v>
      </c>
      <c r="GB55" s="176"/>
      <c r="GC55" s="71"/>
      <c r="GD55" s="176">
        <f t="shared" si="173"/>
        <v>-11049.520492894935</v>
      </c>
      <c r="GE55" s="176">
        <f t="shared" si="173"/>
        <v>0</v>
      </c>
      <c r="GF55" s="176">
        <f t="shared" si="173"/>
        <v>-934.55809184789337</v>
      </c>
      <c r="GG55" s="176">
        <f t="shared" si="173"/>
        <v>0</v>
      </c>
      <c r="GH55" s="176">
        <f>GH23</f>
        <v>-1050.6911239528968</v>
      </c>
      <c r="GI55" s="176">
        <f t="shared" si="173"/>
        <v>0</v>
      </c>
      <c r="GJ55" s="176">
        <f t="shared" si="173"/>
        <v>-2918.5864606133118</v>
      </c>
      <c r="GK55" s="176">
        <f t="shared" si="173"/>
        <v>0</v>
      </c>
      <c r="GL55" s="177">
        <f t="shared" si="173"/>
        <v>-802.61128038985828</v>
      </c>
      <c r="GM55" s="176">
        <f t="shared" si="173"/>
        <v>0</v>
      </c>
      <c r="GN55" s="176">
        <f t="shared" si="173"/>
        <v>-3064.5157794120241</v>
      </c>
      <c r="GO55" s="176">
        <f t="shared" si="173"/>
        <v>0</v>
      </c>
      <c r="GP55" s="176">
        <f t="shared" si="140"/>
        <v>-19820.48322911092</v>
      </c>
      <c r="GQ55" s="176"/>
      <c r="GR55" s="71"/>
      <c r="GS55" s="176">
        <f t="shared" si="174"/>
        <v>-11526.085634159464</v>
      </c>
      <c r="GT55" s="176">
        <f t="shared" si="174"/>
        <v>0</v>
      </c>
      <c r="GU55" s="176">
        <f t="shared" si="174"/>
        <v>-912.82862799108682</v>
      </c>
      <c r="GV55" s="176">
        <f t="shared" si="174"/>
        <v>0</v>
      </c>
      <c r="GW55" s="176">
        <f>GW23</f>
        <v>-1096.007367697046</v>
      </c>
      <c r="GX55" s="176">
        <f t="shared" si="174"/>
        <v>0</v>
      </c>
      <c r="GY55" s="176">
        <f t="shared" si="174"/>
        <v>-3044.4649156819551</v>
      </c>
      <c r="GZ55" s="176">
        <f t="shared" si="174"/>
        <v>0</v>
      </c>
      <c r="HA55" s="177">
        <f t="shared" si="174"/>
        <v>-837.22785569423002</v>
      </c>
      <c r="HB55" s="176">
        <f t="shared" si="174"/>
        <v>0</v>
      </c>
      <c r="HC55" s="176">
        <f t="shared" si="174"/>
        <v>-3196.6881570515752</v>
      </c>
      <c r="HD55" s="176">
        <f t="shared" si="174"/>
        <v>0</v>
      </c>
      <c r="HE55" s="176">
        <f t="shared" si="142"/>
        <v>-20613.302558275358</v>
      </c>
      <c r="HF55" s="176"/>
      <c r="HG55" s="71"/>
      <c r="HH55" s="176">
        <f t="shared" si="175"/>
        <v>-12021.004721972848</v>
      </c>
      <c r="HI55" s="176">
        <f t="shared" si="175"/>
        <v>0</v>
      </c>
      <c r="HJ55" s="176">
        <f t="shared" si="175"/>
        <v>-891.44123114959393</v>
      </c>
      <c r="HK55" s="176">
        <f t="shared" si="175"/>
        <v>0</v>
      </c>
      <c r="HL55" s="176">
        <f>HL23</f>
        <v>-1143.0688752959288</v>
      </c>
      <c r="HM55" s="176">
        <f t="shared" si="175"/>
        <v>0</v>
      </c>
      <c r="HN55" s="176">
        <f t="shared" si="175"/>
        <v>-3175.1913259112539</v>
      </c>
      <c r="HO55" s="176">
        <f t="shared" si="175"/>
        <v>0</v>
      </c>
      <c r="HP55" s="177">
        <f t="shared" si="175"/>
        <v>-873.17761867396325</v>
      </c>
      <c r="HQ55" s="176">
        <f t="shared" si="175"/>
        <v>0</v>
      </c>
      <c r="HR55" s="176">
        <f t="shared" si="175"/>
        <v>-3333.9508876027858</v>
      </c>
      <c r="HS55" s="176">
        <f t="shared" si="175"/>
        <v>0</v>
      </c>
      <c r="HT55" s="177">
        <f t="shared" si="144"/>
        <v>-21437.834660606375</v>
      </c>
      <c r="HU55" s="176"/>
      <c r="HX55" s="64" t="str">
        <f t="shared" si="176"/>
        <v>G&amp;A- Others</v>
      </c>
      <c r="HZ55" s="113">
        <f t="shared" ref="HZ55:HZ59" si="177">+HZ23</f>
        <v>-4657</v>
      </c>
      <c r="IA55" s="192">
        <f t="shared" si="145"/>
        <v>-9340.5040499999996</v>
      </c>
      <c r="IB55" s="192">
        <f t="shared" si="146"/>
        <v>-12875.007959999999</v>
      </c>
      <c r="IC55" s="192">
        <f t="shared" si="147"/>
        <v>-13390.008278400002</v>
      </c>
      <c r="ID55" s="192">
        <f t="shared" si="148"/>
        <v>-13925.608609535999</v>
      </c>
      <c r="IE55" s="192">
        <f t="shared" si="149"/>
        <v>-14482.632953917437</v>
      </c>
      <c r="IF55" s="192">
        <f t="shared" si="150"/>
        <v>-15061.938272074134</v>
      </c>
      <c r="IG55" s="192">
        <f t="shared" si="151"/>
        <v>-15664.415802957101</v>
      </c>
      <c r="IH55" s="192">
        <f t="shared" si="152"/>
        <v>-16290.992435075388</v>
      </c>
      <c r="II55" s="192">
        <f t="shared" si="153"/>
        <v>-16942.632132478408</v>
      </c>
      <c r="IJ55" s="192">
        <f t="shared" si="154"/>
        <v>-17620.33741777754</v>
      </c>
      <c r="IK55" s="192">
        <f t="shared" si="155"/>
        <v>-18325.150914488644</v>
      </c>
      <c r="IL55" s="192">
        <f t="shared" si="156"/>
        <v>-19058.156951068191</v>
      </c>
      <c r="IM55" s="192">
        <f t="shared" si="157"/>
        <v>-19820.48322911092</v>
      </c>
      <c r="IN55" s="192">
        <f t="shared" si="158"/>
        <v>-20613.302558275358</v>
      </c>
      <c r="IO55" s="169">
        <f t="shared" si="114"/>
        <v>-21437.834660606375</v>
      </c>
    </row>
    <row r="56" spans="2:249" hidden="1">
      <c r="B56" s="159" t="str">
        <f t="shared" si="159"/>
        <v>G&amp;A- Outsourcing</v>
      </c>
      <c r="C56" s="176">
        <v>-999</v>
      </c>
      <c r="D56" s="176"/>
      <c r="E56" s="71"/>
      <c r="F56" s="176">
        <f t="shared" si="160"/>
        <v>-302.46344672805196</v>
      </c>
      <c r="G56" s="176">
        <f t="shared" si="160"/>
        <v>0</v>
      </c>
      <c r="H56" s="176">
        <f t="shared" si="160"/>
        <v>-153.55079872467442</v>
      </c>
      <c r="I56" s="176">
        <f t="shared" si="160"/>
        <v>0</v>
      </c>
      <c r="J56" s="176">
        <f t="shared" si="160"/>
        <v>-17.513820873396693</v>
      </c>
      <c r="K56" s="176">
        <f t="shared" si="160"/>
        <v>0</v>
      </c>
      <c r="L56" s="176">
        <f t="shared" si="160"/>
        <v>-17.133085637018503</v>
      </c>
      <c r="M56" s="176">
        <f t="shared" si="160"/>
        <v>0</v>
      </c>
      <c r="N56" s="177">
        <f t="shared" si="160"/>
        <v>-6.8532342548074014</v>
      </c>
      <c r="O56" s="176">
        <f t="shared" si="160"/>
        <v>0</v>
      </c>
      <c r="P56" s="176">
        <f t="shared" si="160"/>
        <v>-6.0917637820510233</v>
      </c>
      <c r="Q56" s="176">
        <f t="shared" si="160"/>
        <v>0</v>
      </c>
      <c r="R56" s="176">
        <f t="shared" si="116"/>
        <v>-503.60615000000001</v>
      </c>
      <c r="T56" s="71"/>
      <c r="U56" s="176">
        <f t="shared" si="161"/>
        <v>-143.34725472679486</v>
      </c>
      <c r="V56" s="176"/>
      <c r="W56" s="176">
        <f t="shared" si="161"/>
        <v>-24.989773253668833</v>
      </c>
      <c r="X56" s="176"/>
      <c r="Y56" s="176">
        <f t="shared" si="161"/>
        <v>-13.630789524423792</v>
      </c>
      <c r="Z56" s="176"/>
      <c r="AA56" s="176">
        <f t="shared" si="161"/>
        <v>-37.863304301823071</v>
      </c>
      <c r="AB56" s="176"/>
      <c r="AC56" s="176">
        <f t="shared" si="161"/>
        <v>-10.412408731277056</v>
      </c>
      <c r="AD56" s="176"/>
      <c r="AE56" s="176">
        <f t="shared" si="161"/>
        <v>-39.756469462012383</v>
      </c>
      <c r="AF56" s="176"/>
      <c r="AG56" s="176">
        <f t="shared" si="118"/>
        <v>-270</v>
      </c>
      <c r="AH56" s="176"/>
      <c r="AI56" s="71"/>
      <c r="AJ56" s="176">
        <f t="shared" si="163"/>
        <v>-149.96441214107463</v>
      </c>
      <c r="AK56" s="176">
        <f t="shared" si="163"/>
        <v>0</v>
      </c>
      <c r="AL56" s="176">
        <f t="shared" si="163"/>
        <v>-24.479677070949297</v>
      </c>
      <c r="AM56" s="176">
        <f t="shared" si="163"/>
        <v>0</v>
      </c>
      <c r="AN56" s="176">
        <f t="shared" si="163"/>
        <v>-14.260010363957376</v>
      </c>
      <c r="AO56" s="176">
        <f t="shared" si="163"/>
        <v>0</v>
      </c>
      <c r="AP56" s="176">
        <f t="shared" si="163"/>
        <v>-39.611139970301394</v>
      </c>
      <c r="AQ56" s="176">
        <f t="shared" si="163"/>
        <v>0</v>
      </c>
      <c r="AR56" s="177">
        <f t="shared" si="163"/>
        <v>-10.893063542337087</v>
      </c>
      <c r="AS56" s="176">
        <f t="shared" si="163"/>
        <v>0</v>
      </c>
      <c r="AT56" s="176">
        <f t="shared" si="163"/>
        <v>-41.591696911380268</v>
      </c>
      <c r="AU56" s="176">
        <f t="shared" si="163"/>
        <v>0</v>
      </c>
      <c r="AV56" s="176">
        <f t="shared" si="120"/>
        <v>-280.80000000000007</v>
      </c>
      <c r="AW56" s="176"/>
      <c r="AX56" s="71"/>
      <c r="AY56" s="176">
        <f t="shared" si="164"/>
        <v>-156.83305329555611</v>
      </c>
      <c r="AZ56" s="176">
        <f t="shared" si="164"/>
        <v>0</v>
      </c>
      <c r="BA56" s="176">
        <f t="shared" si="164"/>
        <v>-23.97174295148465</v>
      </c>
      <c r="BB56" s="176">
        <f t="shared" si="164"/>
        <v>0</v>
      </c>
      <c r="BC56" s="176">
        <f>BC24</f>
        <v>-14.913144615282743</v>
      </c>
      <c r="BD56" s="176">
        <f t="shared" si="164"/>
        <v>0</v>
      </c>
      <c r="BE56" s="176">
        <f t="shared" si="164"/>
        <v>-41.425401782763885</v>
      </c>
      <c r="BF56" s="176">
        <f t="shared" si="164"/>
        <v>0</v>
      </c>
      <c r="BG56" s="177">
        <f t="shared" si="164"/>
        <v>-11.391985543077453</v>
      </c>
      <c r="BH56" s="176">
        <f t="shared" si="164"/>
        <v>0</v>
      </c>
      <c r="BI56" s="176">
        <f t="shared" si="164"/>
        <v>-43.496671811835199</v>
      </c>
      <c r="BJ56" s="176">
        <f t="shared" si="164"/>
        <v>0</v>
      </c>
      <c r="BK56" s="176">
        <f t="shared" si="122"/>
        <v>-292.03200000000004</v>
      </c>
      <c r="BL56" s="176"/>
      <c r="BM56" s="71"/>
      <c r="BN56" s="176">
        <f t="shared" si="165"/>
        <v>-163.96286092115812</v>
      </c>
      <c r="BO56" s="176">
        <f t="shared" si="165"/>
        <v>0</v>
      </c>
      <c r="BP56" s="176">
        <f t="shared" si="165"/>
        <v>-23.466701097356122</v>
      </c>
      <c r="BQ56" s="176">
        <f t="shared" si="165"/>
        <v>0</v>
      </c>
      <c r="BR56" s="176">
        <f>BR24</f>
        <v>-15.591113002465585</v>
      </c>
      <c r="BS56" s="176">
        <f t="shared" si="165"/>
        <v>0</v>
      </c>
      <c r="BT56" s="176">
        <f t="shared" si="165"/>
        <v>-43.308647306064209</v>
      </c>
      <c r="BU56" s="176">
        <f t="shared" si="165"/>
        <v>0</v>
      </c>
      <c r="BV56" s="177">
        <f t="shared" si="165"/>
        <v>-11.909878064386181</v>
      </c>
      <c r="BW56" s="176">
        <f t="shared" si="165"/>
        <v>0</v>
      </c>
      <c r="BX56" s="176">
        <f t="shared" si="165"/>
        <v>-45.474079608569831</v>
      </c>
      <c r="BY56" s="176">
        <f t="shared" si="165"/>
        <v>0</v>
      </c>
      <c r="BZ56" s="176">
        <f t="shared" si="124"/>
        <v>-303.71328000000005</v>
      </c>
      <c r="CA56" s="176"/>
      <c r="CB56" s="71"/>
      <c r="CC56" s="176">
        <f t="shared" si="166"/>
        <v>-171.3639591521667</v>
      </c>
      <c r="CD56" s="176">
        <f t="shared" si="166"/>
        <v>0</v>
      </c>
      <c r="CE56" s="176">
        <f t="shared" si="166"/>
        <v>-22.965218460625699</v>
      </c>
      <c r="CF56" s="176">
        <f t="shared" si="166"/>
        <v>0</v>
      </c>
      <c r="CG56" s="176">
        <f>CG24</f>
        <v>-16.294878222306981</v>
      </c>
      <c r="CH56" s="176">
        <f t="shared" si="166"/>
        <v>0</v>
      </c>
      <c r="CI56" s="176">
        <f t="shared" si="166"/>
        <v>-45.263550697987917</v>
      </c>
      <c r="CJ56" s="176">
        <f t="shared" si="166"/>
        <v>0</v>
      </c>
      <c r="CK56" s="177">
        <f t="shared" si="166"/>
        <v>-12.447476499657702</v>
      </c>
      <c r="CL56" s="176">
        <f t="shared" si="166"/>
        <v>0</v>
      </c>
      <c r="CM56" s="176">
        <f t="shared" si="166"/>
        <v>-47.526728167255108</v>
      </c>
      <c r="CN56" s="176">
        <f t="shared" si="166"/>
        <v>0</v>
      </c>
      <c r="CO56" s="176">
        <f t="shared" si="126"/>
        <v>-315.86181120000009</v>
      </c>
      <c r="CP56" s="176"/>
      <c r="CQ56" s="71"/>
      <c r="CR56" s="176">
        <f t="shared" si="167"/>
        <v>-179.04692819788303</v>
      </c>
      <c r="CS56" s="176">
        <f t="shared" si="167"/>
        <v>0</v>
      </c>
      <c r="CT56" s="176">
        <f t="shared" si="167"/>
        <v>-22.467901314442805</v>
      </c>
      <c r="CU56" s="176">
        <f t="shared" si="167"/>
        <v>0</v>
      </c>
      <c r="CV56" s="176">
        <f>CV24</f>
        <v>-17.025446339460093</v>
      </c>
      <c r="CW56" s="176">
        <f t="shared" si="167"/>
        <v>0</v>
      </c>
      <c r="CX56" s="176">
        <f t="shared" si="167"/>
        <v>-47.292906582576528</v>
      </c>
      <c r="CY56" s="176">
        <f t="shared" si="167"/>
        <v>0</v>
      </c>
      <c r="CZ56" s="177">
        <f t="shared" si="167"/>
        <v>-13.005549370507001</v>
      </c>
      <c r="DA56" s="176">
        <f t="shared" si="167"/>
        <v>0</v>
      </c>
      <c r="DB56" s="176">
        <f t="shared" si="167"/>
        <v>-49.657551843130591</v>
      </c>
      <c r="DC56" s="176">
        <f t="shared" si="167"/>
        <v>0</v>
      </c>
      <c r="DD56" s="176">
        <f t="shared" si="128"/>
        <v>-328.49628364800009</v>
      </c>
      <c r="DE56" s="176"/>
      <c r="DF56" s="71"/>
      <c r="DG56" s="176">
        <f t="shared" si="168"/>
        <v>-187.02281956525502</v>
      </c>
      <c r="DH56" s="176">
        <f t="shared" si="168"/>
        <v>0</v>
      </c>
      <c r="DI56" s="176">
        <f t="shared" si="168"/>
        <v>-21.975297988326226</v>
      </c>
      <c r="DJ56" s="176">
        <f t="shared" si="168"/>
        <v>0</v>
      </c>
      <c r="DK56" s="176">
        <f>DK24</f>
        <v>-17.78386823393949</v>
      </c>
      <c r="DL56" s="176">
        <f t="shared" si="168"/>
        <v>0</v>
      </c>
      <c r="DM56" s="176">
        <f t="shared" si="168"/>
        <v>-49.399634070986814</v>
      </c>
      <c r="DN56" s="176">
        <f t="shared" si="168"/>
        <v>0</v>
      </c>
      <c r="DO56" s="177">
        <f t="shared" si="168"/>
        <v>-13.584899432505905</v>
      </c>
      <c r="DP56" s="176">
        <f t="shared" si="168"/>
        <v>0</v>
      </c>
      <c r="DQ56" s="176">
        <f t="shared" si="168"/>
        <v>-51.869615702906628</v>
      </c>
      <c r="DR56" s="176">
        <f t="shared" si="168"/>
        <v>0</v>
      </c>
      <c r="DS56" s="176">
        <f t="shared" si="130"/>
        <v>-341.63613499392005</v>
      </c>
      <c r="DT56" s="176"/>
      <c r="DU56" s="71"/>
      <c r="DV56" s="176">
        <f t="shared" si="169"/>
        <v>-195.30317188774097</v>
      </c>
      <c r="DW56" s="176">
        <f t="shared" si="169"/>
        <v>0</v>
      </c>
      <c r="DX56" s="176">
        <f t="shared" si="169"/>
        <v>-21.487901717425274</v>
      </c>
      <c r="DY56" s="176">
        <f t="shared" si="169"/>
        <v>0</v>
      </c>
      <c r="DZ56" s="176">
        <f>DZ24</f>
        <v>-18.571241106276624</v>
      </c>
      <c r="EA56" s="176">
        <f t="shared" si="169"/>
        <v>0</v>
      </c>
      <c r="EB56" s="176">
        <f t="shared" si="169"/>
        <v>-51.586780942478228</v>
      </c>
      <c r="EC56" s="176">
        <f t="shared" si="169"/>
        <v>0</v>
      </c>
      <c r="ED56" s="177">
        <f t="shared" si="169"/>
        <v>-14.186364824954655</v>
      </c>
      <c r="EE56" s="176">
        <f t="shared" si="169"/>
        <v>0</v>
      </c>
      <c r="EF56" s="176">
        <f t="shared" si="169"/>
        <v>-54.166119914801257</v>
      </c>
      <c r="EG56" s="176">
        <f t="shared" si="169"/>
        <v>0</v>
      </c>
      <c r="EH56" s="176">
        <f t="shared" si="132"/>
        <v>-355.301580393677</v>
      </c>
      <c r="EI56" s="176"/>
      <c r="EJ56" s="71"/>
      <c r="EK56" s="176">
        <f t="shared" si="170"/>
        <v>-203.90002741317045</v>
      </c>
      <c r="EL56" s="176">
        <f t="shared" si="170"/>
        <v>0</v>
      </c>
      <c r="EM56" s="176">
        <f t="shared" si="170"/>
        <v>-21.006153561581243</v>
      </c>
      <c r="EN56" s="176">
        <f t="shared" si="170"/>
        <v>0</v>
      </c>
      <c r="EO56" s="176">
        <f>EO24</f>
        <v>-19.388710045338943</v>
      </c>
      <c r="EP56" s="176">
        <f t="shared" si="170"/>
        <v>0</v>
      </c>
      <c r="EQ56" s="176">
        <f t="shared" si="170"/>
        <v>-53.857527999466001</v>
      </c>
      <c r="ER56" s="176">
        <f t="shared" si="170"/>
        <v>0</v>
      </c>
      <c r="ES56" s="177">
        <f t="shared" si="170"/>
        <v>-14.810820268521496</v>
      </c>
      <c r="ET56" s="176">
        <f t="shared" si="170"/>
        <v>0</v>
      </c>
      <c r="EU56" s="176">
        <f t="shared" si="170"/>
        <v>-56.550404321345837</v>
      </c>
      <c r="EV56" s="176">
        <f t="shared" si="170"/>
        <v>0</v>
      </c>
      <c r="EW56" s="176">
        <f t="shared" si="134"/>
        <v>-369.51364360942398</v>
      </c>
      <c r="EX56" s="176"/>
      <c r="EY56" s="71"/>
      <c r="EZ56" s="176">
        <f t="shared" si="171"/>
        <v>-212.82594920107283</v>
      </c>
      <c r="FA56" s="176">
        <f t="shared" si="171"/>
        <v>0</v>
      </c>
      <c r="FB56" s="176">
        <f t="shared" si="171"/>
        <v>-20.53044535577234</v>
      </c>
      <c r="FC56" s="176">
        <f t="shared" si="171"/>
        <v>0</v>
      </c>
      <c r="FD56" s="176">
        <f>FD24</f>
        <v>-20.237469663611726</v>
      </c>
      <c r="FE56" s="176">
        <f t="shared" si="171"/>
        <v>0</v>
      </c>
      <c r="FF56" s="176">
        <f t="shared" si="171"/>
        <v>-56.215193609970697</v>
      </c>
      <c r="FG56" s="176">
        <f t="shared" si="171"/>
        <v>0</v>
      </c>
      <c r="FH56" s="177">
        <f t="shared" si="171"/>
        <v>-15.45917831441631</v>
      </c>
      <c r="FI56" s="176">
        <f t="shared" si="171"/>
        <v>0</v>
      </c>
      <c r="FJ56" s="176">
        <f t="shared" si="171"/>
        <v>-59.025953208957141</v>
      </c>
      <c r="FK56" s="176">
        <f t="shared" si="171"/>
        <v>0</v>
      </c>
      <c r="FL56" s="176">
        <f t="shared" si="136"/>
        <v>-384.29418935380107</v>
      </c>
      <c r="FM56" s="176"/>
      <c r="FN56" s="71"/>
      <c r="FO56" s="176">
        <f t="shared" si="172"/>
        <v>-222.09403907788169</v>
      </c>
      <c r="FP56" s="176">
        <f t="shared" si="172"/>
        <v>0</v>
      </c>
      <c r="FQ56" s="176">
        <f t="shared" si="172"/>
        <v>-20.061122658958332</v>
      </c>
      <c r="FR56" s="176">
        <f t="shared" si="172"/>
        <v>0</v>
      </c>
      <c r="FS56" s="176">
        <f>FS24</f>
        <v>-21.118765804545841</v>
      </c>
      <c r="FT56" s="176">
        <f t="shared" si="172"/>
        <v>0</v>
      </c>
      <c r="FU56" s="176">
        <f t="shared" si="172"/>
        <v>-58.66323845025088</v>
      </c>
      <c r="FV56" s="176">
        <f t="shared" si="172"/>
        <v>0</v>
      </c>
      <c r="FW56" s="177">
        <f t="shared" si="172"/>
        <v>-16.132390648614617</v>
      </c>
      <c r="FX56" s="176">
        <f t="shared" si="172"/>
        <v>0</v>
      </c>
      <c r="FY56" s="176">
        <f t="shared" si="172"/>
        <v>-61.59640028770167</v>
      </c>
      <c r="FZ56" s="176">
        <f t="shared" si="172"/>
        <v>0</v>
      </c>
      <c r="GA56" s="176">
        <f t="shared" si="138"/>
        <v>-399.66595692795306</v>
      </c>
      <c r="GB56" s="176"/>
      <c r="GC56" s="71"/>
      <c r="GD56" s="176">
        <f t="shared" si="173"/>
        <v>-231.71795639663688</v>
      </c>
      <c r="GE56" s="176">
        <f t="shared" si="173"/>
        <v>0</v>
      </c>
      <c r="GF56" s="176">
        <f t="shared" si="173"/>
        <v>-19.598487673395677</v>
      </c>
      <c r="GG56" s="176">
        <f t="shared" si="173"/>
        <v>0</v>
      </c>
      <c r="GH56" s="176">
        <f>GH24</f>
        <v>-22.033897326404617</v>
      </c>
      <c r="GI56" s="176">
        <f t="shared" si="173"/>
        <v>0</v>
      </c>
      <c r="GJ56" s="176">
        <f t="shared" si="173"/>
        <v>-61.20527045993331</v>
      </c>
      <c r="GK56" s="176">
        <f t="shared" si="173"/>
        <v>0</v>
      </c>
      <c r="GL56" s="177">
        <f t="shared" si="173"/>
        <v>-16.831449454518374</v>
      </c>
      <c r="GM56" s="176">
        <f t="shared" si="173"/>
        <v>0</v>
      </c>
      <c r="GN56" s="176">
        <f t="shared" si="173"/>
        <v>-64.265533894182269</v>
      </c>
      <c r="GO56" s="176">
        <f t="shared" si="173"/>
        <v>0</v>
      </c>
      <c r="GP56" s="176">
        <f t="shared" si="140"/>
        <v>-415.65259520507112</v>
      </c>
      <c r="GQ56" s="176"/>
      <c r="GR56" s="71"/>
      <c r="GS56" s="176">
        <f t="shared" si="174"/>
        <v>-241.71193764629379</v>
      </c>
      <c r="GT56" s="176">
        <f t="shared" si="174"/>
        <v>0</v>
      </c>
      <c r="GU56" s="176">
        <f t="shared" si="174"/>
        <v>-19.142802111136987</v>
      </c>
      <c r="GV56" s="176">
        <f t="shared" si="174"/>
        <v>0</v>
      </c>
      <c r="GW56" s="176">
        <f>GW24</f>
        <v>-22.984217966899219</v>
      </c>
      <c r="GX56" s="176">
        <f t="shared" si="174"/>
        <v>0</v>
      </c>
      <c r="GY56" s="176">
        <f t="shared" si="174"/>
        <v>-63.845050021555714</v>
      </c>
      <c r="GZ56" s="176">
        <f t="shared" si="174"/>
        <v>0</v>
      </c>
      <c r="HA56" s="177">
        <f t="shared" si="174"/>
        <v>-17.557388837330254</v>
      </c>
      <c r="HB56" s="176">
        <f t="shared" si="174"/>
        <v>0</v>
      </c>
      <c r="HC56" s="176">
        <f t="shared" si="174"/>
        <v>-67.037302430058105</v>
      </c>
      <c r="HD56" s="176">
        <f t="shared" si="174"/>
        <v>0</v>
      </c>
      <c r="HE56" s="176">
        <f t="shared" si="142"/>
        <v>-432.27869901327409</v>
      </c>
      <c r="HF56" s="176"/>
      <c r="HG56" s="71"/>
      <c r="HH56" s="176">
        <f t="shared" si="175"/>
        <v>-252.09081695454498</v>
      </c>
      <c r="HI56" s="176">
        <f t="shared" si="175"/>
        <v>0</v>
      </c>
      <c r="HJ56" s="176">
        <f t="shared" si="175"/>
        <v>-18.694289988647931</v>
      </c>
      <c r="HK56" s="176">
        <f t="shared" si="175"/>
        <v>0</v>
      </c>
      <c r="HL56" s="176">
        <f>HL24</f>
        <v>-23.971138292787572</v>
      </c>
      <c r="HM56" s="176">
        <f t="shared" si="175"/>
        <v>0</v>
      </c>
      <c r="HN56" s="176">
        <f t="shared" si="175"/>
        <v>-66.58649537611926</v>
      </c>
      <c r="HO56" s="176">
        <f t="shared" si="175"/>
        <v>0</v>
      </c>
      <c r="HP56" s="177">
        <f t="shared" si="175"/>
        <v>-18.311286313330569</v>
      </c>
      <c r="HQ56" s="176">
        <f t="shared" si="175"/>
        <v>0</v>
      </c>
      <c r="HR56" s="176">
        <f t="shared" si="175"/>
        <v>-69.915820048374741</v>
      </c>
      <c r="HS56" s="176">
        <f t="shared" si="175"/>
        <v>0</v>
      </c>
      <c r="HT56" s="177">
        <f t="shared" si="144"/>
        <v>-449.56984697380506</v>
      </c>
      <c r="HU56" s="176"/>
      <c r="HX56" s="64" t="str">
        <f t="shared" si="176"/>
        <v>G&amp;A- Outsourcing</v>
      </c>
      <c r="HZ56" s="113">
        <f t="shared" si="177"/>
        <v>-1189</v>
      </c>
      <c r="IA56" s="192">
        <f t="shared" si="145"/>
        <v>-503.60615000000001</v>
      </c>
      <c r="IB56" s="192">
        <f t="shared" si="146"/>
        <v>-270</v>
      </c>
      <c r="IC56" s="192">
        <f t="shared" si="147"/>
        <v>-280.80000000000007</v>
      </c>
      <c r="ID56" s="192">
        <f t="shared" si="148"/>
        <v>-292.03200000000004</v>
      </c>
      <c r="IE56" s="192">
        <f t="shared" si="149"/>
        <v>-303.71328000000005</v>
      </c>
      <c r="IF56" s="192">
        <f t="shared" si="150"/>
        <v>-315.86181120000009</v>
      </c>
      <c r="IG56" s="192">
        <f t="shared" si="151"/>
        <v>-328.49628364800009</v>
      </c>
      <c r="IH56" s="192">
        <f t="shared" si="152"/>
        <v>-341.63613499392005</v>
      </c>
      <c r="II56" s="192">
        <f t="shared" si="153"/>
        <v>-355.301580393677</v>
      </c>
      <c r="IJ56" s="192">
        <f t="shared" si="154"/>
        <v>-369.51364360942398</v>
      </c>
      <c r="IK56" s="192">
        <f t="shared" si="155"/>
        <v>-384.29418935380107</v>
      </c>
      <c r="IL56" s="192">
        <f t="shared" si="156"/>
        <v>-399.66595692795306</v>
      </c>
      <c r="IM56" s="192">
        <f t="shared" si="157"/>
        <v>-415.65259520507112</v>
      </c>
      <c r="IN56" s="192">
        <f t="shared" si="158"/>
        <v>-432.27869901327409</v>
      </c>
      <c r="IO56" s="169">
        <f t="shared" si="114"/>
        <v>-449.56984697380506</v>
      </c>
    </row>
    <row r="57" spans="2:249" hidden="1">
      <c r="B57" s="159" t="str">
        <f t="shared" si="159"/>
        <v>S&amp;M- Salaries</v>
      </c>
      <c r="C57" s="176">
        <v>-1070</v>
      </c>
      <c r="D57" s="176"/>
      <c r="E57" s="71"/>
      <c r="F57" s="176">
        <f t="shared" si="160"/>
        <v>-1668.6645538220794</v>
      </c>
      <c r="G57" s="176">
        <f t="shared" si="160"/>
        <v>0</v>
      </c>
      <c r="H57" s="176">
        <f t="shared" si="160"/>
        <v>-847.12641416569954</v>
      </c>
      <c r="I57" s="176">
        <f t="shared" si="160"/>
        <v>0</v>
      </c>
      <c r="J57" s="176">
        <f t="shared" si="160"/>
        <v>-96.622227940497339</v>
      </c>
      <c r="K57" s="176">
        <f t="shared" si="160"/>
        <v>0</v>
      </c>
      <c r="L57" s="176">
        <f t="shared" si="160"/>
        <v>-94.521744724399582</v>
      </c>
      <c r="M57" s="176">
        <f t="shared" si="160"/>
        <v>0</v>
      </c>
      <c r="N57" s="177">
        <f t="shared" si="160"/>
        <v>-37.808697889759827</v>
      </c>
      <c r="O57" s="176">
        <f t="shared" si="160"/>
        <v>0</v>
      </c>
      <c r="P57" s="176">
        <f>P25</f>
        <v>-33.607731457564292</v>
      </c>
      <c r="Q57" s="176">
        <f t="shared" si="160"/>
        <v>0</v>
      </c>
      <c r="R57" s="176">
        <f t="shared" si="116"/>
        <v>-2778.3513699999999</v>
      </c>
      <c r="T57" s="71"/>
      <c r="U57" s="176">
        <f t="shared" si="161"/>
        <v>-2392.0497195119347</v>
      </c>
      <c r="V57" s="176"/>
      <c r="W57" s="176">
        <f t="shared" si="161"/>
        <v>-417.00680083503363</v>
      </c>
      <c r="X57" s="176"/>
      <c r="Y57" s="176">
        <f t="shared" si="161"/>
        <v>-227.45832364049758</v>
      </c>
      <c r="Z57" s="176"/>
      <c r="AA57" s="176">
        <f t="shared" si="161"/>
        <v>-631.82867790241085</v>
      </c>
      <c r="AB57" s="176"/>
      <c r="AC57" s="176">
        <f t="shared" si="161"/>
        <v>-173.75288722874453</v>
      </c>
      <c r="AD57" s="176"/>
      <c r="AE57" s="176">
        <f>AE25</f>
        <v>-663.42011088137895</v>
      </c>
      <c r="AF57" s="176"/>
      <c r="AG57" s="176">
        <f t="shared" si="118"/>
        <v>-4505.5165200000001</v>
      </c>
      <c r="AH57" s="176"/>
      <c r="AI57" s="71"/>
      <c r="AJ57" s="176">
        <f t="shared" si="163"/>
        <v>-2526.5330951901187</v>
      </c>
      <c r="AK57" s="176">
        <f t="shared" si="163"/>
        <v>0</v>
      </c>
      <c r="AL57" s="176">
        <f t="shared" si="163"/>
        <v>-412.42261011324297</v>
      </c>
      <c r="AM57" s="176">
        <f t="shared" si="163"/>
        <v>0</v>
      </c>
      <c r="AN57" s="176">
        <f t="shared" si="163"/>
        <v>-240.24625314704497</v>
      </c>
      <c r="AO57" s="176">
        <f t="shared" si="163"/>
        <v>0</v>
      </c>
      <c r="AP57" s="176">
        <f t="shared" si="163"/>
        <v>-667.3507043726371</v>
      </c>
      <c r="AQ57" s="176">
        <f t="shared" si="163"/>
        <v>0</v>
      </c>
      <c r="AR57" s="177">
        <f t="shared" si="163"/>
        <v>-183.52144455334735</v>
      </c>
      <c r="AS57" s="176">
        <f t="shared" si="163"/>
        <v>0</v>
      </c>
      <c r="AT57" s="176">
        <f t="shared" si="163"/>
        <v>-700.71823862360964</v>
      </c>
      <c r="AU57" s="176">
        <f t="shared" si="163"/>
        <v>0</v>
      </c>
      <c r="AV57" s="176">
        <f t="shared" si="120"/>
        <v>-4730.7923460000011</v>
      </c>
      <c r="AW57" s="176"/>
      <c r="AX57" s="71"/>
      <c r="AY57" s="176">
        <f t="shared" si="164"/>
        <v>-2667.6591556300273</v>
      </c>
      <c r="AZ57" s="176">
        <f t="shared" si="164"/>
        <v>0</v>
      </c>
      <c r="BA57" s="176">
        <f t="shared" si="164"/>
        <v>-407.74848297077432</v>
      </c>
      <c r="BB57" s="176">
        <f t="shared" si="164"/>
        <v>0</v>
      </c>
      <c r="BC57" s="176">
        <f t="shared" si="164"/>
        <v>-253.66583087062116</v>
      </c>
      <c r="BD57" s="176">
        <f t="shared" si="164"/>
        <v>0</v>
      </c>
      <c r="BE57" s="176">
        <f t="shared" si="164"/>
        <v>-704.62730922661842</v>
      </c>
      <c r="BF57" s="176">
        <f t="shared" si="164"/>
        <v>0</v>
      </c>
      <c r="BG57" s="177">
        <f t="shared" si="164"/>
        <v>-193.77251093571982</v>
      </c>
      <c r="BH57" s="176">
        <f t="shared" si="164"/>
        <v>0</v>
      </c>
      <c r="BI57" s="176">
        <f t="shared" si="164"/>
        <v>-739.85867366623881</v>
      </c>
      <c r="BJ57" s="176">
        <f t="shared" si="164"/>
        <v>0</v>
      </c>
      <c r="BK57" s="176">
        <f t="shared" si="122"/>
        <v>-4967.3319633000001</v>
      </c>
      <c r="BL57" s="176"/>
      <c r="BM57" s="71"/>
      <c r="BN57" s="176">
        <f t="shared" si="165"/>
        <v>-2815.750624536965</v>
      </c>
      <c r="BO57" s="176">
        <f t="shared" si="165"/>
        <v>0</v>
      </c>
      <c r="BP57" s="176">
        <f t="shared" si="165"/>
        <v>-402.99600714137176</v>
      </c>
      <c r="BQ57" s="176">
        <f t="shared" si="165"/>
        <v>0</v>
      </c>
      <c r="BR57" s="176">
        <f t="shared" si="165"/>
        <v>-267.74774438114133</v>
      </c>
      <c r="BS57" s="176">
        <f t="shared" si="165"/>
        <v>0</v>
      </c>
      <c r="BT57" s="176">
        <f t="shared" si="165"/>
        <v>-743.74373571427009</v>
      </c>
      <c r="BU57" s="176">
        <f t="shared" si="165"/>
        <v>0</v>
      </c>
      <c r="BV57" s="177">
        <f t="shared" si="165"/>
        <v>-204.52952826969749</v>
      </c>
      <c r="BW57" s="176">
        <f t="shared" si="165"/>
        <v>0</v>
      </c>
      <c r="BX57" s="176">
        <f t="shared" si="165"/>
        <v>-780.93092142155433</v>
      </c>
      <c r="BY57" s="176">
        <f t="shared" si="165"/>
        <v>0</v>
      </c>
      <c r="BZ57" s="176">
        <f t="shared" si="124"/>
        <v>-5215.6985614649993</v>
      </c>
      <c r="CA57" s="176"/>
      <c r="CB57" s="71"/>
      <c r="CC57" s="176">
        <f t="shared" si="166"/>
        <v>-2971.1470640701114</v>
      </c>
      <c r="CD57" s="176">
        <f t="shared" si="166"/>
        <v>0</v>
      </c>
      <c r="CE57" s="176">
        <f t="shared" si="166"/>
        <v>-398.17614942257268</v>
      </c>
      <c r="CF57" s="176">
        <f t="shared" si="166"/>
        <v>0</v>
      </c>
      <c r="CG57" s="176">
        <f t="shared" si="166"/>
        <v>-282.52428240524364</v>
      </c>
      <c r="CH57" s="176">
        <f t="shared" si="166"/>
        <v>0</v>
      </c>
      <c r="CI57" s="176">
        <f t="shared" si="166"/>
        <v>-784.78967474308047</v>
      </c>
      <c r="CJ57" s="176">
        <f t="shared" si="166"/>
        <v>0</v>
      </c>
      <c r="CK57" s="177">
        <f t="shared" si="166"/>
        <v>-215.81716155495391</v>
      </c>
      <c r="CL57" s="176">
        <f t="shared" si="166"/>
        <v>0</v>
      </c>
      <c r="CM57" s="176">
        <f t="shared" si="166"/>
        <v>-824.0291573422885</v>
      </c>
      <c r="CN57" s="176">
        <f t="shared" si="166"/>
        <v>0</v>
      </c>
      <c r="CO57" s="176">
        <f t="shared" si="126"/>
        <v>-5476.4834895382501</v>
      </c>
      <c r="CP57" s="176"/>
      <c r="CQ57" s="71"/>
      <c r="CR57" s="176">
        <f t="shared" si="167"/>
        <v>-3134.205696335669</v>
      </c>
      <c r="CS57" s="176">
        <f t="shared" si="167"/>
        <v>0</v>
      </c>
      <c r="CT57" s="176">
        <f t="shared" si="167"/>
        <v>-393.29925954723467</v>
      </c>
      <c r="CU57" s="176">
        <f t="shared" si="167"/>
        <v>0</v>
      </c>
      <c r="CV57" s="176">
        <f t="shared" si="167"/>
        <v>-298.02941294149497</v>
      </c>
      <c r="CW57" s="176">
        <f t="shared" si="167"/>
        <v>0</v>
      </c>
      <c r="CX57" s="176">
        <f t="shared" si="167"/>
        <v>-827.85948186479163</v>
      </c>
      <c r="CY57" s="176">
        <f t="shared" si="167"/>
        <v>0</v>
      </c>
      <c r="CZ57" s="177">
        <f t="shared" si="167"/>
        <v>-227.66135856833853</v>
      </c>
      <c r="DA57" s="176">
        <f t="shared" si="167"/>
        <v>0</v>
      </c>
      <c r="DB57" s="176">
        <f t="shared" si="167"/>
        <v>-869.25245475763415</v>
      </c>
      <c r="DC57" s="176">
        <f t="shared" si="167"/>
        <v>0</v>
      </c>
      <c r="DD57" s="176">
        <f t="shared" si="128"/>
        <v>-5750.307664015163</v>
      </c>
      <c r="DE57" s="176"/>
      <c r="DF57" s="71"/>
      <c r="DG57" s="176">
        <f t="shared" si="168"/>
        <v>-3305.3022636100754</v>
      </c>
      <c r="DH57" s="176">
        <f t="shared" si="168"/>
        <v>0</v>
      </c>
      <c r="DI57" s="176">
        <f t="shared" si="168"/>
        <v>-388.37507825603706</v>
      </c>
      <c r="DJ57" s="176">
        <f t="shared" si="168"/>
        <v>0</v>
      </c>
      <c r="DK57" s="176">
        <f t="shared" si="168"/>
        <v>-314.29886505841034</v>
      </c>
      <c r="DL57" s="176">
        <f t="shared" si="168"/>
        <v>0</v>
      </c>
      <c r="DM57" s="176">
        <f t="shared" si="168"/>
        <v>-873.0524044921217</v>
      </c>
      <c r="DN57" s="176">
        <f t="shared" si="168"/>
        <v>0</v>
      </c>
      <c r="DO57" s="177">
        <f t="shared" si="168"/>
        <v>-240.08941234847526</v>
      </c>
      <c r="DP57" s="176">
        <f t="shared" si="168"/>
        <v>0</v>
      </c>
      <c r="DQ57" s="176">
        <f t="shared" si="168"/>
        <v>-916.70502345080092</v>
      </c>
      <c r="DR57" s="176">
        <f t="shared" si="168"/>
        <v>0</v>
      </c>
      <c r="DS57" s="176">
        <f t="shared" si="130"/>
        <v>-6037.8230472159203</v>
      </c>
      <c r="DT57" s="176"/>
      <c r="DU57" s="71"/>
      <c r="DV57" s="176">
        <f t="shared" si="169"/>
        <v>-3484.831929729065</v>
      </c>
      <c r="DW57" s="176">
        <f t="shared" si="169"/>
        <v>0</v>
      </c>
      <c r="DX57" s="176">
        <f t="shared" si="169"/>
        <v>-383.41274892762704</v>
      </c>
      <c r="DY57" s="176">
        <f t="shared" si="169"/>
        <v>0</v>
      </c>
      <c r="DZ57" s="176">
        <f t="shared" si="169"/>
        <v>-331.37021460690363</v>
      </c>
      <c r="EA57" s="176">
        <f t="shared" si="169"/>
        <v>0</v>
      </c>
      <c r="EB57" s="176">
        <f t="shared" si="169"/>
        <v>-920.47281998890605</v>
      </c>
      <c r="EC57" s="176">
        <f t="shared" si="169"/>
        <v>0</v>
      </c>
      <c r="ED57" s="177">
        <f t="shared" si="169"/>
        <v>-253.13002667055196</v>
      </c>
      <c r="EE57" s="176">
        <f t="shared" si="169"/>
        <v>0</v>
      </c>
      <c r="EF57" s="176">
        <f t="shared" si="169"/>
        <v>-966.49645965366483</v>
      </c>
      <c r="EG57" s="176">
        <f t="shared" si="169"/>
        <v>0</v>
      </c>
      <c r="EH57" s="176">
        <f t="shared" si="132"/>
        <v>-6339.7141995767188</v>
      </c>
      <c r="EI57" s="176"/>
      <c r="EJ57" s="71"/>
      <c r="EK57" s="176">
        <f t="shared" si="170"/>
        <v>-3673.2102251528618</v>
      </c>
      <c r="EL57" s="176">
        <f t="shared" si="170"/>
        <v>0</v>
      </c>
      <c r="EM57" s="176">
        <f t="shared" si="170"/>
        <v>-378.42083217173445</v>
      </c>
      <c r="EN57" s="176">
        <f t="shared" si="170"/>
        <v>0</v>
      </c>
      <c r="EO57" s="176">
        <f t="shared" si="170"/>
        <v>-349.28297408587201</v>
      </c>
      <c r="EP57" s="176">
        <f t="shared" si="170"/>
        <v>0</v>
      </c>
      <c r="EQ57" s="176">
        <f t="shared" si="170"/>
        <v>-970.23048529672087</v>
      </c>
      <c r="ER57" s="176">
        <f t="shared" si="170"/>
        <v>0</v>
      </c>
      <c r="ES57" s="177">
        <f t="shared" si="170"/>
        <v>-266.81338469364209</v>
      </c>
      <c r="ET57" s="176">
        <f t="shared" si="170"/>
        <v>0</v>
      </c>
      <c r="EU57" s="176">
        <f t="shared" si="170"/>
        <v>-1018.7420081547218</v>
      </c>
      <c r="EV57" s="176">
        <f t="shared" si="170"/>
        <v>0</v>
      </c>
      <c r="EW57" s="176">
        <f t="shared" si="134"/>
        <v>-6656.6999095555539</v>
      </c>
      <c r="EX57" s="176"/>
      <c r="EY57" s="71"/>
      <c r="EZ57" s="176">
        <f t="shared" si="171"/>
        <v>-3870.8740382962956</v>
      </c>
      <c r="FA57" s="176">
        <f t="shared" si="171"/>
        <v>0</v>
      </c>
      <c r="FB57" s="176">
        <f t="shared" si="171"/>
        <v>-373.40732284124732</v>
      </c>
      <c r="FC57" s="176">
        <f t="shared" si="171"/>
        <v>0</v>
      </c>
      <c r="FD57" s="176">
        <f t="shared" si="171"/>
        <v>-368.07868690707858</v>
      </c>
      <c r="FE57" s="176">
        <f t="shared" si="171"/>
        <v>0</v>
      </c>
      <c r="FF57" s="176">
        <f t="shared" si="171"/>
        <v>-1022.4407987817798</v>
      </c>
      <c r="FG57" s="176">
        <f t="shared" si="171"/>
        <v>0</v>
      </c>
      <c r="FH57" s="177">
        <f t="shared" si="171"/>
        <v>-281.17122096860135</v>
      </c>
      <c r="FI57" s="176">
        <f t="shared" si="171"/>
        <v>0</v>
      </c>
      <c r="FJ57" s="176">
        <f t="shared" si="171"/>
        <v>-1073.5628372383285</v>
      </c>
      <c r="FK57" s="176">
        <f t="shared" si="171"/>
        <v>0</v>
      </c>
      <c r="FL57" s="176">
        <f t="shared" si="136"/>
        <v>-6989.5349050333316</v>
      </c>
      <c r="FM57" s="176"/>
      <c r="FN57" s="71"/>
      <c r="FO57" s="176">
        <f t="shared" si="172"/>
        <v>-4078.282655796108</v>
      </c>
      <c r="FP57" s="176">
        <f t="shared" si="172"/>
        <v>0</v>
      </c>
      <c r="FQ57" s="176">
        <f t="shared" si="172"/>
        <v>-368.37966897048523</v>
      </c>
      <c r="FR57" s="176">
        <f t="shared" si="172"/>
        <v>0</v>
      </c>
      <c r="FS57" s="176">
        <f t="shared" si="172"/>
        <v>-387.80102631343766</v>
      </c>
      <c r="FT57" s="176">
        <f t="shared" si="172"/>
        <v>0</v>
      </c>
      <c r="FU57" s="176">
        <f t="shared" si="172"/>
        <v>-1077.2250750079493</v>
      </c>
      <c r="FV57" s="176">
        <f t="shared" si="172"/>
        <v>0</v>
      </c>
      <c r="FW57" s="177">
        <f t="shared" si="172"/>
        <v>-296.23689700064796</v>
      </c>
      <c r="FX57" s="176">
        <f t="shared" si="172"/>
        <v>0</v>
      </c>
      <c r="FY57" s="176">
        <f t="shared" si="172"/>
        <v>-1131.0863271963694</v>
      </c>
      <c r="FZ57" s="176">
        <f t="shared" si="172"/>
        <v>0</v>
      </c>
      <c r="GA57" s="176">
        <f t="shared" si="138"/>
        <v>-7339.0116502849978</v>
      </c>
      <c r="GB57" s="176"/>
      <c r="GC57" s="71"/>
      <c r="GD57" s="176">
        <f t="shared" si="173"/>
        <v>-4295.9188544773506</v>
      </c>
      <c r="GE57" s="176">
        <f t="shared" si="173"/>
        <v>0</v>
      </c>
      <c r="GF57" s="176">
        <f t="shared" si="173"/>
        <v>-363.3447921975735</v>
      </c>
      <c r="GG57" s="176">
        <f t="shared" si="173"/>
        <v>0</v>
      </c>
      <c r="GH57" s="176">
        <f t="shared" si="173"/>
        <v>-408.49589921333131</v>
      </c>
      <c r="GI57" s="176">
        <f t="shared" si="173"/>
        <v>0</v>
      </c>
      <c r="GJ57" s="176">
        <f t="shared" si="173"/>
        <v>-1134.7108331654063</v>
      </c>
      <c r="GK57" s="176">
        <f t="shared" si="173"/>
        <v>0</v>
      </c>
      <c r="GL57" s="177">
        <f t="shared" si="173"/>
        <v>-312.04548056724298</v>
      </c>
      <c r="GM57" s="176">
        <f t="shared" si="173"/>
        <v>0</v>
      </c>
      <c r="GN57" s="176">
        <f t="shared" si="173"/>
        <v>-1191.4463731783449</v>
      </c>
      <c r="GO57" s="176">
        <f t="shared" si="173"/>
        <v>0</v>
      </c>
      <c r="GP57" s="176">
        <f t="shared" si="140"/>
        <v>-7705.9622327992511</v>
      </c>
      <c r="GQ57" s="176"/>
      <c r="GR57" s="71"/>
      <c r="GS57" s="176">
        <f t="shared" si="174"/>
        <v>-4524.2900478771098</v>
      </c>
      <c r="GT57" s="176">
        <f t="shared" si="174"/>
        <v>0</v>
      </c>
      <c r="GU57" s="176">
        <f t="shared" si="174"/>
        <v>-358.30910927797925</v>
      </c>
      <c r="GV57" s="176">
        <f t="shared" si="174"/>
        <v>0</v>
      </c>
      <c r="GW57" s="176">
        <f t="shared" si="174"/>
        <v>-430.2115552027426</v>
      </c>
      <c r="GX57" s="176">
        <f t="shared" si="174"/>
        <v>0</v>
      </c>
      <c r="GY57" s="176">
        <f t="shared" si="174"/>
        <v>-1195.0320999098979</v>
      </c>
      <c r="GZ57" s="176">
        <f t="shared" si="174"/>
        <v>0</v>
      </c>
      <c r="HA57" s="177">
        <f t="shared" si="174"/>
        <v>-328.63382899888768</v>
      </c>
      <c r="HB57" s="176">
        <f t="shared" si="174"/>
        <v>0</v>
      </c>
      <c r="HC57" s="176">
        <f t="shared" si="174"/>
        <v>-1254.7837031725949</v>
      </c>
      <c r="HD57" s="176">
        <f t="shared" si="174"/>
        <v>0</v>
      </c>
      <c r="HE57" s="176">
        <f t="shared" si="142"/>
        <v>-8091.2603444392125</v>
      </c>
      <c r="HF57" s="176"/>
      <c r="HG57" s="71"/>
      <c r="HH57" s="176">
        <f t="shared" si="175"/>
        <v>-4763.9294902877791</v>
      </c>
      <c r="HI57" s="176">
        <f t="shared" si="175"/>
        <v>0</v>
      </c>
      <c r="HJ57" s="176">
        <f t="shared" si="175"/>
        <v>-353.27855434325375</v>
      </c>
      <c r="HK57" s="176">
        <f t="shared" si="175"/>
        <v>0</v>
      </c>
      <c r="HL57" s="176">
        <f t="shared" si="175"/>
        <v>-452.99870105688314</v>
      </c>
      <c r="HM57" s="176">
        <f t="shared" si="175"/>
        <v>0</v>
      </c>
      <c r="HN57" s="176">
        <f t="shared" si="175"/>
        <v>-1258.3297273950395</v>
      </c>
      <c r="HO57" s="176">
        <f t="shared" si="175"/>
        <v>0</v>
      </c>
      <c r="HP57" s="177">
        <f t="shared" si="175"/>
        <v>-346.04067663800612</v>
      </c>
      <c r="HQ57" s="176">
        <f t="shared" si="175"/>
        <v>0</v>
      </c>
      <c r="HR57" s="176">
        <f t="shared" si="175"/>
        <v>-1321.2462119402121</v>
      </c>
      <c r="HS57" s="176">
        <f t="shared" si="175"/>
        <v>0</v>
      </c>
      <c r="HT57" s="177">
        <f t="shared" si="144"/>
        <v>-8495.8233616611742</v>
      </c>
      <c r="HU57" s="176"/>
      <c r="HX57" s="64" t="str">
        <f t="shared" si="176"/>
        <v>S&amp;M- Salaries</v>
      </c>
      <c r="HZ57" s="113">
        <f t="shared" si="177"/>
        <v>-1047</v>
      </c>
      <c r="IA57" s="192">
        <f t="shared" si="145"/>
        <v>-2778.3513699999999</v>
      </c>
      <c r="IB57" s="192">
        <f t="shared" si="146"/>
        <v>-4505.5165200000001</v>
      </c>
      <c r="IC57" s="192">
        <f t="shared" si="147"/>
        <v>-4730.7923460000011</v>
      </c>
      <c r="ID57" s="192">
        <f t="shared" si="148"/>
        <v>-4967.3319633000001</v>
      </c>
      <c r="IE57" s="192">
        <f t="shared" si="149"/>
        <v>-5215.6985614649993</v>
      </c>
      <c r="IF57" s="192">
        <f t="shared" si="150"/>
        <v>-5476.4834895382501</v>
      </c>
      <c r="IG57" s="192">
        <f t="shared" si="151"/>
        <v>-5750.307664015163</v>
      </c>
      <c r="IH57" s="192">
        <f t="shared" si="152"/>
        <v>-6037.8230472159203</v>
      </c>
      <c r="II57" s="192">
        <f t="shared" si="153"/>
        <v>-6339.7141995767188</v>
      </c>
      <c r="IJ57" s="192">
        <f t="shared" si="154"/>
        <v>-6656.6999095555539</v>
      </c>
      <c r="IK57" s="192">
        <f t="shared" si="155"/>
        <v>-6989.5349050333316</v>
      </c>
      <c r="IL57" s="192">
        <f t="shared" si="156"/>
        <v>-7339.0116502849978</v>
      </c>
      <c r="IM57" s="192">
        <f t="shared" si="157"/>
        <v>-7705.9622327992511</v>
      </c>
      <c r="IN57" s="192">
        <f t="shared" si="158"/>
        <v>-8091.2603444392125</v>
      </c>
      <c r="IO57" s="169">
        <f t="shared" si="114"/>
        <v>-8495.8233616611742</v>
      </c>
    </row>
    <row r="58" spans="2:249" hidden="1">
      <c r="B58" s="159" t="str">
        <f t="shared" si="159"/>
        <v>S&amp;M- Others</v>
      </c>
      <c r="C58" s="176">
        <v>-900</v>
      </c>
      <c r="D58" s="176"/>
      <c r="E58" s="71"/>
      <c r="F58" s="176">
        <f t="shared" si="160"/>
        <v>-471.0345673205718</v>
      </c>
      <c r="G58" s="176">
        <f t="shared" si="160"/>
        <v>0</v>
      </c>
      <c r="H58" s="176">
        <f t="shared" si="160"/>
        <v>-239.12884291117612</v>
      </c>
      <c r="I58" s="176">
        <f t="shared" si="160"/>
        <v>0</v>
      </c>
      <c r="J58" s="176">
        <f t="shared" si="160"/>
        <v>-27.274750474716782</v>
      </c>
      <c r="K58" s="176">
        <f t="shared" si="160"/>
        <v>0</v>
      </c>
      <c r="L58" s="176">
        <f t="shared" si="160"/>
        <v>-26.681821116570767</v>
      </c>
      <c r="M58" s="176">
        <f t="shared" si="160"/>
        <v>0</v>
      </c>
      <c r="N58" s="177">
        <f t="shared" si="160"/>
        <v>-10.672728446628307</v>
      </c>
      <c r="O58" s="176">
        <f t="shared" si="160"/>
        <v>0</v>
      </c>
      <c r="P58" s="176">
        <f t="shared" si="160"/>
        <v>-9.4868697303362719</v>
      </c>
      <c r="Q58" s="176">
        <f t="shared" si="160"/>
        <v>0</v>
      </c>
      <c r="R58" s="176">
        <f t="shared" si="116"/>
        <v>-784.27958000000001</v>
      </c>
      <c r="T58" s="71"/>
      <c r="U58" s="176">
        <f t="shared" si="161"/>
        <v>-300.54860750864293</v>
      </c>
      <c r="V58" s="176"/>
      <c r="W58" s="176">
        <f t="shared" si="161"/>
        <v>-52.394735899626461</v>
      </c>
      <c r="X58" s="176"/>
      <c r="Y58" s="176">
        <f t="shared" si="161"/>
        <v>-28.578955478546739</v>
      </c>
      <c r="Z58" s="176"/>
      <c r="AA58" s="176">
        <f t="shared" si="161"/>
        <v>-79.385987581538231</v>
      </c>
      <c r="AB58" s="176"/>
      <c r="AC58" s="176">
        <f t="shared" si="161"/>
        <v>-21.831146686140148</v>
      </c>
      <c r="AD58" s="176"/>
      <c r="AE58" s="176">
        <f t="shared" si="161"/>
        <v>-83.355286845505361</v>
      </c>
      <c r="AF58" s="176"/>
      <c r="AG58" s="176">
        <f t="shared" si="118"/>
        <v>-566.09471999999982</v>
      </c>
      <c r="AH58" s="176"/>
      <c r="AI58" s="71"/>
      <c r="AJ58" s="176">
        <f t="shared" si="163"/>
        <v>-314.42245148506015</v>
      </c>
      <c r="AK58" s="176">
        <f t="shared" si="163"/>
        <v>0</v>
      </c>
      <c r="AL58" s="176">
        <f t="shared" si="163"/>
        <v>-51.325244211738742</v>
      </c>
      <c r="AM58" s="176">
        <f t="shared" si="163"/>
        <v>0</v>
      </c>
      <c r="AN58" s="176">
        <f t="shared" si="163"/>
        <v>-29.898209534005733</v>
      </c>
      <c r="AO58" s="176">
        <f t="shared" si="163"/>
        <v>0</v>
      </c>
      <c r="AP58" s="176">
        <f t="shared" si="163"/>
        <v>-83.050582186550272</v>
      </c>
      <c r="AQ58" s="176">
        <f t="shared" si="163"/>
        <v>0</v>
      </c>
      <c r="AR58" s="177">
        <f t="shared" si="163"/>
        <v>-22.838910207190814</v>
      </c>
      <c r="AS58" s="176">
        <f t="shared" si="163"/>
        <v>0</v>
      </c>
      <c r="AT58" s="176">
        <f t="shared" si="163"/>
        <v>-87.203111175454353</v>
      </c>
      <c r="AU58" s="176">
        <f t="shared" si="163"/>
        <v>0</v>
      </c>
      <c r="AV58" s="176">
        <f t="shared" si="120"/>
        <v>-588.73850880000009</v>
      </c>
      <c r="AW58" s="176"/>
      <c r="AX58" s="71"/>
      <c r="AY58" s="176">
        <f t="shared" si="164"/>
        <v>-328.82356811886257</v>
      </c>
      <c r="AZ58" s="176">
        <f t="shared" si="164"/>
        <v>0</v>
      </c>
      <c r="BA58" s="176">
        <f t="shared" si="164"/>
        <v>-50.260285607528424</v>
      </c>
      <c r="BB58" s="176">
        <f t="shared" si="164"/>
        <v>0</v>
      </c>
      <c r="BC58" s="176">
        <f t="shared" si="164"/>
        <v>-31.26760157521478</v>
      </c>
      <c r="BD58" s="176">
        <f t="shared" si="164"/>
        <v>0</v>
      </c>
      <c r="BE58" s="176">
        <f t="shared" si="164"/>
        <v>-86.854448974448957</v>
      </c>
      <c r="BF58" s="176">
        <f t="shared" si="164"/>
        <v>0</v>
      </c>
      <c r="BG58" s="177">
        <f t="shared" si="164"/>
        <v>-23.884973578712881</v>
      </c>
      <c r="BH58" s="176">
        <f t="shared" si="164"/>
        <v>0</v>
      </c>
      <c r="BI58" s="176">
        <f t="shared" si="164"/>
        <v>-91.197171297232359</v>
      </c>
      <c r="BJ58" s="176">
        <f t="shared" si="164"/>
        <v>0</v>
      </c>
      <c r="BK58" s="176">
        <f t="shared" si="122"/>
        <v>-612.28804915199999</v>
      </c>
      <c r="BL58" s="176"/>
      <c r="BM58" s="71"/>
      <c r="BN58" s="176">
        <f t="shared" si="165"/>
        <v>-343.77225867985896</v>
      </c>
      <c r="BO58" s="176">
        <f t="shared" si="165"/>
        <v>0</v>
      </c>
      <c r="BP58" s="176">
        <f t="shared" si="165"/>
        <v>-49.20139106307964</v>
      </c>
      <c r="BQ58" s="176">
        <f t="shared" si="165"/>
        <v>0</v>
      </c>
      <c r="BR58" s="176">
        <f t="shared" si="165"/>
        <v>-32.689062035626343</v>
      </c>
      <c r="BS58" s="176">
        <f t="shared" si="165"/>
        <v>0</v>
      </c>
      <c r="BT58" s="176">
        <f t="shared" si="165"/>
        <v>-90.802950260389508</v>
      </c>
      <c r="BU58" s="176">
        <f t="shared" si="165"/>
        <v>0</v>
      </c>
      <c r="BV58" s="177">
        <f t="shared" si="165"/>
        <v>-24.970811437380871</v>
      </c>
      <c r="BW58" s="176">
        <f t="shared" si="165"/>
        <v>0</v>
      </c>
      <c r="BX58" s="176">
        <f t="shared" si="165"/>
        <v>-95.343097641744606</v>
      </c>
      <c r="BY58" s="176">
        <f t="shared" si="165"/>
        <v>0</v>
      </c>
      <c r="BZ58" s="176">
        <f t="shared" si="124"/>
        <v>-636.77957111808007</v>
      </c>
      <c r="CA58" s="176"/>
      <c r="CB58" s="71"/>
      <c r="CC58" s="176">
        <f t="shared" si="166"/>
        <v>-359.28974990495266</v>
      </c>
      <c r="CD58" s="176">
        <f t="shared" si="166"/>
        <v>0</v>
      </c>
      <c r="CE58" s="176">
        <f t="shared" si="166"/>
        <v>-48.149958941506412</v>
      </c>
      <c r="CF58" s="176">
        <f t="shared" si="166"/>
        <v>0</v>
      </c>
      <c r="CG58" s="176">
        <f t="shared" si="166"/>
        <v>-34.164609350707273</v>
      </c>
      <c r="CH58" s="176">
        <f t="shared" si="166"/>
        <v>0</v>
      </c>
      <c r="CI58" s="176">
        <f t="shared" si="166"/>
        <v>-94.901692809567635</v>
      </c>
      <c r="CJ58" s="176">
        <f t="shared" si="166"/>
        <v>0</v>
      </c>
      <c r="CK58" s="177">
        <f t="shared" si="166"/>
        <v>-26.097965643630754</v>
      </c>
      <c r="CL58" s="176">
        <f t="shared" si="166"/>
        <v>0</v>
      </c>
      <c r="CM58" s="176">
        <f t="shared" si="166"/>
        <v>-99.646777312438459</v>
      </c>
      <c r="CN58" s="176">
        <f t="shared" si="166"/>
        <v>0</v>
      </c>
      <c r="CO58" s="176">
        <f t="shared" si="126"/>
        <v>-662.25075396280329</v>
      </c>
      <c r="CP58" s="176"/>
      <c r="CQ58" s="71"/>
      <c r="CR58" s="176">
        <f t="shared" si="167"/>
        <v>-375.39822475940986</v>
      </c>
      <c r="CS58" s="176">
        <f t="shared" si="167"/>
        <v>0</v>
      </c>
      <c r="CT58" s="176">
        <f t="shared" si="167"/>
        <v>-47.107260383656019</v>
      </c>
      <c r="CU58" s="176">
        <f t="shared" si="167"/>
        <v>0</v>
      </c>
      <c r="CV58" s="176">
        <f t="shared" si="167"/>
        <v>-35.696352883006234</v>
      </c>
      <c r="CW58" s="176">
        <f t="shared" si="167"/>
        <v>0</v>
      </c>
      <c r="CX58" s="176">
        <f t="shared" si="167"/>
        <v>-99.156535962406693</v>
      </c>
      <c r="CY58" s="176">
        <f t="shared" si="167"/>
        <v>0</v>
      </c>
      <c r="CZ58" s="177">
        <f t="shared" si="167"/>
        <v>-27.268047516086423</v>
      </c>
      <c r="DA58" s="176">
        <f t="shared" si="167"/>
        <v>0</v>
      </c>
      <c r="DB58" s="176">
        <f t="shared" si="167"/>
        <v>-104.11436261674994</v>
      </c>
      <c r="DC58" s="176">
        <f t="shared" si="167"/>
        <v>0</v>
      </c>
      <c r="DD58" s="176">
        <f t="shared" si="128"/>
        <v>-688.74078412131519</v>
      </c>
      <c r="DE58" s="176"/>
      <c r="DF58" s="71"/>
      <c r="DG58" s="176">
        <f t="shared" si="168"/>
        <v>-392.12085435334643</v>
      </c>
      <c r="DH58" s="176">
        <f t="shared" si="168"/>
        <v>0</v>
      </c>
      <c r="DI58" s="176">
        <f t="shared" si="168"/>
        <v>-46.074445043029982</v>
      </c>
      <c r="DJ58" s="176">
        <f t="shared" si="168"/>
        <v>0</v>
      </c>
      <c r="DK58" s="176">
        <f t="shared" si="168"/>
        <v>-37.286495957069882</v>
      </c>
      <c r="DL58" s="176">
        <f t="shared" si="168"/>
        <v>0</v>
      </c>
      <c r="DM58" s="176">
        <f t="shared" si="168"/>
        <v>-103.57360006488049</v>
      </c>
      <c r="DN58" s="176">
        <f t="shared" si="168"/>
        <v>0</v>
      </c>
      <c r="DO58" s="177">
        <f t="shared" si="168"/>
        <v>-28.482740149898472</v>
      </c>
      <c r="DP58" s="176">
        <f t="shared" si="168"/>
        <v>0</v>
      </c>
      <c r="DQ58" s="176">
        <f t="shared" si="168"/>
        <v>-108.75227991794269</v>
      </c>
      <c r="DR58" s="176">
        <f t="shared" si="168"/>
        <v>0</v>
      </c>
      <c r="DS58" s="176">
        <f t="shared" si="130"/>
        <v>-716.29041548616794</v>
      </c>
      <c r="DT58" s="176"/>
      <c r="DU58" s="71"/>
      <c r="DV58" s="176">
        <f t="shared" si="169"/>
        <v>-409.4818311292687</v>
      </c>
      <c r="DW58" s="176">
        <f t="shared" si="169"/>
        <v>0</v>
      </c>
      <c r="DX58" s="176">
        <f t="shared" si="169"/>
        <v>-45.052547059679164</v>
      </c>
      <c r="DY58" s="176">
        <f t="shared" si="169"/>
        <v>0</v>
      </c>
      <c r="DZ58" s="176">
        <f t="shared" si="169"/>
        <v>-38.937339015222783</v>
      </c>
      <c r="EA58" s="176">
        <f t="shared" si="169"/>
        <v>0</v>
      </c>
      <c r="EB58" s="176">
        <f t="shared" si="169"/>
        <v>-108.15927523456865</v>
      </c>
      <c r="EC58" s="176">
        <f t="shared" si="169"/>
        <v>0</v>
      </c>
      <c r="ED58" s="177">
        <f t="shared" si="169"/>
        <v>-29.743800827409448</v>
      </c>
      <c r="EE58" s="176">
        <f t="shared" si="169"/>
        <v>0</v>
      </c>
      <c r="EF58" s="176">
        <f t="shared" si="169"/>
        <v>-113.56723883946603</v>
      </c>
      <c r="EG58" s="176">
        <f t="shared" si="169"/>
        <v>0</v>
      </c>
      <c r="EH58" s="176">
        <f t="shared" si="132"/>
        <v>-744.94203210561477</v>
      </c>
      <c r="EI58" s="176"/>
      <c r="EJ58" s="71"/>
      <c r="EK58" s="176">
        <f t="shared" si="170"/>
        <v>-427.50640343130004</v>
      </c>
      <c r="EL58" s="176">
        <f t="shared" si="170"/>
        <v>0</v>
      </c>
      <c r="EM58" s="176">
        <f t="shared" si="170"/>
        <v>-44.04249118044568</v>
      </c>
      <c r="EN58" s="176">
        <f t="shared" si="170"/>
        <v>0</v>
      </c>
      <c r="EO58" s="176">
        <f t="shared" si="170"/>
        <v>-40.651282904730863</v>
      </c>
      <c r="EP58" s="176">
        <f t="shared" si="170"/>
        <v>0</v>
      </c>
      <c r="EQ58" s="176">
        <f t="shared" si="170"/>
        <v>-112.92023049166613</v>
      </c>
      <c r="ER58" s="176">
        <f t="shared" si="170"/>
        <v>0</v>
      </c>
      <c r="ES58" s="177">
        <f t="shared" si="170"/>
        <v>-31.053063529181475</v>
      </c>
      <c r="ET58" s="176">
        <f t="shared" si="170"/>
        <v>0</v>
      </c>
      <c r="EU58" s="176">
        <f t="shared" si="170"/>
        <v>-118.56624185251499</v>
      </c>
      <c r="EV58" s="176">
        <f t="shared" si="170"/>
        <v>0</v>
      </c>
      <c r="EW58" s="176">
        <f t="shared" si="134"/>
        <v>-774.73971338983915</v>
      </c>
      <c r="EX58" s="176"/>
      <c r="EY58" s="71"/>
      <c r="EZ58" s="176">
        <f t="shared" si="171"/>
        <v>-446.22091156190925</v>
      </c>
      <c r="FA58" s="176">
        <f t="shared" si="171"/>
        <v>0</v>
      </c>
      <c r="FB58" s="176">
        <f t="shared" si="171"/>
        <v>-43.045098945004582</v>
      </c>
      <c r="FC58" s="176">
        <f t="shared" si="171"/>
        <v>0</v>
      </c>
      <c r="FD58" s="176">
        <f t="shared" si="171"/>
        <v>-42.430832306410252</v>
      </c>
      <c r="FE58" s="176">
        <f t="shared" si="171"/>
        <v>0</v>
      </c>
      <c r="FF58" s="176">
        <f t="shared" si="171"/>
        <v>-117.8634232828968</v>
      </c>
      <c r="FG58" s="176">
        <f t="shared" si="171"/>
        <v>0</v>
      </c>
      <c r="FH58" s="177">
        <f t="shared" si="171"/>
        <v>-32.412441553072476</v>
      </c>
      <c r="FI58" s="176">
        <f t="shared" si="171"/>
        <v>0</v>
      </c>
      <c r="FJ58" s="176">
        <f t="shared" si="171"/>
        <v>-123.75659427613955</v>
      </c>
      <c r="FK58" s="176">
        <f t="shared" si="171"/>
        <v>0</v>
      </c>
      <c r="FL58" s="176">
        <f t="shared" si="136"/>
        <v>-805.72930192543288</v>
      </c>
      <c r="FM58" s="176"/>
      <c r="FN58" s="71"/>
      <c r="FO58" s="176">
        <f t="shared" si="172"/>
        <v>-465.65282542763867</v>
      </c>
      <c r="FP58" s="176">
        <f t="shared" si="172"/>
        <v>0</v>
      </c>
      <c r="FQ58" s="176">
        <f t="shared" si="172"/>
        <v>-42.061094868550626</v>
      </c>
      <c r="FR58" s="176">
        <f t="shared" si="172"/>
        <v>0</v>
      </c>
      <c r="FS58" s="176">
        <f t="shared" si="172"/>
        <v>-44.27859931433315</v>
      </c>
      <c r="FT58" s="176">
        <f t="shared" si="172"/>
        <v>0</v>
      </c>
      <c r="FU58" s="176">
        <f t="shared" si="172"/>
        <v>-122.99610942514073</v>
      </c>
      <c r="FV58" s="176">
        <f t="shared" si="172"/>
        <v>0</v>
      </c>
      <c r="FW58" s="177">
        <f t="shared" si="172"/>
        <v>-33.823930248733731</v>
      </c>
      <c r="FX58" s="176">
        <f t="shared" si="172"/>
        <v>0</v>
      </c>
      <c r="FY58" s="176">
        <f t="shared" si="172"/>
        <v>-129.14591471805326</v>
      </c>
      <c r="FZ58" s="176">
        <f t="shared" si="172"/>
        <v>0</v>
      </c>
      <c r="GA58" s="176">
        <f t="shared" si="138"/>
        <v>-837.9584740024502</v>
      </c>
      <c r="GB58" s="176"/>
      <c r="GC58" s="71"/>
      <c r="GD58" s="176">
        <f t="shared" si="173"/>
        <v>-485.830783871579</v>
      </c>
      <c r="GE58" s="176">
        <f t="shared" si="173"/>
        <v>0</v>
      </c>
      <c r="GF58" s="176">
        <f t="shared" si="173"/>
        <v>-41.091112562571759</v>
      </c>
      <c r="GG58" s="176">
        <f t="shared" si="173"/>
        <v>0</v>
      </c>
      <c r="GH58" s="176">
        <f t="shared" si="173"/>
        <v>-46.197307175925069</v>
      </c>
      <c r="GI58" s="176">
        <f t="shared" si="173"/>
        <v>0</v>
      </c>
      <c r="GJ58" s="176">
        <f t="shared" si="173"/>
        <v>-128.32585349459339</v>
      </c>
      <c r="GK58" s="176">
        <f t="shared" si="173"/>
        <v>0</v>
      </c>
      <c r="GL58" s="177">
        <f t="shared" si="173"/>
        <v>-35.289609874628631</v>
      </c>
      <c r="GM58" s="176">
        <f t="shared" si="173"/>
        <v>0</v>
      </c>
      <c r="GN58" s="176">
        <f t="shared" si="173"/>
        <v>-134.74214598325042</v>
      </c>
      <c r="GO58" s="176">
        <f t="shared" si="173"/>
        <v>0</v>
      </c>
      <c r="GP58" s="176">
        <f t="shared" si="140"/>
        <v>-871.47681296254825</v>
      </c>
      <c r="GQ58" s="176"/>
      <c r="GR58" s="71"/>
      <c r="GS58" s="176">
        <f t="shared" si="174"/>
        <v>-506.78463578717066</v>
      </c>
      <c r="GT58" s="176">
        <f t="shared" si="174"/>
        <v>0</v>
      </c>
      <c r="GU58" s="176">
        <f t="shared" si="174"/>
        <v>-40.135700744887025</v>
      </c>
      <c r="GV58" s="176">
        <f t="shared" si="174"/>
        <v>0</v>
      </c>
      <c r="GW58" s="176">
        <f t="shared" si="174"/>
        <v>-48.189794201447327</v>
      </c>
      <c r="GX58" s="176">
        <f t="shared" si="174"/>
        <v>0</v>
      </c>
      <c r="GY58" s="176">
        <f t="shared" si="174"/>
        <v>-133.86053968643913</v>
      </c>
      <c r="GZ58" s="176">
        <f t="shared" si="174"/>
        <v>0</v>
      </c>
      <c r="HA58" s="177">
        <f t="shared" si="174"/>
        <v>-36.811648584442928</v>
      </c>
      <c r="HB58" s="176">
        <f t="shared" si="174"/>
        <v>0</v>
      </c>
      <c r="HC58" s="176">
        <f t="shared" si="174"/>
        <v>-140.55356647666315</v>
      </c>
      <c r="HD58" s="176">
        <f t="shared" si="174"/>
        <v>0</v>
      </c>
      <c r="HE58" s="176">
        <f t="shared" si="142"/>
        <v>-906.33588548105013</v>
      </c>
      <c r="HF58" s="176"/>
      <c r="HG58" s="71"/>
      <c r="HH58" s="176">
        <f t="shared" si="175"/>
        <v>-528.54548310538644</v>
      </c>
      <c r="HI58" s="176">
        <f t="shared" si="175"/>
        <v>0</v>
      </c>
      <c r="HJ58" s="176">
        <f t="shared" si="175"/>
        <v>-39.195329098972032</v>
      </c>
      <c r="HK58" s="176">
        <f t="shared" si="175"/>
        <v>0</v>
      </c>
      <c r="HL58" s="176">
        <f t="shared" si="175"/>
        <v>-50.259017851617983</v>
      </c>
      <c r="HM58" s="176">
        <f t="shared" si="175"/>
        <v>0</v>
      </c>
      <c r="HN58" s="176">
        <f t="shared" si="175"/>
        <v>-139.60838316935374</v>
      </c>
      <c r="HO58" s="176">
        <f t="shared" si="175"/>
        <v>0</v>
      </c>
      <c r="HP58" s="177">
        <f t="shared" si="175"/>
        <v>-38.392305549572953</v>
      </c>
      <c r="HQ58" s="176">
        <f t="shared" si="175"/>
        <v>0</v>
      </c>
      <c r="HR58" s="176">
        <f t="shared" si="175"/>
        <v>-146.58880212538915</v>
      </c>
      <c r="HS58" s="176">
        <f t="shared" si="175"/>
        <v>0</v>
      </c>
      <c r="HT58" s="177">
        <f t="shared" si="144"/>
        <v>-942.58932090029225</v>
      </c>
      <c r="HU58" s="176"/>
      <c r="HX58" s="64" t="str">
        <f t="shared" si="176"/>
        <v>S&amp;M- Others</v>
      </c>
      <c r="HZ58" s="113">
        <f t="shared" si="177"/>
        <v>-923</v>
      </c>
      <c r="IA58" s="192">
        <f t="shared" si="145"/>
        <v>-784.27958000000001</v>
      </c>
      <c r="IB58" s="192">
        <f t="shared" si="146"/>
        <v>-566.09471999999982</v>
      </c>
      <c r="IC58" s="192">
        <f t="shared" si="147"/>
        <v>-588.73850880000009</v>
      </c>
      <c r="ID58" s="192">
        <f t="shared" si="148"/>
        <v>-612.28804915199999</v>
      </c>
      <c r="IE58" s="192">
        <f t="shared" si="149"/>
        <v>-636.77957111808007</v>
      </c>
      <c r="IF58" s="192">
        <f t="shared" si="150"/>
        <v>-662.25075396280329</v>
      </c>
      <c r="IG58" s="192">
        <f t="shared" si="151"/>
        <v>-688.74078412131519</v>
      </c>
      <c r="IH58" s="192">
        <f t="shared" si="152"/>
        <v>-716.29041548616794</v>
      </c>
      <c r="II58" s="192">
        <f t="shared" si="153"/>
        <v>-744.94203210561477</v>
      </c>
      <c r="IJ58" s="192">
        <f t="shared" si="154"/>
        <v>-774.73971338983915</v>
      </c>
      <c r="IK58" s="192">
        <f t="shared" si="155"/>
        <v>-805.72930192543288</v>
      </c>
      <c r="IL58" s="192">
        <f t="shared" si="156"/>
        <v>-837.9584740024502</v>
      </c>
      <c r="IM58" s="192">
        <f t="shared" si="157"/>
        <v>-871.47681296254825</v>
      </c>
      <c r="IN58" s="192">
        <f t="shared" si="158"/>
        <v>-906.33588548105013</v>
      </c>
      <c r="IO58" s="169">
        <f t="shared" si="114"/>
        <v>-942.58932090029225</v>
      </c>
    </row>
    <row r="59" spans="2:249" hidden="1">
      <c r="B59" s="159" t="str">
        <f t="shared" si="159"/>
        <v>Depreciation</v>
      </c>
      <c r="C59" s="159"/>
      <c r="D59" s="159"/>
      <c r="E59" s="71"/>
      <c r="F59" s="176">
        <f t="shared" si="160"/>
        <v>0</v>
      </c>
      <c r="G59" s="176">
        <f t="shared" si="160"/>
        <v>0</v>
      </c>
      <c r="H59" s="176">
        <f t="shared" si="160"/>
        <v>0</v>
      </c>
      <c r="I59" s="176">
        <f t="shared" si="160"/>
        <v>0</v>
      </c>
      <c r="J59" s="176"/>
      <c r="K59" s="176">
        <f t="shared" si="160"/>
        <v>0</v>
      </c>
      <c r="L59" s="176">
        <f t="shared" si="160"/>
        <v>0</v>
      </c>
      <c r="M59" s="176">
        <f t="shared" si="160"/>
        <v>0</v>
      </c>
      <c r="N59" s="177">
        <f t="shared" si="160"/>
        <v>0</v>
      </c>
      <c r="O59" s="176">
        <f t="shared" si="160"/>
        <v>0</v>
      </c>
      <c r="P59" s="176">
        <f t="shared" si="160"/>
        <v>0</v>
      </c>
      <c r="Q59" s="176">
        <f t="shared" si="160"/>
        <v>0</v>
      </c>
      <c r="R59" s="176">
        <f t="shared" si="116"/>
        <v>0</v>
      </c>
      <c r="T59" s="71"/>
      <c r="U59" s="176">
        <v>0</v>
      </c>
      <c r="V59" s="176">
        <f t="shared" ref="V59:X59" si="178">V27</f>
        <v>0</v>
      </c>
      <c r="W59" s="176">
        <v>0</v>
      </c>
      <c r="X59" s="176">
        <f t="shared" si="178"/>
        <v>0</v>
      </c>
      <c r="Y59" s="176"/>
      <c r="Z59" s="176">
        <f t="shared" ref="Z59:AF59" si="179">Z27</f>
        <v>0</v>
      </c>
      <c r="AA59" s="176">
        <f t="shared" si="179"/>
        <v>0</v>
      </c>
      <c r="AB59" s="176">
        <f t="shared" si="179"/>
        <v>0</v>
      </c>
      <c r="AC59" s="177">
        <v>0</v>
      </c>
      <c r="AD59" s="176">
        <f t="shared" si="179"/>
        <v>0</v>
      </c>
      <c r="AE59" s="176">
        <v>0</v>
      </c>
      <c r="AF59" s="176">
        <f t="shared" si="179"/>
        <v>0</v>
      </c>
      <c r="AG59" s="176">
        <f t="shared" si="118"/>
        <v>0</v>
      </c>
      <c r="AH59" s="176"/>
      <c r="AI59" s="71"/>
      <c r="AJ59" s="176">
        <f t="shared" si="163"/>
        <v>0</v>
      </c>
      <c r="AK59" s="176">
        <f t="shared" si="163"/>
        <v>0</v>
      </c>
      <c r="AL59" s="176">
        <f t="shared" si="163"/>
        <v>0</v>
      </c>
      <c r="AM59" s="176">
        <f t="shared" si="163"/>
        <v>0</v>
      </c>
      <c r="AN59" s="176">
        <f t="shared" si="163"/>
        <v>0</v>
      </c>
      <c r="AO59" s="176">
        <f t="shared" si="163"/>
        <v>0</v>
      </c>
      <c r="AP59" s="176">
        <f t="shared" si="163"/>
        <v>0</v>
      </c>
      <c r="AQ59" s="176">
        <f t="shared" si="163"/>
        <v>0</v>
      </c>
      <c r="AR59" s="177">
        <f t="shared" si="163"/>
        <v>0</v>
      </c>
      <c r="AS59" s="176">
        <f t="shared" si="163"/>
        <v>0</v>
      </c>
      <c r="AT59" s="176">
        <f t="shared" si="163"/>
        <v>0</v>
      </c>
      <c r="AU59" s="176">
        <f t="shared" si="163"/>
        <v>0</v>
      </c>
      <c r="AV59" s="176">
        <f t="shared" si="120"/>
        <v>0</v>
      </c>
      <c r="AW59" s="176"/>
      <c r="AX59" s="71"/>
      <c r="AY59" s="176">
        <f t="shared" si="164"/>
        <v>0</v>
      </c>
      <c r="AZ59" s="176">
        <f t="shared" si="164"/>
        <v>0</v>
      </c>
      <c r="BA59" s="176">
        <f t="shared" si="164"/>
        <v>0</v>
      </c>
      <c r="BB59" s="176">
        <f t="shared" si="164"/>
        <v>0</v>
      </c>
      <c r="BC59" s="176">
        <f t="shared" si="164"/>
        <v>0</v>
      </c>
      <c r="BD59" s="176">
        <f t="shared" si="164"/>
        <v>0</v>
      </c>
      <c r="BE59" s="176">
        <f t="shared" si="164"/>
        <v>0</v>
      </c>
      <c r="BF59" s="176">
        <f t="shared" si="164"/>
        <v>0</v>
      </c>
      <c r="BG59" s="177">
        <f t="shared" si="164"/>
        <v>0</v>
      </c>
      <c r="BH59" s="176">
        <f t="shared" si="164"/>
        <v>0</v>
      </c>
      <c r="BI59" s="176">
        <f t="shared" si="164"/>
        <v>0</v>
      </c>
      <c r="BJ59" s="176">
        <f t="shared" si="164"/>
        <v>0</v>
      </c>
      <c r="BK59" s="176">
        <f t="shared" si="122"/>
        <v>0</v>
      </c>
      <c r="BL59" s="176"/>
      <c r="BM59" s="71"/>
      <c r="BN59" s="176">
        <f t="shared" si="165"/>
        <v>0</v>
      </c>
      <c r="BO59" s="176">
        <f t="shared" si="165"/>
        <v>0</v>
      </c>
      <c r="BP59" s="176">
        <f t="shared" si="165"/>
        <v>0</v>
      </c>
      <c r="BQ59" s="176">
        <f t="shared" si="165"/>
        <v>0</v>
      </c>
      <c r="BR59" s="176">
        <f t="shared" si="165"/>
        <v>0</v>
      </c>
      <c r="BS59" s="176">
        <f t="shared" si="165"/>
        <v>0</v>
      </c>
      <c r="BT59" s="176">
        <f t="shared" si="165"/>
        <v>0</v>
      </c>
      <c r="BU59" s="176">
        <f t="shared" si="165"/>
        <v>0</v>
      </c>
      <c r="BV59" s="177">
        <f t="shared" si="165"/>
        <v>0</v>
      </c>
      <c r="BW59" s="176">
        <f t="shared" si="165"/>
        <v>0</v>
      </c>
      <c r="BX59" s="176">
        <f t="shared" si="165"/>
        <v>0</v>
      </c>
      <c r="BY59" s="176">
        <f t="shared" si="165"/>
        <v>0</v>
      </c>
      <c r="BZ59" s="176">
        <f t="shared" si="124"/>
        <v>0</v>
      </c>
      <c r="CA59" s="176"/>
      <c r="CB59" s="71"/>
      <c r="CC59" s="176">
        <f t="shared" si="166"/>
        <v>0</v>
      </c>
      <c r="CD59" s="176">
        <f t="shared" si="166"/>
        <v>0</v>
      </c>
      <c r="CE59" s="176">
        <f t="shared" si="166"/>
        <v>0</v>
      </c>
      <c r="CF59" s="176">
        <f t="shared" si="166"/>
        <v>0</v>
      </c>
      <c r="CG59" s="176">
        <f t="shared" si="166"/>
        <v>0</v>
      </c>
      <c r="CH59" s="176">
        <f t="shared" si="166"/>
        <v>0</v>
      </c>
      <c r="CI59" s="176">
        <f t="shared" si="166"/>
        <v>0</v>
      </c>
      <c r="CJ59" s="176">
        <f t="shared" si="166"/>
        <v>0</v>
      </c>
      <c r="CK59" s="177">
        <f t="shared" si="166"/>
        <v>0</v>
      </c>
      <c r="CL59" s="176">
        <f t="shared" si="166"/>
        <v>0</v>
      </c>
      <c r="CM59" s="176">
        <f t="shared" si="166"/>
        <v>0</v>
      </c>
      <c r="CN59" s="176">
        <f t="shared" si="166"/>
        <v>0</v>
      </c>
      <c r="CO59" s="176">
        <f t="shared" si="126"/>
        <v>0</v>
      </c>
      <c r="CP59" s="176"/>
      <c r="CQ59" s="71"/>
      <c r="CR59" s="176">
        <f t="shared" si="167"/>
        <v>0</v>
      </c>
      <c r="CS59" s="176">
        <f t="shared" si="167"/>
        <v>0</v>
      </c>
      <c r="CT59" s="176">
        <f t="shared" si="167"/>
        <v>0</v>
      </c>
      <c r="CU59" s="176">
        <f t="shared" si="167"/>
        <v>0</v>
      </c>
      <c r="CV59" s="176">
        <f t="shared" si="167"/>
        <v>0</v>
      </c>
      <c r="CW59" s="176">
        <f t="shared" si="167"/>
        <v>0</v>
      </c>
      <c r="CX59" s="176">
        <f t="shared" si="167"/>
        <v>0</v>
      </c>
      <c r="CY59" s="176">
        <f t="shared" si="167"/>
        <v>0</v>
      </c>
      <c r="CZ59" s="177">
        <f t="shared" si="167"/>
        <v>0</v>
      </c>
      <c r="DA59" s="176">
        <f t="shared" si="167"/>
        <v>0</v>
      </c>
      <c r="DB59" s="176">
        <f t="shared" si="167"/>
        <v>0</v>
      </c>
      <c r="DC59" s="176">
        <f t="shared" si="167"/>
        <v>0</v>
      </c>
      <c r="DD59" s="176">
        <f t="shared" si="128"/>
        <v>0</v>
      </c>
      <c r="DE59" s="176"/>
      <c r="DF59" s="71"/>
      <c r="DG59" s="176">
        <f t="shared" si="168"/>
        <v>0</v>
      </c>
      <c r="DH59" s="176">
        <f t="shared" si="168"/>
        <v>0</v>
      </c>
      <c r="DI59" s="176">
        <f t="shared" si="168"/>
        <v>0</v>
      </c>
      <c r="DJ59" s="176">
        <f t="shared" si="168"/>
        <v>0</v>
      </c>
      <c r="DK59" s="176">
        <f t="shared" si="168"/>
        <v>0</v>
      </c>
      <c r="DL59" s="176">
        <f t="shared" si="168"/>
        <v>0</v>
      </c>
      <c r="DM59" s="176">
        <f t="shared" si="168"/>
        <v>0</v>
      </c>
      <c r="DN59" s="176">
        <f t="shared" si="168"/>
        <v>0</v>
      </c>
      <c r="DO59" s="177">
        <f t="shared" si="168"/>
        <v>0</v>
      </c>
      <c r="DP59" s="176">
        <f t="shared" si="168"/>
        <v>0</v>
      </c>
      <c r="DQ59" s="176">
        <f t="shared" si="168"/>
        <v>0</v>
      </c>
      <c r="DR59" s="176">
        <f t="shared" si="168"/>
        <v>0</v>
      </c>
      <c r="DS59" s="176">
        <f t="shared" si="130"/>
        <v>0</v>
      </c>
      <c r="DT59" s="176"/>
      <c r="DU59" s="71"/>
      <c r="DV59" s="176">
        <f t="shared" si="169"/>
        <v>0</v>
      </c>
      <c r="DW59" s="176">
        <f t="shared" si="169"/>
        <v>0</v>
      </c>
      <c r="DX59" s="176">
        <f t="shared" si="169"/>
        <v>0</v>
      </c>
      <c r="DY59" s="176">
        <f t="shared" si="169"/>
        <v>0</v>
      </c>
      <c r="DZ59" s="176">
        <f t="shared" si="169"/>
        <v>0</v>
      </c>
      <c r="EA59" s="176">
        <f t="shared" si="169"/>
        <v>0</v>
      </c>
      <c r="EB59" s="176">
        <f t="shared" si="169"/>
        <v>0</v>
      </c>
      <c r="EC59" s="176">
        <f t="shared" si="169"/>
        <v>0</v>
      </c>
      <c r="ED59" s="177">
        <f t="shared" si="169"/>
        <v>0</v>
      </c>
      <c r="EE59" s="176">
        <f t="shared" si="169"/>
        <v>0</v>
      </c>
      <c r="EF59" s="176">
        <f t="shared" si="169"/>
        <v>0</v>
      </c>
      <c r="EG59" s="176">
        <f t="shared" si="169"/>
        <v>0</v>
      </c>
      <c r="EH59" s="176">
        <f t="shared" si="132"/>
        <v>0</v>
      </c>
      <c r="EI59" s="176"/>
      <c r="EJ59" s="71"/>
      <c r="EK59" s="176">
        <f t="shared" si="170"/>
        <v>0</v>
      </c>
      <c r="EL59" s="176">
        <f t="shared" si="170"/>
        <v>0</v>
      </c>
      <c r="EM59" s="176">
        <f t="shared" si="170"/>
        <v>0</v>
      </c>
      <c r="EN59" s="176">
        <f t="shared" si="170"/>
        <v>0</v>
      </c>
      <c r="EO59" s="176">
        <f t="shared" si="170"/>
        <v>0</v>
      </c>
      <c r="EP59" s="176">
        <f t="shared" si="170"/>
        <v>0</v>
      </c>
      <c r="EQ59" s="176">
        <f t="shared" si="170"/>
        <v>0</v>
      </c>
      <c r="ER59" s="176">
        <f t="shared" si="170"/>
        <v>0</v>
      </c>
      <c r="ES59" s="177">
        <f t="shared" si="170"/>
        <v>0</v>
      </c>
      <c r="ET59" s="176">
        <f t="shared" si="170"/>
        <v>0</v>
      </c>
      <c r="EU59" s="176">
        <f t="shared" si="170"/>
        <v>0</v>
      </c>
      <c r="EV59" s="176">
        <f t="shared" si="170"/>
        <v>0</v>
      </c>
      <c r="EW59" s="176">
        <f t="shared" si="134"/>
        <v>0</v>
      </c>
      <c r="EX59" s="176"/>
      <c r="EY59" s="71"/>
      <c r="EZ59" s="176">
        <f t="shared" si="171"/>
        <v>0</v>
      </c>
      <c r="FA59" s="176">
        <f t="shared" si="171"/>
        <v>0</v>
      </c>
      <c r="FB59" s="176">
        <f t="shared" si="171"/>
        <v>0</v>
      </c>
      <c r="FC59" s="176">
        <f t="shared" si="171"/>
        <v>0</v>
      </c>
      <c r="FD59" s="176">
        <f t="shared" si="171"/>
        <v>0</v>
      </c>
      <c r="FE59" s="176">
        <f t="shared" si="171"/>
        <v>0</v>
      </c>
      <c r="FF59" s="176">
        <f t="shared" si="171"/>
        <v>0</v>
      </c>
      <c r="FG59" s="176">
        <f t="shared" si="171"/>
        <v>0</v>
      </c>
      <c r="FH59" s="177">
        <f t="shared" si="171"/>
        <v>0</v>
      </c>
      <c r="FI59" s="176">
        <f t="shared" si="171"/>
        <v>0</v>
      </c>
      <c r="FJ59" s="176">
        <f t="shared" si="171"/>
        <v>0</v>
      </c>
      <c r="FK59" s="176">
        <f t="shared" si="171"/>
        <v>0</v>
      </c>
      <c r="FL59" s="176">
        <f t="shared" si="136"/>
        <v>0</v>
      </c>
      <c r="FM59" s="176"/>
      <c r="FN59" s="71"/>
      <c r="FO59" s="176">
        <f t="shared" si="172"/>
        <v>0</v>
      </c>
      <c r="FP59" s="176">
        <f t="shared" si="172"/>
        <v>0</v>
      </c>
      <c r="FQ59" s="176">
        <f t="shared" si="172"/>
        <v>0</v>
      </c>
      <c r="FR59" s="176">
        <f t="shared" si="172"/>
        <v>0</v>
      </c>
      <c r="FS59" s="176">
        <f t="shared" si="172"/>
        <v>0</v>
      </c>
      <c r="FT59" s="176">
        <f t="shared" si="172"/>
        <v>0</v>
      </c>
      <c r="FU59" s="176">
        <f t="shared" si="172"/>
        <v>0</v>
      </c>
      <c r="FV59" s="176">
        <f t="shared" si="172"/>
        <v>0</v>
      </c>
      <c r="FW59" s="177">
        <f t="shared" si="172"/>
        <v>0</v>
      </c>
      <c r="FX59" s="176">
        <f t="shared" si="172"/>
        <v>0</v>
      </c>
      <c r="FY59" s="176">
        <f t="shared" si="172"/>
        <v>0</v>
      </c>
      <c r="FZ59" s="176">
        <f t="shared" si="172"/>
        <v>0</v>
      </c>
      <c r="GA59" s="176">
        <f t="shared" si="138"/>
        <v>0</v>
      </c>
      <c r="GB59" s="176"/>
      <c r="GC59" s="71"/>
      <c r="GD59" s="176">
        <f t="shared" si="173"/>
        <v>0</v>
      </c>
      <c r="GE59" s="176">
        <f t="shared" si="173"/>
        <v>0</v>
      </c>
      <c r="GF59" s="176">
        <f t="shared" si="173"/>
        <v>0</v>
      </c>
      <c r="GG59" s="176">
        <f t="shared" si="173"/>
        <v>0</v>
      </c>
      <c r="GH59" s="176">
        <f t="shared" si="173"/>
        <v>0</v>
      </c>
      <c r="GI59" s="176">
        <f t="shared" si="173"/>
        <v>0</v>
      </c>
      <c r="GJ59" s="176">
        <f t="shared" si="173"/>
        <v>0</v>
      </c>
      <c r="GK59" s="176">
        <f t="shared" si="173"/>
        <v>0</v>
      </c>
      <c r="GL59" s="177">
        <f t="shared" si="173"/>
        <v>0</v>
      </c>
      <c r="GM59" s="176">
        <f t="shared" si="173"/>
        <v>0</v>
      </c>
      <c r="GN59" s="176">
        <f t="shared" si="173"/>
        <v>0</v>
      </c>
      <c r="GO59" s="176">
        <f t="shared" si="173"/>
        <v>0</v>
      </c>
      <c r="GP59" s="176">
        <f t="shared" si="140"/>
        <v>0</v>
      </c>
      <c r="GQ59" s="176"/>
      <c r="GR59" s="71"/>
      <c r="GS59" s="176">
        <f t="shared" si="174"/>
        <v>0</v>
      </c>
      <c r="GT59" s="176">
        <f t="shared" si="174"/>
        <v>0</v>
      </c>
      <c r="GU59" s="176">
        <f t="shared" si="174"/>
        <v>0</v>
      </c>
      <c r="GV59" s="176">
        <f t="shared" si="174"/>
        <v>0</v>
      </c>
      <c r="GW59" s="176">
        <f t="shared" si="174"/>
        <v>0</v>
      </c>
      <c r="GX59" s="176">
        <f t="shared" si="174"/>
        <v>0</v>
      </c>
      <c r="GY59" s="176">
        <f t="shared" si="174"/>
        <v>0</v>
      </c>
      <c r="GZ59" s="176">
        <f t="shared" si="174"/>
        <v>0</v>
      </c>
      <c r="HA59" s="177">
        <f t="shared" si="174"/>
        <v>0</v>
      </c>
      <c r="HB59" s="176">
        <f t="shared" si="174"/>
        <v>0</v>
      </c>
      <c r="HC59" s="176">
        <f t="shared" si="174"/>
        <v>0</v>
      </c>
      <c r="HD59" s="176">
        <f t="shared" si="174"/>
        <v>0</v>
      </c>
      <c r="HE59" s="176">
        <f t="shared" si="142"/>
        <v>0</v>
      </c>
      <c r="HF59" s="176"/>
      <c r="HG59" s="71"/>
      <c r="HH59" s="176">
        <f t="shared" si="175"/>
        <v>0</v>
      </c>
      <c r="HI59" s="176">
        <f t="shared" si="175"/>
        <v>0</v>
      </c>
      <c r="HJ59" s="176">
        <f t="shared" si="175"/>
        <v>0</v>
      </c>
      <c r="HK59" s="176">
        <f t="shared" si="175"/>
        <v>0</v>
      </c>
      <c r="HL59" s="176">
        <f t="shared" si="175"/>
        <v>0</v>
      </c>
      <c r="HM59" s="176">
        <f t="shared" si="175"/>
        <v>0</v>
      </c>
      <c r="HN59" s="176">
        <f t="shared" si="175"/>
        <v>0</v>
      </c>
      <c r="HO59" s="176">
        <f t="shared" si="175"/>
        <v>0</v>
      </c>
      <c r="HP59" s="177">
        <f t="shared" si="175"/>
        <v>0</v>
      </c>
      <c r="HQ59" s="176">
        <f t="shared" si="175"/>
        <v>0</v>
      </c>
      <c r="HR59" s="176">
        <f t="shared" si="175"/>
        <v>0</v>
      </c>
      <c r="HS59" s="176">
        <f t="shared" si="175"/>
        <v>0</v>
      </c>
      <c r="HT59" s="177">
        <f t="shared" si="144"/>
        <v>0</v>
      </c>
      <c r="HU59" s="176"/>
      <c r="HX59" s="64" t="str">
        <f t="shared" si="176"/>
        <v>Depreciation</v>
      </c>
      <c r="HZ59" s="113">
        <f t="shared" si="177"/>
        <v>0</v>
      </c>
      <c r="IA59" s="169">
        <f t="shared" ref="IA59:IO59" si="180">IA27</f>
        <v>0</v>
      </c>
      <c r="IB59" s="169">
        <f t="shared" si="180"/>
        <v>0</v>
      </c>
      <c r="IC59" s="169">
        <f t="shared" si="180"/>
        <v>0</v>
      </c>
      <c r="ID59" s="169">
        <f t="shared" si="180"/>
        <v>0</v>
      </c>
      <c r="IE59" s="169">
        <f t="shared" si="180"/>
        <v>0</v>
      </c>
      <c r="IF59" s="169">
        <f t="shared" si="180"/>
        <v>0</v>
      </c>
      <c r="IG59" s="169">
        <f t="shared" si="180"/>
        <v>0</v>
      </c>
      <c r="IH59" s="169">
        <f t="shared" si="180"/>
        <v>0</v>
      </c>
      <c r="II59" s="169">
        <f t="shared" si="180"/>
        <v>0</v>
      </c>
      <c r="IJ59" s="169">
        <f t="shared" si="180"/>
        <v>0</v>
      </c>
      <c r="IK59" s="169">
        <f t="shared" si="180"/>
        <v>0</v>
      </c>
      <c r="IL59" s="169">
        <f t="shared" si="180"/>
        <v>0</v>
      </c>
      <c r="IM59" s="169">
        <f>IM27</f>
        <v>0</v>
      </c>
      <c r="IN59" s="169">
        <f t="shared" si="180"/>
        <v>0</v>
      </c>
      <c r="IO59" s="169">
        <f t="shared" si="180"/>
        <v>0</v>
      </c>
    </row>
    <row r="60" spans="2:249" hidden="1">
      <c r="C60" s="159"/>
      <c r="D60" s="159"/>
      <c r="E60" s="71"/>
      <c r="F60" s="176"/>
      <c r="G60" s="193"/>
      <c r="H60" s="176"/>
      <c r="I60" s="193"/>
      <c r="J60" s="176"/>
      <c r="K60" s="193"/>
      <c r="L60" s="176"/>
      <c r="M60" s="193"/>
      <c r="N60" s="177"/>
      <c r="O60" s="193"/>
      <c r="P60" s="176"/>
      <c r="Q60" s="159"/>
      <c r="R60" s="176"/>
      <c r="T60" s="71"/>
      <c r="U60" s="176"/>
      <c r="V60" s="193"/>
      <c r="W60" s="176"/>
      <c r="X60" s="193"/>
      <c r="Y60" s="176"/>
      <c r="Z60" s="193"/>
      <c r="AA60" s="176"/>
      <c r="AB60" s="193"/>
      <c r="AC60" s="177"/>
      <c r="AD60" s="193"/>
      <c r="AE60" s="176"/>
      <c r="AF60" s="159"/>
      <c r="AG60" s="176"/>
      <c r="AH60" s="176"/>
      <c r="AI60" s="71"/>
      <c r="AJ60" s="176"/>
      <c r="AK60" s="193"/>
      <c r="AL60" s="176"/>
      <c r="AM60" s="193"/>
      <c r="AN60" s="176"/>
      <c r="AO60" s="193"/>
      <c r="AP60" s="176"/>
      <c r="AQ60" s="193"/>
      <c r="AR60" s="177"/>
      <c r="AS60" s="193"/>
      <c r="AT60" s="176"/>
      <c r="AU60" s="159"/>
      <c r="AV60" s="176"/>
      <c r="AW60" s="176"/>
      <c r="AX60" s="71"/>
      <c r="AY60" s="176"/>
      <c r="AZ60" s="193"/>
      <c r="BA60" s="176"/>
      <c r="BB60" s="193"/>
      <c r="BC60" s="176"/>
      <c r="BD60" s="193"/>
      <c r="BE60" s="176"/>
      <c r="BF60" s="193"/>
      <c r="BG60" s="177"/>
      <c r="BH60" s="193"/>
      <c r="BI60" s="176"/>
      <c r="BJ60" s="159"/>
      <c r="BK60" s="176"/>
      <c r="BL60" s="176"/>
      <c r="BM60" s="71"/>
      <c r="BN60" s="176"/>
      <c r="BO60" s="193"/>
      <c r="BP60" s="176"/>
      <c r="BQ60" s="193"/>
      <c r="BR60" s="176"/>
      <c r="BS60" s="193"/>
      <c r="BT60" s="176"/>
      <c r="BU60" s="193"/>
      <c r="BV60" s="177"/>
      <c r="BW60" s="193"/>
      <c r="BX60" s="176"/>
      <c r="BY60" s="159"/>
      <c r="BZ60" s="176"/>
      <c r="CA60" s="176"/>
      <c r="CB60" s="71"/>
      <c r="CC60" s="176"/>
      <c r="CD60" s="193"/>
      <c r="CE60" s="176"/>
      <c r="CF60" s="193"/>
      <c r="CG60" s="176"/>
      <c r="CH60" s="193"/>
      <c r="CI60" s="176"/>
      <c r="CJ60" s="193"/>
      <c r="CK60" s="177"/>
      <c r="CL60" s="193"/>
      <c r="CM60" s="176"/>
      <c r="CN60" s="159"/>
      <c r="CO60" s="176"/>
      <c r="CP60" s="176"/>
      <c r="CQ60" s="71"/>
      <c r="CR60" s="176"/>
      <c r="CS60" s="193"/>
      <c r="CT60" s="176"/>
      <c r="CU60" s="193"/>
      <c r="CV60" s="176"/>
      <c r="CW60" s="193"/>
      <c r="CX60" s="176"/>
      <c r="CY60" s="193"/>
      <c r="CZ60" s="177"/>
      <c r="DA60" s="193"/>
      <c r="DB60" s="176"/>
      <c r="DC60" s="159"/>
      <c r="DD60" s="176"/>
      <c r="DE60" s="176"/>
      <c r="DF60" s="71"/>
      <c r="DG60" s="176"/>
      <c r="DH60" s="193"/>
      <c r="DI60" s="176"/>
      <c r="DJ60" s="193"/>
      <c r="DK60" s="176"/>
      <c r="DL60" s="193"/>
      <c r="DM60" s="176"/>
      <c r="DN60" s="193"/>
      <c r="DO60" s="177"/>
      <c r="DP60" s="193"/>
      <c r="DQ60" s="176"/>
      <c r="DR60" s="159"/>
      <c r="DS60" s="176"/>
      <c r="DT60" s="176"/>
      <c r="DU60" s="71"/>
      <c r="DV60" s="176"/>
      <c r="DW60" s="193"/>
      <c r="DX60" s="176"/>
      <c r="DY60" s="193"/>
      <c r="DZ60" s="176"/>
      <c r="EA60" s="193"/>
      <c r="EB60" s="176"/>
      <c r="EC60" s="193"/>
      <c r="ED60" s="177"/>
      <c r="EE60" s="193"/>
      <c r="EF60" s="176"/>
      <c r="EG60" s="159"/>
      <c r="EH60" s="176"/>
      <c r="EI60" s="176"/>
      <c r="EJ60" s="71"/>
      <c r="EK60" s="176"/>
      <c r="EL60" s="193"/>
      <c r="EM60" s="176"/>
      <c r="EN60" s="193"/>
      <c r="EO60" s="176"/>
      <c r="EP60" s="193"/>
      <c r="EQ60" s="176"/>
      <c r="ER60" s="193"/>
      <c r="ES60" s="177"/>
      <c r="ET60" s="193"/>
      <c r="EU60" s="176"/>
      <c r="EV60" s="159"/>
      <c r="EW60" s="176"/>
      <c r="EX60" s="176"/>
      <c r="EY60" s="71"/>
      <c r="EZ60" s="176"/>
      <c r="FA60" s="193"/>
      <c r="FB60" s="176"/>
      <c r="FC60" s="193"/>
      <c r="FD60" s="176"/>
      <c r="FE60" s="193"/>
      <c r="FF60" s="176"/>
      <c r="FG60" s="193"/>
      <c r="FH60" s="177"/>
      <c r="FI60" s="193"/>
      <c r="FJ60" s="176"/>
      <c r="FK60" s="159"/>
      <c r="FL60" s="176"/>
      <c r="FM60" s="176"/>
      <c r="FN60" s="71"/>
      <c r="FO60" s="176"/>
      <c r="FP60" s="193"/>
      <c r="FQ60" s="176"/>
      <c r="FR60" s="193"/>
      <c r="FS60" s="176"/>
      <c r="FT60" s="193"/>
      <c r="FU60" s="176"/>
      <c r="FV60" s="193"/>
      <c r="FW60" s="177"/>
      <c r="FX60" s="193"/>
      <c r="FY60" s="176"/>
      <c r="FZ60" s="159"/>
      <c r="GA60" s="176"/>
      <c r="GB60" s="176"/>
      <c r="GC60" s="71"/>
      <c r="GD60" s="176"/>
      <c r="GE60" s="193"/>
      <c r="GF60" s="176"/>
      <c r="GG60" s="193"/>
      <c r="GH60" s="176"/>
      <c r="GI60" s="193"/>
      <c r="GJ60" s="176"/>
      <c r="GK60" s="193"/>
      <c r="GL60" s="177"/>
      <c r="GM60" s="193"/>
      <c r="GN60" s="176"/>
      <c r="GO60" s="159"/>
      <c r="GP60" s="176"/>
      <c r="GQ60" s="176"/>
      <c r="GR60" s="71"/>
      <c r="GS60" s="176"/>
      <c r="GT60" s="193"/>
      <c r="GU60" s="176"/>
      <c r="GV60" s="193"/>
      <c r="GW60" s="176"/>
      <c r="GX60" s="193"/>
      <c r="GY60" s="176"/>
      <c r="GZ60" s="193"/>
      <c r="HA60" s="177"/>
      <c r="HB60" s="193"/>
      <c r="HC60" s="176"/>
      <c r="HD60" s="159"/>
      <c r="HE60" s="176"/>
      <c r="HF60" s="176"/>
      <c r="HG60" s="71"/>
      <c r="HH60" s="176"/>
      <c r="HI60" s="193"/>
      <c r="HJ60" s="176"/>
      <c r="HK60" s="193"/>
      <c r="HL60" s="176"/>
      <c r="HM60" s="193"/>
      <c r="HN60" s="176"/>
      <c r="HO60" s="193"/>
      <c r="HP60" s="177"/>
      <c r="HQ60" s="193"/>
      <c r="HR60" s="176"/>
      <c r="HS60" s="159"/>
      <c r="HT60" s="177"/>
      <c r="HU60" s="176"/>
      <c r="HX60" s="64" t="s">
        <v>339</v>
      </c>
      <c r="HZ60" s="169"/>
      <c r="IA60" s="169"/>
      <c r="IB60" s="169"/>
      <c r="IC60" s="169"/>
      <c r="ID60" s="169"/>
      <c r="IE60" s="169"/>
      <c r="IF60" s="169"/>
      <c r="IG60" s="169"/>
      <c r="IH60" s="169"/>
      <c r="II60" s="169"/>
      <c r="IJ60" s="169"/>
      <c r="IK60" s="169"/>
      <c r="IL60" s="169"/>
      <c r="IM60" s="169"/>
      <c r="IN60" s="169"/>
      <c r="IO60" s="169"/>
    </row>
    <row r="61" spans="2:249" hidden="1">
      <c r="B61" s="159" t="s">
        <v>309</v>
      </c>
      <c r="C61" s="176">
        <f>-957</f>
        <v>-957</v>
      </c>
      <c r="D61" s="159"/>
      <c r="E61" s="71"/>
      <c r="F61" s="159"/>
      <c r="G61" s="159"/>
      <c r="H61" s="159"/>
      <c r="I61" s="159"/>
      <c r="J61" s="159"/>
      <c r="K61" s="159"/>
      <c r="L61" s="159"/>
      <c r="M61" s="159"/>
      <c r="N61" s="161"/>
      <c r="O61" s="159"/>
      <c r="P61" s="159"/>
      <c r="Q61" s="159"/>
      <c r="R61" s="162"/>
      <c r="T61" s="71"/>
      <c r="U61" s="159"/>
      <c r="V61" s="159"/>
      <c r="W61" s="159"/>
      <c r="X61" s="159"/>
      <c r="Y61" s="159"/>
      <c r="Z61" s="159"/>
      <c r="AA61" s="159"/>
      <c r="AB61" s="159"/>
      <c r="AC61" s="161"/>
      <c r="AD61" s="159"/>
      <c r="AE61" s="159"/>
      <c r="AF61" s="159"/>
      <c r="AG61" s="162"/>
      <c r="AH61" s="162"/>
      <c r="AI61" s="71"/>
      <c r="AJ61" s="159"/>
      <c r="AK61" s="159"/>
      <c r="AL61" s="159"/>
      <c r="AM61" s="159"/>
      <c r="AN61" s="159"/>
      <c r="AO61" s="159"/>
      <c r="AP61" s="159"/>
      <c r="AQ61" s="159"/>
      <c r="AR61" s="161"/>
      <c r="AS61" s="159"/>
      <c r="AT61" s="159"/>
      <c r="AU61" s="159"/>
      <c r="AV61" s="162"/>
      <c r="AW61" s="162"/>
      <c r="AX61" s="71"/>
      <c r="AY61" s="159"/>
      <c r="AZ61" s="159"/>
      <c r="BA61" s="159"/>
      <c r="BB61" s="159"/>
      <c r="BC61" s="159"/>
      <c r="BD61" s="159"/>
      <c r="BE61" s="159"/>
      <c r="BF61" s="159"/>
      <c r="BG61" s="161"/>
      <c r="BH61" s="159"/>
      <c r="BI61" s="159"/>
      <c r="BJ61" s="159"/>
      <c r="BK61" s="162"/>
      <c r="BL61" s="162"/>
      <c r="BM61" s="71"/>
      <c r="BN61" s="159"/>
      <c r="BO61" s="159"/>
      <c r="BP61" s="159"/>
      <c r="BQ61" s="159"/>
      <c r="BR61" s="159"/>
      <c r="BS61" s="159"/>
      <c r="BT61" s="159"/>
      <c r="BU61" s="159"/>
      <c r="BV61" s="161"/>
      <c r="BW61" s="159"/>
      <c r="BX61" s="159"/>
      <c r="BY61" s="159"/>
      <c r="BZ61" s="162"/>
      <c r="CA61" s="162"/>
      <c r="CB61" s="71"/>
      <c r="CC61" s="159"/>
      <c r="CD61" s="159"/>
      <c r="CE61" s="159"/>
      <c r="CF61" s="159"/>
      <c r="CG61" s="159"/>
      <c r="CH61" s="159"/>
      <c r="CI61" s="159"/>
      <c r="CJ61" s="159"/>
      <c r="CK61" s="161"/>
      <c r="CL61" s="159"/>
      <c r="CM61" s="159"/>
      <c r="CN61" s="159"/>
      <c r="CO61" s="162"/>
      <c r="CP61" s="162"/>
      <c r="CQ61" s="71"/>
      <c r="CR61" s="159"/>
      <c r="CS61" s="159"/>
      <c r="CT61" s="159"/>
      <c r="CU61" s="159"/>
      <c r="CV61" s="159"/>
      <c r="CW61" s="159"/>
      <c r="CX61" s="159"/>
      <c r="CY61" s="159"/>
      <c r="CZ61" s="161"/>
      <c r="DA61" s="159"/>
      <c r="DB61" s="159"/>
      <c r="DC61" s="159"/>
      <c r="DD61" s="162"/>
      <c r="DE61" s="162"/>
      <c r="DF61" s="71"/>
      <c r="DG61" s="159"/>
      <c r="DH61" s="159"/>
      <c r="DI61" s="159"/>
      <c r="DJ61" s="159"/>
      <c r="DK61" s="159"/>
      <c r="DL61" s="159"/>
      <c r="DM61" s="159"/>
      <c r="DN61" s="159"/>
      <c r="DO61" s="161"/>
      <c r="DP61" s="159"/>
      <c r="DQ61" s="159"/>
      <c r="DR61" s="159"/>
      <c r="DS61" s="162"/>
      <c r="DT61" s="162"/>
      <c r="DU61" s="71"/>
      <c r="DV61" s="159"/>
      <c r="DW61" s="159"/>
      <c r="DX61" s="159"/>
      <c r="DY61" s="159"/>
      <c r="DZ61" s="159"/>
      <c r="EA61" s="159"/>
      <c r="EB61" s="159"/>
      <c r="EC61" s="159"/>
      <c r="ED61" s="161"/>
      <c r="EE61" s="159"/>
      <c r="EF61" s="159"/>
      <c r="EG61" s="159"/>
      <c r="EH61" s="162"/>
      <c r="EI61" s="162"/>
      <c r="EJ61" s="71"/>
      <c r="EK61" s="159"/>
      <c r="EL61" s="159"/>
      <c r="EM61" s="159"/>
      <c r="EN61" s="159"/>
      <c r="EO61" s="159"/>
      <c r="EP61" s="159"/>
      <c r="EQ61" s="159"/>
      <c r="ER61" s="159"/>
      <c r="ES61" s="161"/>
      <c r="ET61" s="159"/>
      <c r="EU61" s="159"/>
      <c r="EV61" s="159"/>
      <c r="EW61" s="162"/>
      <c r="EX61" s="162"/>
      <c r="EY61" s="71"/>
      <c r="EZ61" s="159"/>
      <c r="FA61" s="159"/>
      <c r="FB61" s="159"/>
      <c r="FC61" s="159"/>
      <c r="FD61" s="159"/>
      <c r="FE61" s="159"/>
      <c r="FF61" s="159"/>
      <c r="FG61" s="159"/>
      <c r="FH61" s="161"/>
      <c r="FI61" s="159"/>
      <c r="FJ61" s="159"/>
      <c r="FK61" s="159"/>
      <c r="FL61" s="162"/>
      <c r="FM61" s="162"/>
      <c r="FN61" s="71"/>
      <c r="FO61" s="159"/>
      <c r="FP61" s="159"/>
      <c r="FQ61" s="159"/>
      <c r="FR61" s="159"/>
      <c r="FS61" s="159"/>
      <c r="FT61" s="159"/>
      <c r="FU61" s="159"/>
      <c r="FV61" s="159"/>
      <c r="FW61" s="161"/>
      <c r="FX61" s="159"/>
      <c r="FY61" s="159"/>
      <c r="FZ61" s="159"/>
      <c r="GA61" s="162"/>
      <c r="GB61" s="162"/>
      <c r="GC61" s="71"/>
      <c r="GD61" s="159"/>
      <c r="GE61" s="159"/>
      <c r="GF61" s="159"/>
      <c r="GG61" s="159"/>
      <c r="GH61" s="159"/>
      <c r="GI61" s="159"/>
      <c r="GJ61" s="159"/>
      <c r="GK61" s="159"/>
      <c r="GL61" s="161"/>
      <c r="GM61" s="159"/>
      <c r="GN61" s="159"/>
      <c r="GO61" s="159"/>
      <c r="GP61" s="162"/>
      <c r="GQ61" s="162"/>
      <c r="GR61" s="71"/>
      <c r="GS61" s="159"/>
      <c r="GT61" s="159"/>
      <c r="GU61" s="159"/>
      <c r="GV61" s="159"/>
      <c r="GW61" s="159"/>
      <c r="GX61" s="159"/>
      <c r="GY61" s="159"/>
      <c r="GZ61" s="159"/>
      <c r="HA61" s="161"/>
      <c r="HB61" s="159"/>
      <c r="HC61" s="159"/>
      <c r="HD61" s="159"/>
      <c r="HE61" s="162"/>
      <c r="HF61" s="162"/>
      <c r="HG61" s="71"/>
      <c r="HH61" s="159"/>
      <c r="HI61" s="159"/>
      <c r="HJ61" s="159"/>
      <c r="HK61" s="159"/>
      <c r="HL61" s="159"/>
      <c r="HM61" s="159"/>
      <c r="HN61" s="159"/>
      <c r="HO61" s="159"/>
      <c r="HP61" s="161"/>
      <c r="HQ61" s="159"/>
      <c r="HR61" s="159"/>
      <c r="HS61" s="159"/>
      <c r="HT61" s="163"/>
      <c r="HU61" s="162"/>
      <c r="HX61" s="64"/>
      <c r="IA61" s="169"/>
      <c r="IB61" s="169"/>
      <c r="IC61" s="169"/>
      <c r="ID61" s="169"/>
      <c r="IE61" s="169"/>
      <c r="IF61" s="169"/>
      <c r="IG61" s="169"/>
      <c r="IH61" s="169"/>
      <c r="II61" s="169"/>
      <c r="IJ61" s="169"/>
      <c r="IK61" s="169"/>
      <c r="IL61" s="169"/>
      <c r="IM61" s="169"/>
      <c r="IN61" s="169"/>
      <c r="IO61" s="169"/>
    </row>
    <row r="62" spans="2:249" s="5" customFormat="1" ht="22.65" hidden="1" customHeight="1" thickBot="1">
      <c r="B62" s="129" t="s">
        <v>336</v>
      </c>
      <c r="C62" s="123">
        <f>SUM(C52:C61)</f>
        <v>-60534</v>
      </c>
      <c r="D62" s="194"/>
      <c r="E62" s="71"/>
      <c r="F62" s="123">
        <f>SUM(F52:F61)</f>
        <v>-21408.60470103562</v>
      </c>
      <c r="G62" s="123">
        <f t="shared" ref="G62:R62" si="181">SUM(G52:G61)</f>
        <v>0.20849499999999999</v>
      </c>
      <c r="H62" s="123">
        <f t="shared" si="181"/>
        <v>-14129.538061440298</v>
      </c>
      <c r="I62" s="123">
        <f t="shared" si="181"/>
        <v>0.35</v>
      </c>
      <c r="J62" s="123">
        <f t="shared" si="181"/>
        <v>-1887.5982507887852</v>
      </c>
      <c r="K62" s="123">
        <f t="shared" si="181"/>
        <v>0.45499999999999996</v>
      </c>
      <c r="L62" s="123">
        <f t="shared" si="181"/>
        <v>-943.08350620642045</v>
      </c>
      <c r="M62" s="123">
        <f t="shared" si="181"/>
        <v>0.10364666666666666</v>
      </c>
      <c r="N62" s="123">
        <f t="shared" si="181"/>
        <v>-522.04940248256821</v>
      </c>
      <c r="O62" s="123">
        <f t="shared" si="181"/>
        <v>0.24443999999999999</v>
      </c>
      <c r="P62" s="123">
        <f t="shared" si="181"/>
        <v>-368.5559133178383</v>
      </c>
      <c r="Q62" s="123">
        <f t="shared" si="181"/>
        <v>0.13999999999999999</v>
      </c>
      <c r="R62" s="123">
        <f t="shared" si="181"/>
        <v>-39257.928253604863</v>
      </c>
      <c r="S62" s="105"/>
      <c r="T62" s="71"/>
      <c r="U62" s="123">
        <f t="shared" ref="U62:AE62" si="182">SUM(U52:U61)</f>
        <v>-25939.559720582878</v>
      </c>
      <c r="V62" s="123"/>
      <c r="W62" s="123">
        <f t="shared" si="182"/>
        <v>-11879.610149560705</v>
      </c>
      <c r="X62" s="123"/>
      <c r="Y62" s="123">
        <f t="shared" si="182"/>
        <v>-6393.3893099368115</v>
      </c>
      <c r="Z62" s="123"/>
      <c r="AA62" s="123">
        <f t="shared" si="182"/>
        <v>-6479.4147926767673</v>
      </c>
      <c r="AB62" s="123"/>
      <c r="AC62" s="123">
        <f t="shared" si="182"/>
        <v>-3629.8390829673644</v>
      </c>
      <c r="AD62" s="123"/>
      <c r="AE62" s="123">
        <f t="shared" si="182"/>
        <v>-8890.5493602754723</v>
      </c>
      <c r="AF62" s="123"/>
      <c r="AG62" s="123">
        <f>SUM(AG52:AG61)</f>
        <v>-63212.362415999989</v>
      </c>
      <c r="AH62" s="194"/>
      <c r="AI62" s="71"/>
      <c r="AJ62" s="123">
        <f t="shared" ref="AJ62:AV62" si="183">SUM(AJ52:AJ61)</f>
        <v>-27248.085776785443</v>
      </c>
      <c r="AK62" s="123">
        <f t="shared" si="183"/>
        <v>0.10367374660307886</v>
      </c>
      <c r="AL62" s="123">
        <f t="shared" si="183"/>
        <v>-12316.741580165406</v>
      </c>
      <c r="AM62" s="123">
        <f t="shared" si="183"/>
        <v>0</v>
      </c>
      <c r="AN62" s="123">
        <f t="shared" si="183"/>
        <v>-6714.1568732957085</v>
      </c>
      <c r="AO62" s="123">
        <f t="shared" si="183"/>
        <v>0</v>
      </c>
      <c r="AP62" s="123">
        <f t="shared" si="183"/>
        <v>-6806.435804155074</v>
      </c>
      <c r="AQ62" s="123">
        <f t="shared" si="183"/>
        <v>0</v>
      </c>
      <c r="AR62" s="123">
        <f t="shared" si="183"/>
        <v>-3812.1698618768514</v>
      </c>
      <c r="AS62" s="123">
        <f t="shared" si="183"/>
        <v>0</v>
      </c>
      <c r="AT62" s="123">
        <f t="shared" si="183"/>
        <v>-9338.2796137215155</v>
      </c>
      <c r="AU62" s="123">
        <f t="shared" si="183"/>
        <v>0</v>
      </c>
      <c r="AV62" s="123">
        <f t="shared" si="183"/>
        <v>-66235.765836253398</v>
      </c>
      <c r="AW62" s="194"/>
      <c r="AX62" s="71"/>
      <c r="AY62" s="123">
        <f t="shared" ref="AY62:BK62" si="184">SUM(AY52:AY61)</f>
        <v>-28617.791140431509</v>
      </c>
      <c r="AZ62" s="123">
        <f t="shared" si="184"/>
        <v>0.10367374660307886</v>
      </c>
      <c r="BA62" s="123">
        <f t="shared" si="184"/>
        <v>-12777.504138268429</v>
      </c>
      <c r="BB62" s="123">
        <f t="shared" si="184"/>
        <v>0</v>
      </c>
      <c r="BC62" s="123">
        <f t="shared" si="184"/>
        <v>-7050.5589710233508</v>
      </c>
      <c r="BD62" s="123">
        <f t="shared" si="184"/>
        <v>0</v>
      </c>
      <c r="BE62" s="123">
        <f t="shared" si="184"/>
        <v>-7148.6860778741948</v>
      </c>
      <c r="BF62" s="123">
        <f t="shared" si="184"/>
        <v>0</v>
      </c>
      <c r="BG62" s="123">
        <f t="shared" si="184"/>
        <v>-4003.3086879387779</v>
      </c>
      <c r="BH62" s="123">
        <f t="shared" si="184"/>
        <v>0</v>
      </c>
      <c r="BI62" s="123">
        <f t="shared" si="184"/>
        <v>-9807.2185020917277</v>
      </c>
      <c r="BJ62" s="123">
        <f t="shared" si="184"/>
        <v>0</v>
      </c>
      <c r="BK62" s="123">
        <f t="shared" si="184"/>
        <v>-69404.9638438814</v>
      </c>
      <c r="BL62" s="194"/>
      <c r="BM62" s="71"/>
      <c r="BN62" s="123">
        <f t="shared" ref="BN62:BZ62" si="185">SUM(BN52:BN61)</f>
        <v>-30051.562971205618</v>
      </c>
      <c r="BO62" s="123">
        <f t="shared" si="185"/>
        <v>0.10367374660307886</v>
      </c>
      <c r="BP62" s="123">
        <f t="shared" si="185"/>
        <v>-13263.153654200285</v>
      </c>
      <c r="BQ62" s="123">
        <f t="shared" si="185"/>
        <v>0</v>
      </c>
      <c r="BR62" s="123">
        <f t="shared" si="185"/>
        <v>-7403.3609929563027</v>
      </c>
      <c r="BS62" s="123">
        <f t="shared" si="185"/>
        <v>0</v>
      </c>
      <c r="BT62" s="123">
        <f t="shared" si="185"/>
        <v>-7506.8816967186585</v>
      </c>
      <c r="BU62" s="123">
        <f t="shared" si="185"/>
        <v>0</v>
      </c>
      <c r="BV62" s="123">
        <f t="shared" si="185"/>
        <v>-4203.6834839481453</v>
      </c>
      <c r="BW62" s="123">
        <f t="shared" si="185"/>
        <v>0</v>
      </c>
      <c r="BX62" s="123">
        <f t="shared" si="185"/>
        <v>-10298.378807893501</v>
      </c>
      <c r="BY62" s="123">
        <f t="shared" si="185"/>
        <v>0</v>
      </c>
      <c r="BZ62" s="123">
        <f t="shared" si="185"/>
        <v>-72726.917933175908</v>
      </c>
      <c r="CA62" s="194"/>
      <c r="CB62" s="71"/>
      <c r="CC62" s="123">
        <f t="shared" ref="CC62:CO62" si="186">SUM(CC52:CC61)</f>
        <v>-31552.432480274052</v>
      </c>
      <c r="CD62" s="123">
        <f t="shared" si="186"/>
        <v>0.10367374660307886</v>
      </c>
      <c r="CE62" s="123">
        <f t="shared" si="186"/>
        <v>-13775.000498578647</v>
      </c>
      <c r="CF62" s="123">
        <f t="shared" si="186"/>
        <v>0</v>
      </c>
      <c r="CG62" s="123">
        <f t="shared" si="186"/>
        <v>-7773.3665692778522</v>
      </c>
      <c r="CH62" s="123">
        <f t="shared" si="186"/>
        <v>0</v>
      </c>
      <c r="CI62" s="123">
        <f t="shared" si="186"/>
        <v>-7881.7744667586085</v>
      </c>
      <c r="CJ62" s="123">
        <f t="shared" si="186"/>
        <v>0</v>
      </c>
      <c r="CK62" s="123">
        <f t="shared" si="186"/>
        <v>-4413.7435465760809</v>
      </c>
      <c r="CL62" s="123">
        <f t="shared" si="186"/>
        <v>0</v>
      </c>
      <c r="CM62" s="123">
        <f t="shared" si="186"/>
        <v>-10812.82386775305</v>
      </c>
      <c r="CN62" s="123">
        <f t="shared" si="186"/>
        <v>0</v>
      </c>
      <c r="CO62" s="123">
        <f t="shared" si="186"/>
        <v>-76209.037755471669</v>
      </c>
      <c r="CP62" s="194"/>
      <c r="CQ62" s="71"/>
      <c r="CR62" s="123">
        <f t="shared" ref="CR62:DD62" si="187">SUM(CR52:CR61)</f>
        <v>-33123.581702935662</v>
      </c>
      <c r="CS62" s="123">
        <f t="shared" si="187"/>
        <v>0.10367374660307886</v>
      </c>
      <c r="CT62" s="123">
        <f t="shared" si="187"/>
        <v>-14314.412693146667</v>
      </c>
      <c r="CU62" s="123">
        <f t="shared" si="187"/>
        <v>0</v>
      </c>
      <c r="CV62" s="123">
        <f t="shared" si="187"/>
        <v>-8161.4194416542459</v>
      </c>
      <c r="CW62" s="123">
        <f t="shared" si="187"/>
        <v>0</v>
      </c>
      <c r="CX62" s="123">
        <f t="shared" si="187"/>
        <v>-8274.1535898504444</v>
      </c>
      <c r="CY62" s="123">
        <f t="shared" si="187"/>
        <v>0</v>
      </c>
      <c r="CZ62" s="123">
        <f t="shared" si="187"/>
        <v>-4633.9605838350299</v>
      </c>
      <c r="DA62" s="123">
        <f t="shared" si="187"/>
        <v>0</v>
      </c>
      <c r="DB62" s="123">
        <f t="shared" si="187"/>
        <v>-11351.669980884782</v>
      </c>
      <c r="DC62" s="123">
        <f t="shared" si="187"/>
        <v>0</v>
      </c>
      <c r="DD62" s="123">
        <f t="shared" si="187"/>
        <v>-79859.094318560223</v>
      </c>
      <c r="DE62" s="194"/>
      <c r="DF62" s="71"/>
      <c r="DG62" s="123">
        <f t="shared" ref="DG62:DS62" si="188">SUM(DG52:DG61)</f>
        <v>-34768.350594410782</v>
      </c>
      <c r="DH62" s="123">
        <f t="shared" si="188"/>
        <v>0.10367374660307886</v>
      </c>
      <c r="DI62" s="123">
        <f t="shared" si="188"/>
        <v>-14882.819189596241</v>
      </c>
      <c r="DJ62" s="123">
        <f t="shared" si="188"/>
        <v>0</v>
      </c>
      <c r="DK62" s="123">
        <f t="shared" si="188"/>
        <v>-8568.4054264543774</v>
      </c>
      <c r="DL62" s="123">
        <f t="shared" si="188"/>
        <v>0</v>
      </c>
      <c r="DM62" s="123">
        <f t="shared" si="188"/>
        <v>-8684.8474157748878</v>
      </c>
      <c r="DN62" s="123">
        <f t="shared" si="188"/>
        <v>0</v>
      </c>
      <c r="DO62" s="123">
        <f t="shared" si="188"/>
        <v>-4864.8298032917173</v>
      </c>
      <c r="DP62" s="123">
        <f t="shared" si="188"/>
        <v>0</v>
      </c>
      <c r="DQ62" s="123">
        <f t="shared" si="188"/>
        <v>-11916.088933686906</v>
      </c>
      <c r="DR62" s="123">
        <f t="shared" si="188"/>
        <v>0</v>
      </c>
      <c r="DS62" s="123">
        <f t="shared" si="188"/>
        <v>-83685.237689468297</v>
      </c>
      <c r="DT62" s="194"/>
      <c r="DU62" s="71"/>
      <c r="DV62" s="123">
        <f t="shared" ref="DV62:EH62" si="189">SUM(DV52:DV61)</f>
        <v>-36490.244467656703</v>
      </c>
      <c r="DW62" s="123">
        <f t="shared" si="189"/>
        <v>0.10367374660307886</v>
      </c>
      <c r="DX62" s="123">
        <f t="shared" si="189"/>
        <v>-15481.713319545021</v>
      </c>
      <c r="DY62" s="123">
        <f t="shared" si="189"/>
        <v>0</v>
      </c>
      <c r="DZ62" s="123">
        <f t="shared" si="189"/>
        <v>-8995.2544749168574</v>
      </c>
      <c r="EA62" s="123">
        <f t="shared" si="189"/>
        <v>0</v>
      </c>
      <c r="EB62" s="123">
        <f t="shared" si="189"/>
        <v>-9114.7252786107601</v>
      </c>
      <c r="EC62" s="123">
        <f t="shared" si="189"/>
        <v>0</v>
      </c>
      <c r="ED62" s="123">
        <f t="shared" si="189"/>
        <v>-5106.8710537636989</v>
      </c>
      <c r="EE62" s="123">
        <f t="shared" si="189"/>
        <v>0</v>
      </c>
      <c r="EF62" s="123">
        <f t="shared" si="189"/>
        <v>-12507.310647027069</v>
      </c>
      <c r="EG62" s="123">
        <f t="shared" si="189"/>
        <v>0</v>
      </c>
      <c r="EH62" s="123">
        <f t="shared" si="189"/>
        <v>-87696.015567773487</v>
      </c>
      <c r="EI62" s="194"/>
      <c r="EJ62" s="71"/>
      <c r="EK62" s="123">
        <f t="shared" ref="EK62:EW62" si="190">SUM(EK52:EK61)</f>
        <v>-38292.941792650745</v>
      </c>
      <c r="EL62" s="123">
        <f t="shared" si="190"/>
        <v>0.10367374660307886</v>
      </c>
      <c r="EM62" s="123">
        <f t="shared" si="190"/>
        <v>-16112.656419641866</v>
      </c>
      <c r="EN62" s="123">
        <f t="shared" si="190"/>
        <v>0</v>
      </c>
      <c r="EO62" s="123">
        <f t="shared" si="190"/>
        <v>-9442.9428353342846</v>
      </c>
      <c r="EP62" s="123">
        <f t="shared" si="190"/>
        <v>0</v>
      </c>
      <c r="EQ62" s="123">
        <f t="shared" si="190"/>
        <v>-9564.6994221743407</v>
      </c>
      <c r="ER62" s="123">
        <f t="shared" si="190"/>
        <v>0</v>
      </c>
      <c r="ES62" s="123">
        <f t="shared" si="190"/>
        <v>-5360.6300233436232</v>
      </c>
      <c r="ET62" s="123">
        <f t="shared" si="190"/>
        <v>0</v>
      </c>
      <c r="EU62" s="123">
        <f t="shared" si="190"/>
        <v>-13126.625953001472</v>
      </c>
      <c r="EV62" s="123">
        <f t="shared" si="190"/>
        <v>0</v>
      </c>
      <c r="EW62" s="123">
        <f t="shared" si="190"/>
        <v>-91900.392772399704</v>
      </c>
      <c r="EX62" s="194"/>
      <c r="EY62" s="71"/>
      <c r="EZ62" s="123">
        <f t="shared" ref="EZ62:FL62" si="191">SUM(EZ52:EZ61)</f>
        <v>-40180.302377178567</v>
      </c>
      <c r="FA62" s="123">
        <f t="shared" si="191"/>
        <v>0.10367374660307886</v>
      </c>
      <c r="FB62" s="123">
        <f t="shared" si="191"/>
        <v>-16777.281636592306</v>
      </c>
      <c r="FC62" s="123">
        <f t="shared" si="191"/>
        <v>0</v>
      </c>
      <c r="FD62" s="123">
        <f t="shared" si="191"/>
        <v>-9912.4953225423997</v>
      </c>
      <c r="FE62" s="123">
        <f t="shared" si="191"/>
        <v>0</v>
      </c>
      <c r="FF62" s="123">
        <f t="shared" si="191"/>
        <v>-10035.727019496364</v>
      </c>
      <c r="FG62" s="123">
        <f t="shared" si="191"/>
        <v>0</v>
      </c>
      <c r="FH62" s="123">
        <f t="shared" si="191"/>
        <v>-5626.6794967102742</v>
      </c>
      <c r="FI62" s="123">
        <f t="shared" si="191"/>
        <v>0</v>
      </c>
      <c r="FJ62" s="123">
        <f t="shared" si="191"/>
        <v>-13775.389508185966</v>
      </c>
      <c r="FK62" s="123">
        <f t="shared" si="191"/>
        <v>0</v>
      </c>
      <c r="FL62" s="123">
        <f t="shared" si="191"/>
        <v>-96307.77168695927</v>
      </c>
      <c r="FM62" s="194"/>
      <c r="FN62" s="71"/>
      <c r="FO62" s="123">
        <f t="shared" ref="FO62:GA62" si="192">SUM(FO52:FO61)</f>
        <v>-42156.375949812827</v>
      </c>
      <c r="FP62" s="123">
        <f t="shared" si="192"/>
        <v>0.10367374660307886</v>
      </c>
      <c r="FQ62" s="123">
        <f t="shared" si="192"/>
        <v>-17477.297917716809</v>
      </c>
      <c r="FR62" s="123">
        <f t="shared" si="192"/>
        <v>0</v>
      </c>
      <c r="FS62" s="123">
        <f t="shared" si="192"/>
        <v>-10404.98770023241</v>
      </c>
      <c r="FT62" s="123">
        <f t="shared" si="192"/>
        <v>0</v>
      </c>
      <c r="FU62" s="123">
        <f t="shared" si="192"/>
        <v>-10528.812291463741</v>
      </c>
      <c r="FV62" s="123">
        <f t="shared" si="192"/>
        <v>0</v>
      </c>
      <c r="FW62" s="123">
        <f t="shared" si="192"/>
        <v>-5905.6206748076484</v>
      </c>
      <c r="FX62" s="123">
        <f t="shared" si="192"/>
        <v>0</v>
      </c>
      <c r="FY62" s="123">
        <f t="shared" si="192"/>
        <v>-14455.02285065007</v>
      </c>
      <c r="FZ62" s="123">
        <f t="shared" si="192"/>
        <v>0</v>
      </c>
      <c r="GA62" s="123">
        <f t="shared" si="192"/>
        <v>-100928.0137109369</v>
      </c>
      <c r="GB62" s="194"/>
      <c r="GC62" s="71"/>
      <c r="GD62" s="123">
        <f t="shared" ref="GD62:GP62" si="193">SUM(GD52:GD61)</f>
        <v>-44225.411166470491</v>
      </c>
      <c r="GE62" s="123">
        <f t="shared" si="193"/>
        <v>0.10367374660307886</v>
      </c>
      <c r="GF62" s="123">
        <f t="shared" si="193"/>
        <v>-18214.494193475497</v>
      </c>
      <c r="GG62" s="123">
        <f t="shared" si="193"/>
        <v>0</v>
      </c>
      <c r="GH62" s="123">
        <f t="shared" si="193"/>
        <v>-10921.549181849261</v>
      </c>
      <c r="GI62" s="123">
        <f t="shared" si="193"/>
        <v>0</v>
      </c>
      <c r="GJ62" s="123">
        <f t="shared" si="193"/>
        <v>-11045.008729922138</v>
      </c>
      <c r="GK62" s="123">
        <f t="shared" si="193"/>
        <v>0</v>
      </c>
      <c r="GL62" s="123">
        <f t="shared" si="193"/>
        <v>-6198.0845601034025</v>
      </c>
      <c r="GM62" s="123">
        <f t="shared" si="193"/>
        <v>0</v>
      </c>
      <c r="GN62" s="123">
        <f t="shared" si="193"/>
        <v>-15167.017608276899</v>
      </c>
      <c r="GO62" s="123">
        <f t="shared" si="193"/>
        <v>0</v>
      </c>
      <c r="GP62" s="123">
        <f t="shared" si="193"/>
        <v>-105771.4617663511</v>
      </c>
      <c r="GQ62" s="194"/>
      <c r="GR62" s="71"/>
      <c r="GS62" s="123">
        <f t="shared" ref="GS62:HE62" si="194">SUM(GS52:GS61)</f>
        <v>-46391.865062701552</v>
      </c>
      <c r="GT62" s="123">
        <f t="shared" si="194"/>
        <v>0.10367374660307886</v>
      </c>
      <c r="GU62" s="123">
        <f t="shared" si="194"/>
        <v>-18990.743759210491</v>
      </c>
      <c r="GV62" s="123">
        <f t="shared" si="194"/>
        <v>0</v>
      </c>
      <c r="GW62" s="123">
        <f t="shared" si="194"/>
        <v>-11463.365056097746</v>
      </c>
      <c r="GX62" s="123">
        <f t="shared" si="194"/>
        <v>0</v>
      </c>
      <c r="GY62" s="123">
        <f t="shared" si="194"/>
        <v>-11585.421430719482</v>
      </c>
      <c r="GZ62" s="123">
        <f t="shared" si="194"/>
        <v>0</v>
      </c>
      <c r="HA62" s="123">
        <f t="shared" si="194"/>
        <v>-6504.7334107763181</v>
      </c>
      <c r="HB62" s="123">
        <f t="shared" si="194"/>
        <v>0</v>
      </c>
      <c r="HC62" s="123">
        <f t="shared" si="194"/>
        <v>-15912.938866224207</v>
      </c>
      <c r="HD62" s="123">
        <f t="shared" si="194"/>
        <v>0</v>
      </c>
      <c r="HE62" s="123">
        <f t="shared" si="194"/>
        <v>-110848.96391198321</v>
      </c>
      <c r="HF62" s="194"/>
      <c r="HG62" s="71"/>
      <c r="HH62" s="123">
        <f t="shared" ref="HH62:HT62" si="195">SUM(HH52:HH61)</f>
        <v>-48660.41297468936</v>
      </c>
      <c r="HI62" s="123">
        <f t="shared" si="195"/>
        <v>0.10367374660307886</v>
      </c>
      <c r="HJ62" s="123">
        <f t="shared" si="195"/>
        <v>-19808.00886416978</v>
      </c>
      <c r="HK62" s="123">
        <f t="shared" si="195"/>
        <v>0</v>
      </c>
      <c r="HL62" s="123">
        <f t="shared" si="195"/>
        <v>-12031.679443352805</v>
      </c>
      <c r="HM62" s="123">
        <f t="shared" si="195"/>
        <v>0</v>
      </c>
      <c r="HN62" s="123">
        <f t="shared" si="195"/>
        <v>-12151.209542370851</v>
      </c>
      <c r="HO62" s="123">
        <f t="shared" si="195"/>
        <v>0</v>
      </c>
      <c r="HP62" s="123">
        <f t="shared" si="195"/>
        <v>-6826.2622673296773</v>
      </c>
      <c r="HQ62" s="123">
        <f t="shared" si="195"/>
        <v>0</v>
      </c>
      <c r="HR62" s="123">
        <f t="shared" si="195"/>
        <v>-16694.42870167613</v>
      </c>
      <c r="HS62" s="123">
        <f t="shared" si="195"/>
        <v>0</v>
      </c>
      <c r="HT62" s="123">
        <f t="shared" si="195"/>
        <v>-116171.89811984198</v>
      </c>
      <c r="HU62" s="194"/>
      <c r="HV62"/>
      <c r="HX62" s="85" t="s">
        <v>340</v>
      </c>
      <c r="HY62" s="6"/>
      <c r="HZ62" s="121">
        <f>SUM(HZ52:HZ61)</f>
        <v>-61991.700000000004</v>
      </c>
      <c r="IA62" s="121">
        <f t="shared" ref="IA62:IM62" si="196">SUM(IA52:IA61)</f>
        <v>-39257.928253604863</v>
      </c>
      <c r="IB62" s="121">
        <f t="shared" si="196"/>
        <v>-63212.362415999989</v>
      </c>
      <c r="IC62" s="121">
        <f t="shared" si="196"/>
        <v>-66235.765836253398</v>
      </c>
      <c r="ID62" s="121">
        <f t="shared" si="196"/>
        <v>-69404.9638438814</v>
      </c>
      <c r="IE62" s="121">
        <f t="shared" si="196"/>
        <v>-72726.917933175908</v>
      </c>
      <c r="IF62" s="121">
        <f t="shared" si="196"/>
        <v>-76209.037755471669</v>
      </c>
      <c r="IG62" s="121">
        <f t="shared" si="196"/>
        <v>-79859.094318560223</v>
      </c>
      <c r="IH62" s="121">
        <f t="shared" si="196"/>
        <v>-83685.237689468297</v>
      </c>
      <c r="II62" s="121">
        <f t="shared" si="196"/>
        <v>-87696.015567773487</v>
      </c>
      <c r="IJ62" s="121">
        <f t="shared" si="196"/>
        <v>-91900.392772399704</v>
      </c>
      <c r="IK62" s="121">
        <f t="shared" si="196"/>
        <v>-96307.77168695927</v>
      </c>
      <c r="IL62" s="121">
        <f t="shared" si="196"/>
        <v>-100928.0137109369</v>
      </c>
      <c r="IM62" s="121">
        <f t="shared" si="196"/>
        <v>-105771.4617663511</v>
      </c>
      <c r="IN62" s="121">
        <f>SUM(IN52:IN61)</f>
        <v>-110848.96391198321</v>
      </c>
      <c r="IO62" s="121">
        <f>SUM(IO52:IO61)</f>
        <v>-116171.89811984198</v>
      </c>
    </row>
    <row r="63" spans="2:249" ht="15.6" hidden="1" thickTop="1" thickBot="1">
      <c r="B63" t="s">
        <v>341</v>
      </c>
      <c r="C63" s="195">
        <v>-23163</v>
      </c>
      <c r="E63" s="71"/>
      <c r="R63"/>
      <c r="T63" s="71"/>
      <c r="AG63"/>
      <c r="AH63"/>
      <c r="AI63" s="71"/>
      <c r="AV63"/>
      <c r="AW63"/>
      <c r="AX63" s="71"/>
      <c r="BK63"/>
      <c r="BL63"/>
      <c r="BM63" s="71"/>
      <c r="BZ63"/>
      <c r="CA63"/>
      <c r="CB63" s="71"/>
      <c r="CO63"/>
      <c r="CP63"/>
      <c r="CQ63" s="71"/>
      <c r="DD63"/>
      <c r="DE63"/>
      <c r="DF63" s="71"/>
      <c r="DS63"/>
      <c r="DT63"/>
      <c r="DU63" s="71"/>
      <c r="EH63"/>
      <c r="EI63"/>
      <c r="EJ63" s="71"/>
      <c r="EW63"/>
      <c r="EX63"/>
      <c r="EY63" s="71"/>
      <c r="FL63"/>
      <c r="FM63"/>
      <c r="FN63" s="71"/>
      <c r="GA63"/>
      <c r="GB63"/>
      <c r="GC63" s="71"/>
      <c r="GP63"/>
      <c r="GQ63"/>
      <c r="GR63" s="71"/>
      <c r="HE63"/>
      <c r="HF63"/>
      <c r="HG63" s="71"/>
      <c r="HT63" s="5"/>
      <c r="HU63"/>
      <c r="HX63" s="144" t="s">
        <v>123</v>
      </c>
      <c r="HZ63" s="196">
        <f>HZ49+HZ62</f>
        <v>-54495.000000000007</v>
      </c>
      <c r="IA63" s="196">
        <f t="shared" ref="IA63:IM63" si="197">IA49+IA62</f>
        <v>-1498.840575659131</v>
      </c>
      <c r="IB63" s="196">
        <f t="shared" si="197"/>
        <v>27972.422520000051</v>
      </c>
      <c r="IC63" s="196">
        <f t="shared" si="197"/>
        <v>32934.602918519915</v>
      </c>
      <c r="ID63" s="196">
        <f t="shared" si="197"/>
        <v>38515.443119963937</v>
      </c>
      <c r="IE63" s="196">
        <f t="shared" si="197"/>
        <v>44783.521411677692</v>
      </c>
      <c r="IF63" s="196">
        <f t="shared" si="197"/>
        <v>51814.377270051147</v>
      </c>
      <c r="IG63" s="196">
        <f t="shared" si="197"/>
        <v>59448.107232246883</v>
      </c>
      <c r="IH63" s="196">
        <f t="shared" si="197"/>
        <v>70995.715846973137</v>
      </c>
      <c r="II63" s="196">
        <f t="shared" si="197"/>
        <v>81100.163674859621</v>
      </c>
      <c r="IJ63" s="196">
        <f t="shared" si="197"/>
        <v>92381.9489686421</v>
      </c>
      <c r="IK63" s="196">
        <f t="shared" si="197"/>
        <v>104967.54545057779</v>
      </c>
      <c r="IL63" s="196">
        <f t="shared" si="197"/>
        <v>118996.51891043798</v>
      </c>
      <c r="IM63" s="196">
        <f t="shared" si="197"/>
        <v>134622.85871136878</v>
      </c>
      <c r="IN63" s="196">
        <f>IN49+IN62</f>
        <v>152016.4435565639</v>
      </c>
      <c r="IO63" s="196">
        <f>IO49+IO62</f>
        <v>171364.65499792789</v>
      </c>
    </row>
    <row r="64" spans="2:249" s="198" customFormat="1" ht="26.7" hidden="1" customHeight="1" thickTop="1" thickBot="1">
      <c r="B64" s="144" t="s">
        <v>321</v>
      </c>
      <c r="C64" s="123">
        <f>C49+C62+C63</f>
        <v>-63704</v>
      </c>
      <c r="D64" s="183"/>
      <c r="E64" s="71"/>
      <c r="F64" s="197">
        <f>F49+F62</f>
        <v>1902.8373005442627</v>
      </c>
      <c r="G64" s="197"/>
      <c r="H64" s="197">
        <f>H49+H62</f>
        <v>-4070.5155790687586</v>
      </c>
      <c r="I64" s="197"/>
      <c r="J64" s="197">
        <f>J49+J62</f>
        <v>412.40174921121479</v>
      </c>
      <c r="K64" s="197"/>
      <c r="L64" s="197">
        <f>L49+L62</f>
        <v>52.136493793579348</v>
      </c>
      <c r="M64" s="197"/>
      <c r="N64" s="197">
        <f>N49+N62</f>
        <v>126.81459751743182</v>
      </c>
      <c r="O64" s="197"/>
      <c r="P64" s="197">
        <f>P49+P62</f>
        <v>75.983280676476852</v>
      </c>
      <c r="Q64" s="197"/>
      <c r="R64" s="197">
        <f>R49+R62</f>
        <v>-1498.840575659131</v>
      </c>
      <c r="T64" s="71"/>
      <c r="U64" s="197">
        <f>U49+U62</f>
        <v>12461.650963097145</v>
      </c>
      <c r="V64" s="197"/>
      <c r="W64" s="197">
        <f>W49+W62</f>
        <v>4306.080544344848</v>
      </c>
      <c r="X64" s="197"/>
      <c r="Y64" s="197">
        <f>Y49+Y62</f>
        <v>2190.5743019356514</v>
      </c>
      <c r="Z64" s="197"/>
      <c r="AA64" s="197">
        <f>AA49+AA62</f>
        <v>1300.585172043322</v>
      </c>
      <c r="AB64" s="197"/>
      <c r="AC64" s="197">
        <f>AC49+AC62</f>
        <v>2018.6609874326377</v>
      </c>
      <c r="AD64" s="197"/>
      <c r="AE64" s="197">
        <f>AE49+AE62</f>
        <v>5694.870551146425</v>
      </c>
      <c r="AF64" s="197"/>
      <c r="AG64" s="197">
        <f>AG49+AG62</f>
        <v>27972.422520000051</v>
      </c>
      <c r="AH64" s="197"/>
      <c r="AI64" s="71"/>
      <c r="AJ64" s="197">
        <f>AJ49+AJ62</f>
        <v>14993.245975262576</v>
      </c>
      <c r="AK64" s="197"/>
      <c r="AL64" s="197">
        <f>AL49+AL62</f>
        <v>4354.5198345573153</v>
      </c>
      <c r="AM64" s="197"/>
      <c r="AN64" s="197">
        <f>AN49+AN62</f>
        <v>2728.2030997640004</v>
      </c>
      <c r="AO64" s="197"/>
      <c r="AP64" s="197">
        <f>AP49+AP62</f>
        <v>1751.5641570370199</v>
      </c>
      <c r="AQ64" s="197"/>
      <c r="AR64" s="197">
        <f>AR49+AR62</f>
        <v>2401.1802155631513</v>
      </c>
      <c r="AS64" s="197"/>
      <c r="AT64" s="197">
        <f>AT49+AT62</f>
        <v>6705.6822888425741</v>
      </c>
      <c r="AU64" s="197"/>
      <c r="AV64" s="197">
        <f>AV49+AV62</f>
        <v>32934.499244773193</v>
      </c>
      <c r="AW64" s="197"/>
      <c r="AX64" s="71"/>
      <c r="AY64" s="197">
        <f>AY49+AY62</f>
        <v>17847.673786821309</v>
      </c>
      <c r="AZ64" s="197"/>
      <c r="BA64" s="197">
        <f>BA49+BA62</f>
        <v>4393.8951188959763</v>
      </c>
      <c r="BB64" s="197"/>
      <c r="BC64" s="197">
        <f>BC49+BC62</f>
        <v>3336.0369993423283</v>
      </c>
      <c r="BD64" s="197"/>
      <c r="BE64" s="197">
        <f>BE49+BE62</f>
        <v>2265.11387943711</v>
      </c>
      <c r="BF64" s="197"/>
      <c r="BG64" s="197">
        <f>BG49+BG62</f>
        <v>2831.3763972452248</v>
      </c>
      <c r="BH64" s="197"/>
      <c r="BI64" s="197">
        <f>BI49+BI62</f>
        <v>7841.1395907287697</v>
      </c>
      <c r="BJ64" s="197"/>
      <c r="BK64" s="197">
        <f>BK49+BK62</f>
        <v>38515.339446217331</v>
      </c>
      <c r="BL64" s="197"/>
      <c r="BM64" s="71"/>
      <c r="BN64" s="197">
        <f>BN49+BN62</f>
        <v>21060.448448772491</v>
      </c>
      <c r="BO64" s="197"/>
      <c r="BP64" s="197">
        <f>BP49+BP62</f>
        <v>4423.3875806790511</v>
      </c>
      <c r="BQ64" s="197"/>
      <c r="BR64" s="197">
        <f>BR49+BR62</f>
        <v>4021.8945744459452</v>
      </c>
      <c r="BS64" s="197"/>
      <c r="BT64" s="197">
        <f>BT49+BT62</f>
        <v>2848.2982563237738</v>
      </c>
      <c r="BU64" s="197"/>
      <c r="BV64" s="197">
        <f>BV49+BV62</f>
        <v>3314.4701097542556</v>
      </c>
      <c r="BW64" s="197"/>
      <c r="BX64" s="197">
        <f>BX49+BX62</f>
        <v>9114.8150942090451</v>
      </c>
      <c r="BY64" s="197"/>
      <c r="BZ64" s="197">
        <f>BZ49+BZ62</f>
        <v>44783.417737931144</v>
      </c>
      <c r="CA64" s="197"/>
      <c r="CB64" s="71"/>
      <c r="CC64" s="197">
        <f>CC49+CC62</f>
        <v>9704.8825124808136</v>
      </c>
      <c r="CD64" s="197"/>
      <c r="CE64" s="197">
        <f>CE49+CE62</f>
        <v>4442.1369733470674</v>
      </c>
      <c r="CF64" s="197"/>
      <c r="CG64" s="197">
        <f>CG49+CG62</f>
        <v>4794.4145548646193</v>
      </c>
      <c r="CH64" s="197"/>
      <c r="CI64" s="197">
        <f>CI49+CI62</f>
        <v>3508.9234815880773</v>
      </c>
      <c r="CJ64" s="197"/>
      <c r="CK64" s="197">
        <f>CK49+CK62</f>
        <v>3856.2254064965618</v>
      </c>
      <c r="CL64" s="197"/>
      <c r="CM64" s="197">
        <f>CM49+CM62</f>
        <v>10541.689424559754</v>
      </c>
      <c r="CN64" s="197"/>
      <c r="CO64" s="197">
        <f>CO49+CO62</f>
        <v>51814.273596304571</v>
      </c>
      <c r="CP64" s="197"/>
      <c r="CQ64" s="71"/>
      <c r="CR64" s="197">
        <f>CR49+CR62</f>
        <v>28478.607128379335</v>
      </c>
      <c r="CS64" s="197"/>
      <c r="CT64" s="197">
        <f>CT49+CT62</f>
        <v>4449.2389029368242</v>
      </c>
      <c r="CU64" s="197"/>
      <c r="CV64" s="197">
        <f>CV49+CV62</f>
        <v>5663.1397949024731</v>
      </c>
      <c r="CW64" s="197"/>
      <c r="CX64" s="197">
        <f>CX49+CX62</f>
        <v>4255.6141533309055</v>
      </c>
      <c r="CY64" s="197"/>
      <c r="CZ64" s="197">
        <f>CZ49+CZ62</f>
        <v>4463.0052645448768</v>
      </c>
      <c r="DA64" s="197"/>
      <c r="DB64" s="197">
        <f>DB49+DB62</f>
        <v>12138.294640659298</v>
      </c>
      <c r="DC64" s="197"/>
      <c r="DD64" s="197">
        <f>DD49+DD62</f>
        <v>59448.003558500364</v>
      </c>
      <c r="DE64" s="197"/>
      <c r="DF64" s="71"/>
      <c r="DG64" s="197">
        <f>DG49+DG62</f>
        <v>32994.05712003573</v>
      </c>
      <c r="DH64" s="197"/>
      <c r="DI64" s="197">
        <f>DI49+DI62</f>
        <v>4443.7419543697506</v>
      </c>
      <c r="DJ64" s="197"/>
      <c r="DK64" s="197">
        <f>DK49+DK62</f>
        <v>6638.609733758014</v>
      </c>
      <c r="DL64" s="197"/>
      <c r="DM64" s="197">
        <f>DM49+DM62</f>
        <v>5097.8971017245985</v>
      </c>
      <c r="DN64" s="197"/>
      <c r="DO64" s="197">
        <f>DO49+DO62</f>
        <v>5141.8326299261807</v>
      </c>
      <c r="DP64" s="197"/>
      <c r="DQ64" s="197">
        <f>DQ49+DQ62</f>
        <v>16679.369959665528</v>
      </c>
      <c r="DR64" s="197"/>
      <c r="DS64" s="197">
        <f>DS49+DS62</f>
        <v>70995.612173226502</v>
      </c>
      <c r="DT64" s="197"/>
      <c r="DU64" s="71"/>
      <c r="DV64" s="197">
        <f>DV49+DV62</f>
        <v>38048.40401823444</v>
      </c>
      <c r="DW64" s="197"/>
      <c r="DX64" s="197">
        <f>DX49+DX62</f>
        <v>4424.6446587399496</v>
      </c>
      <c r="DY64" s="197"/>
      <c r="DZ64" s="197">
        <f>DZ49+DZ62</f>
        <v>7732.46220131677</v>
      </c>
      <c r="EA64" s="197"/>
      <c r="EB64" s="197">
        <f>EB49+EB62</f>
        <v>6046.293690638664</v>
      </c>
      <c r="EC64" s="197"/>
      <c r="ED64" s="197">
        <f>ED49+ED62</f>
        <v>5900.4576227759853</v>
      </c>
      <c r="EE64" s="197"/>
      <c r="EF64" s="197">
        <f>EF49+EF62</f>
        <v>18947.694135660622</v>
      </c>
      <c r="EG64" s="197"/>
      <c r="EH64" s="197">
        <f>EH49+EH62</f>
        <v>81100.060001112986</v>
      </c>
      <c r="EI64" s="197"/>
      <c r="EJ64" s="71"/>
      <c r="EK64" s="197">
        <f>EK49+EK62</f>
        <v>43699.571541829515</v>
      </c>
      <c r="EL64" s="197"/>
      <c r="EM64" s="197">
        <f>EM49+EM62</f>
        <v>4390.8922979916533</v>
      </c>
      <c r="EN64" s="197"/>
      <c r="EO64" s="197">
        <f>EO49+EO62</f>
        <v>8957.545508522704</v>
      </c>
      <c r="EP64" s="197"/>
      <c r="EQ64" s="197">
        <f>EQ49+EQ62</f>
        <v>7112.4214440000324</v>
      </c>
      <c r="ER64" s="197"/>
      <c r="ES64" s="197">
        <f>ES49+ES62</f>
        <v>6747.4315208500302</v>
      </c>
      <c r="ET64" s="197"/>
      <c r="EU64" s="197">
        <f>EU49+EU62</f>
        <v>21473.879307954994</v>
      </c>
      <c r="EV64" s="197"/>
      <c r="EW64" s="197">
        <f>EW49+EW62</f>
        <v>92381.845294895582</v>
      </c>
      <c r="EX64" s="197"/>
      <c r="EY64" s="71"/>
      <c r="EZ64" s="197">
        <f>EZ49+EZ62</f>
        <v>50011.462290749769</v>
      </c>
      <c r="FA64" s="197"/>
      <c r="FB64" s="197">
        <f>FB49+FB62</f>
        <v>4341.3735425702216</v>
      </c>
      <c r="FC64" s="197"/>
      <c r="FD64" s="197">
        <f>FD49+FD62</f>
        <v>10328.041855700289</v>
      </c>
      <c r="FE64" s="197"/>
      <c r="FF64" s="197">
        <f>FF49+FF62</f>
        <v>8309.1059332954464</v>
      </c>
      <c r="FG64" s="197"/>
      <c r="FH64" s="197">
        <f>FH49+FH62</f>
        <v>7692.1882019027453</v>
      </c>
      <c r="FI64" s="197"/>
      <c r="FJ64" s="197">
        <f>FJ49+FJ62</f>
        <v>24285.166278866142</v>
      </c>
      <c r="FK64" s="197"/>
      <c r="FL64" s="197">
        <f>FL49+FL62</f>
        <v>104967.44177683121</v>
      </c>
      <c r="FM64" s="197"/>
      <c r="FN64" s="71"/>
      <c r="FO64" s="197">
        <f>FO49+FO62</f>
        <v>57054.565184908271</v>
      </c>
      <c r="FP64" s="197"/>
      <c r="FQ64" s="197">
        <f>FQ49+FQ62</f>
        <v>4274.9169168205917</v>
      </c>
      <c r="FR64" s="197"/>
      <c r="FS64" s="197">
        <f>FS49+FS62</f>
        <v>11859.603195834545</v>
      </c>
      <c r="FT64" s="197"/>
      <c r="FU64" s="197">
        <f>FU49+FU62</f>
        <v>9650.503956607261</v>
      </c>
      <c r="FV64" s="197"/>
      <c r="FW64" s="197">
        <f>FW49+FW62</f>
        <v>8745.1337936666714</v>
      </c>
      <c r="FX64" s="197"/>
      <c r="FY64" s="197">
        <f>FY49+FY62</f>
        <v>27411.588515107243</v>
      </c>
      <c r="FZ64" s="197"/>
      <c r="GA64" s="197">
        <f>GA49+GA62</f>
        <v>118996.41523669135</v>
      </c>
      <c r="GB64" s="197">
        <f>GA64-GA29</f>
        <v>-1.9883384297863813</v>
      </c>
      <c r="GC64" s="71"/>
      <c r="GD64" s="197">
        <f>GD49+GD62</f>
        <v>64906.624081722701</v>
      </c>
      <c r="GE64" s="197"/>
      <c r="GF64" s="197">
        <f>GF49+GF62</f>
        <v>4190.2870860980292</v>
      </c>
      <c r="GG64" s="197"/>
      <c r="GH64" s="197">
        <f>GH49+GH62</f>
        <v>13569.500803824392</v>
      </c>
      <c r="GI64" s="197"/>
      <c r="GJ64" s="197">
        <f>GJ49+GJ62</f>
        <v>11152.239142955947</v>
      </c>
      <c r="GK64" s="197"/>
      <c r="GL64" s="197">
        <f>GL49+GL62</f>
        <v>9917.7453552183506</v>
      </c>
      <c r="GM64" s="197"/>
      <c r="GN64" s="197">
        <f>GN49+GN62</f>
        <v>30886.254894056157</v>
      </c>
      <c r="GO64" s="197"/>
      <c r="GP64" s="197">
        <f>GP49+GP62</f>
        <v>134622.75503762221</v>
      </c>
      <c r="GQ64" s="197"/>
      <c r="GR64" s="71"/>
      <c r="GS64" s="197">
        <f>GS49+GS62</f>
        <v>73653.373710311047</v>
      </c>
      <c r="GT64" s="197"/>
      <c r="GU64" s="197">
        <f>GU49+GU62</f>
        <v>4086.180958750243</v>
      </c>
      <c r="GV64" s="197"/>
      <c r="GW64" s="197">
        <f>GW49+GW62</f>
        <v>15476.789928143271</v>
      </c>
      <c r="GX64" s="197"/>
      <c r="GY64" s="197">
        <f>GY49+GY62</f>
        <v>12831.55122944641</v>
      </c>
      <c r="GZ64" s="197"/>
      <c r="HA64" s="197">
        <f>HA49+HA62</f>
        <v>11222.679496077608</v>
      </c>
      <c r="HB64" s="197"/>
      <c r="HC64" s="197">
        <f>HC49+HC62</f>
        <v>34745.660886342135</v>
      </c>
      <c r="HD64" s="197"/>
      <c r="HE64" s="197">
        <f>HE49+HE62</f>
        <v>152016.33988281732</v>
      </c>
      <c r="HF64" s="197"/>
      <c r="HG64" s="71"/>
      <c r="HH64" s="197">
        <f>HH49+HH62</f>
        <v>83389.349675624428</v>
      </c>
      <c r="HI64" s="197"/>
      <c r="HJ64" s="197">
        <f>HJ49+HJ62</f>
        <v>3961.2235953297786</v>
      </c>
      <c r="HK64" s="197"/>
      <c r="HL64" s="197">
        <f>HL49+HL62</f>
        <v>17602.491039312314</v>
      </c>
      <c r="HM64" s="197"/>
      <c r="HN64" s="197">
        <f>HN49+HN62</f>
        <v>14707.460383811633</v>
      </c>
      <c r="HO64" s="197"/>
      <c r="HP64" s="197">
        <f>HP49+HP62</f>
        <v>12673.891930209638</v>
      </c>
      <c r="HQ64" s="197"/>
      <c r="HR64" s="197">
        <f>HR49+HR62</f>
        <v>39030.031026146862</v>
      </c>
      <c r="HS64" s="197"/>
      <c r="HT64" s="74">
        <f>HT49+HT62</f>
        <v>171364.5513241812</v>
      </c>
      <c r="HU64" s="197"/>
      <c r="HV64"/>
      <c r="HX64" s="144" t="s">
        <v>322</v>
      </c>
      <c r="HZ64" s="199">
        <f>HZ63-HZ29</f>
        <v>0</v>
      </c>
      <c r="IA64" s="199">
        <f t="shared" ref="IA64:IM64" si="198">IA63-IA29</f>
        <v>1.5015816666600585</v>
      </c>
      <c r="IB64" s="200">
        <f>IB63-IB29</f>
        <v>0</v>
      </c>
      <c r="IC64" s="199">
        <f t="shared" si="198"/>
        <v>-1.8836669186421204</v>
      </c>
      <c r="ID64" s="199">
        <f t="shared" si="198"/>
        <v>-1.8836669186857762</v>
      </c>
      <c r="IE64" s="199">
        <f t="shared" si="198"/>
        <v>-1.8836669186202926</v>
      </c>
      <c r="IF64" s="199">
        <f t="shared" si="198"/>
        <v>-1.8836669186421204</v>
      </c>
      <c r="IG64" s="199">
        <f t="shared" si="198"/>
        <v>-1.8846646832244005</v>
      </c>
      <c r="IH64" s="199">
        <f t="shared" si="198"/>
        <v>-1.8846646832098486</v>
      </c>
      <c r="II64" s="199">
        <f t="shared" si="198"/>
        <v>-1.8846646832535043</v>
      </c>
      <c r="IJ64" s="199">
        <f t="shared" si="198"/>
        <v>-1.8846646832244005</v>
      </c>
      <c r="IK64" s="199">
        <f t="shared" si="198"/>
        <v>-1.8846646832680563</v>
      </c>
      <c r="IL64" s="199">
        <f t="shared" si="198"/>
        <v>-1.8846646831516409</v>
      </c>
      <c r="IM64" s="199">
        <f t="shared" si="198"/>
        <v>-1.8846646832826082</v>
      </c>
      <c r="IN64" s="199">
        <f>IN63-IN29</f>
        <v>-1.8846646832826082</v>
      </c>
      <c r="IO64" s="199">
        <f>IO63-IO29</f>
        <v>-1.8846646831952967</v>
      </c>
    </row>
    <row r="65" spans="2:249" ht="15.6" hidden="1" thickTop="1" thickBot="1">
      <c r="B65" s="144" t="s">
        <v>322</v>
      </c>
      <c r="C65" s="182">
        <f>C64/C39</f>
        <v>-0.52190298293476212</v>
      </c>
      <c r="D65" s="183"/>
      <c r="E65" s="71"/>
      <c r="F65" s="182">
        <f>F64/F39</f>
        <v>2.3952554176351094E-2</v>
      </c>
      <c r="H65" s="182">
        <f>H64/H39</f>
        <v>-0.10093003253970086</v>
      </c>
      <c r="J65" s="182">
        <f>J64/J39</f>
        <v>8.965255417635104E-2</v>
      </c>
      <c r="L65" s="182">
        <f>L64/L39</f>
        <v>1.15858875096843E-2</v>
      </c>
      <c r="N65" s="182">
        <f>N64/N39</f>
        <v>7.0452554176351018E-2</v>
      </c>
      <c r="P65" s="182">
        <f>P64/P39</f>
        <v>4.7489550422798031E-2</v>
      </c>
      <c r="R65" s="182">
        <f>R64/R39</f>
        <v>-1.1331502223846948E-2</v>
      </c>
      <c r="T65" s="71"/>
      <c r="U65" s="182">
        <f>U64/U39</f>
        <v>8.2289556903264421E-2</v>
      </c>
      <c r="W65" s="182">
        <f>W64/W39</f>
        <v>0.16310916120236757</v>
      </c>
      <c r="Y65" s="182">
        <f>Y64/Y39</f>
        <v>0.15212321583476249</v>
      </c>
      <c r="AA65" s="182">
        <f>AA64/AA39</f>
        <v>3.251462933359768E-2</v>
      </c>
      <c r="AC65" s="182">
        <f>AC64/AC39</f>
        <v>0.18351463455382297</v>
      </c>
      <c r="AE65" s="182">
        <f>AE64/AE39</f>
        <v>0.13559215630251542</v>
      </c>
      <c r="AG65" s="182">
        <f>AG64/AG39</f>
        <v>9.8067439536394324E-2</v>
      </c>
      <c r="AH65" s="183"/>
      <c r="AI65" s="71"/>
      <c r="AJ65" s="182">
        <f>AJ64/AJ39</f>
        <v>9.0006136827269073E-2</v>
      </c>
      <c r="AL65" s="182">
        <f>AL64/AL39</f>
        <v>0.16013978967001108</v>
      </c>
      <c r="AN65" s="182">
        <f>AN64/AN39</f>
        <v>0.17223504465545086</v>
      </c>
      <c r="AP65" s="182">
        <f>AP64/AP39</f>
        <v>3.9808276336104183E-2</v>
      </c>
      <c r="AR65" s="182">
        <f>AR64/AR39</f>
        <v>0.19844464519269314</v>
      </c>
      <c r="AT65" s="182">
        <f>AT64/AT39</f>
        <v>0.14514463863221844</v>
      </c>
      <c r="AV65" s="182">
        <f>AV64/AV39</f>
        <v>0.105588987692718</v>
      </c>
      <c r="AW65" s="183"/>
      <c r="AX65" s="71"/>
      <c r="AY65" s="182">
        <f>AY64/AY39</f>
        <v>9.7401442777847444E-2</v>
      </c>
      <c r="BA65" s="182">
        <f>BA64/BA39</f>
        <v>0.15688139490759598</v>
      </c>
      <c r="BC65" s="182">
        <f>BC64/BC39</f>
        <v>0.19146217909831825</v>
      </c>
      <c r="BE65" s="182">
        <f>BE64/BE39</f>
        <v>4.6799873588888923E-2</v>
      </c>
      <c r="BG65" s="182">
        <f>BG64/BG39</f>
        <v>0.21272549864382503</v>
      </c>
      <c r="BI65" s="182">
        <f>BI64/BI39</f>
        <v>0.15429239687914517</v>
      </c>
      <c r="BK65" s="182">
        <f>BK64/BK39</f>
        <v>0.11288198950874911</v>
      </c>
      <c r="BL65" s="183"/>
      <c r="BM65" s="71"/>
      <c r="BN65" s="182">
        <f>BN64/BN39</f>
        <v>0.10448614347885235</v>
      </c>
      <c r="BP65" s="182">
        <f>BP64/BP39</f>
        <v>0.15333437436943767</v>
      </c>
      <c r="BR65" s="182">
        <f>BR64/BR39</f>
        <v>0.20984089790559907</v>
      </c>
      <c r="BT65" s="182">
        <f>BT64/BT39</f>
        <v>5.3499215987454399E-2</v>
      </c>
      <c r="BV65" s="182">
        <f>BV64/BV39</f>
        <v>0.22638276741353991</v>
      </c>
      <c r="BX65" s="182">
        <f>BX64/BX39</f>
        <v>0.16304989295393718</v>
      </c>
      <c r="BZ65" s="182">
        <f>BZ64/BZ39</f>
        <v>0.119947175419768</v>
      </c>
      <c r="CA65" s="183"/>
      <c r="CB65" s="71"/>
      <c r="CC65" s="182">
        <f>CC64/CC39</f>
        <v>4.3771223110509953E-2</v>
      </c>
      <c r="CE65" s="182">
        <f>CE64/CE39</f>
        <v>0.14949933211594316</v>
      </c>
      <c r="CG65" s="182">
        <f>CG64/CG39</f>
        <v>0.22740622643520272</v>
      </c>
      <c r="CI65" s="182">
        <f>CI64/CI39</f>
        <v>5.9916048854193715E-2</v>
      </c>
      <c r="CK65" s="182">
        <f>CK64/CK39</f>
        <v>0.23944125727092191</v>
      </c>
      <c r="CM65" s="182">
        <f>CM64/CM39</f>
        <v>0.17143132705707434</v>
      </c>
      <c r="CO65" s="182">
        <f>CO64/CO39</f>
        <v>0.12678567299923585</v>
      </c>
      <c r="CP65" s="183"/>
      <c r="CQ65" s="71"/>
      <c r="CR65" s="182">
        <f>CR64/CR39</f>
        <v>0.1167681660976274</v>
      </c>
      <c r="CT65" s="182">
        <f>CT64/CT39</f>
        <v>0.14537703523971318</v>
      </c>
      <c r="CV65" s="182">
        <f>CV64/CV39</f>
        <v>0.24419196276996349</v>
      </c>
      <c r="CX65" s="182">
        <f>CX64/CX39</f>
        <v>6.6060039328947356E-2</v>
      </c>
      <c r="CZ65" s="182">
        <f>CZ64/CZ39</f>
        <v>0.2519250112367436</v>
      </c>
      <c r="DB65" s="182">
        <f>DB64/DB39</f>
        <v>0.17945061871202603</v>
      </c>
      <c r="DD65" s="182">
        <f>DD64/DD39</f>
        <v>0.13285545869283033</v>
      </c>
      <c r="DE65" s="183"/>
      <c r="DF65" s="71"/>
      <c r="DG65" s="182">
        <f>DG64/DG39</f>
        <v>0.12298403897798756</v>
      </c>
      <c r="DI65" s="182">
        <f>DI64/DI39</f>
        <v>0.14096837352026678</v>
      </c>
      <c r="DK65" s="182">
        <f>DK64/DK39</f>
        <v>0.26023070395256076</v>
      </c>
      <c r="DM65" s="182">
        <f>DM64/DM39</f>
        <v>7.1940750372446891E-2</v>
      </c>
      <c r="DO65" s="182">
        <f>DO64/DO39</f>
        <v>0.26385731470353535</v>
      </c>
      <c r="DQ65" s="182">
        <f>DQ64/DQ39</f>
        <v>0.2241683222469085</v>
      </c>
      <c r="DS65" s="182">
        <f>DS64/DS39</f>
        <v>0.14486895868132171</v>
      </c>
      <c r="DT65" s="183"/>
      <c r="DU65" s="71"/>
      <c r="DV65" s="182">
        <f>DV64/DV39</f>
        <v>0.12893083320497895</v>
      </c>
      <c r="DX65" s="182">
        <f>DX64/DX39</f>
        <v>0.13627432228703465</v>
      </c>
      <c r="DZ65" s="182">
        <f>DZ64/DZ39</f>
        <v>0.27555387246805113</v>
      </c>
      <c r="EB65" s="182">
        <f>EB64/EB39</f>
        <v>7.7567617391525914E-2</v>
      </c>
      <c r="ED65" s="182">
        <f>ED64/ED39</f>
        <v>0.27526070176302969</v>
      </c>
      <c r="EF65" s="182">
        <f>EF64/EF39</f>
        <v>0.23150388310992856</v>
      </c>
      <c r="EH65" s="182">
        <f>EH64/EH39</f>
        <v>0.15106145994532846</v>
      </c>
      <c r="EI65" s="183"/>
      <c r="EJ65" s="71"/>
      <c r="EK65" s="182">
        <f>EK64/EK39</f>
        <v>0.13461852832820059</v>
      </c>
      <c r="EM65" s="182">
        <f>EM64/EM39</f>
        <v>0.13129590842922925</v>
      </c>
      <c r="EO65" s="182">
        <f>EO64/EO39</f>
        <v>0.29019174304847639</v>
      </c>
      <c r="EQ65" s="182">
        <f>EQ64/EQ39</f>
        <v>8.2949927452649536E-2</v>
      </c>
      <c r="ES65" s="182">
        <f>ES64/ES39</f>
        <v>0.28615696277182245</v>
      </c>
      <c r="EU65" s="182">
        <f>EU64/EU39</f>
        <v>0.23851721911299567</v>
      </c>
      <c r="EW65" s="182">
        <f>EW64/EW39</f>
        <v>0.15703667748367273</v>
      </c>
      <c r="EX65" s="183"/>
      <c r="EY65" s="71"/>
      <c r="EZ65" s="182">
        <f>EZ64/EZ39</f>
        <v>0.140056905814442</v>
      </c>
      <c r="FB65" s="182">
        <f>FB64/FB39</f>
        <v>0.12603417945812678</v>
      </c>
      <c r="FD65" s="182">
        <f>FD64/FD39</f>
        <v>0.30417346983477572</v>
      </c>
      <c r="FF65" s="182">
        <f>FF64/FF39</f>
        <v>8.8096801015978859E-2</v>
      </c>
      <c r="FH65" s="182">
        <f>FH64/FH39</f>
        <v>0.29656715314883597</v>
      </c>
      <c r="FJ65" s="182">
        <f>FJ64/FJ39</f>
        <v>0.24522098107545287</v>
      </c>
      <c r="FL65" s="182">
        <f>FL64/FL39</f>
        <v>0.1627984810398074</v>
      </c>
      <c r="FM65" s="183"/>
      <c r="FN65" s="71"/>
      <c r="FO65" s="182">
        <f>FO64/FO39</f>
        <v>0.14525553463815452</v>
      </c>
      <c r="FQ65" s="182">
        <f>FQ64/FQ39</f>
        <v>0.12049017550137436</v>
      </c>
      <c r="FS65" s="182">
        <f>FS64/FS39</f>
        <v>0.31752711389945293</v>
      </c>
      <c r="FU65" s="182">
        <f>FU64/FU39</f>
        <v>9.3017176095094037E-2</v>
      </c>
      <c r="FW65" s="182">
        <f>FW64/FW39</f>
        <v>0.30651160336828592</v>
      </c>
      <c r="FY65" s="182">
        <f>FY64/FY39</f>
        <v>0.25162747689918996</v>
      </c>
      <c r="GA65" s="182">
        <f>GA64/GA39</f>
        <v>0.16835108239946589</v>
      </c>
      <c r="GB65" s="183"/>
      <c r="GC65" s="71"/>
      <c r="GD65" s="182">
        <f>GD64/GD39</f>
        <v>0.15022375911698771</v>
      </c>
      <c r="GF65" s="182">
        <f>GF64/GF39</f>
        <v>0.11466490408939677</v>
      </c>
      <c r="GH65" s="182">
        <f>GH64/GH39</f>
        <v>0.33027967110829776</v>
      </c>
      <c r="GJ65" s="182">
        <f>GJ64/GJ39</f>
        <v>9.7719794726811096E-2</v>
      </c>
      <c r="GL65" s="182">
        <f>GL64/GL39</f>
        <v>0.3160099300885047</v>
      </c>
      <c r="GN65" s="182">
        <f>GN64/GN39</f>
        <v>0.25774866533259194</v>
      </c>
      <c r="GP65" s="182">
        <f>GP64/GP39</f>
        <v>0.17369898128566361</v>
      </c>
      <c r="GQ65" s="183"/>
      <c r="GR65" s="71"/>
      <c r="GS65" s="182">
        <f>GS64/GS39</f>
        <v>0.15497068886472631</v>
      </c>
      <c r="GU65" s="182">
        <f>GU64/GU39</f>
        <v>0.10855931757999872</v>
      </c>
      <c r="GW65" s="182">
        <f>GW64/GW39</f>
        <v>0.34245710028013815</v>
      </c>
      <c r="GY65" s="182">
        <f>GY64/GY39</f>
        <v>0.10221319162048427</v>
      </c>
      <c r="HA65" s="182">
        <f>HA64/HA39</f>
        <v>0.32508104833938389</v>
      </c>
      <c r="HC65" s="182">
        <f>HC64/HC39</f>
        <v>0.26359615158241861</v>
      </c>
      <c r="HE65" s="182">
        <f>HE64/HE39</f>
        <v>0.17884691563885291</v>
      </c>
      <c r="HF65" s="183"/>
      <c r="HG65" s="71"/>
      <c r="HH65" s="182">
        <f>HH64/HH39</f>
        <v>0.15950519072364117</v>
      </c>
      <c r="HJ65" s="182">
        <f>HJ64/HJ39</f>
        <v>0.10217429305809551</v>
      </c>
      <c r="HL65" s="182">
        <f>HL64/HL39</f>
        <v>0.35408435158933227</v>
      </c>
      <c r="HN65" s="182">
        <f>HN64/HN39</f>
        <v>0.10650568484597338</v>
      </c>
      <c r="HP65" s="182">
        <f>HP64/HP39</f>
        <v>0.3337431846785695</v>
      </c>
      <c r="HR65" s="182">
        <f>HR64/HR39</f>
        <v>0.26918118464787261</v>
      </c>
      <c r="HT65" s="184">
        <f>HT64/HT39</f>
        <v>0.18379981614791177</v>
      </c>
      <c r="HU65" s="183"/>
      <c r="HX65" s="144"/>
    </row>
    <row r="66" spans="2:249" s="198" customFormat="1" ht="22.65" hidden="1" customHeight="1" thickTop="1">
      <c r="C66" s="199"/>
      <c r="E66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/>
      <c r="T66"/>
      <c r="U66" s="21"/>
      <c r="V66"/>
      <c r="W66" s="21"/>
      <c r="X66"/>
      <c r="Y66" s="21"/>
      <c r="Z66"/>
      <c r="AA66" s="21"/>
      <c r="AB66"/>
      <c r="AC66" s="21"/>
      <c r="AD66"/>
      <c r="AE66" s="21"/>
      <c r="AF66"/>
      <c r="AG66" s="21"/>
      <c r="AH66"/>
      <c r="AI66"/>
      <c r="AJ66" s="21"/>
      <c r="AK66"/>
      <c r="AL66" s="21"/>
      <c r="AM66"/>
      <c r="AN66" s="21"/>
      <c r="AO66"/>
      <c r="AP66" s="21"/>
      <c r="AQ66"/>
      <c r="AR66" s="21"/>
      <c r="AS66"/>
      <c r="AT66" s="21"/>
      <c r="AU66"/>
      <c r="AV66" s="21"/>
      <c r="AW66"/>
      <c r="AX66" s="21"/>
      <c r="AY66"/>
      <c r="AZ66"/>
      <c r="BA66"/>
      <c r="BB66"/>
      <c r="BC66"/>
      <c r="BD66"/>
      <c r="BE66"/>
      <c r="BF66"/>
      <c r="BG66"/>
      <c r="BH66"/>
      <c r="BI66"/>
      <c r="BJ66"/>
      <c r="BK66" s="21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1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 s="21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 s="21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 s="21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 s="21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 s="21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 s="21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 s="21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 s="21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 s="21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 s="21"/>
      <c r="HU66"/>
      <c r="HV66"/>
      <c r="HX66" s="85" t="s">
        <v>342</v>
      </c>
      <c r="HY66" s="6"/>
      <c r="HZ66" s="201"/>
      <c r="IA66" s="201">
        <f>-IA62/IA50</f>
        <v>137522.52500094843</v>
      </c>
      <c r="IB66" s="201">
        <f t="shared" ref="IB66:IM66" si="199">-IB62/IB50</f>
        <v>197735.60930424024</v>
      </c>
      <c r="IC66" s="201">
        <f t="shared" si="199"/>
        <v>208325.80676072816</v>
      </c>
      <c r="ID66" s="201">
        <f t="shared" si="199"/>
        <v>219430.01489641369</v>
      </c>
      <c r="IE66" s="201">
        <f t="shared" si="199"/>
        <v>231071.26522044127</v>
      </c>
      <c r="IF66" s="201">
        <f t="shared" si="199"/>
        <v>243274.34054983684</v>
      </c>
      <c r="IG66" s="201">
        <f t="shared" si="199"/>
        <v>256512.58873817572</v>
      </c>
      <c r="IH66" s="201">
        <f t="shared" si="199"/>
        <v>265135.6845488454</v>
      </c>
      <c r="II66" s="201">
        <f t="shared" si="199"/>
        <v>278923.26974740211</v>
      </c>
      <c r="IJ66" s="201">
        <f t="shared" si="199"/>
        <v>293372.35019365494</v>
      </c>
      <c r="IK66" s="201">
        <f t="shared" si="199"/>
        <v>308514.14402732649</v>
      </c>
      <c r="IL66" s="201">
        <f t="shared" si="199"/>
        <v>324381.45247920795</v>
      </c>
      <c r="IM66" s="201">
        <f t="shared" si="199"/>
        <v>341008.73698370834</v>
      </c>
      <c r="IN66" s="201">
        <f>-IN62/IN50</f>
        <v>358432.19970594428</v>
      </c>
      <c r="IO66" s="201">
        <f>-IO62/IO50</f>
        <v>376689.86770565517</v>
      </c>
    </row>
    <row r="67" spans="2:249" hidden="1">
      <c r="R67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G67" s="21">
        <f>+AG64-AG29</f>
        <v>0</v>
      </c>
      <c r="AH67"/>
      <c r="AR67"/>
      <c r="AV67" s="21">
        <f>+AV64-AV29</f>
        <v>-1.987340665247757</v>
      </c>
      <c r="AW67"/>
      <c r="BG67"/>
      <c r="BK67" s="21">
        <f>+BK64-BK29</f>
        <v>-1.9873406652914127</v>
      </c>
      <c r="BL67"/>
      <c r="BV67"/>
      <c r="BZ67" s="21">
        <f>+BZ64-BZ29</f>
        <v>-1.9873406652259291</v>
      </c>
      <c r="CA67"/>
      <c r="CK67"/>
      <c r="CO67" s="21">
        <f>+CO64-CO29</f>
        <v>-1.9873406652186532</v>
      </c>
      <c r="CP67"/>
      <c r="CZ67"/>
      <c r="DD67" s="21">
        <f>+DD64-DD29</f>
        <v>-1.9883384298591409</v>
      </c>
      <c r="DE67"/>
      <c r="DO67"/>
      <c r="DS67" s="21">
        <f>+DS64-DS29</f>
        <v>-1.988338429844589</v>
      </c>
      <c r="DT67"/>
      <c r="ED67"/>
      <c r="EH67" s="21">
        <f>+EH64-EH29</f>
        <v>-1.9883384298882447</v>
      </c>
      <c r="EI67"/>
      <c r="ES67"/>
      <c r="EW67" s="21">
        <f>+EW64-EW29</f>
        <v>-1.9883384298591409</v>
      </c>
      <c r="EX67"/>
      <c r="FH67"/>
      <c r="FL67" s="21">
        <f>+FL64-FL29</f>
        <v>-1.988338429844589</v>
      </c>
      <c r="FM67"/>
      <c r="FW67"/>
      <c r="GA67" s="21">
        <f>+GA64-GA29</f>
        <v>-1.9883384297863813</v>
      </c>
      <c r="GB67"/>
      <c r="GL67"/>
      <c r="GP67" s="21">
        <f>+GP64-GP29</f>
        <v>-1.9883384298591409</v>
      </c>
      <c r="GQ67"/>
      <c r="HA67"/>
      <c r="HE67" s="21">
        <f>+HE64-HE29</f>
        <v>-1.9883384298591409</v>
      </c>
      <c r="HF67"/>
      <c r="HP67"/>
      <c r="HT67" s="21">
        <f>+HT64-HT29</f>
        <v>-1.9883384298882447</v>
      </c>
      <c r="HU67"/>
    </row>
    <row r="68" spans="2:249" hidden="1">
      <c r="R68"/>
      <c r="AC68"/>
      <c r="AG68" s="60"/>
      <c r="AH68"/>
      <c r="AR68"/>
      <c r="AV68"/>
      <c r="AW68"/>
      <c r="BG68"/>
      <c r="BK68"/>
      <c r="BL68"/>
      <c r="BV68"/>
      <c r="BZ68"/>
      <c r="CA68"/>
      <c r="CK68"/>
      <c r="CO68"/>
      <c r="CP68"/>
      <c r="CZ68"/>
      <c r="DD68"/>
      <c r="DE68"/>
      <c r="DO68"/>
      <c r="DS68"/>
      <c r="DT68"/>
      <c r="ED68"/>
      <c r="EH68"/>
      <c r="EI68"/>
      <c r="ES68"/>
      <c r="EW68"/>
      <c r="EX68"/>
      <c r="FH68"/>
      <c r="FL68"/>
      <c r="FM68"/>
      <c r="FW68"/>
      <c r="GA68"/>
      <c r="GB68"/>
      <c r="GL68"/>
      <c r="GP68"/>
      <c r="GQ68"/>
      <c r="HA68"/>
      <c r="HE68"/>
      <c r="HF68"/>
      <c r="HP68"/>
      <c r="HT68" s="5"/>
      <c r="HU68"/>
      <c r="IA68" s="152"/>
      <c r="IB68" s="152"/>
      <c r="IC68" s="152"/>
      <c r="ID68" s="152"/>
      <c r="IE68" s="152"/>
      <c r="IF68" s="152"/>
      <c r="IG68" s="152"/>
      <c r="IH68" s="152"/>
      <c r="II68" s="152"/>
      <c r="IJ68" s="152"/>
      <c r="IK68" s="152"/>
      <c r="IL68" s="152"/>
      <c r="IM68" s="152"/>
      <c r="IN68" s="152"/>
      <c r="IO68" s="152"/>
    </row>
    <row r="69" spans="2:249" hidden="1">
      <c r="R69"/>
      <c r="AC69"/>
      <c r="AG69"/>
      <c r="AH69"/>
      <c r="AR69"/>
      <c r="AV69"/>
      <c r="AW69"/>
      <c r="BG69"/>
      <c r="BK69"/>
      <c r="BL69"/>
      <c r="BV69"/>
      <c r="BZ69"/>
      <c r="CA69"/>
      <c r="CK69"/>
      <c r="CO69"/>
      <c r="CP69"/>
      <c r="CZ69"/>
      <c r="DD69"/>
      <c r="DE69"/>
      <c r="DO69"/>
      <c r="DS69"/>
      <c r="DT69"/>
      <c r="ED69"/>
      <c r="EH69"/>
      <c r="EI69"/>
      <c r="ES69"/>
      <c r="EW69"/>
      <c r="EX69"/>
      <c r="FH69"/>
      <c r="FL69"/>
      <c r="FM69"/>
      <c r="FW69"/>
      <c r="GA69"/>
      <c r="GB69"/>
      <c r="GL69"/>
      <c r="GP69"/>
      <c r="GQ69"/>
      <c r="HA69"/>
      <c r="HE69"/>
      <c r="HF69"/>
      <c r="HP69"/>
      <c r="HT69" s="5"/>
      <c r="HU69"/>
      <c r="HX69" s="85"/>
      <c r="IA69" s="201"/>
      <c r="IB69" s="201"/>
      <c r="IC69" s="201"/>
      <c r="ID69" s="201"/>
      <c r="IE69" s="201"/>
      <c r="IF69" s="201"/>
      <c r="IG69" s="201"/>
      <c r="IH69" s="201"/>
      <c r="II69" s="201"/>
      <c r="IJ69" s="201"/>
      <c r="IK69" s="201"/>
      <c r="IL69" s="201"/>
      <c r="IM69" s="201"/>
      <c r="IN69" s="201"/>
      <c r="IO69" s="201"/>
    </row>
    <row r="70" spans="2:249" hidden="1">
      <c r="R70"/>
      <c r="AC70"/>
      <c r="AG70"/>
      <c r="AH70"/>
      <c r="AR70"/>
      <c r="AV70"/>
      <c r="AW70"/>
      <c r="BG70"/>
      <c r="BK70"/>
      <c r="BL70"/>
      <c r="BV70"/>
      <c r="BZ70"/>
      <c r="CA70"/>
      <c r="CK70"/>
      <c r="CO70"/>
      <c r="CP70"/>
      <c r="CZ70"/>
      <c r="DD70"/>
      <c r="DE70"/>
      <c r="DO70"/>
      <c r="DS70"/>
      <c r="DT70"/>
      <c r="ED70"/>
      <c r="EH70"/>
      <c r="EI70"/>
      <c r="ES70"/>
      <c r="EW70"/>
      <c r="EX70"/>
      <c r="FH70"/>
      <c r="FL70"/>
      <c r="FM70"/>
      <c r="FW70"/>
      <c r="GA70"/>
      <c r="GB70"/>
      <c r="GL70"/>
      <c r="GP70"/>
      <c r="GQ70"/>
      <c r="HA70"/>
      <c r="HE70"/>
      <c r="HF70"/>
      <c r="HP70"/>
      <c r="HT70" s="5"/>
      <c r="HU70"/>
      <c r="IA70" s="152"/>
      <c r="IB70" s="152"/>
      <c r="IC70" s="152"/>
      <c r="ID70" s="152"/>
      <c r="IE70" s="152"/>
      <c r="IF70" s="152"/>
      <c r="IG70" s="152"/>
      <c r="IH70" s="152"/>
      <c r="II70" s="152"/>
      <c r="IJ70" s="152"/>
      <c r="IK70" s="152"/>
      <c r="IL70" s="152"/>
      <c r="IM70" s="152"/>
      <c r="IN70" s="152"/>
      <c r="IO70" s="152"/>
    </row>
    <row r="71" spans="2:249" ht="19.2" hidden="1" customHeight="1">
      <c r="F71" s="197"/>
      <c r="G71" s="197"/>
      <c r="H71" s="197"/>
      <c r="I71" s="197"/>
      <c r="J71" s="197"/>
      <c r="R71"/>
      <c r="AC71"/>
      <c r="AG71"/>
      <c r="AH71"/>
      <c r="AR71"/>
      <c r="AV71"/>
      <c r="AW71"/>
      <c r="BG71"/>
      <c r="BK71"/>
      <c r="BL71"/>
      <c r="BV71"/>
      <c r="BZ71"/>
      <c r="CA71"/>
      <c r="CK71"/>
      <c r="CO71"/>
      <c r="CP71"/>
      <c r="CZ71"/>
      <c r="DD71"/>
      <c r="DE71"/>
      <c r="DO71"/>
      <c r="DS71"/>
      <c r="DT71"/>
      <c r="ED71"/>
      <c r="EH71"/>
      <c r="EI71"/>
      <c r="ES71"/>
      <c r="EW71"/>
      <c r="EX71"/>
      <c r="FH71"/>
      <c r="FL71"/>
      <c r="FM71"/>
      <c r="FW71"/>
      <c r="GA71"/>
      <c r="GB71"/>
      <c r="GL71"/>
      <c r="GP71"/>
      <c r="GQ71"/>
      <c r="HA71"/>
      <c r="HE71"/>
      <c r="HF71"/>
      <c r="HP71"/>
      <c r="HT71" s="5"/>
      <c r="HU71"/>
      <c r="HX71" s="202"/>
      <c r="IA71" s="85"/>
      <c r="IB71" s="85"/>
      <c r="IC71" s="85"/>
      <c r="ID71" s="85"/>
      <c r="IE71" s="85"/>
      <c r="IF71" s="85"/>
      <c r="IG71" s="85"/>
      <c r="IH71" s="85"/>
      <c r="II71" s="85"/>
      <c r="IJ71" s="85"/>
      <c r="IK71" s="85"/>
      <c r="IL71" s="85"/>
      <c r="IM71" s="85"/>
      <c r="IN71" s="85"/>
      <c r="IO71" s="85"/>
    </row>
    <row r="72" spans="2:249" ht="24" hidden="1" customHeight="1">
      <c r="F72" s="197"/>
      <c r="G72" s="197"/>
      <c r="H72" s="197"/>
      <c r="I72" s="197"/>
      <c r="J72" s="197"/>
      <c r="R72"/>
      <c r="AC72"/>
      <c r="AG72"/>
      <c r="AH72"/>
      <c r="AR72"/>
      <c r="AV72"/>
      <c r="AW72"/>
      <c r="BG72"/>
      <c r="BK72"/>
      <c r="BL72"/>
      <c r="BV72"/>
      <c r="BZ72"/>
      <c r="CA72"/>
      <c r="CK72"/>
      <c r="CO72"/>
      <c r="CP72"/>
      <c r="CZ72"/>
      <c r="DD72"/>
      <c r="DE72"/>
      <c r="DO72"/>
      <c r="DS72"/>
      <c r="DT72"/>
      <c r="ED72"/>
      <c r="EH72"/>
      <c r="EI72"/>
      <c r="ES72"/>
      <c r="EW72"/>
      <c r="EX72"/>
      <c r="FH72"/>
      <c r="FL72"/>
      <c r="FM72"/>
      <c r="FW72"/>
      <c r="GA72"/>
      <c r="GB72"/>
      <c r="GJ72" s="1"/>
      <c r="GL72"/>
      <c r="GP72"/>
      <c r="GQ72"/>
      <c r="GY72" s="1"/>
      <c r="HA72"/>
      <c r="HE72"/>
      <c r="HF72"/>
      <c r="HN72" s="1"/>
      <c r="HP72"/>
      <c r="HT72" s="5"/>
      <c r="HU72"/>
      <c r="HX72" s="202"/>
      <c r="IA72" s="203"/>
      <c r="IB72" s="204"/>
      <c r="IC72" s="205"/>
      <c r="ID72" s="205"/>
      <c r="IE72" s="205"/>
      <c r="IF72" s="205"/>
      <c r="IG72" s="205"/>
      <c r="IH72" s="205"/>
      <c r="II72" s="205"/>
      <c r="IJ72" s="205"/>
      <c r="IK72" s="205"/>
      <c r="IL72" s="205"/>
      <c r="IM72" s="205"/>
      <c r="IN72" s="205"/>
      <c r="IO72" s="205"/>
    </row>
    <row r="73" spans="2:249" hidden="1">
      <c r="F73" s="197"/>
      <c r="G73" s="197"/>
      <c r="H73" s="197"/>
      <c r="I73" s="197"/>
      <c r="J73" s="197"/>
      <c r="R73"/>
      <c r="AC73"/>
      <c r="AG73"/>
      <c r="AH73"/>
      <c r="AR73"/>
      <c r="AV73"/>
      <c r="AW73"/>
      <c r="BG73"/>
      <c r="BK73"/>
      <c r="BL73"/>
      <c r="BV73"/>
      <c r="BZ73"/>
      <c r="CA73"/>
      <c r="CK73"/>
      <c r="CO73"/>
      <c r="CP73"/>
      <c r="CZ73"/>
      <c r="DD73"/>
      <c r="DE73"/>
      <c r="DO73"/>
      <c r="DS73"/>
      <c r="DT73"/>
      <c r="ED73"/>
      <c r="EH73"/>
      <c r="EI73"/>
      <c r="ES73"/>
      <c r="EW73"/>
      <c r="EX73"/>
      <c r="FH73"/>
      <c r="FL73"/>
      <c r="FM73"/>
      <c r="FW73"/>
      <c r="GA73"/>
      <c r="GB73"/>
      <c r="GL73"/>
      <c r="GP73"/>
      <c r="GQ73"/>
      <c r="HA73"/>
      <c r="HE73"/>
      <c r="HF73"/>
      <c r="HP73"/>
      <c r="HT73" s="5"/>
      <c r="HU73"/>
      <c r="HX73" s="202"/>
      <c r="IA73" s="206"/>
      <c r="IB73" s="207"/>
      <c r="IC73" s="74"/>
      <c r="ID73" s="74"/>
      <c r="IE73" s="74"/>
      <c r="IF73" s="74"/>
      <c r="IG73" s="74"/>
      <c r="IH73" s="74"/>
      <c r="II73" s="74"/>
      <c r="IJ73" s="74"/>
      <c r="IK73" s="74"/>
      <c r="IL73" s="74"/>
      <c r="IM73" s="74"/>
      <c r="IN73" s="74"/>
      <c r="IO73" s="74"/>
    </row>
    <row r="74" spans="2:249" ht="15" hidden="1" thickBot="1">
      <c r="F74" s="197"/>
      <c r="G74" s="197"/>
      <c r="H74" s="197"/>
      <c r="I74" s="197"/>
      <c r="J74" s="197"/>
      <c r="R74"/>
      <c r="AC74"/>
      <c r="AG74"/>
      <c r="AH74"/>
      <c r="AR74"/>
      <c r="AV74"/>
      <c r="AW74"/>
      <c r="BG74"/>
      <c r="BK74"/>
      <c r="BL74"/>
      <c r="BV74"/>
      <c r="BZ74"/>
      <c r="CA74"/>
      <c r="CK74"/>
      <c r="CO74"/>
      <c r="CP74"/>
      <c r="CZ74"/>
      <c r="DD74"/>
      <c r="DE74"/>
      <c r="DO74"/>
      <c r="DS74"/>
      <c r="DT74"/>
      <c r="ED74"/>
      <c r="EH74"/>
      <c r="EI74"/>
      <c r="ES74"/>
      <c r="EW74"/>
      <c r="EX74"/>
      <c r="FH74"/>
      <c r="FL74"/>
      <c r="FM74"/>
      <c r="FW74"/>
      <c r="GA74"/>
      <c r="GB74"/>
      <c r="GL74"/>
      <c r="GP74"/>
      <c r="GQ74"/>
      <c r="HA74"/>
      <c r="HE74"/>
      <c r="HF74"/>
      <c r="HP74"/>
      <c r="HT74" s="5"/>
      <c r="HU74"/>
      <c r="HX74" s="202"/>
      <c r="IA74" s="208">
        <f>SUM(IA72:IA73)</f>
        <v>0</v>
      </c>
      <c r="IB74" s="208">
        <f t="shared" ref="IB74:IL74" si="200">SUM(IB72:IB73)</f>
        <v>0</v>
      </c>
      <c r="IC74" s="208">
        <f t="shared" si="200"/>
        <v>0</v>
      </c>
      <c r="ID74" s="208">
        <f t="shared" si="200"/>
        <v>0</v>
      </c>
      <c r="IE74" s="208">
        <f t="shared" si="200"/>
        <v>0</v>
      </c>
      <c r="IF74" s="208">
        <f t="shared" si="200"/>
        <v>0</v>
      </c>
      <c r="IG74" s="208">
        <f t="shared" si="200"/>
        <v>0</v>
      </c>
      <c r="IH74" s="208">
        <f t="shared" si="200"/>
        <v>0</v>
      </c>
      <c r="II74" s="208">
        <f t="shared" si="200"/>
        <v>0</v>
      </c>
      <c r="IJ74" s="208">
        <f t="shared" si="200"/>
        <v>0</v>
      </c>
      <c r="IK74" s="208">
        <f t="shared" si="200"/>
        <v>0</v>
      </c>
      <c r="IL74" s="208">
        <f t="shared" si="200"/>
        <v>0</v>
      </c>
      <c r="IM74" s="208">
        <f>SUM(IM72:IM73)</f>
        <v>0</v>
      </c>
      <c r="IN74" s="208">
        <f>SUM(IN72:IN73)</f>
        <v>0</v>
      </c>
      <c r="IO74" s="208">
        <f>SUM(IO72:IO73)</f>
        <v>0</v>
      </c>
    </row>
    <row r="75" spans="2:249" hidden="1">
      <c r="R75"/>
      <c r="AC75"/>
      <c r="AG75"/>
      <c r="AH75"/>
      <c r="AR75"/>
      <c r="AV75"/>
      <c r="AW75"/>
      <c r="BG75"/>
      <c r="BK75"/>
      <c r="BL75"/>
      <c r="BV75"/>
      <c r="BZ75"/>
      <c r="CA75"/>
      <c r="CK75"/>
      <c r="CO75"/>
      <c r="CP75"/>
      <c r="CZ75"/>
      <c r="DD75"/>
      <c r="DE75"/>
      <c r="DO75"/>
      <c r="DS75"/>
      <c r="DT75"/>
      <c r="ED75"/>
      <c r="EH75"/>
      <c r="EI75"/>
      <c r="ES75"/>
      <c r="EW75"/>
      <c r="EX75"/>
      <c r="FH75"/>
      <c r="FL75"/>
      <c r="FM75"/>
      <c r="FW75"/>
      <c r="GA75"/>
      <c r="GB75"/>
      <c r="GL75"/>
      <c r="GP75"/>
      <c r="GQ75"/>
      <c r="HA75"/>
      <c r="HE75"/>
      <c r="HF75"/>
      <c r="HP75"/>
      <c r="HT75" s="5"/>
      <c r="HU75"/>
      <c r="HX75" s="209"/>
      <c r="IA75" s="74"/>
      <c r="IB75" s="74"/>
      <c r="IC75" s="74"/>
      <c r="ID75" s="74"/>
      <c r="IE75" s="74"/>
      <c r="IF75" s="74"/>
      <c r="IG75" s="74"/>
      <c r="IH75" s="74"/>
      <c r="II75" s="74"/>
      <c r="IJ75" s="74"/>
      <c r="IK75" s="74"/>
      <c r="IL75" s="74"/>
      <c r="IM75" s="74"/>
      <c r="IN75" s="74"/>
      <c r="IO75" s="74"/>
    </row>
    <row r="76" spans="2:249" s="5" customFormat="1" ht="25.2" hidden="1" customHeight="1">
      <c r="E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U76"/>
      <c r="HV76"/>
      <c r="HX76" s="210" t="s">
        <v>343</v>
      </c>
      <c r="HY76" s="6"/>
      <c r="HZ76" s="6"/>
      <c r="IA76" s="74"/>
      <c r="IB76" s="74">
        <v>0.05</v>
      </c>
      <c r="IC76" s="74"/>
      <c r="ID76" s="74"/>
      <c r="IE76" s="74"/>
      <c r="IF76" s="74"/>
      <c r="IG76" s="74"/>
      <c r="IH76" s="74"/>
      <c r="II76" s="74"/>
      <c r="IJ76" s="74"/>
      <c r="IK76" s="74"/>
      <c r="IL76" s="74"/>
      <c r="IM76" s="211"/>
      <c r="IN76" s="211"/>
      <c r="IO76" s="211"/>
    </row>
    <row r="77" spans="2:249" s="5" customFormat="1" ht="25.2" hidden="1" customHeight="1">
      <c r="E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U77"/>
      <c r="HV77"/>
      <c r="HX77" s="212" t="s">
        <v>344</v>
      </c>
      <c r="HY77" s="6"/>
      <c r="HZ77" s="6"/>
      <c r="IA77" s="212"/>
      <c r="IB77" s="213">
        <v>0.05</v>
      </c>
      <c r="IC77" s="213">
        <v>0.05</v>
      </c>
      <c r="ID77" s="213">
        <v>0.05</v>
      </c>
      <c r="IE77" s="213">
        <v>0.05</v>
      </c>
      <c r="IF77" s="213">
        <v>0.05</v>
      </c>
      <c r="IG77" s="213">
        <v>0.05</v>
      </c>
      <c r="IH77" s="213">
        <v>0.05</v>
      </c>
      <c r="II77" s="213">
        <v>0.05</v>
      </c>
      <c r="IJ77" s="213">
        <v>0.05</v>
      </c>
      <c r="IK77" s="213">
        <v>0.05</v>
      </c>
      <c r="IL77" s="213">
        <v>0.05</v>
      </c>
      <c r="IM77" s="213">
        <v>0.05</v>
      </c>
      <c r="IN77" s="213">
        <v>0.05</v>
      </c>
      <c r="IO77" s="213">
        <v>0.05</v>
      </c>
    </row>
    <row r="78" spans="2:249" s="5" customFormat="1" ht="25.2" hidden="1" customHeight="1">
      <c r="E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U78"/>
      <c r="HV78"/>
      <c r="HX78" s="214"/>
      <c r="HY78" s="6"/>
      <c r="HZ78" s="6"/>
      <c r="IA78" s="204"/>
      <c r="IB78" s="213">
        <v>0.05</v>
      </c>
      <c r="IC78" s="213">
        <v>0.05</v>
      </c>
      <c r="ID78" s="213">
        <v>0.05</v>
      </c>
      <c r="IE78" s="213">
        <v>0.05</v>
      </c>
      <c r="IF78" s="213">
        <v>0.05</v>
      </c>
      <c r="IG78" s="213">
        <v>0.05</v>
      </c>
      <c r="IH78" s="213">
        <v>0.05</v>
      </c>
      <c r="II78" s="213">
        <v>0.05</v>
      </c>
      <c r="IJ78" s="213">
        <v>0.05</v>
      </c>
      <c r="IK78" s="213">
        <v>0.05</v>
      </c>
      <c r="IL78" s="213">
        <v>0.05</v>
      </c>
      <c r="IM78" s="213">
        <v>0.05</v>
      </c>
      <c r="IN78" s="213">
        <v>0.05</v>
      </c>
      <c r="IO78" s="213">
        <v>0.05</v>
      </c>
    </row>
    <row r="79" spans="2:249" s="5" customFormat="1" ht="25.2" hidden="1" customHeight="1"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U79"/>
      <c r="HV79"/>
      <c r="HX79" s="214"/>
      <c r="HY79" s="6"/>
      <c r="HZ79" s="6"/>
      <c r="IA79" s="204"/>
      <c r="IB79" s="213"/>
      <c r="IC79" s="205"/>
      <c r="ID79" s="205"/>
      <c r="IE79" s="205"/>
      <c r="IF79" s="205"/>
      <c r="IG79" s="205"/>
      <c r="IH79" s="205"/>
      <c r="II79" s="205"/>
      <c r="IJ79" s="205"/>
      <c r="IK79" s="205"/>
      <c r="IL79" s="205"/>
      <c r="IM79" s="205"/>
      <c r="IN79" s="205"/>
      <c r="IO79" s="205"/>
    </row>
    <row r="80" spans="2:249" s="5" customFormat="1" ht="25.2" hidden="1" customHeight="1"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U80"/>
      <c r="HV80"/>
      <c r="HX80" s="212" t="s">
        <v>345</v>
      </c>
      <c r="HY80" s="6"/>
      <c r="HZ80" s="6"/>
      <c r="IA80" s="207"/>
      <c r="IB80" s="213">
        <v>0.1</v>
      </c>
      <c r="IC80" s="213">
        <v>0.1</v>
      </c>
      <c r="ID80" s="213">
        <v>0.1</v>
      </c>
      <c r="IE80" s="213">
        <v>0.1</v>
      </c>
      <c r="IF80" s="213">
        <v>0.1</v>
      </c>
      <c r="IG80" s="213">
        <v>0.1</v>
      </c>
      <c r="IH80" s="213">
        <v>0.1</v>
      </c>
      <c r="II80" s="213">
        <v>0.1</v>
      </c>
      <c r="IJ80" s="213">
        <v>0.1</v>
      </c>
      <c r="IK80" s="213">
        <v>0.1</v>
      </c>
      <c r="IL80" s="213">
        <v>0.1</v>
      </c>
      <c r="IM80" s="213">
        <v>0.1</v>
      </c>
      <c r="IN80" s="213">
        <v>0.1</v>
      </c>
      <c r="IO80" s="213">
        <v>0.1</v>
      </c>
    </row>
    <row r="81" spans="2:249" s="5" customFormat="1" ht="25.2" hidden="1" customHeight="1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U81"/>
      <c r="HV81"/>
      <c r="HX81" s="214" t="s">
        <v>346</v>
      </c>
      <c r="HY81" s="6"/>
      <c r="HZ81" s="6"/>
      <c r="IA81" s="204"/>
      <c r="IB81" s="213">
        <v>0.15</v>
      </c>
      <c r="IC81" s="213">
        <v>0.15</v>
      </c>
      <c r="ID81" s="213">
        <v>0.1</v>
      </c>
      <c r="IE81" s="213">
        <v>0.1</v>
      </c>
      <c r="IF81" s="213">
        <v>0.1</v>
      </c>
      <c r="IG81" s="213">
        <v>0.1</v>
      </c>
      <c r="IH81" s="213">
        <v>0.1</v>
      </c>
      <c r="II81" s="213">
        <v>0.1</v>
      </c>
      <c r="IJ81" s="213">
        <v>0.1</v>
      </c>
      <c r="IK81" s="213">
        <v>0.1</v>
      </c>
      <c r="IL81" s="213">
        <v>0.1</v>
      </c>
      <c r="IM81" s="213">
        <v>0.1</v>
      </c>
      <c r="IN81" s="213">
        <v>0.1</v>
      </c>
      <c r="IO81" s="213">
        <v>0.1</v>
      </c>
    </row>
    <row r="82" spans="2:249" s="5" customFormat="1" ht="25.2" hidden="1" customHeight="1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U82"/>
      <c r="HV82"/>
      <c r="HX82" s="210" t="s">
        <v>347</v>
      </c>
      <c r="HY82" s="6"/>
      <c r="HZ82" s="6"/>
      <c r="IA82" s="207"/>
      <c r="IB82" s="213">
        <v>0.05</v>
      </c>
      <c r="IC82" s="74"/>
      <c r="ID82" s="213"/>
      <c r="IE82" s="213"/>
      <c r="IF82" s="213"/>
      <c r="IG82" s="213"/>
      <c r="IH82" s="213"/>
      <c r="II82" s="213"/>
      <c r="IJ82" s="213"/>
      <c r="IK82" s="213"/>
      <c r="IL82" s="213"/>
      <c r="IM82" s="213"/>
      <c r="IN82" s="213"/>
      <c r="IO82" s="213"/>
    </row>
    <row r="83" spans="2:249" s="5" customFormat="1" ht="25.2" hidden="1" customHeight="1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U83"/>
      <c r="HV83"/>
      <c r="HX83" s="214"/>
      <c r="HY83" s="6"/>
      <c r="HZ83" s="6"/>
      <c r="IA83" s="204"/>
      <c r="IB83" s="213">
        <v>0.05</v>
      </c>
      <c r="IC83" s="205"/>
      <c r="ID83" s="213"/>
      <c r="IE83" s="213"/>
      <c r="IF83" s="213"/>
      <c r="IG83" s="213"/>
      <c r="IH83" s="213"/>
      <c r="II83" s="213"/>
      <c r="IJ83" s="213"/>
      <c r="IK83" s="213"/>
      <c r="IL83" s="213"/>
      <c r="IM83" s="213"/>
      <c r="IN83" s="213"/>
      <c r="IO83" s="213"/>
    </row>
    <row r="84" spans="2:249" s="5" customFormat="1" ht="25.2" hidden="1" customHeight="1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U84"/>
      <c r="HV84"/>
      <c r="HX84" s="212" t="s">
        <v>348</v>
      </c>
      <c r="HY84" s="6"/>
      <c r="HZ84" s="6"/>
      <c r="IA84" s="207"/>
      <c r="IB84" s="213">
        <v>0.05</v>
      </c>
      <c r="IC84" s="213">
        <v>0.05</v>
      </c>
      <c r="ID84" s="213">
        <v>0.05</v>
      </c>
      <c r="IE84" s="213">
        <v>0.05</v>
      </c>
      <c r="IF84" s="213">
        <v>0.05</v>
      </c>
      <c r="IG84" s="213">
        <v>0.05</v>
      </c>
      <c r="IH84" s="213">
        <v>0.05</v>
      </c>
      <c r="II84" s="213">
        <v>0.05</v>
      </c>
      <c r="IJ84" s="213">
        <v>0.05</v>
      </c>
      <c r="IK84" s="213">
        <v>0.05</v>
      </c>
      <c r="IL84" s="213">
        <v>0.05</v>
      </c>
      <c r="IM84" s="213">
        <v>0.05</v>
      </c>
      <c r="IN84" s="213">
        <v>0.05</v>
      </c>
      <c r="IO84" s="213">
        <v>0.05</v>
      </c>
    </row>
    <row r="85" spans="2:249" s="5" customFormat="1" ht="25.2" hidden="1" customHeight="1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U85"/>
      <c r="HV85"/>
      <c r="HX85" s="214" t="s">
        <v>349</v>
      </c>
      <c r="HY85" s="6"/>
      <c r="HZ85" s="6"/>
      <c r="IA85" s="204"/>
      <c r="IB85" s="213">
        <v>0.03</v>
      </c>
      <c r="IC85" s="213">
        <v>0.03</v>
      </c>
      <c r="ID85" s="213">
        <v>0.03</v>
      </c>
      <c r="IE85" s="213">
        <v>0.03</v>
      </c>
      <c r="IF85" s="213">
        <v>0.03</v>
      </c>
      <c r="IG85" s="213">
        <v>0.03</v>
      </c>
      <c r="IH85" s="213">
        <v>0.03</v>
      </c>
      <c r="II85" s="213">
        <v>0.03</v>
      </c>
      <c r="IJ85" s="213">
        <v>0.03</v>
      </c>
      <c r="IK85" s="213">
        <v>0.03</v>
      </c>
      <c r="IL85" s="213">
        <v>0.03</v>
      </c>
      <c r="IM85" s="213">
        <v>0.03</v>
      </c>
      <c r="IN85" s="213">
        <v>0.03</v>
      </c>
      <c r="IO85" s="213">
        <v>0.03</v>
      </c>
    </row>
    <row r="86" spans="2:249" s="5" customFormat="1" ht="25.2" hidden="1" customHeight="1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U86"/>
      <c r="HV86"/>
      <c r="HX86" s="212" t="s">
        <v>350</v>
      </c>
      <c r="HY86" s="6"/>
      <c r="HZ86" s="6"/>
      <c r="IA86" s="207"/>
      <c r="IB86" s="213">
        <v>0.03</v>
      </c>
      <c r="IC86" s="213">
        <v>0.03</v>
      </c>
      <c r="ID86" s="213">
        <v>0.03</v>
      </c>
      <c r="IE86" s="213">
        <v>0.03</v>
      </c>
      <c r="IF86" s="213">
        <v>0.03</v>
      </c>
      <c r="IG86" s="213">
        <v>0.03</v>
      </c>
      <c r="IH86" s="213">
        <v>0.03</v>
      </c>
      <c r="II86" s="213">
        <v>0.03</v>
      </c>
      <c r="IJ86" s="213">
        <v>0.03</v>
      </c>
      <c r="IK86" s="213">
        <v>0.03</v>
      </c>
      <c r="IL86" s="213">
        <v>0.03</v>
      </c>
      <c r="IM86" s="213">
        <v>0.03</v>
      </c>
      <c r="IN86" s="213">
        <v>0.03</v>
      </c>
      <c r="IO86" s="213">
        <v>0.03</v>
      </c>
    </row>
    <row r="87" spans="2:249" hidden="1">
      <c r="N87"/>
      <c r="R87"/>
      <c r="AC87"/>
      <c r="AG87"/>
      <c r="AH87"/>
      <c r="AR87"/>
      <c r="AV87"/>
      <c r="AW87"/>
      <c r="BG87"/>
      <c r="BK87"/>
      <c r="BL87"/>
      <c r="BV87"/>
      <c r="BZ87"/>
      <c r="CA87"/>
      <c r="CK87"/>
      <c r="CO87"/>
      <c r="CP87"/>
      <c r="CZ87"/>
      <c r="DD87"/>
      <c r="DE87"/>
      <c r="DO87"/>
      <c r="DS87"/>
      <c r="DT87"/>
      <c r="ED87"/>
      <c r="EH87"/>
      <c r="EI87"/>
      <c r="ES87"/>
      <c r="EW87"/>
      <c r="EX87"/>
      <c r="FH87"/>
      <c r="FL87"/>
      <c r="FM87"/>
      <c r="FW87"/>
      <c r="GA87"/>
      <c r="GB87"/>
      <c r="GL87"/>
      <c r="GP87"/>
      <c r="GQ87"/>
      <c r="HA87"/>
      <c r="HE87"/>
      <c r="HF87"/>
      <c r="HP87"/>
      <c r="HT87" s="5"/>
      <c r="HU87"/>
      <c r="IM87" s="152"/>
      <c r="IN87" s="152"/>
      <c r="IO87" s="152"/>
    </row>
    <row r="88" spans="2:249" hidden="1">
      <c r="N88"/>
      <c r="R88"/>
      <c r="AC88"/>
      <c r="AG88"/>
      <c r="AH88"/>
      <c r="AR88"/>
      <c r="AV88"/>
      <c r="AW88"/>
      <c r="BG88"/>
      <c r="BK88"/>
      <c r="BL88"/>
      <c r="BV88"/>
      <c r="BZ88"/>
      <c r="CA88"/>
      <c r="CK88"/>
      <c r="CO88"/>
      <c r="CP88"/>
      <c r="CZ88"/>
      <c r="DD88"/>
      <c r="DE88"/>
      <c r="DO88"/>
      <c r="DS88"/>
      <c r="DT88"/>
      <c r="ED88"/>
      <c r="EH88"/>
      <c r="EI88"/>
      <c r="ES88"/>
      <c r="EW88"/>
      <c r="EX88"/>
      <c r="FH88"/>
      <c r="FL88"/>
      <c r="FM88"/>
      <c r="FW88"/>
      <c r="GA88"/>
      <c r="GB88"/>
      <c r="GL88"/>
      <c r="GP88"/>
      <c r="GQ88"/>
      <c r="HA88"/>
      <c r="HE88"/>
      <c r="HF88"/>
      <c r="HP88"/>
      <c r="HT88" s="5"/>
      <c r="HU88"/>
    </row>
    <row r="89" spans="2:249" hidden="1">
      <c r="N89"/>
      <c r="R89"/>
      <c r="AC89"/>
      <c r="AG89"/>
      <c r="AH89"/>
      <c r="AR89"/>
      <c r="AV89"/>
      <c r="AW89"/>
      <c r="BG89"/>
      <c r="BK89"/>
      <c r="BL89"/>
      <c r="BV89"/>
      <c r="BZ89"/>
      <c r="CA89"/>
      <c r="CK89"/>
      <c r="CO89"/>
      <c r="CP89"/>
      <c r="CZ89"/>
      <c r="DD89"/>
      <c r="DE89"/>
      <c r="DO89"/>
      <c r="DS89"/>
      <c r="DT89"/>
      <c r="ED89"/>
      <c r="EH89"/>
      <c r="EI89"/>
      <c r="ES89"/>
      <c r="EW89"/>
      <c r="EX89"/>
      <c r="FH89"/>
      <c r="FL89"/>
      <c r="FM89"/>
      <c r="FW89"/>
      <c r="GA89"/>
      <c r="GB89"/>
      <c r="GL89"/>
      <c r="GP89"/>
      <c r="GQ89"/>
      <c r="HA89"/>
      <c r="HE89"/>
      <c r="HF89"/>
      <c r="HP89"/>
      <c r="HT89" s="5"/>
      <c r="HU89"/>
    </row>
    <row r="90" spans="2:249" hidden="1">
      <c r="N90"/>
      <c r="R90"/>
      <c r="AC90"/>
      <c r="AG90"/>
      <c r="AH90"/>
      <c r="AR90"/>
      <c r="AV90"/>
      <c r="AW90"/>
      <c r="BG90"/>
      <c r="BK90"/>
      <c r="BL90"/>
      <c r="BV90"/>
      <c r="BZ90"/>
      <c r="CA90"/>
      <c r="CK90"/>
      <c r="CO90"/>
      <c r="CP90"/>
      <c r="CZ90"/>
      <c r="DD90"/>
      <c r="DE90"/>
      <c r="DO90"/>
      <c r="DS90"/>
      <c r="DT90"/>
      <c r="ED90"/>
      <c r="EH90"/>
      <c r="EI90"/>
      <c r="ES90"/>
      <c r="EW90"/>
      <c r="EX90"/>
      <c r="FH90"/>
      <c r="FL90"/>
      <c r="FM90"/>
      <c r="FW90"/>
      <c r="GA90"/>
      <c r="GB90"/>
      <c r="GL90"/>
      <c r="GP90"/>
      <c r="GQ90"/>
      <c r="HA90"/>
      <c r="HE90"/>
      <c r="HF90"/>
      <c r="HP90"/>
      <c r="HT90" s="5"/>
      <c r="HU90"/>
    </row>
    <row r="91" spans="2:249" hidden="1">
      <c r="N91"/>
      <c r="R91"/>
      <c r="AC91"/>
      <c r="AG91"/>
      <c r="AH91"/>
      <c r="AR91"/>
      <c r="AV91"/>
      <c r="AW91"/>
      <c r="BG91"/>
      <c r="BK91"/>
      <c r="BL91"/>
      <c r="BV91"/>
      <c r="BZ91"/>
      <c r="CA91"/>
      <c r="CK91"/>
      <c r="CO91"/>
      <c r="CP91"/>
      <c r="CZ91"/>
      <c r="DD91"/>
      <c r="DE91"/>
      <c r="DO91"/>
      <c r="DS91"/>
      <c r="DT91"/>
      <c r="ED91"/>
      <c r="EH91"/>
      <c r="EI91"/>
      <c r="ES91"/>
      <c r="EW91"/>
      <c r="EX91"/>
      <c r="FH91"/>
      <c r="FL91"/>
      <c r="FM91"/>
      <c r="FW91"/>
      <c r="GA91"/>
      <c r="GB91"/>
      <c r="GL91"/>
      <c r="GP91"/>
      <c r="GQ91"/>
      <c r="HA91"/>
      <c r="HE91"/>
      <c r="HF91"/>
      <c r="HP91"/>
      <c r="HT91" s="5"/>
      <c r="HU91"/>
    </row>
    <row r="92" spans="2:249" hidden="1">
      <c r="N92"/>
      <c r="R92"/>
      <c r="AC92"/>
      <c r="AG92"/>
      <c r="AH92"/>
      <c r="AR92"/>
      <c r="AV92"/>
      <c r="AW92"/>
      <c r="BG92"/>
      <c r="BK92"/>
      <c r="BL92"/>
      <c r="BV92"/>
      <c r="BZ92"/>
      <c r="CA92"/>
      <c r="CK92"/>
      <c r="CO92"/>
      <c r="CP92"/>
      <c r="CZ92"/>
      <c r="DD92"/>
      <c r="DE92"/>
      <c r="DO92"/>
      <c r="DS92"/>
      <c r="DT92"/>
      <c r="ED92"/>
      <c r="EH92"/>
      <c r="EI92"/>
      <c r="ES92"/>
      <c r="EW92"/>
      <c r="EX92"/>
      <c r="FH92"/>
      <c r="FL92"/>
      <c r="FM92"/>
      <c r="FW92"/>
      <c r="GA92"/>
      <c r="GB92"/>
      <c r="GL92"/>
      <c r="GP92"/>
      <c r="GQ92"/>
      <c r="HA92"/>
      <c r="HE92"/>
      <c r="HF92"/>
      <c r="HP92"/>
      <c r="HT92" s="5"/>
      <c r="HU92"/>
      <c r="IA92" s="152"/>
      <c r="IB92" s="152"/>
      <c r="IC92" s="152"/>
      <c r="ID92" s="152"/>
      <c r="IE92" s="152"/>
      <c r="IF92" s="152"/>
      <c r="IG92" s="152"/>
      <c r="IH92" s="152"/>
      <c r="II92" s="152"/>
      <c r="IJ92" s="152"/>
      <c r="IK92" s="152"/>
      <c r="IL92" s="152"/>
      <c r="IM92" s="152"/>
      <c r="IN92" s="152"/>
      <c r="IO92" s="152"/>
    </row>
    <row r="93" spans="2:249" hidden="1">
      <c r="N93"/>
      <c r="R93"/>
      <c r="AC93"/>
      <c r="AG93"/>
      <c r="AH93"/>
      <c r="AR93"/>
      <c r="AV93"/>
      <c r="AW93"/>
      <c r="BG93"/>
      <c r="BK93"/>
      <c r="BL93"/>
      <c r="BV93"/>
      <c r="BZ93"/>
      <c r="CA93"/>
      <c r="CK93"/>
      <c r="CO93"/>
      <c r="CP93"/>
      <c r="CZ93"/>
      <c r="DD93"/>
      <c r="DE93"/>
      <c r="DO93"/>
      <c r="DS93"/>
      <c r="DT93"/>
      <c r="ED93"/>
      <c r="EH93"/>
      <c r="EI93"/>
      <c r="ES93"/>
      <c r="EW93"/>
      <c r="EX93"/>
      <c r="FH93"/>
      <c r="FL93"/>
      <c r="FM93"/>
      <c r="FW93"/>
      <c r="GA93"/>
      <c r="GB93"/>
      <c r="GL93"/>
      <c r="GP93"/>
      <c r="GQ93"/>
      <c r="HA93"/>
      <c r="HE93"/>
      <c r="HF93"/>
      <c r="HP93"/>
      <c r="HT93" s="5"/>
      <c r="HU93"/>
      <c r="IA93" s="152"/>
      <c r="IB93" s="152"/>
      <c r="IC93" s="152"/>
      <c r="ID93" s="152"/>
      <c r="IE93" s="152"/>
      <c r="IF93" s="152"/>
      <c r="IG93" s="152"/>
      <c r="IH93" s="152"/>
      <c r="II93" s="152"/>
      <c r="IJ93" s="152"/>
      <c r="IK93" s="152"/>
      <c r="IL93" s="152"/>
      <c r="IM93" s="152"/>
      <c r="IN93" s="152"/>
      <c r="IO93" s="152"/>
    </row>
    <row r="94" spans="2:249" hidden="1">
      <c r="N94"/>
      <c r="R94"/>
      <c r="AC94"/>
      <c r="AG94"/>
      <c r="AH94"/>
      <c r="AR94"/>
      <c r="AV94"/>
      <c r="AW94"/>
      <c r="BG94"/>
      <c r="BK94"/>
      <c r="BL94"/>
      <c r="BV94"/>
      <c r="BZ94"/>
      <c r="CA94"/>
      <c r="CK94"/>
      <c r="CO94"/>
      <c r="CP94"/>
      <c r="CZ94"/>
      <c r="DD94"/>
      <c r="DE94"/>
      <c r="DO94"/>
      <c r="DS94"/>
      <c r="DT94"/>
      <c r="ED94"/>
      <c r="EH94"/>
      <c r="EI94"/>
      <c r="ES94"/>
      <c r="EW94"/>
      <c r="EX94"/>
      <c r="FH94"/>
      <c r="FL94"/>
      <c r="FM94"/>
      <c r="FW94"/>
      <c r="GA94"/>
      <c r="GB94"/>
      <c r="GL94"/>
      <c r="GP94"/>
      <c r="GQ94"/>
      <c r="HA94"/>
      <c r="HE94"/>
      <c r="HF94"/>
      <c r="HP94"/>
      <c r="HT94" s="5"/>
      <c r="HU94"/>
      <c r="IA94" s="152"/>
      <c r="IB94" s="152"/>
      <c r="IC94" s="152"/>
      <c r="ID94" s="152"/>
      <c r="IE94" s="152"/>
      <c r="IF94" s="152"/>
      <c r="IG94" s="152"/>
      <c r="IH94" s="152"/>
      <c r="II94" s="152"/>
      <c r="IJ94" s="152"/>
      <c r="IK94" s="152"/>
      <c r="IL94" s="152"/>
      <c r="IM94" s="152"/>
      <c r="IN94" s="152"/>
      <c r="IO94" s="152"/>
    </row>
    <row r="95" spans="2:249" hidden="1">
      <c r="N95"/>
      <c r="R95"/>
      <c r="AC95"/>
      <c r="AG95"/>
      <c r="AH95"/>
      <c r="AR95"/>
      <c r="AV95"/>
      <c r="AW95"/>
      <c r="BG95"/>
      <c r="BK95"/>
      <c r="BL95"/>
      <c r="BV95"/>
      <c r="BZ95"/>
      <c r="CA95"/>
      <c r="CK95"/>
      <c r="CO95"/>
      <c r="CP95"/>
      <c r="CZ95"/>
      <c r="DD95"/>
      <c r="DE95"/>
      <c r="DO95"/>
      <c r="DS95"/>
      <c r="DT95"/>
      <c r="ED95"/>
      <c r="EH95"/>
      <c r="EI95"/>
      <c r="ES95"/>
      <c r="EW95"/>
      <c r="EX95"/>
      <c r="FH95"/>
      <c r="FL95"/>
      <c r="FM95"/>
      <c r="FW95"/>
      <c r="GA95"/>
      <c r="GB95"/>
      <c r="GL95"/>
      <c r="GP95"/>
      <c r="GQ95"/>
      <c r="HA95"/>
      <c r="HE95"/>
      <c r="HF95"/>
      <c r="HP95"/>
      <c r="HT95" s="5"/>
      <c r="HU95"/>
      <c r="IA95" s="152"/>
      <c r="IB95" s="152"/>
      <c r="IC95" s="152"/>
      <c r="ID95" s="152"/>
      <c r="IE95" s="152"/>
      <c r="IF95" s="152"/>
      <c r="IG95" s="152"/>
      <c r="IH95" s="152"/>
      <c r="II95" s="152"/>
      <c r="IJ95" s="152"/>
      <c r="IK95" s="152"/>
      <c r="IL95" s="152"/>
      <c r="IM95" s="152"/>
      <c r="IN95" s="152"/>
      <c r="IO95" s="152"/>
    </row>
    <row r="96" spans="2:249" hidden="1">
      <c r="N96"/>
      <c r="R96"/>
      <c r="AC96"/>
      <c r="AG96"/>
      <c r="AH96"/>
      <c r="AR96"/>
      <c r="AV96"/>
      <c r="AW96"/>
      <c r="BG96"/>
      <c r="BK96"/>
      <c r="BL96"/>
      <c r="BV96"/>
      <c r="BZ96"/>
      <c r="CA96"/>
      <c r="CK96"/>
      <c r="CO96"/>
      <c r="CP96"/>
      <c r="CZ96"/>
      <c r="DD96"/>
      <c r="DE96"/>
      <c r="DO96"/>
      <c r="DS96"/>
      <c r="DT96"/>
      <c r="ED96"/>
      <c r="EH96"/>
      <c r="EI96"/>
      <c r="ES96"/>
      <c r="EW96"/>
      <c r="EX96"/>
      <c r="FH96"/>
      <c r="FL96"/>
      <c r="FM96"/>
      <c r="FW96"/>
      <c r="GA96"/>
      <c r="GB96"/>
      <c r="GL96"/>
      <c r="GP96"/>
      <c r="GQ96"/>
      <c r="HA96"/>
      <c r="HE96"/>
      <c r="HF96"/>
      <c r="HP96"/>
      <c r="HT96" s="5"/>
      <c r="HU96"/>
      <c r="HX96" s="152"/>
      <c r="IA96" s="152"/>
      <c r="IB96" s="152"/>
      <c r="IC96" s="152"/>
      <c r="ID96" s="152"/>
      <c r="IE96" s="152"/>
      <c r="IF96" s="152"/>
      <c r="IG96" s="152"/>
      <c r="IH96" s="152"/>
      <c r="II96" s="152"/>
      <c r="IJ96" s="152"/>
      <c r="IK96" s="152"/>
      <c r="IL96" s="152"/>
      <c r="IM96" s="152"/>
      <c r="IN96" s="152"/>
      <c r="IO96" s="152"/>
    </row>
    <row r="97" spans="14:249" hidden="1">
      <c r="N97"/>
      <c r="R97"/>
      <c r="AC97"/>
      <c r="AG97"/>
      <c r="AH97"/>
      <c r="AR97"/>
      <c r="AV97"/>
      <c r="AW97"/>
      <c r="BG97"/>
      <c r="BK97"/>
      <c r="BL97"/>
      <c r="BV97"/>
      <c r="BZ97"/>
      <c r="CA97"/>
      <c r="CK97"/>
      <c r="CO97"/>
      <c r="CP97"/>
      <c r="CZ97"/>
      <c r="DD97"/>
      <c r="DE97"/>
      <c r="DO97"/>
      <c r="DS97"/>
      <c r="DT97"/>
      <c r="ED97"/>
      <c r="EH97"/>
      <c r="EI97"/>
      <c r="ES97"/>
      <c r="EW97"/>
      <c r="EX97"/>
      <c r="FH97"/>
      <c r="FL97"/>
      <c r="FM97"/>
      <c r="FW97"/>
      <c r="GA97"/>
      <c r="GB97"/>
      <c r="GL97"/>
      <c r="GP97"/>
      <c r="GQ97"/>
      <c r="HA97"/>
      <c r="HE97"/>
      <c r="HF97"/>
      <c r="HP97"/>
      <c r="HT97" s="5"/>
      <c r="HU97"/>
      <c r="HX97" s="152"/>
      <c r="IA97" s="152"/>
      <c r="IB97" s="152"/>
      <c r="IC97" s="152"/>
      <c r="ID97" s="152"/>
      <c r="IE97" s="152"/>
      <c r="IF97" s="152"/>
      <c r="IG97" s="152"/>
      <c r="IH97" s="152"/>
      <c r="II97" s="152"/>
      <c r="IJ97" s="152"/>
      <c r="IK97" s="152"/>
      <c r="IL97" s="152"/>
      <c r="IM97" s="152"/>
      <c r="IN97" s="152"/>
      <c r="IO97" s="152"/>
    </row>
    <row r="98" spans="14:249" hidden="1">
      <c r="N98"/>
      <c r="R98"/>
      <c r="AC98"/>
      <c r="AG98"/>
      <c r="AH98"/>
      <c r="AR98"/>
      <c r="AV98"/>
      <c r="AW98"/>
      <c r="BG98"/>
      <c r="BK98"/>
      <c r="BL98"/>
      <c r="BV98"/>
      <c r="BZ98"/>
      <c r="CA98"/>
      <c r="CK98"/>
      <c r="CO98"/>
      <c r="CP98"/>
      <c r="CZ98"/>
      <c r="DD98"/>
      <c r="DE98"/>
      <c r="DO98"/>
      <c r="DS98"/>
      <c r="DT98"/>
      <c r="ED98"/>
      <c r="EH98"/>
      <c r="EI98"/>
      <c r="ES98"/>
      <c r="EW98"/>
      <c r="EX98"/>
      <c r="FH98"/>
      <c r="FL98"/>
      <c r="FM98"/>
      <c r="FW98"/>
      <c r="GA98"/>
      <c r="GB98"/>
      <c r="GL98"/>
      <c r="GP98"/>
      <c r="GQ98"/>
      <c r="HA98"/>
      <c r="HE98"/>
      <c r="HF98"/>
      <c r="HP98"/>
      <c r="HT98" s="5"/>
      <c r="HU98"/>
      <c r="HX98" s="152"/>
      <c r="IA98" s="152"/>
      <c r="IB98" s="152"/>
      <c r="IC98" s="152"/>
      <c r="ID98" s="152"/>
      <c r="IE98" s="152"/>
      <c r="IF98" s="152"/>
      <c r="IG98" s="152"/>
      <c r="IH98" s="152"/>
      <c r="II98" s="152"/>
      <c r="IJ98" s="152"/>
      <c r="IK98" s="152"/>
      <c r="IL98" s="152"/>
      <c r="IM98" s="152"/>
      <c r="IN98" s="152"/>
      <c r="IO98" s="152"/>
    </row>
    <row r="99" spans="14:249" hidden="1">
      <c r="N99"/>
      <c r="R99"/>
      <c r="AC99"/>
      <c r="AG99"/>
      <c r="AH99"/>
      <c r="AR99"/>
      <c r="AV99"/>
      <c r="AW99"/>
      <c r="BG99"/>
      <c r="BK99"/>
      <c r="BL99"/>
      <c r="BV99"/>
      <c r="BZ99"/>
      <c r="CA99"/>
      <c r="CK99"/>
      <c r="CO99"/>
      <c r="CP99"/>
      <c r="CZ99"/>
      <c r="DD99"/>
      <c r="DE99"/>
      <c r="DO99"/>
      <c r="DS99"/>
      <c r="DT99"/>
      <c r="ED99"/>
      <c r="EH99"/>
      <c r="EI99"/>
      <c r="ES99"/>
      <c r="EW99"/>
      <c r="EX99"/>
      <c r="FH99"/>
      <c r="FL99"/>
      <c r="FM99"/>
      <c r="FW99"/>
      <c r="GA99"/>
      <c r="GB99"/>
      <c r="GL99"/>
      <c r="GP99"/>
      <c r="GQ99"/>
      <c r="HA99"/>
      <c r="HE99"/>
      <c r="HF99"/>
      <c r="HP99"/>
      <c r="HT99" s="5"/>
      <c r="HU99"/>
      <c r="HX99" s="152"/>
      <c r="IA99" s="152"/>
      <c r="IB99" s="152"/>
      <c r="IC99" s="152"/>
      <c r="ID99" s="152"/>
      <c r="IE99" s="152"/>
      <c r="IF99" s="152"/>
      <c r="IG99" s="152"/>
      <c r="IH99" s="152"/>
      <c r="II99" s="152"/>
      <c r="IJ99" s="152"/>
      <c r="IK99" s="152"/>
      <c r="IL99" s="152"/>
      <c r="IM99" s="152"/>
      <c r="IN99" s="152"/>
      <c r="IO99" s="152"/>
    </row>
    <row r="100" spans="14:249" hidden="1">
      <c r="N100"/>
      <c r="R100"/>
      <c r="AC100"/>
      <c r="AG100"/>
      <c r="AH100"/>
      <c r="AR100"/>
      <c r="AV100"/>
      <c r="AW100"/>
      <c r="BG100"/>
      <c r="BK100"/>
      <c r="BL100"/>
      <c r="BV100"/>
      <c r="BZ100"/>
      <c r="CA100"/>
      <c r="CK100"/>
      <c r="CO100"/>
      <c r="CP100"/>
      <c r="CZ100"/>
      <c r="DD100"/>
      <c r="DE100"/>
      <c r="DO100"/>
      <c r="DS100"/>
      <c r="DT100"/>
      <c r="ED100"/>
      <c r="EH100"/>
      <c r="EI100"/>
      <c r="ES100"/>
      <c r="EW100"/>
      <c r="EX100"/>
      <c r="FH100"/>
      <c r="FL100"/>
      <c r="FM100"/>
      <c r="FW100"/>
      <c r="GA100"/>
      <c r="GB100"/>
      <c r="GL100"/>
      <c r="GP100"/>
      <c r="GQ100"/>
      <c r="HA100"/>
      <c r="HE100"/>
      <c r="HF100"/>
      <c r="HP100"/>
      <c r="HT100" s="5"/>
      <c r="HU100"/>
      <c r="HX100" s="152"/>
      <c r="IA100" s="152"/>
      <c r="IB100" s="152"/>
      <c r="IC100" s="152"/>
      <c r="ID100" s="152"/>
      <c r="IE100" s="152"/>
      <c r="IF100" s="152"/>
      <c r="IG100" s="152"/>
      <c r="IH100" s="152"/>
      <c r="II100" s="152"/>
      <c r="IJ100" s="152"/>
      <c r="IK100" s="152"/>
      <c r="IL100" s="152"/>
      <c r="IM100" s="152"/>
      <c r="IN100" s="152"/>
      <c r="IO100" s="152"/>
    </row>
    <row r="101" spans="14:249" hidden="1">
      <c r="N101"/>
      <c r="R101"/>
      <c r="AC101"/>
      <c r="AG101"/>
      <c r="AH101"/>
      <c r="AR101"/>
      <c r="AV101"/>
      <c r="AW101"/>
      <c r="BG101"/>
      <c r="BK101"/>
      <c r="BL101"/>
      <c r="BV101"/>
      <c r="BZ101"/>
      <c r="CA101"/>
      <c r="CK101"/>
      <c r="CO101"/>
      <c r="CP101"/>
      <c r="CZ101"/>
      <c r="DD101"/>
      <c r="DE101"/>
      <c r="DO101"/>
      <c r="DS101"/>
      <c r="DT101"/>
      <c r="ED101"/>
      <c r="EH101"/>
      <c r="EI101"/>
      <c r="ES101"/>
      <c r="EW101"/>
      <c r="EX101"/>
      <c r="FH101"/>
      <c r="FL101"/>
      <c r="FM101"/>
      <c r="FW101"/>
      <c r="GA101"/>
      <c r="GB101"/>
      <c r="GL101"/>
      <c r="GP101"/>
      <c r="GQ101"/>
      <c r="HA101"/>
      <c r="HE101"/>
      <c r="HF101"/>
      <c r="HP101"/>
      <c r="HT101" s="5"/>
      <c r="HU101"/>
      <c r="HX101" s="152"/>
      <c r="IA101" s="152"/>
      <c r="IB101" s="152"/>
      <c r="IC101" s="152"/>
      <c r="ID101" s="152">
        <f>HX101+IC101</f>
        <v>0</v>
      </c>
      <c r="IE101" s="152"/>
      <c r="IF101" s="152"/>
      <c r="IG101" s="152"/>
      <c r="IH101" s="152"/>
      <c r="II101" s="152"/>
      <c r="IJ101" s="152"/>
      <c r="IK101" s="152"/>
      <c r="IL101" s="152"/>
      <c r="IM101" s="152"/>
      <c r="IN101" s="152"/>
      <c r="IO101" s="152"/>
    </row>
    <row r="102" spans="14:249" hidden="1">
      <c r="N102"/>
      <c r="R102"/>
      <c r="AC102"/>
      <c r="AG102"/>
      <c r="AH102"/>
      <c r="AR102"/>
      <c r="AV102"/>
      <c r="AW102"/>
      <c r="BG102"/>
      <c r="BK102"/>
      <c r="BL102"/>
      <c r="BV102"/>
      <c r="BZ102"/>
      <c r="CA102"/>
      <c r="CK102"/>
      <c r="CO102"/>
      <c r="CP102"/>
      <c r="CZ102"/>
      <c r="DD102"/>
      <c r="DE102"/>
      <c r="DO102"/>
      <c r="DS102"/>
      <c r="DT102"/>
      <c r="ED102"/>
      <c r="EH102"/>
      <c r="EI102"/>
      <c r="ES102"/>
      <c r="EW102"/>
      <c r="EX102"/>
      <c r="FH102"/>
      <c r="FL102"/>
      <c r="FM102"/>
      <c r="FW102"/>
      <c r="GA102"/>
      <c r="GB102"/>
      <c r="GL102"/>
      <c r="GP102"/>
      <c r="GQ102"/>
      <c r="HA102"/>
      <c r="HE102"/>
      <c r="HF102"/>
      <c r="HP102"/>
      <c r="HT102" s="5"/>
      <c r="HU102"/>
      <c r="HX102" s="152"/>
      <c r="IA102" s="152"/>
      <c r="IB102" s="152"/>
      <c r="IC102" s="152"/>
      <c r="ID102" s="152"/>
      <c r="IE102" s="152"/>
      <c r="IF102" s="152"/>
      <c r="IG102" s="152"/>
      <c r="IH102" s="152"/>
      <c r="II102" s="152"/>
      <c r="IJ102" s="152"/>
      <c r="IK102" s="152"/>
      <c r="IL102" s="152"/>
      <c r="IM102" s="152"/>
      <c r="IN102" s="152"/>
      <c r="IO102" s="152"/>
    </row>
    <row r="103" spans="14:249" hidden="1">
      <c r="N103"/>
      <c r="R103"/>
      <c r="AC103"/>
      <c r="AG103"/>
      <c r="AH103"/>
      <c r="AR103"/>
      <c r="AV103"/>
      <c r="AW103"/>
      <c r="BG103"/>
      <c r="BK103"/>
      <c r="BL103"/>
      <c r="BV103"/>
      <c r="BZ103"/>
      <c r="CA103"/>
      <c r="CK103"/>
      <c r="CO103"/>
      <c r="CP103"/>
      <c r="CZ103"/>
      <c r="DD103"/>
      <c r="DE103"/>
      <c r="DO103"/>
      <c r="DS103"/>
      <c r="DT103"/>
      <c r="ED103"/>
      <c r="EH103"/>
      <c r="EI103"/>
      <c r="ES103"/>
      <c r="EW103"/>
      <c r="EX103"/>
      <c r="FH103"/>
      <c r="FL103"/>
      <c r="FM103"/>
      <c r="FW103"/>
      <c r="GA103"/>
      <c r="GB103"/>
      <c r="GL103"/>
      <c r="GP103"/>
      <c r="GQ103"/>
      <c r="HA103"/>
      <c r="HE103"/>
      <c r="HF103"/>
      <c r="HP103"/>
      <c r="HT103" s="5"/>
      <c r="HU103"/>
      <c r="HX103" s="152"/>
      <c r="IA103" s="152"/>
      <c r="IB103" s="152"/>
      <c r="IC103" s="152"/>
      <c r="ID103" s="152"/>
      <c r="IE103" s="152"/>
      <c r="IF103" s="152"/>
      <c r="IG103" s="152"/>
      <c r="IH103" s="152"/>
      <c r="II103" s="152"/>
      <c r="IJ103" s="152"/>
      <c r="IK103" s="152"/>
      <c r="IL103" s="152"/>
      <c r="IM103" s="152"/>
      <c r="IN103" s="152"/>
      <c r="IO103" s="152"/>
    </row>
    <row r="104" spans="14:249" hidden="1">
      <c r="N104"/>
      <c r="R104"/>
      <c r="AC104"/>
      <c r="AG104"/>
      <c r="AH104"/>
      <c r="AR104"/>
      <c r="AV104"/>
      <c r="AW104"/>
      <c r="BG104"/>
      <c r="BK104"/>
      <c r="BL104"/>
      <c r="BV104"/>
      <c r="BZ104"/>
      <c r="CA104"/>
      <c r="CK104"/>
      <c r="CO104"/>
      <c r="CP104"/>
      <c r="CZ104"/>
      <c r="DD104"/>
      <c r="DE104"/>
      <c r="DO104"/>
      <c r="DS104"/>
      <c r="DT104"/>
      <c r="ED104"/>
      <c r="EH104"/>
      <c r="EI104"/>
      <c r="ES104"/>
      <c r="EW104"/>
      <c r="EX104"/>
      <c r="FH104"/>
      <c r="FL104"/>
      <c r="FM104"/>
      <c r="FW104"/>
      <c r="GA104"/>
      <c r="GB104"/>
      <c r="GL104"/>
      <c r="GP104"/>
      <c r="GQ104"/>
      <c r="HA104"/>
      <c r="HE104"/>
      <c r="HF104"/>
      <c r="HP104"/>
      <c r="HT104" s="5"/>
      <c r="HU104"/>
      <c r="HX104" s="152"/>
      <c r="IA104" s="152"/>
      <c r="IB104" s="152"/>
      <c r="IC104" s="152"/>
      <c r="ID104" s="152"/>
      <c r="IE104" s="152"/>
      <c r="IF104" s="152"/>
      <c r="IG104" s="152"/>
      <c r="IH104" s="152"/>
      <c r="II104" s="152"/>
      <c r="IJ104" s="152"/>
      <c r="IK104" s="152"/>
      <c r="IL104" s="152"/>
      <c r="IM104" s="152"/>
      <c r="IN104" s="152"/>
      <c r="IO104" s="152"/>
    </row>
    <row r="105" spans="14:249" hidden="1">
      <c r="N105"/>
      <c r="R105"/>
      <c r="AC105"/>
      <c r="AG105"/>
      <c r="AH105"/>
      <c r="AR105"/>
      <c r="AV105"/>
      <c r="AW105"/>
      <c r="BG105"/>
      <c r="BK105"/>
      <c r="BL105"/>
      <c r="BV105"/>
      <c r="BZ105"/>
      <c r="CA105"/>
      <c r="CK105"/>
      <c r="CO105"/>
      <c r="CP105"/>
      <c r="CZ105"/>
      <c r="DD105"/>
      <c r="DE105"/>
      <c r="DO105"/>
      <c r="DS105"/>
      <c r="DT105"/>
      <c r="ED105"/>
      <c r="EH105"/>
      <c r="EI105"/>
      <c r="ES105"/>
      <c r="EW105"/>
      <c r="EX105"/>
      <c r="FH105"/>
      <c r="FL105"/>
      <c r="FM105"/>
      <c r="FW105"/>
      <c r="GA105"/>
      <c r="GB105"/>
      <c r="GL105"/>
      <c r="GP105"/>
      <c r="GQ105"/>
      <c r="HA105"/>
      <c r="HE105"/>
      <c r="HF105"/>
      <c r="HP105"/>
      <c r="HT105" s="5"/>
      <c r="HU105"/>
      <c r="HX105" s="152"/>
      <c r="IA105" s="152"/>
      <c r="IB105" s="152"/>
      <c r="IC105" s="152"/>
      <c r="ID105" s="152"/>
      <c r="IE105" s="152"/>
      <c r="IF105" s="152"/>
      <c r="IG105" s="152"/>
      <c r="IH105" s="152"/>
      <c r="II105" s="152"/>
      <c r="IJ105" s="152"/>
      <c r="IK105" s="152"/>
      <c r="IL105" s="152"/>
      <c r="IM105" s="152"/>
      <c r="IN105" s="152"/>
      <c r="IO105" s="152"/>
    </row>
    <row r="106" spans="14:249" hidden="1">
      <c r="N106"/>
      <c r="R106"/>
      <c r="AC106"/>
      <c r="AG106"/>
      <c r="AH106"/>
      <c r="AR106"/>
      <c r="AV106"/>
      <c r="AW106"/>
      <c r="BG106"/>
      <c r="BK106"/>
      <c r="BL106"/>
      <c r="BV106"/>
      <c r="BZ106"/>
      <c r="CA106"/>
      <c r="CK106"/>
      <c r="CO106"/>
      <c r="CP106"/>
      <c r="CZ106"/>
      <c r="DD106"/>
      <c r="DE106"/>
      <c r="DO106"/>
      <c r="DS106"/>
      <c r="DT106"/>
      <c r="ED106"/>
      <c r="EH106"/>
      <c r="EI106"/>
      <c r="ES106"/>
      <c r="EW106"/>
      <c r="EX106"/>
      <c r="FH106"/>
      <c r="FL106"/>
      <c r="FM106"/>
      <c r="FW106"/>
      <c r="GA106"/>
      <c r="GB106"/>
      <c r="GL106"/>
      <c r="GP106"/>
      <c r="GQ106"/>
      <c r="HA106"/>
      <c r="HE106"/>
      <c r="HF106"/>
      <c r="HP106"/>
      <c r="HT106" s="5"/>
      <c r="HU106"/>
      <c r="HX106" s="152"/>
      <c r="IA106" s="152"/>
      <c r="IB106" s="152"/>
      <c r="IC106" s="152"/>
      <c r="ID106" s="152"/>
      <c r="IE106" s="152"/>
      <c r="IF106" s="152"/>
      <c r="IG106" s="152"/>
      <c r="IH106" s="152"/>
      <c r="II106" s="152"/>
      <c r="IJ106" s="152"/>
      <c r="IK106" s="152"/>
      <c r="IL106" s="152"/>
      <c r="IM106" s="152"/>
      <c r="IN106" s="152"/>
      <c r="IO106" s="152"/>
    </row>
    <row r="107" spans="14:249" hidden="1">
      <c r="N107"/>
      <c r="R107"/>
      <c r="AC107"/>
      <c r="AG107"/>
      <c r="AH107"/>
      <c r="AR107"/>
      <c r="AV107"/>
      <c r="AW107"/>
      <c r="BG107"/>
      <c r="BK107"/>
      <c r="BL107"/>
      <c r="BV107"/>
      <c r="BZ107"/>
      <c r="CA107"/>
      <c r="CK107"/>
      <c r="CO107"/>
      <c r="CP107"/>
      <c r="CZ107"/>
      <c r="DD107"/>
      <c r="DE107"/>
      <c r="DO107"/>
      <c r="DS107"/>
      <c r="DT107"/>
      <c r="ED107"/>
      <c r="EH107"/>
      <c r="EI107"/>
      <c r="ES107"/>
      <c r="EW107"/>
      <c r="EX107"/>
      <c r="FH107"/>
      <c r="FL107"/>
      <c r="FM107"/>
      <c r="FW107"/>
      <c r="GA107"/>
      <c r="GB107"/>
      <c r="GL107"/>
      <c r="GP107"/>
      <c r="GQ107"/>
      <c r="HA107"/>
      <c r="HE107"/>
      <c r="HF107"/>
      <c r="HP107"/>
      <c r="HT107" s="5"/>
      <c r="HU107"/>
      <c r="HX107" s="152"/>
      <c r="IA107" s="152"/>
      <c r="IB107" s="152"/>
      <c r="IC107" s="152"/>
      <c r="ID107" s="152"/>
      <c r="IE107" s="152"/>
      <c r="IF107" s="152"/>
      <c r="IG107" s="152"/>
      <c r="IH107" s="152"/>
      <c r="II107" s="152"/>
      <c r="IJ107" s="152"/>
      <c r="IK107" s="152"/>
      <c r="IL107" s="152"/>
      <c r="IM107" s="152"/>
      <c r="IN107" s="152"/>
      <c r="IO107" s="152"/>
    </row>
    <row r="108" spans="14:249" hidden="1">
      <c r="N108"/>
      <c r="R108"/>
      <c r="AC108"/>
      <c r="AG108"/>
      <c r="AH108"/>
      <c r="AR108"/>
      <c r="AV108"/>
      <c r="AW108"/>
      <c r="BG108"/>
      <c r="BK108"/>
      <c r="BL108"/>
      <c r="BV108"/>
      <c r="BZ108"/>
      <c r="CA108"/>
      <c r="CK108"/>
      <c r="CO108"/>
      <c r="CP108"/>
      <c r="CZ108"/>
      <c r="DD108"/>
      <c r="DE108"/>
      <c r="DO108"/>
      <c r="DS108"/>
      <c r="DT108"/>
      <c r="ED108"/>
      <c r="EH108"/>
      <c r="EI108"/>
      <c r="ES108"/>
      <c r="EW108"/>
      <c r="EX108"/>
      <c r="FH108"/>
      <c r="FL108"/>
      <c r="FM108"/>
      <c r="FW108"/>
      <c r="GA108"/>
      <c r="GB108"/>
      <c r="GL108"/>
      <c r="GP108"/>
      <c r="GQ108"/>
      <c r="HA108"/>
      <c r="HE108"/>
      <c r="HF108"/>
      <c r="HP108"/>
      <c r="HT108" s="5"/>
      <c r="HU108"/>
      <c r="HX108" s="152"/>
      <c r="IA108" s="152"/>
      <c r="IB108" s="152"/>
      <c r="IC108" s="152"/>
      <c r="ID108" s="152"/>
      <c r="IE108" s="152"/>
      <c r="IF108" s="152"/>
      <c r="IG108" s="152"/>
      <c r="IH108" s="152"/>
      <c r="II108" s="152"/>
      <c r="IJ108" s="152"/>
      <c r="IK108" s="152"/>
      <c r="IL108" s="152"/>
      <c r="IM108" s="152"/>
      <c r="IN108" s="152"/>
      <c r="IO108" s="152"/>
    </row>
    <row r="109" spans="14:249" hidden="1">
      <c r="N109"/>
      <c r="R109"/>
      <c r="AC109"/>
      <c r="AG109"/>
      <c r="AH109"/>
      <c r="AR109"/>
      <c r="AV109"/>
      <c r="AW109"/>
      <c r="BG109"/>
      <c r="BK109"/>
      <c r="BL109"/>
      <c r="BV109"/>
      <c r="BZ109"/>
      <c r="CA109"/>
      <c r="CK109"/>
      <c r="CO109"/>
      <c r="CP109"/>
      <c r="CZ109"/>
      <c r="DD109"/>
      <c r="DE109"/>
      <c r="DO109"/>
      <c r="DS109"/>
      <c r="DT109"/>
      <c r="ED109"/>
      <c r="EH109"/>
      <c r="EI109"/>
      <c r="ES109"/>
      <c r="EW109"/>
      <c r="EX109"/>
      <c r="FH109"/>
      <c r="FL109"/>
      <c r="FM109"/>
      <c r="FW109"/>
      <c r="GA109"/>
      <c r="GB109"/>
      <c r="GL109"/>
      <c r="GP109"/>
      <c r="GQ109"/>
      <c r="HA109"/>
      <c r="HE109"/>
      <c r="HF109"/>
      <c r="HP109"/>
      <c r="HT109" s="5"/>
      <c r="HU109"/>
      <c r="HX109" s="152"/>
      <c r="IA109" s="152"/>
      <c r="IB109" s="152"/>
      <c r="IC109" s="152"/>
      <c r="ID109" s="152"/>
      <c r="IE109" s="152"/>
      <c r="IF109" s="152"/>
      <c r="IG109" s="152"/>
      <c r="IH109" s="152"/>
      <c r="II109" s="152"/>
      <c r="IJ109" s="152"/>
      <c r="IK109" s="152"/>
      <c r="IL109" s="152"/>
      <c r="IM109" s="152"/>
      <c r="IN109" s="152"/>
      <c r="IO109" s="152"/>
    </row>
    <row r="110" spans="14:249" hidden="1">
      <c r="N110"/>
      <c r="R110"/>
      <c r="AC110"/>
      <c r="AG110"/>
      <c r="AH110"/>
      <c r="AR110"/>
      <c r="AV110"/>
      <c r="AW110"/>
      <c r="BG110"/>
      <c r="BK110"/>
      <c r="BL110"/>
      <c r="BV110"/>
      <c r="BZ110"/>
      <c r="CA110"/>
      <c r="CK110"/>
      <c r="CO110"/>
      <c r="CP110"/>
      <c r="CZ110"/>
      <c r="DD110"/>
      <c r="DE110"/>
      <c r="DO110"/>
      <c r="DS110"/>
      <c r="DT110"/>
      <c r="ED110"/>
      <c r="EH110"/>
      <c r="EI110"/>
      <c r="ES110"/>
      <c r="EW110"/>
      <c r="EX110"/>
      <c r="FH110"/>
      <c r="FL110"/>
      <c r="FM110"/>
      <c r="FW110"/>
      <c r="GA110"/>
      <c r="GB110"/>
      <c r="GL110"/>
      <c r="GP110"/>
      <c r="GQ110"/>
      <c r="HA110"/>
      <c r="HE110"/>
      <c r="HF110"/>
      <c r="HP110"/>
      <c r="HT110" s="5"/>
      <c r="HU110"/>
      <c r="HX110" s="152"/>
      <c r="IA110" s="152"/>
      <c r="IB110" s="152"/>
      <c r="IC110" s="152"/>
      <c r="ID110" s="152"/>
      <c r="IE110" s="152"/>
      <c r="IF110" s="152"/>
      <c r="IG110" s="152"/>
      <c r="IH110" s="152"/>
      <c r="II110" s="152"/>
      <c r="IJ110" s="152"/>
      <c r="IK110" s="152"/>
      <c r="IL110" s="152"/>
      <c r="IM110" s="152"/>
      <c r="IN110" s="152"/>
      <c r="IO110" s="152"/>
    </row>
    <row r="111" spans="14:249" hidden="1">
      <c r="N111"/>
      <c r="R111"/>
      <c r="AC111"/>
      <c r="AG111"/>
      <c r="AH111"/>
      <c r="AR111"/>
      <c r="AV111"/>
      <c r="AW111"/>
      <c r="BG111"/>
      <c r="BK111"/>
      <c r="BL111"/>
      <c r="BV111"/>
      <c r="BZ111"/>
      <c r="CA111"/>
      <c r="CK111"/>
      <c r="CO111"/>
      <c r="CP111"/>
      <c r="CZ111"/>
      <c r="DD111"/>
      <c r="DE111"/>
      <c r="DO111"/>
      <c r="DS111"/>
      <c r="DT111"/>
      <c r="ED111"/>
      <c r="EH111"/>
      <c r="EI111"/>
      <c r="ES111"/>
      <c r="EW111"/>
      <c r="EX111"/>
      <c r="FH111"/>
      <c r="FL111"/>
      <c r="FM111"/>
      <c r="FW111"/>
      <c r="GA111"/>
      <c r="GB111"/>
      <c r="GL111"/>
      <c r="GP111"/>
      <c r="GQ111"/>
      <c r="HA111"/>
      <c r="HE111"/>
      <c r="HF111"/>
      <c r="HP111"/>
      <c r="HT111" s="5"/>
      <c r="HU111"/>
      <c r="HX111" s="152"/>
      <c r="IA111" s="152"/>
      <c r="IB111" s="152"/>
      <c r="IC111" s="152"/>
      <c r="ID111" s="152"/>
      <c r="IE111" s="152"/>
      <c r="IF111" s="152"/>
      <c r="IG111" s="152"/>
      <c r="IH111" s="152"/>
      <c r="II111" s="152"/>
      <c r="IJ111" s="152"/>
      <c r="IK111" s="152"/>
      <c r="IL111" s="152"/>
      <c r="IM111" s="152"/>
      <c r="IN111" s="152"/>
      <c r="IO111" s="152"/>
    </row>
    <row r="112" spans="14:249" hidden="1">
      <c r="N112"/>
      <c r="R112"/>
      <c r="AC112"/>
      <c r="AG112"/>
      <c r="AH112"/>
      <c r="AR112"/>
      <c r="AV112"/>
      <c r="AW112"/>
      <c r="BG112"/>
      <c r="BK112"/>
      <c r="BL112"/>
      <c r="BV112"/>
      <c r="BZ112"/>
      <c r="CA112"/>
      <c r="CK112"/>
      <c r="CO112"/>
      <c r="CP112"/>
      <c r="CZ112"/>
      <c r="DD112"/>
      <c r="DE112"/>
      <c r="DO112"/>
      <c r="DS112"/>
      <c r="DT112"/>
      <c r="ED112"/>
      <c r="EH112"/>
      <c r="EI112"/>
      <c r="ES112"/>
      <c r="EW112"/>
      <c r="EX112"/>
      <c r="FH112"/>
      <c r="FL112"/>
      <c r="FM112"/>
      <c r="FW112"/>
      <c r="GA112"/>
      <c r="GB112"/>
      <c r="GL112"/>
      <c r="GP112"/>
      <c r="GQ112"/>
      <c r="HA112"/>
      <c r="HE112"/>
      <c r="HF112"/>
      <c r="HP112"/>
      <c r="HT112" s="5"/>
      <c r="HU112"/>
      <c r="HX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</row>
    <row r="113" spans="14:249" hidden="1">
      <c r="N113"/>
      <c r="R113"/>
      <c r="AC113"/>
      <c r="AG113"/>
      <c r="AH113"/>
      <c r="AR113"/>
      <c r="AV113"/>
      <c r="AW113"/>
      <c r="BG113"/>
      <c r="BK113"/>
      <c r="BL113"/>
      <c r="BV113"/>
      <c r="BZ113"/>
      <c r="CA113"/>
      <c r="CK113"/>
      <c r="CO113"/>
      <c r="CP113"/>
      <c r="CZ113"/>
      <c r="DD113"/>
      <c r="DE113"/>
      <c r="DO113"/>
      <c r="DS113"/>
      <c r="DT113"/>
      <c r="ED113"/>
      <c r="EH113"/>
      <c r="EI113"/>
      <c r="ES113"/>
      <c r="EW113"/>
      <c r="EX113"/>
      <c r="FH113"/>
      <c r="FL113"/>
      <c r="FM113"/>
      <c r="FW113"/>
      <c r="GA113"/>
      <c r="GB113"/>
      <c r="GL113"/>
      <c r="GP113"/>
      <c r="GQ113"/>
      <c r="HA113"/>
      <c r="HE113"/>
      <c r="HF113"/>
      <c r="HP113"/>
      <c r="HT113" s="5"/>
      <c r="HU113"/>
      <c r="HX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</row>
    <row r="114" spans="14:249" hidden="1">
      <c r="N114"/>
      <c r="R114"/>
      <c r="AC114"/>
      <c r="AG114"/>
      <c r="AH114"/>
      <c r="AR114"/>
      <c r="AV114"/>
      <c r="AW114"/>
      <c r="BG114"/>
      <c r="BK114"/>
      <c r="BL114"/>
      <c r="BV114"/>
      <c r="BZ114"/>
      <c r="CA114"/>
      <c r="CK114"/>
      <c r="CO114"/>
      <c r="CP114"/>
      <c r="CZ114"/>
      <c r="DD114"/>
      <c r="DE114"/>
      <c r="DO114"/>
      <c r="DS114"/>
      <c r="DT114"/>
      <c r="ED114"/>
      <c r="EH114"/>
      <c r="EI114"/>
      <c r="ES114"/>
      <c r="EW114"/>
      <c r="EX114"/>
      <c r="FH114"/>
      <c r="FL114"/>
      <c r="FM114"/>
      <c r="FW114"/>
      <c r="GA114"/>
      <c r="GB114"/>
      <c r="GL114"/>
      <c r="GP114"/>
      <c r="GQ114"/>
      <c r="HA114"/>
      <c r="HE114"/>
      <c r="HF114"/>
      <c r="HP114"/>
      <c r="HT114" s="5"/>
      <c r="HU114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</row>
    <row r="115" spans="14:249" hidden="1">
      <c r="N115"/>
      <c r="R115"/>
      <c r="AC115"/>
      <c r="AG115"/>
      <c r="AH115"/>
      <c r="AR115"/>
      <c r="AV115"/>
      <c r="AW115"/>
      <c r="BG115"/>
      <c r="BK115"/>
      <c r="BL115"/>
      <c r="BV115"/>
      <c r="BZ115"/>
      <c r="CA115"/>
      <c r="CK115"/>
      <c r="CO115"/>
      <c r="CP115"/>
      <c r="CZ115"/>
      <c r="DD115"/>
      <c r="DE115"/>
      <c r="DO115"/>
      <c r="DS115"/>
      <c r="DT115"/>
      <c r="ED115"/>
      <c r="EH115"/>
      <c r="EI115"/>
      <c r="ES115"/>
      <c r="EW115"/>
      <c r="EX115"/>
      <c r="FH115"/>
      <c r="FL115"/>
      <c r="FM115"/>
      <c r="FW115"/>
      <c r="GA115"/>
      <c r="GB115"/>
      <c r="GL115"/>
      <c r="GP115"/>
      <c r="GQ115"/>
      <c r="HA115"/>
      <c r="HE115"/>
      <c r="HF115"/>
      <c r="HP115"/>
      <c r="HT115" s="5"/>
      <c r="HU115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</row>
    <row r="116" spans="14:249" hidden="1"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</row>
    <row r="117" spans="14:249" hidden="1"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</row>
    <row r="118" spans="14:249" hidden="1"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</row>
    <row r="119" spans="14:249" hidden="1"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</row>
    <row r="120" spans="14:249" hidden="1"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</row>
    <row r="121" spans="14:249" hidden="1"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</row>
    <row r="122" spans="14:249" hidden="1"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</row>
    <row r="123" spans="14:249" hidden="1"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</row>
    <row r="124" spans="14:249" hidden="1"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</row>
    <row r="125" spans="14:249" hidden="1"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</row>
    <row r="126" spans="14:249" hidden="1">
      <c r="AG126" s="15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</row>
    <row r="127" spans="14:249" hidden="1"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</row>
    <row r="128" spans="14:249" hidden="1"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</row>
    <row r="129" spans="235:249" hidden="1"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</row>
    <row r="130" spans="235:249" hidden="1"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</row>
    <row r="131" spans="235:249" hidden="1"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</row>
    <row r="132" spans="235:249" hidden="1"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</row>
    <row r="133" spans="235:249" hidden="1"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</row>
    <row r="134" spans="235:249" hidden="1"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</row>
    <row r="135" spans="235:249" hidden="1"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</row>
    <row r="136" spans="235:249" hidden="1"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</row>
    <row r="137" spans="235:249" hidden="1">
      <c r="IA137" s="152"/>
      <c r="IB137" s="152"/>
      <c r="IC137" s="152"/>
      <c r="ID137" s="152"/>
      <c r="IE137" s="152"/>
      <c r="IF137" s="152"/>
      <c r="IG137" s="152"/>
      <c r="IH137" s="152"/>
      <c r="II137" s="152"/>
      <c r="IJ137" s="152"/>
      <c r="IK137" s="152"/>
      <c r="IL137" s="152"/>
      <c r="IM137" s="152"/>
      <c r="IN137" s="152"/>
      <c r="IO137" s="152"/>
    </row>
    <row r="138" spans="235:249" hidden="1">
      <c r="IA138" s="152"/>
      <c r="IB138" s="152"/>
      <c r="IC138" s="152"/>
      <c r="ID138" s="152"/>
      <c r="IE138" s="152"/>
      <c r="IF138" s="152"/>
      <c r="IG138" s="152"/>
      <c r="IH138" s="152"/>
      <c r="II138" s="152"/>
      <c r="IJ138" s="152"/>
      <c r="IK138" s="152"/>
      <c r="IL138" s="152"/>
      <c r="IM138" s="152"/>
      <c r="IN138" s="152"/>
      <c r="IO138" s="152"/>
    </row>
    <row r="139" spans="235:249" hidden="1">
      <c r="IA139" s="152"/>
      <c r="IB139" s="152"/>
      <c r="IC139" s="152"/>
      <c r="ID139" s="152"/>
      <c r="IE139" s="152"/>
      <c r="IF139" s="152"/>
      <c r="IG139" s="152"/>
      <c r="IH139" s="152"/>
      <c r="II139" s="152"/>
      <c r="IJ139" s="152"/>
      <c r="IK139" s="152"/>
      <c r="IL139" s="152"/>
      <c r="IM139" s="152"/>
      <c r="IN139" s="152"/>
      <c r="IO139" s="152"/>
    </row>
    <row r="140" spans="235:249" hidden="1">
      <c r="IA140" s="152"/>
      <c r="IB140" s="152"/>
      <c r="IC140" s="152"/>
      <c r="ID140" s="152"/>
      <c r="IE140" s="152"/>
      <c r="IF140" s="152"/>
      <c r="IG140" s="152"/>
      <c r="IH140" s="152"/>
      <c r="II140" s="152"/>
      <c r="IJ140" s="152"/>
      <c r="IK140" s="152"/>
      <c r="IL140" s="152"/>
      <c r="IM140" s="152"/>
      <c r="IN140" s="152"/>
      <c r="IO140" s="152"/>
    </row>
    <row r="141" spans="235:249" hidden="1">
      <c r="IA141" s="152"/>
      <c r="IB141" s="152"/>
      <c r="IC141" s="152"/>
      <c r="ID141" s="152"/>
      <c r="IE141" s="152"/>
      <c r="IF141" s="152"/>
      <c r="IG141" s="152"/>
      <c r="IH141" s="152"/>
      <c r="II141" s="152"/>
      <c r="IJ141" s="152"/>
      <c r="IK141" s="152"/>
      <c r="IL141" s="152"/>
      <c r="IM141" s="152"/>
      <c r="IN141" s="152"/>
      <c r="IO141" s="152"/>
    </row>
    <row r="142" spans="235:249" hidden="1">
      <c r="IA142" s="152"/>
      <c r="IB142" s="152"/>
      <c r="IC142" s="152"/>
      <c r="ID142" s="152"/>
      <c r="IE142" s="152"/>
      <c r="IF142" s="152"/>
      <c r="IG142" s="152"/>
      <c r="IH142" s="152"/>
      <c r="II142" s="152"/>
      <c r="IJ142" s="152"/>
      <c r="IK142" s="152"/>
      <c r="IL142" s="152"/>
      <c r="IM142" s="152"/>
      <c r="IN142" s="152"/>
      <c r="IO142" s="152"/>
    </row>
    <row r="143" spans="235:249" hidden="1">
      <c r="IA143" s="152"/>
      <c r="IB143" s="152"/>
      <c r="IC143" s="152"/>
      <c r="ID143" s="152"/>
      <c r="IE143" s="152"/>
      <c r="IF143" s="152"/>
      <c r="IG143" s="152"/>
      <c r="IH143" s="152"/>
      <c r="II143" s="152"/>
      <c r="IJ143" s="152"/>
      <c r="IK143" s="152"/>
      <c r="IL143" s="152"/>
      <c r="IM143" s="152"/>
      <c r="IN143" s="152"/>
      <c r="IO143" s="152"/>
    </row>
    <row r="144" spans="235:249" hidden="1">
      <c r="IA144" s="152"/>
      <c r="IB144" s="152"/>
      <c r="IC144" s="152"/>
      <c r="ID144" s="152"/>
      <c r="IE144" s="152"/>
      <c r="IF144" s="152"/>
      <c r="IG144" s="152"/>
      <c r="IH144" s="152"/>
      <c r="II144" s="152"/>
      <c r="IJ144" s="152"/>
      <c r="IK144" s="152"/>
      <c r="IL144" s="152"/>
      <c r="IM144" s="152"/>
      <c r="IN144" s="152"/>
      <c r="IO144" s="152"/>
    </row>
    <row r="145" spans="235:249" hidden="1">
      <c r="IA145" s="152"/>
      <c r="IB145" s="152"/>
      <c r="IC145" s="152"/>
      <c r="ID145" s="152"/>
      <c r="IE145" s="152"/>
      <c r="IF145" s="152"/>
      <c r="IG145" s="152"/>
      <c r="IH145" s="152"/>
      <c r="II145" s="152"/>
      <c r="IJ145" s="152"/>
      <c r="IK145" s="152"/>
      <c r="IL145" s="152"/>
      <c r="IM145" s="152"/>
      <c r="IN145" s="152"/>
      <c r="IO145" s="152"/>
    </row>
    <row r="146" spans="235:249" hidden="1">
      <c r="IA146" s="152"/>
      <c r="IB146" s="152"/>
      <c r="IC146" s="152"/>
      <c r="ID146" s="152"/>
      <c r="IE146" s="152"/>
      <c r="IF146" s="152"/>
      <c r="IG146" s="152"/>
      <c r="IH146" s="152"/>
      <c r="II146" s="152"/>
      <c r="IJ146" s="152"/>
      <c r="IK146" s="152"/>
      <c r="IL146" s="152"/>
      <c r="IM146" s="152"/>
      <c r="IN146" s="152"/>
      <c r="IO146" s="152"/>
    </row>
    <row r="147" spans="235:249" hidden="1">
      <c r="IA147" s="152"/>
      <c r="IB147" s="152"/>
      <c r="IC147" s="152"/>
      <c r="ID147" s="152"/>
      <c r="IE147" s="152"/>
      <c r="IF147" s="152"/>
      <c r="IG147" s="152"/>
      <c r="IH147" s="152"/>
      <c r="II147" s="152"/>
      <c r="IJ147" s="152"/>
      <c r="IK147" s="152"/>
      <c r="IL147" s="152"/>
      <c r="IM147" s="152"/>
      <c r="IN147" s="152"/>
      <c r="IO147" s="152"/>
    </row>
    <row r="148" spans="235:249" hidden="1"/>
    <row r="149" spans="235:249" hidden="1">
      <c r="IA149" s="215"/>
    </row>
    <row r="150" spans="235:249" hidden="1">
      <c r="IA150" s="215"/>
    </row>
    <row r="151" spans="235:249" hidden="1">
      <c r="IA151" s="215"/>
    </row>
    <row r="152" spans="235:249" hidden="1">
      <c r="IA152" s="216"/>
    </row>
    <row r="153" spans="235:249" hidden="1"/>
    <row r="154" spans="235:249" hidden="1"/>
    <row r="155" spans="235:249" ht="15" thickTop="1">
      <c r="IA155" s="215"/>
    </row>
    <row r="156" spans="235:249">
      <c r="IA156" s="215"/>
    </row>
    <row r="157" spans="235:249">
      <c r="IA157" s="215"/>
    </row>
  </sheetData>
  <mergeCells count="3">
    <mergeCell ref="B34:B35"/>
    <mergeCell ref="HX34:HX35"/>
    <mergeCell ref="HX38:HX39"/>
  </mergeCells>
  <pageMargins left="0.7" right="0.7" top="0.75" bottom="0.75" header="0.3" footer="0.3"/>
  <pageSetup paperSize="9" scale="74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I14"/>
  <sheetViews>
    <sheetView workbookViewId="0">
      <selection sqref="A1:I12"/>
    </sheetView>
  </sheetViews>
  <sheetFormatPr defaultColWidth="18.109375" defaultRowHeight="14.4"/>
  <cols>
    <col min="1" max="1" width="33.88671875" customWidth="1"/>
    <col min="3" max="3" width="17.109375" customWidth="1"/>
    <col min="5" max="5" width="17" customWidth="1"/>
    <col min="6" max="7" width="18.109375" hidden="1" customWidth="1"/>
  </cols>
  <sheetData>
    <row r="1" spans="1:9" ht="26.4" customHeight="1">
      <c r="A1" s="643" t="s">
        <v>575</v>
      </c>
      <c r="B1" s="645" t="s">
        <v>576</v>
      </c>
      <c r="C1" s="646"/>
      <c r="D1" s="645" t="s">
        <v>577</v>
      </c>
      <c r="E1" s="646"/>
      <c r="F1" s="645" t="s">
        <v>578</v>
      </c>
      <c r="G1" s="646"/>
      <c r="H1" s="645" t="s">
        <v>579</v>
      </c>
      <c r="I1" s="646"/>
    </row>
    <row r="2" spans="1:9" ht="26.4" thickBot="1">
      <c r="A2" s="644"/>
      <c r="B2" s="359" t="s">
        <v>580</v>
      </c>
      <c r="C2" s="360" t="s">
        <v>581</v>
      </c>
      <c r="D2" s="359" t="s">
        <v>580</v>
      </c>
      <c r="E2" s="360" t="s">
        <v>581</v>
      </c>
      <c r="F2" s="359" t="s">
        <v>582</v>
      </c>
      <c r="G2" s="360" t="s">
        <v>581</v>
      </c>
      <c r="H2" s="359" t="s">
        <v>582</v>
      </c>
      <c r="I2" s="360" t="s">
        <v>581</v>
      </c>
    </row>
    <row r="3" spans="1:9" ht="29.4" thickBot="1">
      <c r="A3" s="361" t="s">
        <v>583</v>
      </c>
      <c r="B3" s="362">
        <v>28</v>
      </c>
      <c r="C3" s="363">
        <v>12</v>
      </c>
      <c r="D3" s="362">
        <v>26</v>
      </c>
      <c r="E3" s="363">
        <v>1</v>
      </c>
      <c r="F3" s="363">
        <v>20</v>
      </c>
      <c r="G3" s="363">
        <v>3</v>
      </c>
      <c r="H3" s="363">
        <v>20</v>
      </c>
      <c r="I3" s="363">
        <v>1</v>
      </c>
    </row>
    <row r="4" spans="1:9" ht="29.4" thickBot="1">
      <c r="A4" s="361" t="s">
        <v>584</v>
      </c>
      <c r="B4" s="362">
        <v>21</v>
      </c>
      <c r="C4" s="363">
        <v>17</v>
      </c>
      <c r="D4" s="362">
        <v>22</v>
      </c>
      <c r="E4" s="363">
        <v>8</v>
      </c>
      <c r="F4" s="363">
        <v>19</v>
      </c>
      <c r="G4" s="363">
        <v>7</v>
      </c>
      <c r="H4" s="363">
        <v>18</v>
      </c>
      <c r="I4" s="363">
        <v>6</v>
      </c>
    </row>
    <row r="5" spans="1:9" ht="29.4" thickBot="1">
      <c r="A5" s="361" t="s">
        <v>585</v>
      </c>
      <c r="B5" s="362">
        <v>0</v>
      </c>
      <c r="C5" s="363">
        <v>0</v>
      </c>
      <c r="D5" s="362">
        <v>1</v>
      </c>
      <c r="E5" s="363">
        <v>0</v>
      </c>
      <c r="F5" s="363">
        <v>1</v>
      </c>
      <c r="G5" s="363">
        <v>0</v>
      </c>
      <c r="H5" s="363">
        <v>1</v>
      </c>
      <c r="I5" s="363">
        <v>0</v>
      </c>
    </row>
    <row r="6" spans="1:9" ht="29.4" thickBot="1">
      <c r="A6" s="361" t="s">
        <v>586</v>
      </c>
      <c r="B6" s="362">
        <v>276</v>
      </c>
      <c r="C6" s="363">
        <f>133+2</f>
        <v>135</v>
      </c>
      <c r="D6" s="362">
        <v>237</v>
      </c>
      <c r="E6" s="363">
        <v>80</v>
      </c>
      <c r="F6" s="363">
        <v>178</v>
      </c>
      <c r="G6" s="363">
        <v>80</v>
      </c>
      <c r="H6" s="363">
        <v>141</v>
      </c>
      <c r="I6" s="363">
        <v>72</v>
      </c>
    </row>
    <row r="7" spans="1:9" ht="29.4" thickBot="1">
      <c r="A7" s="361" t="s">
        <v>587</v>
      </c>
      <c r="B7" s="362">
        <v>6</v>
      </c>
      <c r="C7" s="363">
        <v>0</v>
      </c>
      <c r="D7" s="362">
        <v>6</v>
      </c>
      <c r="E7" s="363">
        <v>0</v>
      </c>
      <c r="F7" s="363">
        <v>5</v>
      </c>
      <c r="G7" s="363">
        <v>0</v>
      </c>
      <c r="H7" s="363">
        <v>6</v>
      </c>
      <c r="I7" s="363">
        <v>0</v>
      </c>
    </row>
    <row r="8" spans="1:9" ht="29.4" thickBot="1">
      <c r="A8" s="361" t="s">
        <v>588</v>
      </c>
      <c r="B8" s="362">
        <v>60</v>
      </c>
      <c r="C8" s="363">
        <f>27+5+1</f>
        <v>33</v>
      </c>
      <c r="D8" s="362">
        <v>54</v>
      </c>
      <c r="E8" s="363">
        <f>144+3</f>
        <v>147</v>
      </c>
      <c r="F8" s="363">
        <v>49</v>
      </c>
      <c r="G8" s="363">
        <v>100</v>
      </c>
      <c r="H8" s="363">
        <v>59</v>
      </c>
      <c r="I8" s="363">
        <v>55</v>
      </c>
    </row>
    <row r="9" spans="1:9" ht="29.4" thickBot="1">
      <c r="A9" s="361" t="s">
        <v>589</v>
      </c>
      <c r="B9" s="362">
        <v>1</v>
      </c>
      <c r="C9" s="363">
        <v>0</v>
      </c>
      <c r="D9" s="362">
        <v>3</v>
      </c>
      <c r="E9" s="363">
        <v>0</v>
      </c>
      <c r="F9" s="363">
        <v>5</v>
      </c>
      <c r="G9" s="363">
        <v>0</v>
      </c>
      <c r="H9" s="363">
        <v>4</v>
      </c>
      <c r="I9" s="363">
        <v>0</v>
      </c>
    </row>
    <row r="10" spans="1:9" ht="29.4" thickBot="1">
      <c r="A10" s="364" t="s">
        <v>235</v>
      </c>
      <c r="B10" s="362">
        <v>67</v>
      </c>
      <c r="C10" s="363">
        <v>2</v>
      </c>
      <c r="D10" s="362">
        <v>40</v>
      </c>
      <c r="E10" s="363">
        <v>1</v>
      </c>
      <c r="F10" s="363">
        <v>36</v>
      </c>
      <c r="G10" s="363">
        <v>0</v>
      </c>
      <c r="H10" s="363">
        <v>34</v>
      </c>
      <c r="I10" s="363">
        <v>0</v>
      </c>
    </row>
    <row r="11" spans="1:9" ht="29.4" thickBot="1">
      <c r="A11" s="365" t="s">
        <v>590</v>
      </c>
      <c r="B11" s="362">
        <v>3</v>
      </c>
      <c r="C11" s="363">
        <v>0</v>
      </c>
      <c r="D11" s="362">
        <v>3</v>
      </c>
      <c r="E11" s="363">
        <v>0</v>
      </c>
      <c r="F11" s="363">
        <v>5</v>
      </c>
      <c r="G11" s="363">
        <v>0</v>
      </c>
      <c r="H11" s="363">
        <v>6</v>
      </c>
      <c r="I11" s="363">
        <v>0</v>
      </c>
    </row>
    <row r="12" spans="1:9" ht="26.4" thickBot="1">
      <c r="A12" s="366" t="s">
        <v>591</v>
      </c>
      <c r="B12" s="367">
        <f t="shared" ref="B12:F12" si="0">SUM(B3:B11)</f>
        <v>462</v>
      </c>
      <c r="C12" s="368">
        <f t="shared" si="0"/>
        <v>199</v>
      </c>
      <c r="D12" s="367">
        <f t="shared" si="0"/>
        <v>392</v>
      </c>
      <c r="E12" s="368">
        <f t="shared" si="0"/>
        <v>237</v>
      </c>
      <c r="F12" s="367">
        <f t="shared" si="0"/>
        <v>318</v>
      </c>
      <c r="G12" s="368">
        <v>135</v>
      </c>
      <c r="H12" s="368">
        <f>SUM(H3:H11)</f>
        <v>289</v>
      </c>
      <c r="I12" s="368">
        <f>SUM(I3:I11)</f>
        <v>134</v>
      </c>
    </row>
    <row r="13" spans="1:9" ht="24" hidden="1" thickBot="1">
      <c r="A13" s="369" t="s">
        <v>592</v>
      </c>
      <c r="B13" s="370">
        <v>84830265.50999999</v>
      </c>
      <c r="C13" s="371">
        <v>7323991.9500000011</v>
      </c>
      <c r="D13" s="370">
        <v>69744100.920000002</v>
      </c>
      <c r="E13" s="371">
        <v>9653882.4900000002</v>
      </c>
      <c r="F13" s="370">
        <f>45500000+2800000+7252000</f>
        <v>55552000</v>
      </c>
      <c r="G13" s="371">
        <v>9736000</v>
      </c>
      <c r="H13" s="371">
        <v>38049776</v>
      </c>
      <c r="I13" s="371">
        <v>9221007</v>
      </c>
    </row>
    <row r="14" spans="1:9" ht="24" hidden="1" thickBot="1">
      <c r="A14" s="369" t="s">
        <v>30</v>
      </c>
      <c r="B14" s="370">
        <v>20301000</v>
      </c>
      <c r="C14" s="371"/>
      <c r="D14" s="370">
        <v>12215000</v>
      </c>
      <c r="E14" s="371"/>
      <c r="F14" s="370">
        <v>6720000</v>
      </c>
      <c r="G14" s="371"/>
      <c r="H14" s="371"/>
      <c r="I14" s="371"/>
    </row>
  </sheetData>
  <mergeCells count="5"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G26"/>
  <sheetViews>
    <sheetView workbookViewId="0">
      <selection activeCell="B2" sqref="B2:G24"/>
    </sheetView>
  </sheetViews>
  <sheetFormatPr defaultColWidth="8.77734375" defaultRowHeight="14.4"/>
  <cols>
    <col min="1" max="1" width="0.88671875" style="6" customWidth="1"/>
    <col min="2" max="4" width="13.21875" style="6" bestFit="1" customWidth="1"/>
    <col min="5" max="5" width="39.109375" style="6" bestFit="1" customWidth="1"/>
    <col min="6" max="6" width="18.77734375" style="6" bestFit="1" customWidth="1"/>
    <col min="7" max="7" width="19.77734375" style="440" bestFit="1" customWidth="1"/>
    <col min="8" max="16384" width="8.77734375" style="6"/>
  </cols>
  <sheetData>
    <row r="1" spans="1:7" ht="18">
      <c r="B1" s="647" t="s">
        <v>593</v>
      </c>
      <c r="C1" s="647"/>
      <c r="D1" s="647"/>
      <c r="E1" s="647"/>
      <c r="F1" s="647"/>
      <c r="G1" s="647"/>
    </row>
    <row r="2" spans="1:7" ht="21.15" customHeight="1" thickBot="1">
      <c r="B2" s="412" t="s">
        <v>594</v>
      </c>
      <c r="C2" s="412" t="s">
        <v>595</v>
      </c>
      <c r="D2" s="412" t="s">
        <v>596</v>
      </c>
      <c r="E2" s="412" t="s">
        <v>597</v>
      </c>
      <c r="F2" s="412" t="s">
        <v>598</v>
      </c>
      <c r="G2" s="412" t="s">
        <v>599</v>
      </c>
    </row>
    <row r="3" spans="1:7" ht="15" thickTop="1">
      <c r="B3" s="413">
        <f>SUM(C3:D3)</f>
        <v>0</v>
      </c>
      <c r="C3" s="413">
        <v>0</v>
      </c>
      <c r="D3" s="413">
        <v>0</v>
      </c>
      <c r="E3" s="414" t="s">
        <v>600</v>
      </c>
      <c r="F3" s="413" t="s">
        <v>601</v>
      </c>
      <c r="G3" s="415" t="s">
        <v>602</v>
      </c>
    </row>
    <row r="4" spans="1:7">
      <c r="A4" s="116"/>
      <c r="B4" s="416">
        <f t="shared" ref="B4:B20" si="0">SUM(C4:D4)</f>
        <v>0</v>
      </c>
      <c r="C4" s="416">
        <v>0</v>
      </c>
      <c r="D4" s="416">
        <v>0</v>
      </c>
      <c r="E4" s="417" t="s">
        <v>603</v>
      </c>
      <c r="F4" s="416" t="s">
        <v>604</v>
      </c>
      <c r="G4" s="418" t="s">
        <v>602</v>
      </c>
    </row>
    <row r="5" spans="1:7">
      <c r="A5" s="116"/>
      <c r="B5" s="416">
        <f t="shared" si="0"/>
        <v>0</v>
      </c>
      <c r="C5" s="416">
        <v>0</v>
      </c>
      <c r="D5" s="416">
        <v>0</v>
      </c>
      <c r="E5" s="417" t="s">
        <v>605</v>
      </c>
      <c r="F5" s="416" t="s">
        <v>606</v>
      </c>
      <c r="G5" s="418" t="s">
        <v>602</v>
      </c>
    </row>
    <row r="6" spans="1:7">
      <c r="A6" s="116"/>
      <c r="B6" s="419">
        <f t="shared" si="0"/>
        <v>0</v>
      </c>
      <c r="C6" s="419">
        <v>0</v>
      </c>
      <c r="D6" s="419">
        <v>0</v>
      </c>
      <c r="E6" s="420" t="s">
        <v>607</v>
      </c>
      <c r="F6" s="419" t="s">
        <v>608</v>
      </c>
      <c r="G6" s="421" t="s">
        <v>602</v>
      </c>
    </row>
    <row r="7" spans="1:7" s="426" customFormat="1" ht="16.2" thickBot="1">
      <c r="A7" s="422"/>
      <c r="B7" s="423">
        <f t="shared" ref="B7:D7" si="1">SUM(B3:B6)</f>
        <v>0</v>
      </c>
      <c r="C7" s="423">
        <f t="shared" si="1"/>
        <v>0</v>
      </c>
      <c r="D7" s="423">
        <f t="shared" si="1"/>
        <v>0</v>
      </c>
      <c r="E7" s="424" t="s">
        <v>609</v>
      </c>
      <c r="F7" s="424"/>
      <c r="G7" s="425"/>
    </row>
    <row r="8" spans="1:7" ht="15" thickTop="1">
      <c r="B8" s="416">
        <f t="shared" si="0"/>
        <v>0</v>
      </c>
      <c r="C8" s="427">
        <v>0</v>
      </c>
      <c r="D8" s="427"/>
      <c r="E8" s="428" t="s">
        <v>600</v>
      </c>
      <c r="F8" s="427" t="s">
        <v>610</v>
      </c>
      <c r="G8" s="429" t="s">
        <v>611</v>
      </c>
    </row>
    <row r="9" spans="1:7">
      <c r="B9" s="416">
        <f t="shared" si="0"/>
        <v>135047934</v>
      </c>
      <c r="C9" s="430">
        <v>71199954</v>
      </c>
      <c r="D9" s="430">
        <v>63847980</v>
      </c>
      <c r="E9" s="431" t="s">
        <v>612</v>
      </c>
      <c r="F9" s="430" t="s">
        <v>613</v>
      </c>
      <c r="G9" s="432" t="s">
        <v>611</v>
      </c>
    </row>
    <row r="10" spans="1:7">
      <c r="B10" s="416">
        <f t="shared" si="0"/>
        <v>13125328.689100001</v>
      </c>
      <c r="C10" s="433">
        <v>1422549.4191000005</v>
      </c>
      <c r="D10" s="433">
        <v>11702779.27</v>
      </c>
      <c r="E10" s="434" t="s">
        <v>607</v>
      </c>
      <c r="F10" s="433" t="s">
        <v>608</v>
      </c>
      <c r="G10" s="435" t="s">
        <v>611</v>
      </c>
    </row>
    <row r="11" spans="1:7" s="426" customFormat="1" ht="16.2" thickBot="1">
      <c r="A11" s="422"/>
      <c r="B11" s="436">
        <f t="shared" ref="B11" si="2">SUM(B8:B10)</f>
        <v>148173262.6891</v>
      </c>
      <c r="C11" s="436">
        <f>SUM(C8:C10)</f>
        <v>72622503.419100001</v>
      </c>
      <c r="D11" s="436">
        <f>SUM(D8:D10)</f>
        <v>75550759.269999996</v>
      </c>
      <c r="E11" s="424" t="s">
        <v>614</v>
      </c>
      <c r="F11" s="424"/>
      <c r="G11" s="425"/>
    </row>
    <row r="12" spans="1:7" ht="15" thickTop="1">
      <c r="B12" s="416">
        <f t="shared" si="0"/>
        <v>0</v>
      </c>
      <c r="C12" s="427">
        <v>0</v>
      </c>
      <c r="D12" s="427"/>
      <c r="E12" s="428" t="s">
        <v>600</v>
      </c>
      <c r="F12" s="427" t="s">
        <v>615</v>
      </c>
      <c r="G12" s="429" t="s">
        <v>616</v>
      </c>
    </row>
    <row r="13" spans="1:7">
      <c r="B13" s="416">
        <f t="shared" si="0"/>
        <v>14638026.85</v>
      </c>
      <c r="C13" s="437">
        <f>--14638026.85</f>
        <v>14638026.85</v>
      </c>
      <c r="D13" s="437"/>
      <c r="E13" s="438" t="s">
        <v>603</v>
      </c>
      <c r="F13" s="437" t="s">
        <v>617</v>
      </c>
      <c r="G13" s="439" t="s">
        <v>616</v>
      </c>
    </row>
    <row r="14" spans="1:7">
      <c r="B14" s="416">
        <f t="shared" si="0"/>
        <v>21614489.600000001</v>
      </c>
      <c r="C14" s="437">
        <f>--10418060.58</f>
        <v>10418060.58</v>
      </c>
      <c r="D14" s="437">
        <f>--11196429.02</f>
        <v>11196429.02</v>
      </c>
      <c r="E14" s="438" t="s">
        <v>618</v>
      </c>
      <c r="F14" s="437" t="s">
        <v>619</v>
      </c>
      <c r="G14" s="439" t="s">
        <v>616</v>
      </c>
    </row>
    <row r="15" spans="1:7">
      <c r="B15" s="416">
        <f t="shared" si="0"/>
        <v>20245204.524399992</v>
      </c>
      <c r="C15" s="437">
        <f>--6836355.64439999+485209</f>
        <v>7321564.6443999903</v>
      </c>
      <c r="D15" s="437">
        <f>--12923639.88</f>
        <v>12923639.880000001</v>
      </c>
      <c r="E15" s="438" t="s">
        <v>620</v>
      </c>
      <c r="F15" s="437" t="s">
        <v>621</v>
      </c>
      <c r="G15" s="439" t="s">
        <v>616</v>
      </c>
    </row>
    <row r="16" spans="1:7">
      <c r="B16" s="416">
        <f t="shared" si="0"/>
        <v>13257541.521949999</v>
      </c>
      <c r="C16" s="433">
        <f>--2484436.83195</f>
        <v>2484436.83195</v>
      </c>
      <c r="D16" s="433">
        <v>10773104.689999999</v>
      </c>
      <c r="E16" s="434" t="s">
        <v>607</v>
      </c>
      <c r="F16" s="433" t="s">
        <v>608</v>
      </c>
      <c r="G16" s="435" t="s">
        <v>616</v>
      </c>
    </row>
    <row r="17" spans="1:7" s="426" customFormat="1" ht="16.2" thickBot="1">
      <c r="A17" s="422"/>
      <c r="B17" s="436">
        <f>SUM(B12:B16)</f>
        <v>69755262.49634999</v>
      </c>
      <c r="C17" s="436">
        <f>SUM(C12:C16)</f>
        <v>34862088.906349987</v>
      </c>
      <c r="D17" s="436">
        <f t="shared" ref="D17" si="3">SUM(D12:D16)</f>
        <v>34893173.589999996</v>
      </c>
      <c r="E17" s="424" t="s">
        <v>622</v>
      </c>
      <c r="F17" s="424"/>
      <c r="G17" s="425"/>
    </row>
    <row r="18" spans="1:7" ht="15" thickTop="1">
      <c r="B18" s="416">
        <f t="shared" si="0"/>
        <v>421232.36</v>
      </c>
      <c r="C18" s="437"/>
      <c r="D18" s="437">
        <v>421232.36</v>
      </c>
      <c r="E18" s="438"/>
      <c r="F18" s="437" t="s">
        <v>623</v>
      </c>
      <c r="G18" s="439" t="s">
        <v>624</v>
      </c>
    </row>
    <row r="19" spans="1:7" s="426" customFormat="1" ht="16.2" thickBot="1">
      <c r="A19" s="422"/>
      <c r="B19" s="436">
        <f t="shared" ref="B19:C19" si="4">SUM(B18)</f>
        <v>421232.36</v>
      </c>
      <c r="C19" s="436">
        <f t="shared" si="4"/>
        <v>0</v>
      </c>
      <c r="D19" s="436">
        <f>SUM(D18)</f>
        <v>421232.36</v>
      </c>
      <c r="E19" s="424" t="s">
        <v>625</v>
      </c>
      <c r="F19" s="424"/>
      <c r="G19" s="425"/>
    </row>
    <row r="20" spans="1:7" ht="15" thickTop="1">
      <c r="B20" s="416">
        <f t="shared" si="0"/>
        <v>35455942.850000001</v>
      </c>
      <c r="C20" s="437"/>
      <c r="D20" s="437">
        <v>35455942.850000001</v>
      </c>
      <c r="E20" s="438" t="s">
        <v>626</v>
      </c>
      <c r="F20" s="437"/>
      <c r="G20" s="439" t="s">
        <v>627</v>
      </c>
    </row>
    <row r="21" spans="1:7" s="426" customFormat="1" ht="16.2" thickBot="1">
      <c r="A21" s="422"/>
      <c r="B21" s="436">
        <f t="shared" ref="B21:C21" si="5">SUM(B20)</f>
        <v>35455942.850000001</v>
      </c>
      <c r="C21" s="436">
        <f t="shared" si="5"/>
        <v>0</v>
      </c>
      <c r="D21" s="436">
        <f>SUM(D20)</f>
        <v>35455942.850000001</v>
      </c>
      <c r="E21" s="424"/>
      <c r="F21" s="424"/>
      <c r="G21" s="425"/>
    </row>
    <row r="22" spans="1:7" ht="15" hidden="1" thickTop="1">
      <c r="B22" s="416"/>
      <c r="C22" s="437"/>
      <c r="D22" s="437"/>
      <c r="E22" s="438"/>
      <c r="F22" s="437"/>
      <c r="G22" s="439"/>
    </row>
    <row r="23" spans="1:7" s="426" customFormat="1" ht="16.8" thickTop="1" thickBot="1">
      <c r="A23" s="422"/>
      <c r="B23" s="436">
        <f>C23+D23</f>
        <v>863765</v>
      </c>
      <c r="C23" s="436">
        <v>863765</v>
      </c>
      <c r="D23" s="436"/>
      <c r="E23" s="424"/>
      <c r="F23" s="424"/>
      <c r="G23" s="425" t="s">
        <v>628</v>
      </c>
    </row>
    <row r="24" spans="1:7" s="426" customFormat="1" ht="16.8" thickTop="1" thickBot="1">
      <c r="A24" s="422"/>
      <c r="B24" s="436">
        <f>SUM(B7,B11,B17,B19,B21,B23)</f>
        <v>254669465.39545</v>
      </c>
      <c r="C24" s="436">
        <f>SUM(C7,C11,C17,C19,C21,C23)</f>
        <v>108348357.32544999</v>
      </c>
      <c r="D24" s="436">
        <f>SUM(D7,D11,D17,D19,D21,D23)</f>
        <v>146321108.06999999</v>
      </c>
      <c r="E24" s="424" t="s">
        <v>629</v>
      </c>
      <c r="F24" s="424"/>
      <c r="G24" s="425"/>
    </row>
    <row r="25" spans="1:7" ht="15" thickTop="1"/>
    <row r="26" spans="1:7">
      <c r="B26" s="116"/>
    </row>
  </sheetData>
  <mergeCells count="1">
    <mergeCell ref="B1:G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  <outlinePr summaryBelow="0"/>
    <pageSetUpPr fitToPage="1"/>
  </sheetPr>
  <dimension ref="A1:FC735"/>
  <sheetViews>
    <sheetView showGridLines="0" zoomScale="90" zoomScaleNormal="90" workbookViewId="0">
      <pane xSplit="4" ySplit="6" topLeftCell="G32" activePane="bottomRight" state="frozen"/>
      <selection pane="topRight" activeCell="H1" sqref="H1"/>
      <selection pane="bottomLeft" activeCell="A6" sqref="A6"/>
      <selection pane="bottomRight" activeCell="FH33" sqref="FH33"/>
    </sheetView>
  </sheetViews>
  <sheetFormatPr defaultColWidth="9.33203125" defaultRowHeight="14.4" outlineLevelRow="1" outlineLevelCol="2"/>
  <cols>
    <col min="2" max="2" width="12.33203125" customWidth="1"/>
    <col min="3" max="3" width="18.6640625" customWidth="1"/>
    <col min="4" max="4" width="51.109375" customWidth="1"/>
    <col min="5" max="7" width="16.21875" style="65" hidden="1" customWidth="1" outlineLevel="2"/>
    <col min="8" max="8" width="16" style="65" hidden="1" customWidth="1" outlineLevel="1"/>
    <col min="9" max="11" width="16.88671875" style="65" hidden="1" customWidth="1" outlineLevel="2"/>
    <col min="12" max="12" width="16.88671875" style="65" hidden="1" customWidth="1" outlineLevel="1"/>
    <col min="13" max="15" width="17.21875" style="65" hidden="1" customWidth="1" outlineLevel="2"/>
    <col min="16" max="16" width="16" style="65" hidden="1" customWidth="1" outlineLevel="1"/>
    <col min="17" max="19" width="16" style="65" hidden="1" customWidth="1" outlineLevel="2"/>
    <col min="20" max="20" width="16" style="65" hidden="1" customWidth="1" outlineLevel="1"/>
    <col min="21" max="21" width="18.33203125" style="65" bestFit="1" customWidth="1" collapsed="1"/>
    <col min="22" max="24" width="16.88671875" style="65" hidden="1" customWidth="1" outlineLevel="2"/>
    <col min="25" max="25" width="16.88671875" style="65" hidden="1" customWidth="1" outlineLevel="1"/>
    <col min="26" max="28" width="16.88671875" style="65" hidden="1" customWidth="1" outlineLevel="2"/>
    <col min="29" max="29" width="16.88671875" style="65" hidden="1" customWidth="1" outlineLevel="1"/>
    <col min="30" max="30" width="17" style="65" hidden="1" customWidth="1" outlineLevel="2"/>
    <col min="31" max="31" width="16.88671875" style="65" hidden="1" customWidth="1" outlineLevel="2"/>
    <col min="32" max="32" width="15.33203125" style="65" hidden="1" customWidth="1" outlineLevel="2"/>
    <col min="33" max="33" width="16.88671875" style="65" hidden="1" customWidth="1" outlineLevel="1"/>
    <col min="34" max="36" width="16.88671875" style="65" hidden="1" customWidth="1" outlineLevel="2"/>
    <col min="37" max="37" width="16.88671875" style="65" hidden="1" customWidth="1" outlineLevel="1"/>
    <col min="38" max="38" width="18.88671875" style="65" hidden="1" customWidth="1" collapsed="1"/>
    <col min="39" max="41" width="18.88671875" style="65" hidden="1" customWidth="1" outlineLevel="2"/>
    <col min="42" max="42" width="16.88671875" style="65" hidden="1" customWidth="1" outlineLevel="1"/>
    <col min="43" max="45" width="18.88671875" style="65" hidden="1" customWidth="1" outlineLevel="2"/>
    <col min="46" max="46" width="16.88671875" style="65" hidden="1" customWidth="1" outlineLevel="1"/>
    <col min="47" max="49" width="18.88671875" style="65" hidden="1" customWidth="1" outlineLevel="2"/>
    <col min="50" max="50" width="16.88671875" style="65" hidden="1" customWidth="1" outlineLevel="1"/>
    <col min="51" max="53" width="18.88671875" style="65" hidden="1" customWidth="1" outlineLevel="2"/>
    <col min="54" max="54" width="16.88671875" style="65" hidden="1" customWidth="1" outlineLevel="1"/>
    <col min="55" max="55" width="18.88671875" style="65" hidden="1" customWidth="1" collapsed="1"/>
    <col min="56" max="58" width="15.33203125" style="65" hidden="1" customWidth="1" outlineLevel="2"/>
    <col min="59" max="59" width="16.88671875" style="65" hidden="1" customWidth="1" outlineLevel="1"/>
    <col min="60" max="62" width="15.33203125" style="65" hidden="1" customWidth="1" outlineLevel="2"/>
    <col min="63" max="63" width="16.88671875" style="65" hidden="1" customWidth="1" outlineLevel="1"/>
    <col min="64" max="66" width="15.33203125" style="65" hidden="1" customWidth="1" outlineLevel="2"/>
    <col min="67" max="67" width="16.88671875" style="65" hidden="1" customWidth="1" outlineLevel="1"/>
    <col min="68" max="70" width="15.33203125" style="65" hidden="1" customWidth="1" outlineLevel="2"/>
    <col min="71" max="71" width="16.88671875" style="65" hidden="1" customWidth="1" outlineLevel="1"/>
    <col min="72" max="72" width="16.88671875" style="65" hidden="1" customWidth="1" collapsed="1"/>
    <col min="73" max="75" width="15.33203125" style="65" hidden="1" customWidth="1" outlineLevel="2"/>
    <col min="76" max="76" width="15.33203125" style="65" hidden="1" customWidth="1" outlineLevel="1"/>
    <col min="77" max="79" width="15.33203125" style="65" hidden="1" customWidth="1" outlineLevel="2"/>
    <col min="80" max="80" width="15.33203125" style="65" hidden="1" customWidth="1" outlineLevel="1"/>
    <col min="81" max="83" width="15.33203125" style="65" hidden="1" customWidth="1" outlineLevel="2"/>
    <col min="84" max="84" width="15.33203125" style="65" hidden="1" customWidth="1" outlineLevel="1"/>
    <col min="85" max="87" width="15.33203125" style="65" hidden="1" customWidth="1" outlineLevel="2"/>
    <col min="88" max="88" width="15.33203125" style="65" hidden="1" customWidth="1" outlineLevel="1"/>
    <col min="89" max="89" width="16.88671875" style="65" hidden="1" customWidth="1" collapsed="1"/>
    <col min="90" max="92" width="16.88671875" style="65" hidden="1" customWidth="1" outlineLevel="2"/>
    <col min="93" max="93" width="15.33203125" style="65" hidden="1" customWidth="1" outlineLevel="1"/>
    <col min="94" max="96" width="16.88671875" style="65" hidden="1" customWidth="1" outlineLevel="2"/>
    <col min="97" max="97" width="15.33203125" style="65" hidden="1" customWidth="1" outlineLevel="1"/>
    <col min="98" max="100" width="16.88671875" style="65" hidden="1" customWidth="1" outlineLevel="2"/>
    <col min="101" max="101" width="15.33203125" style="65" hidden="1" customWidth="1" outlineLevel="1"/>
    <col min="102" max="104" width="16.88671875" style="65" hidden="1" customWidth="1" outlineLevel="2"/>
    <col min="105" max="105" width="15.33203125" style="65" hidden="1" customWidth="1" outlineLevel="1"/>
    <col min="106" max="106" width="16.88671875" style="65" hidden="1" customWidth="1" collapsed="1"/>
    <col min="107" max="109" width="15.33203125" style="65" hidden="1" customWidth="1" outlineLevel="2"/>
    <col min="110" max="110" width="15.33203125" style="65" hidden="1" customWidth="1" outlineLevel="1"/>
    <col min="111" max="113" width="15.33203125" style="65" hidden="1" customWidth="1" outlineLevel="2"/>
    <col min="114" max="114" width="15.33203125" style="65" hidden="1" customWidth="1" outlineLevel="1"/>
    <col min="115" max="116" width="15.33203125" style="65" hidden="1" customWidth="1" outlineLevel="2"/>
    <col min="117" max="117" width="16.88671875" style="65" hidden="1" customWidth="1" outlineLevel="2"/>
    <col min="118" max="118" width="16.33203125" style="65" hidden="1" customWidth="1" outlineLevel="1"/>
    <col min="119" max="120" width="17.77734375" style="65" hidden="1" customWidth="1" outlineLevel="2"/>
    <col min="121" max="121" width="18.33203125" style="65" hidden="1" customWidth="1" outlineLevel="2"/>
    <col min="122" max="122" width="18.77734375" style="65" hidden="1" customWidth="1" outlineLevel="1"/>
    <col min="123" max="123" width="18.6640625" style="65" hidden="1" customWidth="1" collapsed="1"/>
    <col min="124" max="124" width="15.77734375" style="65" hidden="1" customWidth="1" outlineLevel="2"/>
    <col min="125" max="125" width="16.21875" style="65" hidden="1" customWidth="1" outlineLevel="2"/>
    <col min="126" max="126" width="15.33203125" style="65" hidden="1" customWidth="1" outlineLevel="2"/>
    <col min="127" max="127" width="15.33203125" style="65" hidden="1" customWidth="1" outlineLevel="1"/>
    <col min="128" max="130" width="15.33203125" style="65" hidden="1" customWidth="1" outlineLevel="2"/>
    <col min="131" max="131" width="15.33203125" style="65" hidden="1" customWidth="1" outlineLevel="1"/>
    <col min="132" max="133" width="13" style="65" hidden="1" customWidth="1" outlineLevel="2"/>
    <col min="134" max="134" width="15.33203125" style="65" hidden="1" customWidth="1" outlineLevel="2"/>
    <col min="135" max="135" width="15.33203125" style="65" hidden="1" customWidth="1" outlineLevel="1"/>
    <col min="136" max="136" width="13" style="65" hidden="1" customWidth="1" outlineLevel="2"/>
    <col min="137" max="138" width="15.33203125" style="65" hidden="1" customWidth="1" outlineLevel="2"/>
    <col min="139" max="139" width="17.6640625" style="65" hidden="1" customWidth="1" outlineLevel="1"/>
    <col min="140" max="140" width="21" style="65" hidden="1" customWidth="1" collapsed="1"/>
    <col min="141" max="143" width="15.33203125" style="65" hidden="1" customWidth="1" outlineLevel="2"/>
    <col min="144" max="144" width="16.88671875" style="65" hidden="1" customWidth="1" outlineLevel="1"/>
    <col min="145" max="147" width="15.33203125" style="65" hidden="1" customWidth="1" outlineLevel="2"/>
    <col min="148" max="148" width="16.88671875" style="65" hidden="1" customWidth="1" outlineLevel="1"/>
    <col min="149" max="151" width="15.33203125" style="65" hidden="1" customWidth="1" outlineLevel="2"/>
    <col min="152" max="152" width="16.88671875" style="65" hidden="1" customWidth="1" outlineLevel="1"/>
    <col min="153" max="155" width="15.33203125" style="65" hidden="1" customWidth="1" outlineLevel="2"/>
    <col min="156" max="156" width="16.88671875" style="65" hidden="1" customWidth="1" outlineLevel="1"/>
    <col min="157" max="157" width="22.88671875" style="65" hidden="1" customWidth="1" collapsed="1"/>
    <col min="158" max="158" width="18.88671875" style="65" hidden="1" customWidth="1"/>
    <col min="159" max="159" width="9.33203125" style="65" hidden="1" customWidth="1"/>
    <col min="160" max="162" width="0" hidden="1" customWidth="1"/>
    <col min="237" max="237" width="12.33203125" customWidth="1"/>
    <col min="238" max="238" width="12.6640625" customWidth="1"/>
    <col min="239" max="239" width="42.109375" bestFit="1" customWidth="1"/>
    <col min="240" max="255" width="0" hidden="1" customWidth="1"/>
    <col min="256" max="256" width="17.33203125" customWidth="1"/>
    <col min="257" max="272" width="0" hidden="1" customWidth="1"/>
    <col min="273" max="273" width="18.88671875" customWidth="1"/>
    <col min="274" max="289" width="0" hidden="1" customWidth="1"/>
    <col min="290" max="290" width="18.88671875" customWidth="1"/>
    <col min="291" max="306" width="0" hidden="1" customWidth="1"/>
    <col min="307" max="307" width="16.88671875" customWidth="1"/>
    <col min="308" max="323" width="0" hidden="1" customWidth="1"/>
    <col min="324" max="324" width="16.88671875" customWidth="1"/>
    <col min="325" max="340" width="0" hidden="1" customWidth="1"/>
    <col min="341" max="341" width="16.88671875" customWidth="1"/>
    <col min="342" max="357" width="0" hidden="1" customWidth="1"/>
    <col min="358" max="358" width="16.88671875" customWidth="1"/>
    <col min="359" max="374" width="0" hidden="1" customWidth="1"/>
    <col min="375" max="375" width="22.77734375" customWidth="1"/>
    <col min="376" max="391" width="0" hidden="1" customWidth="1"/>
    <col min="392" max="392" width="26.109375" customWidth="1"/>
    <col min="393" max="408" width="0" hidden="1" customWidth="1"/>
    <col min="409" max="409" width="19.21875" customWidth="1"/>
    <col min="410" max="410" width="17.33203125" customWidth="1"/>
    <col min="411" max="411" width="8.33203125" customWidth="1"/>
    <col min="412" max="412" width="15.33203125" bestFit="1" customWidth="1"/>
    <col min="413" max="413" width="16" bestFit="1" customWidth="1"/>
    <col min="414" max="414" width="13.109375" bestFit="1" customWidth="1"/>
    <col min="493" max="493" width="12.33203125" customWidth="1"/>
    <col min="494" max="494" width="12.6640625" customWidth="1"/>
    <col min="495" max="495" width="42.109375" bestFit="1" customWidth="1"/>
    <col min="496" max="511" width="0" hidden="1" customWidth="1"/>
    <col min="512" max="512" width="17.33203125" customWidth="1"/>
    <col min="513" max="528" width="0" hidden="1" customWidth="1"/>
    <col min="529" max="529" width="18.88671875" customWidth="1"/>
    <col min="530" max="545" width="0" hidden="1" customWidth="1"/>
    <col min="546" max="546" width="18.88671875" customWidth="1"/>
    <col min="547" max="562" width="0" hidden="1" customWidth="1"/>
    <col min="563" max="563" width="16.88671875" customWidth="1"/>
    <col min="564" max="579" width="0" hidden="1" customWidth="1"/>
    <col min="580" max="580" width="16.88671875" customWidth="1"/>
    <col min="581" max="596" width="0" hidden="1" customWidth="1"/>
    <col min="597" max="597" width="16.88671875" customWidth="1"/>
    <col min="598" max="613" width="0" hidden="1" customWidth="1"/>
    <col min="614" max="614" width="16.88671875" customWidth="1"/>
    <col min="615" max="630" width="0" hidden="1" customWidth="1"/>
    <col min="631" max="631" width="22.77734375" customWidth="1"/>
    <col min="632" max="647" width="0" hidden="1" customWidth="1"/>
    <col min="648" max="648" width="26.109375" customWidth="1"/>
    <col min="649" max="664" width="0" hidden="1" customWidth="1"/>
    <col min="665" max="665" width="19.21875" customWidth="1"/>
    <col min="666" max="666" width="17.33203125" customWidth="1"/>
    <col min="667" max="667" width="8.33203125" customWidth="1"/>
    <col min="668" max="668" width="15.33203125" bestFit="1" customWidth="1"/>
    <col min="669" max="669" width="16" bestFit="1" customWidth="1"/>
    <col min="670" max="670" width="13.109375" bestFit="1" customWidth="1"/>
    <col min="749" max="749" width="12.33203125" customWidth="1"/>
    <col min="750" max="750" width="12.6640625" customWidth="1"/>
    <col min="751" max="751" width="42.109375" bestFit="1" customWidth="1"/>
    <col min="752" max="767" width="0" hidden="1" customWidth="1"/>
    <col min="768" max="768" width="17.33203125" customWidth="1"/>
    <col min="769" max="784" width="0" hidden="1" customWidth="1"/>
    <col min="785" max="785" width="18.88671875" customWidth="1"/>
    <col min="786" max="801" width="0" hidden="1" customWidth="1"/>
    <col min="802" max="802" width="18.88671875" customWidth="1"/>
    <col min="803" max="818" width="0" hidden="1" customWidth="1"/>
    <col min="819" max="819" width="16.88671875" customWidth="1"/>
    <col min="820" max="835" width="0" hidden="1" customWidth="1"/>
    <col min="836" max="836" width="16.88671875" customWidth="1"/>
    <col min="837" max="852" width="0" hidden="1" customWidth="1"/>
    <col min="853" max="853" width="16.88671875" customWidth="1"/>
    <col min="854" max="869" width="0" hidden="1" customWidth="1"/>
    <col min="870" max="870" width="16.88671875" customWidth="1"/>
    <col min="871" max="886" width="0" hidden="1" customWidth="1"/>
    <col min="887" max="887" width="22.77734375" customWidth="1"/>
    <col min="888" max="903" width="0" hidden="1" customWidth="1"/>
    <col min="904" max="904" width="26.109375" customWidth="1"/>
    <col min="905" max="920" width="0" hidden="1" customWidth="1"/>
    <col min="921" max="921" width="19.21875" customWidth="1"/>
    <col min="922" max="922" width="17.33203125" customWidth="1"/>
    <col min="923" max="923" width="8.33203125" customWidth="1"/>
    <col min="924" max="924" width="15.33203125" bestFit="1" customWidth="1"/>
    <col min="925" max="925" width="16" bestFit="1" customWidth="1"/>
    <col min="926" max="926" width="13.109375" bestFit="1" customWidth="1"/>
    <col min="1005" max="1005" width="12.33203125" customWidth="1"/>
    <col min="1006" max="1006" width="12.6640625" customWidth="1"/>
    <col min="1007" max="1007" width="42.109375" bestFit="1" customWidth="1"/>
    <col min="1008" max="1023" width="0" hidden="1" customWidth="1"/>
    <col min="1024" max="1024" width="17.33203125" customWidth="1"/>
    <col min="1025" max="1040" width="0" hidden="1" customWidth="1"/>
    <col min="1041" max="1041" width="18.88671875" customWidth="1"/>
    <col min="1042" max="1057" width="0" hidden="1" customWidth="1"/>
    <col min="1058" max="1058" width="18.88671875" customWidth="1"/>
    <col min="1059" max="1074" width="0" hidden="1" customWidth="1"/>
    <col min="1075" max="1075" width="16.88671875" customWidth="1"/>
    <col min="1076" max="1091" width="0" hidden="1" customWidth="1"/>
    <col min="1092" max="1092" width="16.88671875" customWidth="1"/>
    <col min="1093" max="1108" width="0" hidden="1" customWidth="1"/>
    <col min="1109" max="1109" width="16.88671875" customWidth="1"/>
    <col min="1110" max="1125" width="0" hidden="1" customWidth="1"/>
    <col min="1126" max="1126" width="16.88671875" customWidth="1"/>
    <col min="1127" max="1142" width="0" hidden="1" customWidth="1"/>
    <col min="1143" max="1143" width="22.77734375" customWidth="1"/>
    <col min="1144" max="1159" width="0" hidden="1" customWidth="1"/>
    <col min="1160" max="1160" width="26.109375" customWidth="1"/>
    <col min="1161" max="1176" width="0" hidden="1" customWidth="1"/>
    <col min="1177" max="1177" width="19.21875" customWidth="1"/>
    <col min="1178" max="1178" width="17.33203125" customWidth="1"/>
    <col min="1179" max="1179" width="8.33203125" customWidth="1"/>
    <col min="1180" max="1180" width="15.33203125" bestFit="1" customWidth="1"/>
    <col min="1181" max="1181" width="16" bestFit="1" customWidth="1"/>
    <col min="1182" max="1182" width="13.109375" bestFit="1" customWidth="1"/>
    <col min="1261" max="1261" width="12.33203125" customWidth="1"/>
    <col min="1262" max="1262" width="12.6640625" customWidth="1"/>
    <col min="1263" max="1263" width="42.109375" bestFit="1" customWidth="1"/>
    <col min="1264" max="1279" width="0" hidden="1" customWidth="1"/>
    <col min="1280" max="1280" width="17.33203125" customWidth="1"/>
    <col min="1281" max="1296" width="0" hidden="1" customWidth="1"/>
    <col min="1297" max="1297" width="18.88671875" customWidth="1"/>
    <col min="1298" max="1313" width="0" hidden="1" customWidth="1"/>
    <col min="1314" max="1314" width="18.88671875" customWidth="1"/>
    <col min="1315" max="1330" width="0" hidden="1" customWidth="1"/>
    <col min="1331" max="1331" width="16.88671875" customWidth="1"/>
    <col min="1332" max="1347" width="0" hidden="1" customWidth="1"/>
    <col min="1348" max="1348" width="16.88671875" customWidth="1"/>
    <col min="1349" max="1364" width="0" hidden="1" customWidth="1"/>
    <col min="1365" max="1365" width="16.88671875" customWidth="1"/>
    <col min="1366" max="1381" width="0" hidden="1" customWidth="1"/>
    <col min="1382" max="1382" width="16.88671875" customWidth="1"/>
    <col min="1383" max="1398" width="0" hidden="1" customWidth="1"/>
    <col min="1399" max="1399" width="22.77734375" customWidth="1"/>
    <col min="1400" max="1415" width="0" hidden="1" customWidth="1"/>
    <col min="1416" max="1416" width="26.109375" customWidth="1"/>
    <col min="1417" max="1432" width="0" hidden="1" customWidth="1"/>
    <col min="1433" max="1433" width="19.21875" customWidth="1"/>
    <col min="1434" max="1434" width="17.33203125" customWidth="1"/>
    <col min="1435" max="1435" width="8.33203125" customWidth="1"/>
    <col min="1436" max="1436" width="15.33203125" bestFit="1" customWidth="1"/>
    <col min="1437" max="1437" width="16" bestFit="1" customWidth="1"/>
    <col min="1438" max="1438" width="13.109375" bestFit="1" customWidth="1"/>
    <col min="1517" max="1517" width="12.33203125" customWidth="1"/>
    <col min="1518" max="1518" width="12.6640625" customWidth="1"/>
    <col min="1519" max="1519" width="42.109375" bestFit="1" customWidth="1"/>
    <col min="1520" max="1535" width="0" hidden="1" customWidth="1"/>
    <col min="1536" max="1536" width="17.33203125" customWidth="1"/>
    <col min="1537" max="1552" width="0" hidden="1" customWidth="1"/>
    <col min="1553" max="1553" width="18.88671875" customWidth="1"/>
    <col min="1554" max="1569" width="0" hidden="1" customWidth="1"/>
    <col min="1570" max="1570" width="18.88671875" customWidth="1"/>
    <col min="1571" max="1586" width="0" hidden="1" customWidth="1"/>
    <col min="1587" max="1587" width="16.88671875" customWidth="1"/>
    <col min="1588" max="1603" width="0" hidden="1" customWidth="1"/>
    <col min="1604" max="1604" width="16.88671875" customWidth="1"/>
    <col min="1605" max="1620" width="0" hidden="1" customWidth="1"/>
    <col min="1621" max="1621" width="16.88671875" customWidth="1"/>
    <col min="1622" max="1637" width="0" hidden="1" customWidth="1"/>
    <col min="1638" max="1638" width="16.88671875" customWidth="1"/>
    <col min="1639" max="1654" width="0" hidden="1" customWidth="1"/>
    <col min="1655" max="1655" width="22.77734375" customWidth="1"/>
    <col min="1656" max="1671" width="0" hidden="1" customWidth="1"/>
    <col min="1672" max="1672" width="26.109375" customWidth="1"/>
    <col min="1673" max="1688" width="0" hidden="1" customWidth="1"/>
    <col min="1689" max="1689" width="19.21875" customWidth="1"/>
    <col min="1690" max="1690" width="17.33203125" customWidth="1"/>
    <col min="1691" max="1691" width="8.33203125" customWidth="1"/>
    <col min="1692" max="1692" width="15.33203125" bestFit="1" customWidth="1"/>
    <col min="1693" max="1693" width="16" bestFit="1" customWidth="1"/>
    <col min="1694" max="1694" width="13.109375" bestFit="1" customWidth="1"/>
    <col min="1773" max="1773" width="12.33203125" customWidth="1"/>
    <col min="1774" max="1774" width="12.6640625" customWidth="1"/>
    <col min="1775" max="1775" width="42.109375" bestFit="1" customWidth="1"/>
    <col min="1776" max="1791" width="0" hidden="1" customWidth="1"/>
    <col min="1792" max="1792" width="17.33203125" customWidth="1"/>
    <col min="1793" max="1808" width="0" hidden="1" customWidth="1"/>
    <col min="1809" max="1809" width="18.88671875" customWidth="1"/>
    <col min="1810" max="1825" width="0" hidden="1" customWidth="1"/>
    <col min="1826" max="1826" width="18.88671875" customWidth="1"/>
    <col min="1827" max="1842" width="0" hidden="1" customWidth="1"/>
    <col min="1843" max="1843" width="16.88671875" customWidth="1"/>
    <col min="1844" max="1859" width="0" hidden="1" customWidth="1"/>
    <col min="1860" max="1860" width="16.88671875" customWidth="1"/>
    <col min="1861" max="1876" width="0" hidden="1" customWidth="1"/>
    <col min="1877" max="1877" width="16.88671875" customWidth="1"/>
    <col min="1878" max="1893" width="0" hidden="1" customWidth="1"/>
    <col min="1894" max="1894" width="16.88671875" customWidth="1"/>
    <col min="1895" max="1910" width="0" hidden="1" customWidth="1"/>
    <col min="1911" max="1911" width="22.77734375" customWidth="1"/>
    <col min="1912" max="1927" width="0" hidden="1" customWidth="1"/>
    <col min="1928" max="1928" width="26.109375" customWidth="1"/>
    <col min="1929" max="1944" width="0" hidden="1" customWidth="1"/>
    <col min="1945" max="1945" width="19.21875" customWidth="1"/>
    <col min="1946" max="1946" width="17.33203125" customWidth="1"/>
    <col min="1947" max="1947" width="8.33203125" customWidth="1"/>
    <col min="1948" max="1948" width="15.33203125" bestFit="1" customWidth="1"/>
    <col min="1949" max="1949" width="16" bestFit="1" customWidth="1"/>
    <col min="1950" max="1950" width="13.109375" bestFit="1" customWidth="1"/>
    <col min="2029" max="2029" width="12.33203125" customWidth="1"/>
    <col min="2030" max="2030" width="12.6640625" customWidth="1"/>
    <col min="2031" max="2031" width="42.109375" bestFit="1" customWidth="1"/>
    <col min="2032" max="2047" width="0" hidden="1" customWidth="1"/>
    <col min="2048" max="2048" width="17.33203125" customWidth="1"/>
    <col min="2049" max="2064" width="0" hidden="1" customWidth="1"/>
    <col min="2065" max="2065" width="18.88671875" customWidth="1"/>
    <col min="2066" max="2081" width="0" hidden="1" customWidth="1"/>
    <col min="2082" max="2082" width="18.88671875" customWidth="1"/>
    <col min="2083" max="2098" width="0" hidden="1" customWidth="1"/>
    <col min="2099" max="2099" width="16.88671875" customWidth="1"/>
    <col min="2100" max="2115" width="0" hidden="1" customWidth="1"/>
    <col min="2116" max="2116" width="16.88671875" customWidth="1"/>
    <col min="2117" max="2132" width="0" hidden="1" customWidth="1"/>
    <col min="2133" max="2133" width="16.88671875" customWidth="1"/>
    <col min="2134" max="2149" width="0" hidden="1" customWidth="1"/>
    <col min="2150" max="2150" width="16.88671875" customWidth="1"/>
    <col min="2151" max="2166" width="0" hidden="1" customWidth="1"/>
    <col min="2167" max="2167" width="22.77734375" customWidth="1"/>
    <col min="2168" max="2183" width="0" hidden="1" customWidth="1"/>
    <col min="2184" max="2184" width="26.109375" customWidth="1"/>
    <col min="2185" max="2200" width="0" hidden="1" customWidth="1"/>
    <col min="2201" max="2201" width="19.21875" customWidth="1"/>
    <col min="2202" max="2202" width="17.33203125" customWidth="1"/>
    <col min="2203" max="2203" width="8.33203125" customWidth="1"/>
    <col min="2204" max="2204" width="15.33203125" bestFit="1" customWidth="1"/>
    <col min="2205" max="2205" width="16" bestFit="1" customWidth="1"/>
    <col min="2206" max="2206" width="13.109375" bestFit="1" customWidth="1"/>
    <col min="2285" max="2285" width="12.33203125" customWidth="1"/>
    <col min="2286" max="2286" width="12.6640625" customWidth="1"/>
    <col min="2287" max="2287" width="42.109375" bestFit="1" customWidth="1"/>
    <col min="2288" max="2303" width="0" hidden="1" customWidth="1"/>
    <col min="2304" max="2304" width="17.33203125" customWidth="1"/>
    <col min="2305" max="2320" width="0" hidden="1" customWidth="1"/>
    <col min="2321" max="2321" width="18.88671875" customWidth="1"/>
    <col min="2322" max="2337" width="0" hidden="1" customWidth="1"/>
    <col min="2338" max="2338" width="18.88671875" customWidth="1"/>
    <col min="2339" max="2354" width="0" hidden="1" customWidth="1"/>
    <col min="2355" max="2355" width="16.88671875" customWidth="1"/>
    <col min="2356" max="2371" width="0" hidden="1" customWidth="1"/>
    <col min="2372" max="2372" width="16.88671875" customWidth="1"/>
    <col min="2373" max="2388" width="0" hidden="1" customWidth="1"/>
    <col min="2389" max="2389" width="16.88671875" customWidth="1"/>
    <col min="2390" max="2405" width="0" hidden="1" customWidth="1"/>
    <col min="2406" max="2406" width="16.88671875" customWidth="1"/>
    <col min="2407" max="2422" width="0" hidden="1" customWidth="1"/>
    <col min="2423" max="2423" width="22.77734375" customWidth="1"/>
    <col min="2424" max="2439" width="0" hidden="1" customWidth="1"/>
    <col min="2440" max="2440" width="26.109375" customWidth="1"/>
    <col min="2441" max="2456" width="0" hidden="1" customWidth="1"/>
    <col min="2457" max="2457" width="19.21875" customWidth="1"/>
    <col min="2458" max="2458" width="17.33203125" customWidth="1"/>
    <col min="2459" max="2459" width="8.33203125" customWidth="1"/>
    <col min="2460" max="2460" width="15.33203125" bestFit="1" customWidth="1"/>
    <col min="2461" max="2461" width="16" bestFit="1" customWidth="1"/>
    <col min="2462" max="2462" width="13.109375" bestFit="1" customWidth="1"/>
    <col min="2541" max="2541" width="12.33203125" customWidth="1"/>
    <col min="2542" max="2542" width="12.6640625" customWidth="1"/>
    <col min="2543" max="2543" width="42.109375" bestFit="1" customWidth="1"/>
    <col min="2544" max="2559" width="0" hidden="1" customWidth="1"/>
    <col min="2560" max="2560" width="17.33203125" customWidth="1"/>
    <col min="2561" max="2576" width="0" hidden="1" customWidth="1"/>
    <col min="2577" max="2577" width="18.88671875" customWidth="1"/>
    <col min="2578" max="2593" width="0" hidden="1" customWidth="1"/>
    <col min="2594" max="2594" width="18.88671875" customWidth="1"/>
    <col min="2595" max="2610" width="0" hidden="1" customWidth="1"/>
    <col min="2611" max="2611" width="16.88671875" customWidth="1"/>
    <col min="2612" max="2627" width="0" hidden="1" customWidth="1"/>
    <col min="2628" max="2628" width="16.88671875" customWidth="1"/>
    <col min="2629" max="2644" width="0" hidden="1" customWidth="1"/>
    <col min="2645" max="2645" width="16.88671875" customWidth="1"/>
    <col min="2646" max="2661" width="0" hidden="1" customWidth="1"/>
    <col min="2662" max="2662" width="16.88671875" customWidth="1"/>
    <col min="2663" max="2678" width="0" hidden="1" customWidth="1"/>
    <col min="2679" max="2679" width="22.77734375" customWidth="1"/>
    <col min="2680" max="2695" width="0" hidden="1" customWidth="1"/>
    <col min="2696" max="2696" width="26.109375" customWidth="1"/>
    <col min="2697" max="2712" width="0" hidden="1" customWidth="1"/>
    <col min="2713" max="2713" width="19.21875" customWidth="1"/>
    <col min="2714" max="2714" width="17.33203125" customWidth="1"/>
    <col min="2715" max="2715" width="8.33203125" customWidth="1"/>
    <col min="2716" max="2716" width="15.33203125" bestFit="1" customWidth="1"/>
    <col min="2717" max="2717" width="16" bestFit="1" customWidth="1"/>
    <col min="2718" max="2718" width="13.109375" bestFit="1" customWidth="1"/>
    <col min="2797" max="2797" width="12.33203125" customWidth="1"/>
    <col min="2798" max="2798" width="12.6640625" customWidth="1"/>
    <col min="2799" max="2799" width="42.109375" bestFit="1" customWidth="1"/>
    <col min="2800" max="2815" width="0" hidden="1" customWidth="1"/>
    <col min="2816" max="2816" width="17.33203125" customWidth="1"/>
    <col min="2817" max="2832" width="0" hidden="1" customWidth="1"/>
    <col min="2833" max="2833" width="18.88671875" customWidth="1"/>
    <col min="2834" max="2849" width="0" hidden="1" customWidth="1"/>
    <col min="2850" max="2850" width="18.88671875" customWidth="1"/>
    <col min="2851" max="2866" width="0" hidden="1" customWidth="1"/>
    <col min="2867" max="2867" width="16.88671875" customWidth="1"/>
    <col min="2868" max="2883" width="0" hidden="1" customWidth="1"/>
    <col min="2884" max="2884" width="16.88671875" customWidth="1"/>
    <col min="2885" max="2900" width="0" hidden="1" customWidth="1"/>
    <col min="2901" max="2901" width="16.88671875" customWidth="1"/>
    <col min="2902" max="2917" width="0" hidden="1" customWidth="1"/>
    <col min="2918" max="2918" width="16.88671875" customWidth="1"/>
    <col min="2919" max="2934" width="0" hidden="1" customWidth="1"/>
    <col min="2935" max="2935" width="22.77734375" customWidth="1"/>
    <col min="2936" max="2951" width="0" hidden="1" customWidth="1"/>
    <col min="2952" max="2952" width="26.109375" customWidth="1"/>
    <col min="2953" max="2968" width="0" hidden="1" customWidth="1"/>
    <col min="2969" max="2969" width="19.21875" customWidth="1"/>
    <col min="2970" max="2970" width="17.33203125" customWidth="1"/>
    <col min="2971" max="2971" width="8.33203125" customWidth="1"/>
    <col min="2972" max="2972" width="15.33203125" bestFit="1" customWidth="1"/>
    <col min="2973" max="2973" width="16" bestFit="1" customWidth="1"/>
    <col min="2974" max="2974" width="13.109375" bestFit="1" customWidth="1"/>
    <col min="3053" max="3053" width="12.33203125" customWidth="1"/>
    <col min="3054" max="3054" width="12.6640625" customWidth="1"/>
    <col min="3055" max="3055" width="42.109375" bestFit="1" customWidth="1"/>
    <col min="3056" max="3071" width="0" hidden="1" customWidth="1"/>
    <col min="3072" max="3072" width="17.33203125" customWidth="1"/>
    <col min="3073" max="3088" width="0" hidden="1" customWidth="1"/>
    <col min="3089" max="3089" width="18.88671875" customWidth="1"/>
    <col min="3090" max="3105" width="0" hidden="1" customWidth="1"/>
    <col min="3106" max="3106" width="18.88671875" customWidth="1"/>
    <col min="3107" max="3122" width="0" hidden="1" customWidth="1"/>
    <col min="3123" max="3123" width="16.88671875" customWidth="1"/>
    <col min="3124" max="3139" width="0" hidden="1" customWidth="1"/>
    <col min="3140" max="3140" width="16.88671875" customWidth="1"/>
    <col min="3141" max="3156" width="0" hidden="1" customWidth="1"/>
    <col min="3157" max="3157" width="16.88671875" customWidth="1"/>
    <col min="3158" max="3173" width="0" hidden="1" customWidth="1"/>
    <col min="3174" max="3174" width="16.88671875" customWidth="1"/>
    <col min="3175" max="3190" width="0" hidden="1" customWidth="1"/>
    <col min="3191" max="3191" width="22.77734375" customWidth="1"/>
    <col min="3192" max="3207" width="0" hidden="1" customWidth="1"/>
    <col min="3208" max="3208" width="26.109375" customWidth="1"/>
    <col min="3209" max="3224" width="0" hidden="1" customWidth="1"/>
    <col min="3225" max="3225" width="19.21875" customWidth="1"/>
    <col min="3226" max="3226" width="17.33203125" customWidth="1"/>
    <col min="3227" max="3227" width="8.33203125" customWidth="1"/>
    <col min="3228" max="3228" width="15.33203125" bestFit="1" customWidth="1"/>
    <col min="3229" max="3229" width="16" bestFit="1" customWidth="1"/>
    <col min="3230" max="3230" width="13.109375" bestFit="1" customWidth="1"/>
    <col min="3309" max="3309" width="12.33203125" customWidth="1"/>
    <col min="3310" max="3310" width="12.6640625" customWidth="1"/>
    <col min="3311" max="3311" width="42.109375" bestFit="1" customWidth="1"/>
    <col min="3312" max="3327" width="0" hidden="1" customWidth="1"/>
    <col min="3328" max="3328" width="17.33203125" customWidth="1"/>
    <col min="3329" max="3344" width="0" hidden="1" customWidth="1"/>
    <col min="3345" max="3345" width="18.88671875" customWidth="1"/>
    <col min="3346" max="3361" width="0" hidden="1" customWidth="1"/>
    <col min="3362" max="3362" width="18.88671875" customWidth="1"/>
    <col min="3363" max="3378" width="0" hidden="1" customWidth="1"/>
    <col min="3379" max="3379" width="16.88671875" customWidth="1"/>
    <col min="3380" max="3395" width="0" hidden="1" customWidth="1"/>
    <col min="3396" max="3396" width="16.88671875" customWidth="1"/>
    <col min="3397" max="3412" width="0" hidden="1" customWidth="1"/>
    <col min="3413" max="3413" width="16.88671875" customWidth="1"/>
    <col min="3414" max="3429" width="0" hidden="1" customWidth="1"/>
    <col min="3430" max="3430" width="16.88671875" customWidth="1"/>
    <col min="3431" max="3446" width="0" hidden="1" customWidth="1"/>
    <col min="3447" max="3447" width="22.77734375" customWidth="1"/>
    <col min="3448" max="3463" width="0" hidden="1" customWidth="1"/>
    <col min="3464" max="3464" width="26.109375" customWidth="1"/>
    <col min="3465" max="3480" width="0" hidden="1" customWidth="1"/>
    <col min="3481" max="3481" width="19.21875" customWidth="1"/>
    <col min="3482" max="3482" width="17.33203125" customWidth="1"/>
    <col min="3483" max="3483" width="8.33203125" customWidth="1"/>
    <col min="3484" max="3484" width="15.33203125" bestFit="1" customWidth="1"/>
    <col min="3485" max="3485" width="16" bestFit="1" customWidth="1"/>
    <col min="3486" max="3486" width="13.109375" bestFit="1" customWidth="1"/>
    <col min="3565" max="3565" width="12.33203125" customWidth="1"/>
    <col min="3566" max="3566" width="12.6640625" customWidth="1"/>
    <col min="3567" max="3567" width="42.109375" bestFit="1" customWidth="1"/>
    <col min="3568" max="3583" width="0" hidden="1" customWidth="1"/>
    <col min="3584" max="3584" width="17.33203125" customWidth="1"/>
    <col min="3585" max="3600" width="0" hidden="1" customWidth="1"/>
    <col min="3601" max="3601" width="18.88671875" customWidth="1"/>
    <col min="3602" max="3617" width="0" hidden="1" customWidth="1"/>
    <col min="3618" max="3618" width="18.88671875" customWidth="1"/>
    <col min="3619" max="3634" width="0" hidden="1" customWidth="1"/>
    <col min="3635" max="3635" width="16.88671875" customWidth="1"/>
    <col min="3636" max="3651" width="0" hidden="1" customWidth="1"/>
    <col min="3652" max="3652" width="16.88671875" customWidth="1"/>
    <col min="3653" max="3668" width="0" hidden="1" customWidth="1"/>
    <col min="3669" max="3669" width="16.88671875" customWidth="1"/>
    <col min="3670" max="3685" width="0" hidden="1" customWidth="1"/>
    <col min="3686" max="3686" width="16.88671875" customWidth="1"/>
    <col min="3687" max="3702" width="0" hidden="1" customWidth="1"/>
    <col min="3703" max="3703" width="22.77734375" customWidth="1"/>
    <col min="3704" max="3719" width="0" hidden="1" customWidth="1"/>
    <col min="3720" max="3720" width="26.109375" customWidth="1"/>
    <col min="3721" max="3736" width="0" hidden="1" customWidth="1"/>
    <col min="3737" max="3737" width="19.21875" customWidth="1"/>
    <col min="3738" max="3738" width="17.33203125" customWidth="1"/>
    <col min="3739" max="3739" width="8.33203125" customWidth="1"/>
    <col min="3740" max="3740" width="15.33203125" bestFit="1" customWidth="1"/>
    <col min="3741" max="3741" width="16" bestFit="1" customWidth="1"/>
    <col min="3742" max="3742" width="13.109375" bestFit="1" customWidth="1"/>
    <col min="3821" max="3821" width="12.33203125" customWidth="1"/>
    <col min="3822" max="3822" width="12.6640625" customWidth="1"/>
    <col min="3823" max="3823" width="42.109375" bestFit="1" customWidth="1"/>
    <col min="3824" max="3839" width="0" hidden="1" customWidth="1"/>
    <col min="3840" max="3840" width="17.33203125" customWidth="1"/>
    <col min="3841" max="3856" width="0" hidden="1" customWidth="1"/>
    <col min="3857" max="3857" width="18.88671875" customWidth="1"/>
    <col min="3858" max="3873" width="0" hidden="1" customWidth="1"/>
    <col min="3874" max="3874" width="18.88671875" customWidth="1"/>
    <col min="3875" max="3890" width="0" hidden="1" customWidth="1"/>
    <col min="3891" max="3891" width="16.88671875" customWidth="1"/>
    <col min="3892" max="3907" width="0" hidden="1" customWidth="1"/>
    <col min="3908" max="3908" width="16.88671875" customWidth="1"/>
    <col min="3909" max="3924" width="0" hidden="1" customWidth="1"/>
    <col min="3925" max="3925" width="16.88671875" customWidth="1"/>
    <col min="3926" max="3941" width="0" hidden="1" customWidth="1"/>
    <col min="3942" max="3942" width="16.88671875" customWidth="1"/>
    <col min="3943" max="3958" width="0" hidden="1" customWidth="1"/>
    <col min="3959" max="3959" width="22.77734375" customWidth="1"/>
    <col min="3960" max="3975" width="0" hidden="1" customWidth="1"/>
    <col min="3976" max="3976" width="26.109375" customWidth="1"/>
    <col min="3977" max="3992" width="0" hidden="1" customWidth="1"/>
    <col min="3993" max="3993" width="19.21875" customWidth="1"/>
    <col min="3994" max="3994" width="17.33203125" customWidth="1"/>
    <col min="3995" max="3995" width="8.33203125" customWidth="1"/>
    <col min="3996" max="3996" width="15.33203125" bestFit="1" customWidth="1"/>
    <col min="3997" max="3997" width="16" bestFit="1" customWidth="1"/>
    <col min="3998" max="3998" width="13.109375" bestFit="1" customWidth="1"/>
    <col min="4077" max="4077" width="12.33203125" customWidth="1"/>
    <col min="4078" max="4078" width="12.6640625" customWidth="1"/>
    <col min="4079" max="4079" width="42.109375" bestFit="1" customWidth="1"/>
    <col min="4080" max="4095" width="0" hidden="1" customWidth="1"/>
    <col min="4096" max="4096" width="17.33203125" customWidth="1"/>
    <col min="4097" max="4112" width="0" hidden="1" customWidth="1"/>
    <col min="4113" max="4113" width="18.88671875" customWidth="1"/>
    <col min="4114" max="4129" width="0" hidden="1" customWidth="1"/>
    <col min="4130" max="4130" width="18.88671875" customWidth="1"/>
    <col min="4131" max="4146" width="0" hidden="1" customWidth="1"/>
    <col min="4147" max="4147" width="16.88671875" customWidth="1"/>
    <col min="4148" max="4163" width="0" hidden="1" customWidth="1"/>
    <col min="4164" max="4164" width="16.88671875" customWidth="1"/>
    <col min="4165" max="4180" width="0" hidden="1" customWidth="1"/>
    <col min="4181" max="4181" width="16.88671875" customWidth="1"/>
    <col min="4182" max="4197" width="0" hidden="1" customWidth="1"/>
    <col min="4198" max="4198" width="16.88671875" customWidth="1"/>
    <col min="4199" max="4214" width="0" hidden="1" customWidth="1"/>
    <col min="4215" max="4215" width="22.77734375" customWidth="1"/>
    <col min="4216" max="4231" width="0" hidden="1" customWidth="1"/>
    <col min="4232" max="4232" width="26.109375" customWidth="1"/>
    <col min="4233" max="4248" width="0" hidden="1" customWidth="1"/>
    <col min="4249" max="4249" width="19.21875" customWidth="1"/>
    <col min="4250" max="4250" width="17.33203125" customWidth="1"/>
    <col min="4251" max="4251" width="8.33203125" customWidth="1"/>
    <col min="4252" max="4252" width="15.33203125" bestFit="1" customWidth="1"/>
    <col min="4253" max="4253" width="16" bestFit="1" customWidth="1"/>
    <col min="4254" max="4254" width="13.109375" bestFit="1" customWidth="1"/>
    <col min="4333" max="4333" width="12.33203125" customWidth="1"/>
    <col min="4334" max="4334" width="12.6640625" customWidth="1"/>
    <col min="4335" max="4335" width="42.109375" bestFit="1" customWidth="1"/>
    <col min="4336" max="4351" width="0" hidden="1" customWidth="1"/>
    <col min="4352" max="4352" width="17.33203125" customWidth="1"/>
    <col min="4353" max="4368" width="0" hidden="1" customWidth="1"/>
    <col min="4369" max="4369" width="18.88671875" customWidth="1"/>
    <col min="4370" max="4385" width="0" hidden="1" customWidth="1"/>
    <col min="4386" max="4386" width="18.88671875" customWidth="1"/>
    <col min="4387" max="4402" width="0" hidden="1" customWidth="1"/>
    <col min="4403" max="4403" width="16.88671875" customWidth="1"/>
    <col min="4404" max="4419" width="0" hidden="1" customWidth="1"/>
    <col min="4420" max="4420" width="16.88671875" customWidth="1"/>
    <col min="4421" max="4436" width="0" hidden="1" customWidth="1"/>
    <col min="4437" max="4437" width="16.88671875" customWidth="1"/>
    <col min="4438" max="4453" width="0" hidden="1" customWidth="1"/>
    <col min="4454" max="4454" width="16.88671875" customWidth="1"/>
    <col min="4455" max="4470" width="0" hidden="1" customWidth="1"/>
    <col min="4471" max="4471" width="22.77734375" customWidth="1"/>
    <col min="4472" max="4487" width="0" hidden="1" customWidth="1"/>
    <col min="4488" max="4488" width="26.109375" customWidth="1"/>
    <col min="4489" max="4504" width="0" hidden="1" customWidth="1"/>
    <col min="4505" max="4505" width="19.21875" customWidth="1"/>
    <col min="4506" max="4506" width="17.33203125" customWidth="1"/>
    <col min="4507" max="4507" width="8.33203125" customWidth="1"/>
    <col min="4508" max="4508" width="15.33203125" bestFit="1" customWidth="1"/>
    <col min="4509" max="4509" width="16" bestFit="1" customWidth="1"/>
    <col min="4510" max="4510" width="13.109375" bestFit="1" customWidth="1"/>
    <col min="4589" max="4589" width="12.33203125" customWidth="1"/>
    <col min="4590" max="4590" width="12.6640625" customWidth="1"/>
    <col min="4591" max="4591" width="42.109375" bestFit="1" customWidth="1"/>
    <col min="4592" max="4607" width="0" hidden="1" customWidth="1"/>
    <col min="4608" max="4608" width="17.33203125" customWidth="1"/>
    <col min="4609" max="4624" width="0" hidden="1" customWidth="1"/>
    <col min="4625" max="4625" width="18.88671875" customWidth="1"/>
    <col min="4626" max="4641" width="0" hidden="1" customWidth="1"/>
    <col min="4642" max="4642" width="18.88671875" customWidth="1"/>
    <col min="4643" max="4658" width="0" hidden="1" customWidth="1"/>
    <col min="4659" max="4659" width="16.88671875" customWidth="1"/>
    <col min="4660" max="4675" width="0" hidden="1" customWidth="1"/>
    <col min="4676" max="4676" width="16.88671875" customWidth="1"/>
    <col min="4677" max="4692" width="0" hidden="1" customWidth="1"/>
    <col min="4693" max="4693" width="16.88671875" customWidth="1"/>
    <col min="4694" max="4709" width="0" hidden="1" customWidth="1"/>
    <col min="4710" max="4710" width="16.88671875" customWidth="1"/>
    <col min="4711" max="4726" width="0" hidden="1" customWidth="1"/>
    <col min="4727" max="4727" width="22.77734375" customWidth="1"/>
    <col min="4728" max="4743" width="0" hidden="1" customWidth="1"/>
    <col min="4744" max="4744" width="26.109375" customWidth="1"/>
    <col min="4745" max="4760" width="0" hidden="1" customWidth="1"/>
    <col min="4761" max="4761" width="19.21875" customWidth="1"/>
    <col min="4762" max="4762" width="17.33203125" customWidth="1"/>
    <col min="4763" max="4763" width="8.33203125" customWidth="1"/>
    <col min="4764" max="4764" width="15.33203125" bestFit="1" customWidth="1"/>
    <col min="4765" max="4765" width="16" bestFit="1" customWidth="1"/>
    <col min="4766" max="4766" width="13.109375" bestFit="1" customWidth="1"/>
    <col min="4845" max="4845" width="12.33203125" customWidth="1"/>
    <col min="4846" max="4846" width="12.6640625" customWidth="1"/>
    <col min="4847" max="4847" width="42.109375" bestFit="1" customWidth="1"/>
    <col min="4848" max="4863" width="0" hidden="1" customWidth="1"/>
    <col min="4864" max="4864" width="17.33203125" customWidth="1"/>
    <col min="4865" max="4880" width="0" hidden="1" customWidth="1"/>
    <col min="4881" max="4881" width="18.88671875" customWidth="1"/>
    <col min="4882" max="4897" width="0" hidden="1" customWidth="1"/>
    <col min="4898" max="4898" width="18.88671875" customWidth="1"/>
    <col min="4899" max="4914" width="0" hidden="1" customWidth="1"/>
    <col min="4915" max="4915" width="16.88671875" customWidth="1"/>
    <col min="4916" max="4931" width="0" hidden="1" customWidth="1"/>
    <col min="4932" max="4932" width="16.88671875" customWidth="1"/>
    <col min="4933" max="4948" width="0" hidden="1" customWidth="1"/>
    <col min="4949" max="4949" width="16.88671875" customWidth="1"/>
    <col min="4950" max="4965" width="0" hidden="1" customWidth="1"/>
    <col min="4966" max="4966" width="16.88671875" customWidth="1"/>
    <col min="4967" max="4982" width="0" hidden="1" customWidth="1"/>
    <col min="4983" max="4983" width="22.77734375" customWidth="1"/>
    <col min="4984" max="4999" width="0" hidden="1" customWidth="1"/>
    <col min="5000" max="5000" width="26.109375" customWidth="1"/>
    <col min="5001" max="5016" width="0" hidden="1" customWidth="1"/>
    <col min="5017" max="5017" width="19.21875" customWidth="1"/>
    <col min="5018" max="5018" width="17.33203125" customWidth="1"/>
    <col min="5019" max="5019" width="8.33203125" customWidth="1"/>
    <col min="5020" max="5020" width="15.33203125" bestFit="1" customWidth="1"/>
    <col min="5021" max="5021" width="16" bestFit="1" customWidth="1"/>
    <col min="5022" max="5022" width="13.109375" bestFit="1" customWidth="1"/>
    <col min="5101" max="5101" width="12.33203125" customWidth="1"/>
    <col min="5102" max="5102" width="12.6640625" customWidth="1"/>
    <col min="5103" max="5103" width="42.109375" bestFit="1" customWidth="1"/>
    <col min="5104" max="5119" width="0" hidden="1" customWidth="1"/>
    <col min="5120" max="5120" width="17.33203125" customWidth="1"/>
    <col min="5121" max="5136" width="0" hidden="1" customWidth="1"/>
    <col min="5137" max="5137" width="18.88671875" customWidth="1"/>
    <col min="5138" max="5153" width="0" hidden="1" customWidth="1"/>
    <col min="5154" max="5154" width="18.88671875" customWidth="1"/>
    <col min="5155" max="5170" width="0" hidden="1" customWidth="1"/>
    <col min="5171" max="5171" width="16.88671875" customWidth="1"/>
    <col min="5172" max="5187" width="0" hidden="1" customWidth="1"/>
    <col min="5188" max="5188" width="16.88671875" customWidth="1"/>
    <col min="5189" max="5204" width="0" hidden="1" customWidth="1"/>
    <col min="5205" max="5205" width="16.88671875" customWidth="1"/>
    <col min="5206" max="5221" width="0" hidden="1" customWidth="1"/>
    <col min="5222" max="5222" width="16.88671875" customWidth="1"/>
    <col min="5223" max="5238" width="0" hidden="1" customWidth="1"/>
    <col min="5239" max="5239" width="22.77734375" customWidth="1"/>
    <col min="5240" max="5255" width="0" hidden="1" customWidth="1"/>
    <col min="5256" max="5256" width="26.109375" customWidth="1"/>
    <col min="5257" max="5272" width="0" hidden="1" customWidth="1"/>
    <col min="5273" max="5273" width="19.21875" customWidth="1"/>
    <col min="5274" max="5274" width="17.33203125" customWidth="1"/>
    <col min="5275" max="5275" width="8.33203125" customWidth="1"/>
    <col min="5276" max="5276" width="15.33203125" bestFit="1" customWidth="1"/>
    <col min="5277" max="5277" width="16" bestFit="1" customWidth="1"/>
    <col min="5278" max="5278" width="13.109375" bestFit="1" customWidth="1"/>
    <col min="5357" max="5357" width="12.33203125" customWidth="1"/>
    <col min="5358" max="5358" width="12.6640625" customWidth="1"/>
    <col min="5359" max="5359" width="42.109375" bestFit="1" customWidth="1"/>
    <col min="5360" max="5375" width="0" hidden="1" customWidth="1"/>
    <col min="5376" max="5376" width="17.33203125" customWidth="1"/>
    <col min="5377" max="5392" width="0" hidden="1" customWidth="1"/>
    <col min="5393" max="5393" width="18.88671875" customWidth="1"/>
    <col min="5394" max="5409" width="0" hidden="1" customWidth="1"/>
    <col min="5410" max="5410" width="18.88671875" customWidth="1"/>
    <col min="5411" max="5426" width="0" hidden="1" customWidth="1"/>
    <col min="5427" max="5427" width="16.88671875" customWidth="1"/>
    <col min="5428" max="5443" width="0" hidden="1" customWidth="1"/>
    <col min="5444" max="5444" width="16.88671875" customWidth="1"/>
    <col min="5445" max="5460" width="0" hidden="1" customWidth="1"/>
    <col min="5461" max="5461" width="16.88671875" customWidth="1"/>
    <col min="5462" max="5477" width="0" hidden="1" customWidth="1"/>
    <col min="5478" max="5478" width="16.88671875" customWidth="1"/>
    <col min="5479" max="5494" width="0" hidden="1" customWidth="1"/>
    <col min="5495" max="5495" width="22.77734375" customWidth="1"/>
    <col min="5496" max="5511" width="0" hidden="1" customWidth="1"/>
    <col min="5512" max="5512" width="26.109375" customWidth="1"/>
    <col min="5513" max="5528" width="0" hidden="1" customWidth="1"/>
    <col min="5529" max="5529" width="19.21875" customWidth="1"/>
    <col min="5530" max="5530" width="17.33203125" customWidth="1"/>
    <col min="5531" max="5531" width="8.33203125" customWidth="1"/>
    <col min="5532" max="5532" width="15.33203125" bestFit="1" customWidth="1"/>
    <col min="5533" max="5533" width="16" bestFit="1" customWidth="1"/>
    <col min="5534" max="5534" width="13.109375" bestFit="1" customWidth="1"/>
    <col min="5613" max="5613" width="12.33203125" customWidth="1"/>
    <col min="5614" max="5614" width="12.6640625" customWidth="1"/>
    <col min="5615" max="5615" width="42.109375" bestFit="1" customWidth="1"/>
    <col min="5616" max="5631" width="0" hidden="1" customWidth="1"/>
    <col min="5632" max="5632" width="17.33203125" customWidth="1"/>
    <col min="5633" max="5648" width="0" hidden="1" customWidth="1"/>
    <col min="5649" max="5649" width="18.88671875" customWidth="1"/>
    <col min="5650" max="5665" width="0" hidden="1" customWidth="1"/>
    <col min="5666" max="5666" width="18.88671875" customWidth="1"/>
    <col min="5667" max="5682" width="0" hidden="1" customWidth="1"/>
    <col min="5683" max="5683" width="16.88671875" customWidth="1"/>
    <col min="5684" max="5699" width="0" hidden="1" customWidth="1"/>
    <col min="5700" max="5700" width="16.88671875" customWidth="1"/>
    <col min="5701" max="5716" width="0" hidden="1" customWidth="1"/>
    <col min="5717" max="5717" width="16.88671875" customWidth="1"/>
    <col min="5718" max="5733" width="0" hidden="1" customWidth="1"/>
    <col min="5734" max="5734" width="16.88671875" customWidth="1"/>
    <col min="5735" max="5750" width="0" hidden="1" customWidth="1"/>
    <col min="5751" max="5751" width="22.77734375" customWidth="1"/>
    <col min="5752" max="5767" width="0" hidden="1" customWidth="1"/>
    <col min="5768" max="5768" width="26.109375" customWidth="1"/>
    <col min="5769" max="5784" width="0" hidden="1" customWidth="1"/>
    <col min="5785" max="5785" width="19.21875" customWidth="1"/>
    <col min="5786" max="5786" width="17.33203125" customWidth="1"/>
    <col min="5787" max="5787" width="8.33203125" customWidth="1"/>
    <col min="5788" max="5788" width="15.33203125" bestFit="1" customWidth="1"/>
    <col min="5789" max="5789" width="16" bestFit="1" customWidth="1"/>
    <col min="5790" max="5790" width="13.109375" bestFit="1" customWidth="1"/>
    <col min="5869" max="5869" width="12.33203125" customWidth="1"/>
    <col min="5870" max="5870" width="12.6640625" customWidth="1"/>
    <col min="5871" max="5871" width="42.109375" bestFit="1" customWidth="1"/>
    <col min="5872" max="5887" width="0" hidden="1" customWidth="1"/>
    <col min="5888" max="5888" width="17.33203125" customWidth="1"/>
    <col min="5889" max="5904" width="0" hidden="1" customWidth="1"/>
    <col min="5905" max="5905" width="18.88671875" customWidth="1"/>
    <col min="5906" max="5921" width="0" hidden="1" customWidth="1"/>
    <col min="5922" max="5922" width="18.88671875" customWidth="1"/>
    <col min="5923" max="5938" width="0" hidden="1" customWidth="1"/>
    <col min="5939" max="5939" width="16.88671875" customWidth="1"/>
    <col min="5940" max="5955" width="0" hidden="1" customWidth="1"/>
    <col min="5956" max="5956" width="16.88671875" customWidth="1"/>
    <col min="5957" max="5972" width="0" hidden="1" customWidth="1"/>
    <col min="5973" max="5973" width="16.88671875" customWidth="1"/>
    <col min="5974" max="5989" width="0" hidden="1" customWidth="1"/>
    <col min="5990" max="5990" width="16.88671875" customWidth="1"/>
    <col min="5991" max="6006" width="0" hidden="1" customWidth="1"/>
    <col min="6007" max="6007" width="22.77734375" customWidth="1"/>
    <col min="6008" max="6023" width="0" hidden="1" customWidth="1"/>
    <col min="6024" max="6024" width="26.109375" customWidth="1"/>
    <col min="6025" max="6040" width="0" hidden="1" customWidth="1"/>
    <col min="6041" max="6041" width="19.21875" customWidth="1"/>
    <col min="6042" max="6042" width="17.33203125" customWidth="1"/>
    <col min="6043" max="6043" width="8.33203125" customWidth="1"/>
    <col min="6044" max="6044" width="15.33203125" bestFit="1" customWidth="1"/>
    <col min="6045" max="6045" width="16" bestFit="1" customWidth="1"/>
    <col min="6046" max="6046" width="13.109375" bestFit="1" customWidth="1"/>
    <col min="6125" max="6125" width="12.33203125" customWidth="1"/>
    <col min="6126" max="6126" width="12.6640625" customWidth="1"/>
    <col min="6127" max="6127" width="42.109375" bestFit="1" customWidth="1"/>
    <col min="6128" max="6143" width="0" hidden="1" customWidth="1"/>
    <col min="6144" max="6144" width="17.33203125" customWidth="1"/>
    <col min="6145" max="6160" width="0" hidden="1" customWidth="1"/>
    <col min="6161" max="6161" width="18.88671875" customWidth="1"/>
    <col min="6162" max="6177" width="0" hidden="1" customWidth="1"/>
    <col min="6178" max="6178" width="18.88671875" customWidth="1"/>
    <col min="6179" max="6194" width="0" hidden="1" customWidth="1"/>
    <col min="6195" max="6195" width="16.88671875" customWidth="1"/>
    <col min="6196" max="6211" width="0" hidden="1" customWidth="1"/>
    <col min="6212" max="6212" width="16.88671875" customWidth="1"/>
    <col min="6213" max="6228" width="0" hidden="1" customWidth="1"/>
    <col min="6229" max="6229" width="16.88671875" customWidth="1"/>
    <col min="6230" max="6245" width="0" hidden="1" customWidth="1"/>
    <col min="6246" max="6246" width="16.88671875" customWidth="1"/>
    <col min="6247" max="6262" width="0" hidden="1" customWidth="1"/>
    <col min="6263" max="6263" width="22.77734375" customWidth="1"/>
    <col min="6264" max="6279" width="0" hidden="1" customWidth="1"/>
    <col min="6280" max="6280" width="26.109375" customWidth="1"/>
    <col min="6281" max="6296" width="0" hidden="1" customWidth="1"/>
    <col min="6297" max="6297" width="19.21875" customWidth="1"/>
    <col min="6298" max="6298" width="17.33203125" customWidth="1"/>
    <col min="6299" max="6299" width="8.33203125" customWidth="1"/>
    <col min="6300" max="6300" width="15.33203125" bestFit="1" customWidth="1"/>
    <col min="6301" max="6301" width="16" bestFit="1" customWidth="1"/>
    <col min="6302" max="6302" width="13.109375" bestFit="1" customWidth="1"/>
    <col min="6381" max="6381" width="12.33203125" customWidth="1"/>
    <col min="6382" max="6382" width="12.6640625" customWidth="1"/>
    <col min="6383" max="6383" width="42.109375" bestFit="1" customWidth="1"/>
    <col min="6384" max="6399" width="0" hidden="1" customWidth="1"/>
    <col min="6400" max="6400" width="17.33203125" customWidth="1"/>
    <col min="6401" max="6416" width="0" hidden="1" customWidth="1"/>
    <col min="6417" max="6417" width="18.88671875" customWidth="1"/>
    <col min="6418" max="6433" width="0" hidden="1" customWidth="1"/>
    <col min="6434" max="6434" width="18.88671875" customWidth="1"/>
    <col min="6435" max="6450" width="0" hidden="1" customWidth="1"/>
    <col min="6451" max="6451" width="16.88671875" customWidth="1"/>
    <col min="6452" max="6467" width="0" hidden="1" customWidth="1"/>
    <col min="6468" max="6468" width="16.88671875" customWidth="1"/>
    <col min="6469" max="6484" width="0" hidden="1" customWidth="1"/>
    <col min="6485" max="6485" width="16.88671875" customWidth="1"/>
    <col min="6486" max="6501" width="0" hidden="1" customWidth="1"/>
    <col min="6502" max="6502" width="16.88671875" customWidth="1"/>
    <col min="6503" max="6518" width="0" hidden="1" customWidth="1"/>
    <col min="6519" max="6519" width="22.77734375" customWidth="1"/>
    <col min="6520" max="6535" width="0" hidden="1" customWidth="1"/>
    <col min="6536" max="6536" width="26.109375" customWidth="1"/>
    <col min="6537" max="6552" width="0" hidden="1" customWidth="1"/>
    <col min="6553" max="6553" width="19.21875" customWidth="1"/>
    <col min="6554" max="6554" width="17.33203125" customWidth="1"/>
    <col min="6555" max="6555" width="8.33203125" customWidth="1"/>
    <col min="6556" max="6556" width="15.33203125" bestFit="1" customWidth="1"/>
    <col min="6557" max="6557" width="16" bestFit="1" customWidth="1"/>
    <col min="6558" max="6558" width="13.109375" bestFit="1" customWidth="1"/>
    <col min="6637" max="6637" width="12.33203125" customWidth="1"/>
    <col min="6638" max="6638" width="12.6640625" customWidth="1"/>
    <col min="6639" max="6639" width="42.109375" bestFit="1" customWidth="1"/>
    <col min="6640" max="6655" width="0" hidden="1" customWidth="1"/>
    <col min="6656" max="6656" width="17.33203125" customWidth="1"/>
    <col min="6657" max="6672" width="0" hidden="1" customWidth="1"/>
    <col min="6673" max="6673" width="18.88671875" customWidth="1"/>
    <col min="6674" max="6689" width="0" hidden="1" customWidth="1"/>
    <col min="6690" max="6690" width="18.88671875" customWidth="1"/>
    <col min="6691" max="6706" width="0" hidden="1" customWidth="1"/>
    <col min="6707" max="6707" width="16.88671875" customWidth="1"/>
    <col min="6708" max="6723" width="0" hidden="1" customWidth="1"/>
    <col min="6724" max="6724" width="16.88671875" customWidth="1"/>
    <col min="6725" max="6740" width="0" hidden="1" customWidth="1"/>
    <col min="6741" max="6741" width="16.88671875" customWidth="1"/>
    <col min="6742" max="6757" width="0" hidden="1" customWidth="1"/>
    <col min="6758" max="6758" width="16.88671875" customWidth="1"/>
    <col min="6759" max="6774" width="0" hidden="1" customWidth="1"/>
    <col min="6775" max="6775" width="22.77734375" customWidth="1"/>
    <col min="6776" max="6791" width="0" hidden="1" customWidth="1"/>
    <col min="6792" max="6792" width="26.109375" customWidth="1"/>
    <col min="6793" max="6808" width="0" hidden="1" customWidth="1"/>
    <col min="6809" max="6809" width="19.21875" customWidth="1"/>
    <col min="6810" max="6810" width="17.33203125" customWidth="1"/>
    <col min="6811" max="6811" width="8.33203125" customWidth="1"/>
    <col min="6812" max="6812" width="15.33203125" bestFit="1" customWidth="1"/>
    <col min="6813" max="6813" width="16" bestFit="1" customWidth="1"/>
    <col min="6814" max="6814" width="13.109375" bestFit="1" customWidth="1"/>
    <col min="6893" max="6893" width="12.33203125" customWidth="1"/>
    <col min="6894" max="6894" width="12.6640625" customWidth="1"/>
    <col min="6895" max="6895" width="42.109375" bestFit="1" customWidth="1"/>
    <col min="6896" max="6911" width="0" hidden="1" customWidth="1"/>
    <col min="6912" max="6912" width="17.33203125" customWidth="1"/>
    <col min="6913" max="6928" width="0" hidden="1" customWidth="1"/>
    <col min="6929" max="6929" width="18.88671875" customWidth="1"/>
    <col min="6930" max="6945" width="0" hidden="1" customWidth="1"/>
    <col min="6946" max="6946" width="18.88671875" customWidth="1"/>
    <col min="6947" max="6962" width="0" hidden="1" customWidth="1"/>
    <col min="6963" max="6963" width="16.88671875" customWidth="1"/>
    <col min="6964" max="6979" width="0" hidden="1" customWidth="1"/>
    <col min="6980" max="6980" width="16.88671875" customWidth="1"/>
    <col min="6981" max="6996" width="0" hidden="1" customWidth="1"/>
    <col min="6997" max="6997" width="16.88671875" customWidth="1"/>
    <col min="6998" max="7013" width="0" hidden="1" customWidth="1"/>
    <col min="7014" max="7014" width="16.88671875" customWidth="1"/>
    <col min="7015" max="7030" width="0" hidden="1" customWidth="1"/>
    <col min="7031" max="7031" width="22.77734375" customWidth="1"/>
    <col min="7032" max="7047" width="0" hidden="1" customWidth="1"/>
    <col min="7048" max="7048" width="26.109375" customWidth="1"/>
    <col min="7049" max="7064" width="0" hidden="1" customWidth="1"/>
    <col min="7065" max="7065" width="19.21875" customWidth="1"/>
    <col min="7066" max="7066" width="17.33203125" customWidth="1"/>
    <col min="7067" max="7067" width="8.33203125" customWidth="1"/>
    <col min="7068" max="7068" width="15.33203125" bestFit="1" customWidth="1"/>
    <col min="7069" max="7069" width="16" bestFit="1" customWidth="1"/>
    <col min="7070" max="7070" width="13.109375" bestFit="1" customWidth="1"/>
    <col min="7149" max="7149" width="12.33203125" customWidth="1"/>
    <col min="7150" max="7150" width="12.6640625" customWidth="1"/>
    <col min="7151" max="7151" width="42.109375" bestFit="1" customWidth="1"/>
    <col min="7152" max="7167" width="0" hidden="1" customWidth="1"/>
    <col min="7168" max="7168" width="17.33203125" customWidth="1"/>
    <col min="7169" max="7184" width="0" hidden="1" customWidth="1"/>
    <col min="7185" max="7185" width="18.88671875" customWidth="1"/>
    <col min="7186" max="7201" width="0" hidden="1" customWidth="1"/>
    <col min="7202" max="7202" width="18.88671875" customWidth="1"/>
    <col min="7203" max="7218" width="0" hidden="1" customWidth="1"/>
    <col min="7219" max="7219" width="16.88671875" customWidth="1"/>
    <col min="7220" max="7235" width="0" hidden="1" customWidth="1"/>
    <col min="7236" max="7236" width="16.88671875" customWidth="1"/>
    <col min="7237" max="7252" width="0" hidden="1" customWidth="1"/>
    <col min="7253" max="7253" width="16.88671875" customWidth="1"/>
    <col min="7254" max="7269" width="0" hidden="1" customWidth="1"/>
    <col min="7270" max="7270" width="16.88671875" customWidth="1"/>
    <col min="7271" max="7286" width="0" hidden="1" customWidth="1"/>
    <col min="7287" max="7287" width="22.77734375" customWidth="1"/>
    <col min="7288" max="7303" width="0" hidden="1" customWidth="1"/>
    <col min="7304" max="7304" width="26.109375" customWidth="1"/>
    <col min="7305" max="7320" width="0" hidden="1" customWidth="1"/>
    <col min="7321" max="7321" width="19.21875" customWidth="1"/>
    <col min="7322" max="7322" width="17.33203125" customWidth="1"/>
    <col min="7323" max="7323" width="8.33203125" customWidth="1"/>
    <col min="7324" max="7324" width="15.33203125" bestFit="1" customWidth="1"/>
    <col min="7325" max="7325" width="16" bestFit="1" customWidth="1"/>
    <col min="7326" max="7326" width="13.109375" bestFit="1" customWidth="1"/>
    <col min="7405" max="7405" width="12.33203125" customWidth="1"/>
    <col min="7406" max="7406" width="12.6640625" customWidth="1"/>
    <col min="7407" max="7407" width="42.109375" bestFit="1" customWidth="1"/>
    <col min="7408" max="7423" width="0" hidden="1" customWidth="1"/>
    <col min="7424" max="7424" width="17.33203125" customWidth="1"/>
    <col min="7425" max="7440" width="0" hidden="1" customWidth="1"/>
    <col min="7441" max="7441" width="18.88671875" customWidth="1"/>
    <col min="7442" max="7457" width="0" hidden="1" customWidth="1"/>
    <col min="7458" max="7458" width="18.88671875" customWidth="1"/>
    <col min="7459" max="7474" width="0" hidden="1" customWidth="1"/>
    <col min="7475" max="7475" width="16.88671875" customWidth="1"/>
    <col min="7476" max="7491" width="0" hidden="1" customWidth="1"/>
    <col min="7492" max="7492" width="16.88671875" customWidth="1"/>
    <col min="7493" max="7508" width="0" hidden="1" customWidth="1"/>
    <col min="7509" max="7509" width="16.88671875" customWidth="1"/>
    <col min="7510" max="7525" width="0" hidden="1" customWidth="1"/>
    <col min="7526" max="7526" width="16.88671875" customWidth="1"/>
    <col min="7527" max="7542" width="0" hidden="1" customWidth="1"/>
    <col min="7543" max="7543" width="22.77734375" customWidth="1"/>
    <col min="7544" max="7559" width="0" hidden="1" customWidth="1"/>
    <col min="7560" max="7560" width="26.109375" customWidth="1"/>
    <col min="7561" max="7576" width="0" hidden="1" customWidth="1"/>
    <col min="7577" max="7577" width="19.21875" customWidth="1"/>
    <col min="7578" max="7578" width="17.33203125" customWidth="1"/>
    <col min="7579" max="7579" width="8.33203125" customWidth="1"/>
    <col min="7580" max="7580" width="15.33203125" bestFit="1" customWidth="1"/>
    <col min="7581" max="7581" width="16" bestFit="1" customWidth="1"/>
    <col min="7582" max="7582" width="13.109375" bestFit="1" customWidth="1"/>
    <col min="7661" max="7661" width="12.33203125" customWidth="1"/>
    <col min="7662" max="7662" width="12.6640625" customWidth="1"/>
    <col min="7663" max="7663" width="42.109375" bestFit="1" customWidth="1"/>
    <col min="7664" max="7679" width="0" hidden="1" customWidth="1"/>
    <col min="7680" max="7680" width="17.33203125" customWidth="1"/>
    <col min="7681" max="7696" width="0" hidden="1" customWidth="1"/>
    <col min="7697" max="7697" width="18.88671875" customWidth="1"/>
    <col min="7698" max="7713" width="0" hidden="1" customWidth="1"/>
    <col min="7714" max="7714" width="18.88671875" customWidth="1"/>
    <col min="7715" max="7730" width="0" hidden="1" customWidth="1"/>
    <col min="7731" max="7731" width="16.88671875" customWidth="1"/>
    <col min="7732" max="7747" width="0" hidden="1" customWidth="1"/>
    <col min="7748" max="7748" width="16.88671875" customWidth="1"/>
    <col min="7749" max="7764" width="0" hidden="1" customWidth="1"/>
    <col min="7765" max="7765" width="16.88671875" customWidth="1"/>
    <col min="7766" max="7781" width="0" hidden="1" customWidth="1"/>
    <col min="7782" max="7782" width="16.88671875" customWidth="1"/>
    <col min="7783" max="7798" width="0" hidden="1" customWidth="1"/>
    <col min="7799" max="7799" width="22.77734375" customWidth="1"/>
    <col min="7800" max="7815" width="0" hidden="1" customWidth="1"/>
    <col min="7816" max="7816" width="26.109375" customWidth="1"/>
    <col min="7817" max="7832" width="0" hidden="1" customWidth="1"/>
    <col min="7833" max="7833" width="19.21875" customWidth="1"/>
    <col min="7834" max="7834" width="17.33203125" customWidth="1"/>
    <col min="7835" max="7835" width="8.33203125" customWidth="1"/>
    <col min="7836" max="7836" width="15.33203125" bestFit="1" customWidth="1"/>
    <col min="7837" max="7837" width="16" bestFit="1" customWidth="1"/>
    <col min="7838" max="7838" width="13.109375" bestFit="1" customWidth="1"/>
    <col min="7917" max="7917" width="12.33203125" customWidth="1"/>
    <col min="7918" max="7918" width="12.6640625" customWidth="1"/>
    <col min="7919" max="7919" width="42.109375" bestFit="1" customWidth="1"/>
    <col min="7920" max="7935" width="0" hidden="1" customWidth="1"/>
    <col min="7936" max="7936" width="17.33203125" customWidth="1"/>
    <col min="7937" max="7952" width="0" hidden="1" customWidth="1"/>
    <col min="7953" max="7953" width="18.88671875" customWidth="1"/>
    <col min="7954" max="7969" width="0" hidden="1" customWidth="1"/>
    <col min="7970" max="7970" width="18.88671875" customWidth="1"/>
    <col min="7971" max="7986" width="0" hidden="1" customWidth="1"/>
    <col min="7987" max="7987" width="16.88671875" customWidth="1"/>
    <col min="7988" max="8003" width="0" hidden="1" customWidth="1"/>
    <col min="8004" max="8004" width="16.88671875" customWidth="1"/>
    <col min="8005" max="8020" width="0" hidden="1" customWidth="1"/>
    <col min="8021" max="8021" width="16.88671875" customWidth="1"/>
    <col min="8022" max="8037" width="0" hidden="1" customWidth="1"/>
    <col min="8038" max="8038" width="16.88671875" customWidth="1"/>
    <col min="8039" max="8054" width="0" hidden="1" customWidth="1"/>
    <col min="8055" max="8055" width="22.77734375" customWidth="1"/>
    <col min="8056" max="8071" width="0" hidden="1" customWidth="1"/>
    <col min="8072" max="8072" width="26.109375" customWidth="1"/>
    <col min="8073" max="8088" width="0" hidden="1" customWidth="1"/>
    <col min="8089" max="8089" width="19.21875" customWidth="1"/>
    <col min="8090" max="8090" width="17.33203125" customWidth="1"/>
    <col min="8091" max="8091" width="8.33203125" customWidth="1"/>
    <col min="8092" max="8092" width="15.33203125" bestFit="1" customWidth="1"/>
    <col min="8093" max="8093" width="16" bestFit="1" customWidth="1"/>
    <col min="8094" max="8094" width="13.109375" bestFit="1" customWidth="1"/>
    <col min="8173" max="8173" width="12.33203125" customWidth="1"/>
    <col min="8174" max="8174" width="12.6640625" customWidth="1"/>
    <col min="8175" max="8175" width="42.109375" bestFit="1" customWidth="1"/>
    <col min="8176" max="8191" width="0" hidden="1" customWidth="1"/>
    <col min="8192" max="8192" width="17.33203125" customWidth="1"/>
    <col min="8193" max="8208" width="0" hidden="1" customWidth="1"/>
    <col min="8209" max="8209" width="18.88671875" customWidth="1"/>
    <col min="8210" max="8225" width="0" hidden="1" customWidth="1"/>
    <col min="8226" max="8226" width="18.88671875" customWidth="1"/>
    <col min="8227" max="8242" width="0" hidden="1" customWidth="1"/>
    <col min="8243" max="8243" width="16.88671875" customWidth="1"/>
    <col min="8244" max="8259" width="0" hidden="1" customWidth="1"/>
    <col min="8260" max="8260" width="16.88671875" customWidth="1"/>
    <col min="8261" max="8276" width="0" hidden="1" customWidth="1"/>
    <col min="8277" max="8277" width="16.88671875" customWidth="1"/>
    <col min="8278" max="8293" width="0" hidden="1" customWidth="1"/>
    <col min="8294" max="8294" width="16.88671875" customWidth="1"/>
    <col min="8295" max="8310" width="0" hidden="1" customWidth="1"/>
    <col min="8311" max="8311" width="22.77734375" customWidth="1"/>
    <col min="8312" max="8327" width="0" hidden="1" customWidth="1"/>
    <col min="8328" max="8328" width="26.109375" customWidth="1"/>
    <col min="8329" max="8344" width="0" hidden="1" customWidth="1"/>
    <col min="8345" max="8345" width="19.21875" customWidth="1"/>
    <col min="8346" max="8346" width="17.33203125" customWidth="1"/>
    <col min="8347" max="8347" width="8.33203125" customWidth="1"/>
    <col min="8348" max="8348" width="15.33203125" bestFit="1" customWidth="1"/>
    <col min="8349" max="8349" width="16" bestFit="1" customWidth="1"/>
    <col min="8350" max="8350" width="13.109375" bestFit="1" customWidth="1"/>
    <col min="8429" max="8429" width="12.33203125" customWidth="1"/>
    <col min="8430" max="8430" width="12.6640625" customWidth="1"/>
    <col min="8431" max="8431" width="42.109375" bestFit="1" customWidth="1"/>
    <col min="8432" max="8447" width="0" hidden="1" customWidth="1"/>
    <col min="8448" max="8448" width="17.33203125" customWidth="1"/>
    <col min="8449" max="8464" width="0" hidden="1" customWidth="1"/>
    <col min="8465" max="8465" width="18.88671875" customWidth="1"/>
    <col min="8466" max="8481" width="0" hidden="1" customWidth="1"/>
    <col min="8482" max="8482" width="18.88671875" customWidth="1"/>
    <col min="8483" max="8498" width="0" hidden="1" customWidth="1"/>
    <col min="8499" max="8499" width="16.88671875" customWidth="1"/>
    <col min="8500" max="8515" width="0" hidden="1" customWidth="1"/>
    <col min="8516" max="8516" width="16.88671875" customWidth="1"/>
    <col min="8517" max="8532" width="0" hidden="1" customWidth="1"/>
    <col min="8533" max="8533" width="16.88671875" customWidth="1"/>
    <col min="8534" max="8549" width="0" hidden="1" customWidth="1"/>
    <col min="8550" max="8550" width="16.88671875" customWidth="1"/>
    <col min="8551" max="8566" width="0" hidden="1" customWidth="1"/>
    <col min="8567" max="8567" width="22.77734375" customWidth="1"/>
    <col min="8568" max="8583" width="0" hidden="1" customWidth="1"/>
    <col min="8584" max="8584" width="26.109375" customWidth="1"/>
    <col min="8585" max="8600" width="0" hidden="1" customWidth="1"/>
    <col min="8601" max="8601" width="19.21875" customWidth="1"/>
    <col min="8602" max="8602" width="17.33203125" customWidth="1"/>
    <col min="8603" max="8603" width="8.33203125" customWidth="1"/>
    <col min="8604" max="8604" width="15.33203125" bestFit="1" customWidth="1"/>
    <col min="8605" max="8605" width="16" bestFit="1" customWidth="1"/>
    <col min="8606" max="8606" width="13.109375" bestFit="1" customWidth="1"/>
    <col min="8685" max="8685" width="12.33203125" customWidth="1"/>
    <col min="8686" max="8686" width="12.6640625" customWidth="1"/>
    <col min="8687" max="8687" width="42.109375" bestFit="1" customWidth="1"/>
    <col min="8688" max="8703" width="0" hidden="1" customWidth="1"/>
    <col min="8704" max="8704" width="17.33203125" customWidth="1"/>
    <col min="8705" max="8720" width="0" hidden="1" customWidth="1"/>
    <col min="8721" max="8721" width="18.88671875" customWidth="1"/>
    <col min="8722" max="8737" width="0" hidden="1" customWidth="1"/>
    <col min="8738" max="8738" width="18.88671875" customWidth="1"/>
    <col min="8739" max="8754" width="0" hidden="1" customWidth="1"/>
    <col min="8755" max="8755" width="16.88671875" customWidth="1"/>
    <col min="8756" max="8771" width="0" hidden="1" customWidth="1"/>
    <col min="8772" max="8772" width="16.88671875" customWidth="1"/>
    <col min="8773" max="8788" width="0" hidden="1" customWidth="1"/>
    <col min="8789" max="8789" width="16.88671875" customWidth="1"/>
    <col min="8790" max="8805" width="0" hidden="1" customWidth="1"/>
    <col min="8806" max="8806" width="16.88671875" customWidth="1"/>
    <col min="8807" max="8822" width="0" hidden="1" customWidth="1"/>
    <col min="8823" max="8823" width="22.77734375" customWidth="1"/>
    <col min="8824" max="8839" width="0" hidden="1" customWidth="1"/>
    <col min="8840" max="8840" width="26.109375" customWidth="1"/>
    <col min="8841" max="8856" width="0" hidden="1" customWidth="1"/>
    <col min="8857" max="8857" width="19.21875" customWidth="1"/>
    <col min="8858" max="8858" width="17.33203125" customWidth="1"/>
    <col min="8859" max="8859" width="8.33203125" customWidth="1"/>
    <col min="8860" max="8860" width="15.33203125" bestFit="1" customWidth="1"/>
    <col min="8861" max="8861" width="16" bestFit="1" customWidth="1"/>
    <col min="8862" max="8862" width="13.109375" bestFit="1" customWidth="1"/>
    <col min="8941" max="8941" width="12.33203125" customWidth="1"/>
    <col min="8942" max="8942" width="12.6640625" customWidth="1"/>
    <col min="8943" max="8943" width="42.109375" bestFit="1" customWidth="1"/>
    <col min="8944" max="8959" width="0" hidden="1" customWidth="1"/>
    <col min="8960" max="8960" width="17.33203125" customWidth="1"/>
    <col min="8961" max="8976" width="0" hidden="1" customWidth="1"/>
    <col min="8977" max="8977" width="18.88671875" customWidth="1"/>
    <col min="8978" max="8993" width="0" hidden="1" customWidth="1"/>
    <col min="8994" max="8994" width="18.88671875" customWidth="1"/>
    <col min="8995" max="9010" width="0" hidden="1" customWidth="1"/>
    <col min="9011" max="9011" width="16.88671875" customWidth="1"/>
    <col min="9012" max="9027" width="0" hidden="1" customWidth="1"/>
    <col min="9028" max="9028" width="16.88671875" customWidth="1"/>
    <col min="9029" max="9044" width="0" hidden="1" customWidth="1"/>
    <col min="9045" max="9045" width="16.88671875" customWidth="1"/>
    <col min="9046" max="9061" width="0" hidden="1" customWidth="1"/>
    <col min="9062" max="9062" width="16.88671875" customWidth="1"/>
    <col min="9063" max="9078" width="0" hidden="1" customWidth="1"/>
    <col min="9079" max="9079" width="22.77734375" customWidth="1"/>
    <col min="9080" max="9095" width="0" hidden="1" customWidth="1"/>
    <col min="9096" max="9096" width="26.109375" customWidth="1"/>
    <col min="9097" max="9112" width="0" hidden="1" customWidth="1"/>
    <col min="9113" max="9113" width="19.21875" customWidth="1"/>
    <col min="9114" max="9114" width="17.33203125" customWidth="1"/>
    <col min="9115" max="9115" width="8.33203125" customWidth="1"/>
    <col min="9116" max="9116" width="15.33203125" bestFit="1" customWidth="1"/>
    <col min="9117" max="9117" width="16" bestFit="1" customWidth="1"/>
    <col min="9118" max="9118" width="13.109375" bestFit="1" customWidth="1"/>
    <col min="9197" max="9197" width="12.33203125" customWidth="1"/>
    <col min="9198" max="9198" width="12.6640625" customWidth="1"/>
    <col min="9199" max="9199" width="42.109375" bestFit="1" customWidth="1"/>
    <col min="9200" max="9215" width="0" hidden="1" customWidth="1"/>
    <col min="9216" max="9216" width="17.33203125" customWidth="1"/>
    <col min="9217" max="9232" width="0" hidden="1" customWidth="1"/>
    <col min="9233" max="9233" width="18.88671875" customWidth="1"/>
    <col min="9234" max="9249" width="0" hidden="1" customWidth="1"/>
    <col min="9250" max="9250" width="18.88671875" customWidth="1"/>
    <col min="9251" max="9266" width="0" hidden="1" customWidth="1"/>
    <col min="9267" max="9267" width="16.88671875" customWidth="1"/>
    <col min="9268" max="9283" width="0" hidden="1" customWidth="1"/>
    <col min="9284" max="9284" width="16.88671875" customWidth="1"/>
    <col min="9285" max="9300" width="0" hidden="1" customWidth="1"/>
    <col min="9301" max="9301" width="16.88671875" customWidth="1"/>
    <col min="9302" max="9317" width="0" hidden="1" customWidth="1"/>
    <col min="9318" max="9318" width="16.88671875" customWidth="1"/>
    <col min="9319" max="9334" width="0" hidden="1" customWidth="1"/>
    <col min="9335" max="9335" width="22.77734375" customWidth="1"/>
    <col min="9336" max="9351" width="0" hidden="1" customWidth="1"/>
    <col min="9352" max="9352" width="26.109375" customWidth="1"/>
    <col min="9353" max="9368" width="0" hidden="1" customWidth="1"/>
    <col min="9369" max="9369" width="19.21875" customWidth="1"/>
    <col min="9370" max="9370" width="17.33203125" customWidth="1"/>
    <col min="9371" max="9371" width="8.33203125" customWidth="1"/>
    <col min="9372" max="9372" width="15.33203125" bestFit="1" customWidth="1"/>
    <col min="9373" max="9373" width="16" bestFit="1" customWidth="1"/>
    <col min="9374" max="9374" width="13.109375" bestFit="1" customWidth="1"/>
    <col min="9453" max="9453" width="12.33203125" customWidth="1"/>
    <col min="9454" max="9454" width="12.6640625" customWidth="1"/>
    <col min="9455" max="9455" width="42.109375" bestFit="1" customWidth="1"/>
    <col min="9456" max="9471" width="0" hidden="1" customWidth="1"/>
    <col min="9472" max="9472" width="17.33203125" customWidth="1"/>
    <col min="9473" max="9488" width="0" hidden="1" customWidth="1"/>
    <col min="9489" max="9489" width="18.88671875" customWidth="1"/>
    <col min="9490" max="9505" width="0" hidden="1" customWidth="1"/>
    <col min="9506" max="9506" width="18.88671875" customWidth="1"/>
    <col min="9507" max="9522" width="0" hidden="1" customWidth="1"/>
    <col min="9523" max="9523" width="16.88671875" customWidth="1"/>
    <col min="9524" max="9539" width="0" hidden="1" customWidth="1"/>
    <col min="9540" max="9540" width="16.88671875" customWidth="1"/>
    <col min="9541" max="9556" width="0" hidden="1" customWidth="1"/>
    <col min="9557" max="9557" width="16.88671875" customWidth="1"/>
    <col min="9558" max="9573" width="0" hidden="1" customWidth="1"/>
    <col min="9574" max="9574" width="16.88671875" customWidth="1"/>
    <col min="9575" max="9590" width="0" hidden="1" customWidth="1"/>
    <col min="9591" max="9591" width="22.77734375" customWidth="1"/>
    <col min="9592" max="9607" width="0" hidden="1" customWidth="1"/>
    <col min="9608" max="9608" width="26.109375" customWidth="1"/>
    <col min="9609" max="9624" width="0" hidden="1" customWidth="1"/>
    <col min="9625" max="9625" width="19.21875" customWidth="1"/>
    <col min="9626" max="9626" width="17.33203125" customWidth="1"/>
    <col min="9627" max="9627" width="8.33203125" customWidth="1"/>
    <col min="9628" max="9628" width="15.33203125" bestFit="1" customWidth="1"/>
    <col min="9629" max="9629" width="16" bestFit="1" customWidth="1"/>
    <col min="9630" max="9630" width="13.109375" bestFit="1" customWidth="1"/>
    <col min="9709" max="9709" width="12.33203125" customWidth="1"/>
    <col min="9710" max="9710" width="12.6640625" customWidth="1"/>
    <col min="9711" max="9711" width="42.109375" bestFit="1" customWidth="1"/>
    <col min="9712" max="9727" width="0" hidden="1" customWidth="1"/>
    <col min="9728" max="9728" width="17.33203125" customWidth="1"/>
    <col min="9729" max="9744" width="0" hidden="1" customWidth="1"/>
    <col min="9745" max="9745" width="18.88671875" customWidth="1"/>
    <col min="9746" max="9761" width="0" hidden="1" customWidth="1"/>
    <col min="9762" max="9762" width="18.88671875" customWidth="1"/>
    <col min="9763" max="9778" width="0" hidden="1" customWidth="1"/>
    <col min="9779" max="9779" width="16.88671875" customWidth="1"/>
    <col min="9780" max="9795" width="0" hidden="1" customWidth="1"/>
    <col min="9796" max="9796" width="16.88671875" customWidth="1"/>
    <col min="9797" max="9812" width="0" hidden="1" customWidth="1"/>
    <col min="9813" max="9813" width="16.88671875" customWidth="1"/>
    <col min="9814" max="9829" width="0" hidden="1" customWidth="1"/>
    <col min="9830" max="9830" width="16.88671875" customWidth="1"/>
    <col min="9831" max="9846" width="0" hidden="1" customWidth="1"/>
    <col min="9847" max="9847" width="22.77734375" customWidth="1"/>
    <col min="9848" max="9863" width="0" hidden="1" customWidth="1"/>
    <col min="9864" max="9864" width="26.109375" customWidth="1"/>
    <col min="9865" max="9880" width="0" hidden="1" customWidth="1"/>
    <col min="9881" max="9881" width="19.21875" customWidth="1"/>
    <col min="9882" max="9882" width="17.33203125" customWidth="1"/>
    <col min="9883" max="9883" width="8.33203125" customWidth="1"/>
    <col min="9884" max="9884" width="15.33203125" bestFit="1" customWidth="1"/>
    <col min="9885" max="9885" width="16" bestFit="1" customWidth="1"/>
    <col min="9886" max="9886" width="13.109375" bestFit="1" customWidth="1"/>
    <col min="9965" max="9965" width="12.33203125" customWidth="1"/>
    <col min="9966" max="9966" width="12.6640625" customWidth="1"/>
    <col min="9967" max="9967" width="42.109375" bestFit="1" customWidth="1"/>
    <col min="9968" max="9983" width="0" hidden="1" customWidth="1"/>
    <col min="9984" max="9984" width="17.33203125" customWidth="1"/>
    <col min="9985" max="10000" width="0" hidden="1" customWidth="1"/>
    <col min="10001" max="10001" width="18.88671875" customWidth="1"/>
    <col min="10002" max="10017" width="0" hidden="1" customWidth="1"/>
    <col min="10018" max="10018" width="18.88671875" customWidth="1"/>
    <col min="10019" max="10034" width="0" hidden="1" customWidth="1"/>
    <col min="10035" max="10035" width="16.88671875" customWidth="1"/>
    <col min="10036" max="10051" width="0" hidden="1" customWidth="1"/>
    <col min="10052" max="10052" width="16.88671875" customWidth="1"/>
    <col min="10053" max="10068" width="0" hidden="1" customWidth="1"/>
    <col min="10069" max="10069" width="16.88671875" customWidth="1"/>
    <col min="10070" max="10085" width="0" hidden="1" customWidth="1"/>
    <col min="10086" max="10086" width="16.88671875" customWidth="1"/>
    <col min="10087" max="10102" width="0" hidden="1" customWidth="1"/>
    <col min="10103" max="10103" width="22.77734375" customWidth="1"/>
    <col min="10104" max="10119" width="0" hidden="1" customWidth="1"/>
    <col min="10120" max="10120" width="26.109375" customWidth="1"/>
    <col min="10121" max="10136" width="0" hidden="1" customWidth="1"/>
    <col min="10137" max="10137" width="19.21875" customWidth="1"/>
    <col min="10138" max="10138" width="17.33203125" customWidth="1"/>
    <col min="10139" max="10139" width="8.33203125" customWidth="1"/>
    <col min="10140" max="10140" width="15.33203125" bestFit="1" customWidth="1"/>
    <col min="10141" max="10141" width="16" bestFit="1" customWidth="1"/>
    <col min="10142" max="10142" width="13.109375" bestFit="1" customWidth="1"/>
    <col min="10221" max="10221" width="12.33203125" customWidth="1"/>
    <col min="10222" max="10222" width="12.6640625" customWidth="1"/>
    <col min="10223" max="10223" width="42.109375" bestFit="1" customWidth="1"/>
    <col min="10224" max="10239" width="0" hidden="1" customWidth="1"/>
    <col min="10240" max="10240" width="17.33203125" customWidth="1"/>
    <col min="10241" max="10256" width="0" hidden="1" customWidth="1"/>
    <col min="10257" max="10257" width="18.88671875" customWidth="1"/>
    <col min="10258" max="10273" width="0" hidden="1" customWidth="1"/>
    <col min="10274" max="10274" width="18.88671875" customWidth="1"/>
    <col min="10275" max="10290" width="0" hidden="1" customWidth="1"/>
    <col min="10291" max="10291" width="16.88671875" customWidth="1"/>
    <col min="10292" max="10307" width="0" hidden="1" customWidth="1"/>
    <col min="10308" max="10308" width="16.88671875" customWidth="1"/>
    <col min="10309" max="10324" width="0" hidden="1" customWidth="1"/>
    <col min="10325" max="10325" width="16.88671875" customWidth="1"/>
    <col min="10326" max="10341" width="0" hidden="1" customWidth="1"/>
    <col min="10342" max="10342" width="16.88671875" customWidth="1"/>
    <col min="10343" max="10358" width="0" hidden="1" customWidth="1"/>
    <col min="10359" max="10359" width="22.77734375" customWidth="1"/>
    <col min="10360" max="10375" width="0" hidden="1" customWidth="1"/>
    <col min="10376" max="10376" width="26.109375" customWidth="1"/>
    <col min="10377" max="10392" width="0" hidden="1" customWidth="1"/>
    <col min="10393" max="10393" width="19.21875" customWidth="1"/>
    <col min="10394" max="10394" width="17.33203125" customWidth="1"/>
    <col min="10395" max="10395" width="8.33203125" customWidth="1"/>
    <col min="10396" max="10396" width="15.33203125" bestFit="1" customWidth="1"/>
    <col min="10397" max="10397" width="16" bestFit="1" customWidth="1"/>
    <col min="10398" max="10398" width="13.109375" bestFit="1" customWidth="1"/>
    <col min="10477" max="10477" width="12.33203125" customWidth="1"/>
    <col min="10478" max="10478" width="12.6640625" customWidth="1"/>
    <col min="10479" max="10479" width="42.109375" bestFit="1" customWidth="1"/>
    <col min="10480" max="10495" width="0" hidden="1" customWidth="1"/>
    <col min="10496" max="10496" width="17.33203125" customWidth="1"/>
    <col min="10497" max="10512" width="0" hidden="1" customWidth="1"/>
    <col min="10513" max="10513" width="18.88671875" customWidth="1"/>
    <col min="10514" max="10529" width="0" hidden="1" customWidth="1"/>
    <col min="10530" max="10530" width="18.88671875" customWidth="1"/>
    <col min="10531" max="10546" width="0" hidden="1" customWidth="1"/>
    <col min="10547" max="10547" width="16.88671875" customWidth="1"/>
    <col min="10548" max="10563" width="0" hidden="1" customWidth="1"/>
    <col min="10564" max="10564" width="16.88671875" customWidth="1"/>
    <col min="10565" max="10580" width="0" hidden="1" customWidth="1"/>
    <col min="10581" max="10581" width="16.88671875" customWidth="1"/>
    <col min="10582" max="10597" width="0" hidden="1" customWidth="1"/>
    <col min="10598" max="10598" width="16.88671875" customWidth="1"/>
    <col min="10599" max="10614" width="0" hidden="1" customWidth="1"/>
    <col min="10615" max="10615" width="22.77734375" customWidth="1"/>
    <col min="10616" max="10631" width="0" hidden="1" customWidth="1"/>
    <col min="10632" max="10632" width="26.109375" customWidth="1"/>
    <col min="10633" max="10648" width="0" hidden="1" customWidth="1"/>
    <col min="10649" max="10649" width="19.21875" customWidth="1"/>
    <col min="10650" max="10650" width="17.33203125" customWidth="1"/>
    <col min="10651" max="10651" width="8.33203125" customWidth="1"/>
    <col min="10652" max="10652" width="15.33203125" bestFit="1" customWidth="1"/>
    <col min="10653" max="10653" width="16" bestFit="1" customWidth="1"/>
    <col min="10654" max="10654" width="13.109375" bestFit="1" customWidth="1"/>
    <col min="10733" max="10733" width="12.33203125" customWidth="1"/>
    <col min="10734" max="10734" width="12.6640625" customWidth="1"/>
    <col min="10735" max="10735" width="42.109375" bestFit="1" customWidth="1"/>
    <col min="10736" max="10751" width="0" hidden="1" customWidth="1"/>
    <col min="10752" max="10752" width="17.33203125" customWidth="1"/>
    <col min="10753" max="10768" width="0" hidden="1" customWidth="1"/>
    <col min="10769" max="10769" width="18.88671875" customWidth="1"/>
    <col min="10770" max="10785" width="0" hidden="1" customWidth="1"/>
    <col min="10786" max="10786" width="18.88671875" customWidth="1"/>
    <col min="10787" max="10802" width="0" hidden="1" customWidth="1"/>
    <col min="10803" max="10803" width="16.88671875" customWidth="1"/>
    <col min="10804" max="10819" width="0" hidden="1" customWidth="1"/>
    <col min="10820" max="10820" width="16.88671875" customWidth="1"/>
    <col min="10821" max="10836" width="0" hidden="1" customWidth="1"/>
    <col min="10837" max="10837" width="16.88671875" customWidth="1"/>
    <col min="10838" max="10853" width="0" hidden="1" customWidth="1"/>
    <col min="10854" max="10854" width="16.88671875" customWidth="1"/>
    <col min="10855" max="10870" width="0" hidden="1" customWidth="1"/>
    <col min="10871" max="10871" width="22.77734375" customWidth="1"/>
    <col min="10872" max="10887" width="0" hidden="1" customWidth="1"/>
    <col min="10888" max="10888" width="26.109375" customWidth="1"/>
    <col min="10889" max="10904" width="0" hidden="1" customWidth="1"/>
    <col min="10905" max="10905" width="19.21875" customWidth="1"/>
    <col min="10906" max="10906" width="17.33203125" customWidth="1"/>
    <col min="10907" max="10907" width="8.33203125" customWidth="1"/>
    <col min="10908" max="10908" width="15.33203125" bestFit="1" customWidth="1"/>
    <col min="10909" max="10909" width="16" bestFit="1" customWidth="1"/>
    <col min="10910" max="10910" width="13.109375" bestFit="1" customWidth="1"/>
    <col min="10989" max="10989" width="12.33203125" customWidth="1"/>
    <col min="10990" max="10990" width="12.6640625" customWidth="1"/>
    <col min="10991" max="10991" width="42.109375" bestFit="1" customWidth="1"/>
    <col min="10992" max="11007" width="0" hidden="1" customWidth="1"/>
    <col min="11008" max="11008" width="17.33203125" customWidth="1"/>
    <col min="11009" max="11024" width="0" hidden="1" customWidth="1"/>
    <col min="11025" max="11025" width="18.88671875" customWidth="1"/>
    <col min="11026" max="11041" width="0" hidden="1" customWidth="1"/>
    <col min="11042" max="11042" width="18.88671875" customWidth="1"/>
    <col min="11043" max="11058" width="0" hidden="1" customWidth="1"/>
    <col min="11059" max="11059" width="16.88671875" customWidth="1"/>
    <col min="11060" max="11075" width="0" hidden="1" customWidth="1"/>
    <col min="11076" max="11076" width="16.88671875" customWidth="1"/>
    <col min="11077" max="11092" width="0" hidden="1" customWidth="1"/>
    <col min="11093" max="11093" width="16.88671875" customWidth="1"/>
    <col min="11094" max="11109" width="0" hidden="1" customWidth="1"/>
    <col min="11110" max="11110" width="16.88671875" customWidth="1"/>
    <col min="11111" max="11126" width="0" hidden="1" customWidth="1"/>
    <col min="11127" max="11127" width="22.77734375" customWidth="1"/>
    <col min="11128" max="11143" width="0" hidden="1" customWidth="1"/>
    <col min="11144" max="11144" width="26.109375" customWidth="1"/>
    <col min="11145" max="11160" width="0" hidden="1" customWidth="1"/>
    <col min="11161" max="11161" width="19.21875" customWidth="1"/>
    <col min="11162" max="11162" width="17.33203125" customWidth="1"/>
    <col min="11163" max="11163" width="8.33203125" customWidth="1"/>
    <col min="11164" max="11164" width="15.33203125" bestFit="1" customWidth="1"/>
    <col min="11165" max="11165" width="16" bestFit="1" customWidth="1"/>
    <col min="11166" max="11166" width="13.109375" bestFit="1" customWidth="1"/>
    <col min="11245" max="11245" width="12.33203125" customWidth="1"/>
    <col min="11246" max="11246" width="12.6640625" customWidth="1"/>
    <col min="11247" max="11247" width="42.109375" bestFit="1" customWidth="1"/>
    <col min="11248" max="11263" width="0" hidden="1" customWidth="1"/>
    <col min="11264" max="11264" width="17.33203125" customWidth="1"/>
    <col min="11265" max="11280" width="0" hidden="1" customWidth="1"/>
    <col min="11281" max="11281" width="18.88671875" customWidth="1"/>
    <col min="11282" max="11297" width="0" hidden="1" customWidth="1"/>
    <col min="11298" max="11298" width="18.88671875" customWidth="1"/>
    <col min="11299" max="11314" width="0" hidden="1" customWidth="1"/>
    <col min="11315" max="11315" width="16.88671875" customWidth="1"/>
    <col min="11316" max="11331" width="0" hidden="1" customWidth="1"/>
    <col min="11332" max="11332" width="16.88671875" customWidth="1"/>
    <col min="11333" max="11348" width="0" hidden="1" customWidth="1"/>
    <col min="11349" max="11349" width="16.88671875" customWidth="1"/>
    <col min="11350" max="11365" width="0" hidden="1" customWidth="1"/>
    <col min="11366" max="11366" width="16.88671875" customWidth="1"/>
    <col min="11367" max="11382" width="0" hidden="1" customWidth="1"/>
    <col min="11383" max="11383" width="22.77734375" customWidth="1"/>
    <col min="11384" max="11399" width="0" hidden="1" customWidth="1"/>
    <col min="11400" max="11400" width="26.109375" customWidth="1"/>
    <col min="11401" max="11416" width="0" hidden="1" customWidth="1"/>
    <col min="11417" max="11417" width="19.21875" customWidth="1"/>
    <col min="11418" max="11418" width="17.33203125" customWidth="1"/>
    <col min="11419" max="11419" width="8.33203125" customWidth="1"/>
    <col min="11420" max="11420" width="15.33203125" bestFit="1" customWidth="1"/>
    <col min="11421" max="11421" width="16" bestFit="1" customWidth="1"/>
    <col min="11422" max="11422" width="13.109375" bestFit="1" customWidth="1"/>
    <col min="11501" max="11501" width="12.33203125" customWidth="1"/>
    <col min="11502" max="11502" width="12.6640625" customWidth="1"/>
    <col min="11503" max="11503" width="42.109375" bestFit="1" customWidth="1"/>
    <col min="11504" max="11519" width="0" hidden="1" customWidth="1"/>
    <col min="11520" max="11520" width="17.33203125" customWidth="1"/>
    <col min="11521" max="11536" width="0" hidden="1" customWidth="1"/>
    <col min="11537" max="11537" width="18.88671875" customWidth="1"/>
    <col min="11538" max="11553" width="0" hidden="1" customWidth="1"/>
    <col min="11554" max="11554" width="18.88671875" customWidth="1"/>
    <col min="11555" max="11570" width="0" hidden="1" customWidth="1"/>
    <col min="11571" max="11571" width="16.88671875" customWidth="1"/>
    <col min="11572" max="11587" width="0" hidden="1" customWidth="1"/>
    <col min="11588" max="11588" width="16.88671875" customWidth="1"/>
    <col min="11589" max="11604" width="0" hidden="1" customWidth="1"/>
    <col min="11605" max="11605" width="16.88671875" customWidth="1"/>
    <col min="11606" max="11621" width="0" hidden="1" customWidth="1"/>
    <col min="11622" max="11622" width="16.88671875" customWidth="1"/>
    <col min="11623" max="11638" width="0" hidden="1" customWidth="1"/>
    <col min="11639" max="11639" width="22.77734375" customWidth="1"/>
    <col min="11640" max="11655" width="0" hidden="1" customWidth="1"/>
    <col min="11656" max="11656" width="26.109375" customWidth="1"/>
    <col min="11657" max="11672" width="0" hidden="1" customWidth="1"/>
    <col min="11673" max="11673" width="19.21875" customWidth="1"/>
    <col min="11674" max="11674" width="17.33203125" customWidth="1"/>
    <col min="11675" max="11675" width="8.33203125" customWidth="1"/>
    <col min="11676" max="11676" width="15.33203125" bestFit="1" customWidth="1"/>
    <col min="11677" max="11677" width="16" bestFit="1" customWidth="1"/>
    <col min="11678" max="11678" width="13.109375" bestFit="1" customWidth="1"/>
    <col min="11757" max="11757" width="12.33203125" customWidth="1"/>
    <col min="11758" max="11758" width="12.6640625" customWidth="1"/>
    <col min="11759" max="11759" width="42.109375" bestFit="1" customWidth="1"/>
    <col min="11760" max="11775" width="0" hidden="1" customWidth="1"/>
    <col min="11776" max="11776" width="17.33203125" customWidth="1"/>
    <col min="11777" max="11792" width="0" hidden="1" customWidth="1"/>
    <col min="11793" max="11793" width="18.88671875" customWidth="1"/>
    <col min="11794" max="11809" width="0" hidden="1" customWidth="1"/>
    <col min="11810" max="11810" width="18.88671875" customWidth="1"/>
    <col min="11811" max="11826" width="0" hidden="1" customWidth="1"/>
    <col min="11827" max="11827" width="16.88671875" customWidth="1"/>
    <col min="11828" max="11843" width="0" hidden="1" customWidth="1"/>
    <col min="11844" max="11844" width="16.88671875" customWidth="1"/>
    <col min="11845" max="11860" width="0" hidden="1" customWidth="1"/>
    <col min="11861" max="11861" width="16.88671875" customWidth="1"/>
    <col min="11862" max="11877" width="0" hidden="1" customWidth="1"/>
    <col min="11878" max="11878" width="16.88671875" customWidth="1"/>
    <col min="11879" max="11894" width="0" hidden="1" customWidth="1"/>
    <col min="11895" max="11895" width="22.77734375" customWidth="1"/>
    <col min="11896" max="11911" width="0" hidden="1" customWidth="1"/>
    <col min="11912" max="11912" width="26.109375" customWidth="1"/>
    <col min="11913" max="11928" width="0" hidden="1" customWidth="1"/>
    <col min="11929" max="11929" width="19.21875" customWidth="1"/>
    <col min="11930" max="11930" width="17.33203125" customWidth="1"/>
    <col min="11931" max="11931" width="8.33203125" customWidth="1"/>
    <col min="11932" max="11932" width="15.33203125" bestFit="1" customWidth="1"/>
    <col min="11933" max="11933" width="16" bestFit="1" customWidth="1"/>
    <col min="11934" max="11934" width="13.109375" bestFit="1" customWidth="1"/>
    <col min="12013" max="12013" width="12.33203125" customWidth="1"/>
    <col min="12014" max="12014" width="12.6640625" customWidth="1"/>
    <col min="12015" max="12015" width="42.109375" bestFit="1" customWidth="1"/>
    <col min="12016" max="12031" width="0" hidden="1" customWidth="1"/>
    <col min="12032" max="12032" width="17.33203125" customWidth="1"/>
    <col min="12033" max="12048" width="0" hidden="1" customWidth="1"/>
    <col min="12049" max="12049" width="18.88671875" customWidth="1"/>
    <col min="12050" max="12065" width="0" hidden="1" customWidth="1"/>
    <col min="12066" max="12066" width="18.88671875" customWidth="1"/>
    <col min="12067" max="12082" width="0" hidden="1" customWidth="1"/>
    <col min="12083" max="12083" width="16.88671875" customWidth="1"/>
    <col min="12084" max="12099" width="0" hidden="1" customWidth="1"/>
    <col min="12100" max="12100" width="16.88671875" customWidth="1"/>
    <col min="12101" max="12116" width="0" hidden="1" customWidth="1"/>
    <col min="12117" max="12117" width="16.88671875" customWidth="1"/>
    <col min="12118" max="12133" width="0" hidden="1" customWidth="1"/>
    <col min="12134" max="12134" width="16.88671875" customWidth="1"/>
    <col min="12135" max="12150" width="0" hidden="1" customWidth="1"/>
    <col min="12151" max="12151" width="22.77734375" customWidth="1"/>
    <col min="12152" max="12167" width="0" hidden="1" customWidth="1"/>
    <col min="12168" max="12168" width="26.109375" customWidth="1"/>
    <col min="12169" max="12184" width="0" hidden="1" customWidth="1"/>
    <col min="12185" max="12185" width="19.21875" customWidth="1"/>
    <col min="12186" max="12186" width="17.33203125" customWidth="1"/>
    <col min="12187" max="12187" width="8.33203125" customWidth="1"/>
    <col min="12188" max="12188" width="15.33203125" bestFit="1" customWidth="1"/>
    <col min="12189" max="12189" width="16" bestFit="1" customWidth="1"/>
    <col min="12190" max="12190" width="13.109375" bestFit="1" customWidth="1"/>
    <col min="12269" max="12269" width="12.33203125" customWidth="1"/>
    <col min="12270" max="12270" width="12.6640625" customWidth="1"/>
    <col min="12271" max="12271" width="42.109375" bestFit="1" customWidth="1"/>
    <col min="12272" max="12287" width="0" hidden="1" customWidth="1"/>
    <col min="12288" max="12288" width="17.33203125" customWidth="1"/>
    <col min="12289" max="12304" width="0" hidden="1" customWidth="1"/>
    <col min="12305" max="12305" width="18.88671875" customWidth="1"/>
    <col min="12306" max="12321" width="0" hidden="1" customWidth="1"/>
    <col min="12322" max="12322" width="18.88671875" customWidth="1"/>
    <col min="12323" max="12338" width="0" hidden="1" customWidth="1"/>
    <col min="12339" max="12339" width="16.88671875" customWidth="1"/>
    <col min="12340" max="12355" width="0" hidden="1" customWidth="1"/>
    <col min="12356" max="12356" width="16.88671875" customWidth="1"/>
    <col min="12357" max="12372" width="0" hidden="1" customWidth="1"/>
    <col min="12373" max="12373" width="16.88671875" customWidth="1"/>
    <col min="12374" max="12389" width="0" hidden="1" customWidth="1"/>
    <col min="12390" max="12390" width="16.88671875" customWidth="1"/>
    <col min="12391" max="12406" width="0" hidden="1" customWidth="1"/>
    <col min="12407" max="12407" width="22.77734375" customWidth="1"/>
    <col min="12408" max="12423" width="0" hidden="1" customWidth="1"/>
    <col min="12424" max="12424" width="26.109375" customWidth="1"/>
    <col min="12425" max="12440" width="0" hidden="1" customWidth="1"/>
    <col min="12441" max="12441" width="19.21875" customWidth="1"/>
    <col min="12442" max="12442" width="17.33203125" customWidth="1"/>
    <col min="12443" max="12443" width="8.33203125" customWidth="1"/>
    <col min="12444" max="12444" width="15.33203125" bestFit="1" customWidth="1"/>
    <col min="12445" max="12445" width="16" bestFit="1" customWidth="1"/>
    <col min="12446" max="12446" width="13.109375" bestFit="1" customWidth="1"/>
    <col min="12525" max="12525" width="12.33203125" customWidth="1"/>
    <col min="12526" max="12526" width="12.6640625" customWidth="1"/>
    <col min="12527" max="12527" width="42.109375" bestFit="1" customWidth="1"/>
    <col min="12528" max="12543" width="0" hidden="1" customWidth="1"/>
    <col min="12544" max="12544" width="17.33203125" customWidth="1"/>
    <col min="12545" max="12560" width="0" hidden="1" customWidth="1"/>
    <col min="12561" max="12561" width="18.88671875" customWidth="1"/>
    <col min="12562" max="12577" width="0" hidden="1" customWidth="1"/>
    <col min="12578" max="12578" width="18.88671875" customWidth="1"/>
    <col min="12579" max="12594" width="0" hidden="1" customWidth="1"/>
    <col min="12595" max="12595" width="16.88671875" customWidth="1"/>
    <col min="12596" max="12611" width="0" hidden="1" customWidth="1"/>
    <col min="12612" max="12612" width="16.88671875" customWidth="1"/>
    <col min="12613" max="12628" width="0" hidden="1" customWidth="1"/>
    <col min="12629" max="12629" width="16.88671875" customWidth="1"/>
    <col min="12630" max="12645" width="0" hidden="1" customWidth="1"/>
    <col min="12646" max="12646" width="16.88671875" customWidth="1"/>
    <col min="12647" max="12662" width="0" hidden="1" customWidth="1"/>
    <col min="12663" max="12663" width="22.77734375" customWidth="1"/>
    <col min="12664" max="12679" width="0" hidden="1" customWidth="1"/>
    <col min="12680" max="12680" width="26.109375" customWidth="1"/>
    <col min="12681" max="12696" width="0" hidden="1" customWidth="1"/>
    <col min="12697" max="12697" width="19.21875" customWidth="1"/>
    <col min="12698" max="12698" width="17.33203125" customWidth="1"/>
    <col min="12699" max="12699" width="8.33203125" customWidth="1"/>
    <col min="12700" max="12700" width="15.33203125" bestFit="1" customWidth="1"/>
    <col min="12701" max="12701" width="16" bestFit="1" customWidth="1"/>
    <col min="12702" max="12702" width="13.109375" bestFit="1" customWidth="1"/>
    <col min="12781" max="12781" width="12.33203125" customWidth="1"/>
    <col min="12782" max="12782" width="12.6640625" customWidth="1"/>
    <col min="12783" max="12783" width="42.109375" bestFit="1" customWidth="1"/>
    <col min="12784" max="12799" width="0" hidden="1" customWidth="1"/>
    <col min="12800" max="12800" width="17.33203125" customWidth="1"/>
    <col min="12801" max="12816" width="0" hidden="1" customWidth="1"/>
    <col min="12817" max="12817" width="18.88671875" customWidth="1"/>
    <col min="12818" max="12833" width="0" hidden="1" customWidth="1"/>
    <col min="12834" max="12834" width="18.88671875" customWidth="1"/>
    <col min="12835" max="12850" width="0" hidden="1" customWidth="1"/>
    <col min="12851" max="12851" width="16.88671875" customWidth="1"/>
    <col min="12852" max="12867" width="0" hidden="1" customWidth="1"/>
    <col min="12868" max="12868" width="16.88671875" customWidth="1"/>
    <col min="12869" max="12884" width="0" hidden="1" customWidth="1"/>
    <col min="12885" max="12885" width="16.88671875" customWidth="1"/>
    <col min="12886" max="12901" width="0" hidden="1" customWidth="1"/>
    <col min="12902" max="12902" width="16.88671875" customWidth="1"/>
    <col min="12903" max="12918" width="0" hidden="1" customWidth="1"/>
    <col min="12919" max="12919" width="22.77734375" customWidth="1"/>
    <col min="12920" max="12935" width="0" hidden="1" customWidth="1"/>
    <col min="12936" max="12936" width="26.109375" customWidth="1"/>
    <col min="12937" max="12952" width="0" hidden="1" customWidth="1"/>
    <col min="12953" max="12953" width="19.21875" customWidth="1"/>
    <col min="12954" max="12954" width="17.33203125" customWidth="1"/>
    <col min="12955" max="12955" width="8.33203125" customWidth="1"/>
    <col min="12956" max="12956" width="15.33203125" bestFit="1" customWidth="1"/>
    <col min="12957" max="12957" width="16" bestFit="1" customWidth="1"/>
    <col min="12958" max="12958" width="13.109375" bestFit="1" customWidth="1"/>
    <col min="13037" max="13037" width="12.33203125" customWidth="1"/>
    <col min="13038" max="13038" width="12.6640625" customWidth="1"/>
    <col min="13039" max="13039" width="42.109375" bestFit="1" customWidth="1"/>
    <col min="13040" max="13055" width="0" hidden="1" customWidth="1"/>
    <col min="13056" max="13056" width="17.33203125" customWidth="1"/>
    <col min="13057" max="13072" width="0" hidden="1" customWidth="1"/>
    <col min="13073" max="13073" width="18.88671875" customWidth="1"/>
    <col min="13074" max="13089" width="0" hidden="1" customWidth="1"/>
    <col min="13090" max="13090" width="18.88671875" customWidth="1"/>
    <col min="13091" max="13106" width="0" hidden="1" customWidth="1"/>
    <col min="13107" max="13107" width="16.88671875" customWidth="1"/>
    <col min="13108" max="13123" width="0" hidden="1" customWidth="1"/>
    <col min="13124" max="13124" width="16.88671875" customWidth="1"/>
    <col min="13125" max="13140" width="0" hidden="1" customWidth="1"/>
    <col min="13141" max="13141" width="16.88671875" customWidth="1"/>
    <col min="13142" max="13157" width="0" hidden="1" customWidth="1"/>
    <col min="13158" max="13158" width="16.88671875" customWidth="1"/>
    <col min="13159" max="13174" width="0" hidden="1" customWidth="1"/>
    <col min="13175" max="13175" width="22.77734375" customWidth="1"/>
    <col min="13176" max="13191" width="0" hidden="1" customWidth="1"/>
    <col min="13192" max="13192" width="26.109375" customWidth="1"/>
    <col min="13193" max="13208" width="0" hidden="1" customWidth="1"/>
    <col min="13209" max="13209" width="19.21875" customWidth="1"/>
    <col min="13210" max="13210" width="17.33203125" customWidth="1"/>
    <col min="13211" max="13211" width="8.33203125" customWidth="1"/>
    <col min="13212" max="13212" width="15.33203125" bestFit="1" customWidth="1"/>
    <col min="13213" max="13213" width="16" bestFit="1" customWidth="1"/>
    <col min="13214" max="13214" width="13.109375" bestFit="1" customWidth="1"/>
    <col min="13293" max="13293" width="12.33203125" customWidth="1"/>
    <col min="13294" max="13294" width="12.6640625" customWidth="1"/>
    <col min="13295" max="13295" width="42.109375" bestFit="1" customWidth="1"/>
    <col min="13296" max="13311" width="0" hidden="1" customWidth="1"/>
    <col min="13312" max="13312" width="17.33203125" customWidth="1"/>
    <col min="13313" max="13328" width="0" hidden="1" customWidth="1"/>
    <col min="13329" max="13329" width="18.88671875" customWidth="1"/>
    <col min="13330" max="13345" width="0" hidden="1" customWidth="1"/>
    <col min="13346" max="13346" width="18.88671875" customWidth="1"/>
    <col min="13347" max="13362" width="0" hidden="1" customWidth="1"/>
    <col min="13363" max="13363" width="16.88671875" customWidth="1"/>
    <col min="13364" max="13379" width="0" hidden="1" customWidth="1"/>
    <col min="13380" max="13380" width="16.88671875" customWidth="1"/>
    <col min="13381" max="13396" width="0" hidden="1" customWidth="1"/>
    <col min="13397" max="13397" width="16.88671875" customWidth="1"/>
    <col min="13398" max="13413" width="0" hidden="1" customWidth="1"/>
    <col min="13414" max="13414" width="16.88671875" customWidth="1"/>
    <col min="13415" max="13430" width="0" hidden="1" customWidth="1"/>
    <col min="13431" max="13431" width="22.77734375" customWidth="1"/>
    <col min="13432" max="13447" width="0" hidden="1" customWidth="1"/>
    <col min="13448" max="13448" width="26.109375" customWidth="1"/>
    <col min="13449" max="13464" width="0" hidden="1" customWidth="1"/>
    <col min="13465" max="13465" width="19.21875" customWidth="1"/>
    <col min="13466" max="13466" width="17.33203125" customWidth="1"/>
    <col min="13467" max="13467" width="8.33203125" customWidth="1"/>
    <col min="13468" max="13468" width="15.33203125" bestFit="1" customWidth="1"/>
    <col min="13469" max="13469" width="16" bestFit="1" customWidth="1"/>
    <col min="13470" max="13470" width="13.109375" bestFit="1" customWidth="1"/>
    <col min="13549" max="13549" width="12.33203125" customWidth="1"/>
    <col min="13550" max="13550" width="12.6640625" customWidth="1"/>
    <col min="13551" max="13551" width="42.109375" bestFit="1" customWidth="1"/>
    <col min="13552" max="13567" width="0" hidden="1" customWidth="1"/>
    <col min="13568" max="13568" width="17.33203125" customWidth="1"/>
    <col min="13569" max="13584" width="0" hidden="1" customWidth="1"/>
    <col min="13585" max="13585" width="18.88671875" customWidth="1"/>
    <col min="13586" max="13601" width="0" hidden="1" customWidth="1"/>
    <col min="13602" max="13602" width="18.88671875" customWidth="1"/>
    <col min="13603" max="13618" width="0" hidden="1" customWidth="1"/>
    <col min="13619" max="13619" width="16.88671875" customWidth="1"/>
    <col min="13620" max="13635" width="0" hidden="1" customWidth="1"/>
    <col min="13636" max="13636" width="16.88671875" customWidth="1"/>
    <col min="13637" max="13652" width="0" hidden="1" customWidth="1"/>
    <col min="13653" max="13653" width="16.88671875" customWidth="1"/>
    <col min="13654" max="13669" width="0" hidden="1" customWidth="1"/>
    <col min="13670" max="13670" width="16.88671875" customWidth="1"/>
    <col min="13671" max="13686" width="0" hidden="1" customWidth="1"/>
    <col min="13687" max="13687" width="22.77734375" customWidth="1"/>
    <col min="13688" max="13703" width="0" hidden="1" customWidth="1"/>
    <col min="13704" max="13704" width="26.109375" customWidth="1"/>
    <col min="13705" max="13720" width="0" hidden="1" customWidth="1"/>
    <col min="13721" max="13721" width="19.21875" customWidth="1"/>
    <col min="13722" max="13722" width="17.33203125" customWidth="1"/>
    <col min="13723" max="13723" width="8.33203125" customWidth="1"/>
    <col min="13724" max="13724" width="15.33203125" bestFit="1" customWidth="1"/>
    <col min="13725" max="13725" width="16" bestFit="1" customWidth="1"/>
    <col min="13726" max="13726" width="13.109375" bestFit="1" customWidth="1"/>
    <col min="13805" max="13805" width="12.33203125" customWidth="1"/>
    <col min="13806" max="13806" width="12.6640625" customWidth="1"/>
    <col min="13807" max="13807" width="42.109375" bestFit="1" customWidth="1"/>
    <col min="13808" max="13823" width="0" hidden="1" customWidth="1"/>
    <col min="13824" max="13824" width="17.33203125" customWidth="1"/>
    <col min="13825" max="13840" width="0" hidden="1" customWidth="1"/>
    <col min="13841" max="13841" width="18.88671875" customWidth="1"/>
    <col min="13842" max="13857" width="0" hidden="1" customWidth="1"/>
    <col min="13858" max="13858" width="18.88671875" customWidth="1"/>
    <col min="13859" max="13874" width="0" hidden="1" customWidth="1"/>
    <col min="13875" max="13875" width="16.88671875" customWidth="1"/>
    <col min="13876" max="13891" width="0" hidden="1" customWidth="1"/>
    <col min="13892" max="13892" width="16.88671875" customWidth="1"/>
    <col min="13893" max="13908" width="0" hidden="1" customWidth="1"/>
    <col min="13909" max="13909" width="16.88671875" customWidth="1"/>
    <col min="13910" max="13925" width="0" hidden="1" customWidth="1"/>
    <col min="13926" max="13926" width="16.88671875" customWidth="1"/>
    <col min="13927" max="13942" width="0" hidden="1" customWidth="1"/>
    <col min="13943" max="13943" width="22.77734375" customWidth="1"/>
    <col min="13944" max="13959" width="0" hidden="1" customWidth="1"/>
    <col min="13960" max="13960" width="26.109375" customWidth="1"/>
    <col min="13961" max="13976" width="0" hidden="1" customWidth="1"/>
    <col min="13977" max="13977" width="19.21875" customWidth="1"/>
    <col min="13978" max="13978" width="17.33203125" customWidth="1"/>
    <col min="13979" max="13979" width="8.33203125" customWidth="1"/>
    <col min="13980" max="13980" width="15.33203125" bestFit="1" customWidth="1"/>
    <col min="13981" max="13981" width="16" bestFit="1" customWidth="1"/>
    <col min="13982" max="13982" width="13.109375" bestFit="1" customWidth="1"/>
    <col min="14061" max="14061" width="12.33203125" customWidth="1"/>
    <col min="14062" max="14062" width="12.6640625" customWidth="1"/>
    <col min="14063" max="14063" width="42.109375" bestFit="1" customWidth="1"/>
    <col min="14064" max="14079" width="0" hidden="1" customWidth="1"/>
    <col min="14080" max="14080" width="17.33203125" customWidth="1"/>
    <col min="14081" max="14096" width="0" hidden="1" customWidth="1"/>
    <col min="14097" max="14097" width="18.88671875" customWidth="1"/>
    <col min="14098" max="14113" width="0" hidden="1" customWidth="1"/>
    <col min="14114" max="14114" width="18.88671875" customWidth="1"/>
    <col min="14115" max="14130" width="0" hidden="1" customWidth="1"/>
    <col min="14131" max="14131" width="16.88671875" customWidth="1"/>
    <col min="14132" max="14147" width="0" hidden="1" customWidth="1"/>
    <col min="14148" max="14148" width="16.88671875" customWidth="1"/>
    <col min="14149" max="14164" width="0" hidden="1" customWidth="1"/>
    <col min="14165" max="14165" width="16.88671875" customWidth="1"/>
    <col min="14166" max="14181" width="0" hidden="1" customWidth="1"/>
    <col min="14182" max="14182" width="16.88671875" customWidth="1"/>
    <col min="14183" max="14198" width="0" hidden="1" customWidth="1"/>
    <col min="14199" max="14199" width="22.77734375" customWidth="1"/>
    <col min="14200" max="14215" width="0" hidden="1" customWidth="1"/>
    <col min="14216" max="14216" width="26.109375" customWidth="1"/>
    <col min="14217" max="14232" width="0" hidden="1" customWidth="1"/>
    <col min="14233" max="14233" width="19.21875" customWidth="1"/>
    <col min="14234" max="14234" width="17.33203125" customWidth="1"/>
    <col min="14235" max="14235" width="8.33203125" customWidth="1"/>
    <col min="14236" max="14236" width="15.33203125" bestFit="1" customWidth="1"/>
    <col min="14237" max="14237" width="16" bestFit="1" customWidth="1"/>
    <col min="14238" max="14238" width="13.109375" bestFit="1" customWidth="1"/>
    <col min="14317" max="14317" width="12.33203125" customWidth="1"/>
    <col min="14318" max="14318" width="12.6640625" customWidth="1"/>
    <col min="14319" max="14319" width="42.109375" bestFit="1" customWidth="1"/>
    <col min="14320" max="14335" width="0" hidden="1" customWidth="1"/>
    <col min="14336" max="14336" width="17.33203125" customWidth="1"/>
    <col min="14337" max="14352" width="0" hidden="1" customWidth="1"/>
    <col min="14353" max="14353" width="18.88671875" customWidth="1"/>
    <col min="14354" max="14369" width="0" hidden="1" customWidth="1"/>
    <col min="14370" max="14370" width="18.88671875" customWidth="1"/>
    <col min="14371" max="14386" width="0" hidden="1" customWidth="1"/>
    <col min="14387" max="14387" width="16.88671875" customWidth="1"/>
    <col min="14388" max="14403" width="0" hidden="1" customWidth="1"/>
    <col min="14404" max="14404" width="16.88671875" customWidth="1"/>
    <col min="14405" max="14420" width="0" hidden="1" customWidth="1"/>
    <col min="14421" max="14421" width="16.88671875" customWidth="1"/>
    <col min="14422" max="14437" width="0" hidden="1" customWidth="1"/>
    <col min="14438" max="14438" width="16.88671875" customWidth="1"/>
    <col min="14439" max="14454" width="0" hidden="1" customWidth="1"/>
    <col min="14455" max="14455" width="22.77734375" customWidth="1"/>
    <col min="14456" max="14471" width="0" hidden="1" customWidth="1"/>
    <col min="14472" max="14472" width="26.109375" customWidth="1"/>
    <col min="14473" max="14488" width="0" hidden="1" customWidth="1"/>
    <col min="14489" max="14489" width="19.21875" customWidth="1"/>
    <col min="14490" max="14490" width="17.33203125" customWidth="1"/>
    <col min="14491" max="14491" width="8.33203125" customWidth="1"/>
    <col min="14492" max="14492" width="15.33203125" bestFit="1" customWidth="1"/>
    <col min="14493" max="14493" width="16" bestFit="1" customWidth="1"/>
    <col min="14494" max="14494" width="13.109375" bestFit="1" customWidth="1"/>
    <col min="14573" max="14573" width="12.33203125" customWidth="1"/>
    <col min="14574" max="14574" width="12.6640625" customWidth="1"/>
    <col min="14575" max="14575" width="42.109375" bestFit="1" customWidth="1"/>
    <col min="14576" max="14591" width="0" hidden="1" customWidth="1"/>
    <col min="14592" max="14592" width="17.33203125" customWidth="1"/>
    <col min="14593" max="14608" width="0" hidden="1" customWidth="1"/>
    <col min="14609" max="14609" width="18.88671875" customWidth="1"/>
    <col min="14610" max="14625" width="0" hidden="1" customWidth="1"/>
    <col min="14626" max="14626" width="18.88671875" customWidth="1"/>
    <col min="14627" max="14642" width="0" hidden="1" customWidth="1"/>
    <col min="14643" max="14643" width="16.88671875" customWidth="1"/>
    <col min="14644" max="14659" width="0" hidden="1" customWidth="1"/>
    <col min="14660" max="14660" width="16.88671875" customWidth="1"/>
    <col min="14661" max="14676" width="0" hidden="1" customWidth="1"/>
    <col min="14677" max="14677" width="16.88671875" customWidth="1"/>
    <col min="14678" max="14693" width="0" hidden="1" customWidth="1"/>
    <col min="14694" max="14694" width="16.88671875" customWidth="1"/>
    <col min="14695" max="14710" width="0" hidden="1" customWidth="1"/>
    <col min="14711" max="14711" width="22.77734375" customWidth="1"/>
    <col min="14712" max="14727" width="0" hidden="1" customWidth="1"/>
    <col min="14728" max="14728" width="26.109375" customWidth="1"/>
    <col min="14729" max="14744" width="0" hidden="1" customWidth="1"/>
    <col min="14745" max="14745" width="19.21875" customWidth="1"/>
    <col min="14746" max="14746" width="17.33203125" customWidth="1"/>
    <col min="14747" max="14747" width="8.33203125" customWidth="1"/>
    <col min="14748" max="14748" width="15.33203125" bestFit="1" customWidth="1"/>
    <col min="14749" max="14749" width="16" bestFit="1" customWidth="1"/>
    <col min="14750" max="14750" width="13.109375" bestFit="1" customWidth="1"/>
    <col min="14829" max="14829" width="12.33203125" customWidth="1"/>
    <col min="14830" max="14830" width="12.6640625" customWidth="1"/>
    <col min="14831" max="14831" width="42.109375" bestFit="1" customWidth="1"/>
    <col min="14832" max="14847" width="0" hidden="1" customWidth="1"/>
    <col min="14848" max="14848" width="17.33203125" customWidth="1"/>
    <col min="14849" max="14864" width="0" hidden="1" customWidth="1"/>
    <col min="14865" max="14865" width="18.88671875" customWidth="1"/>
    <col min="14866" max="14881" width="0" hidden="1" customWidth="1"/>
    <col min="14882" max="14882" width="18.88671875" customWidth="1"/>
    <col min="14883" max="14898" width="0" hidden="1" customWidth="1"/>
    <col min="14899" max="14899" width="16.88671875" customWidth="1"/>
    <col min="14900" max="14915" width="0" hidden="1" customWidth="1"/>
    <col min="14916" max="14916" width="16.88671875" customWidth="1"/>
    <col min="14917" max="14932" width="0" hidden="1" customWidth="1"/>
    <col min="14933" max="14933" width="16.88671875" customWidth="1"/>
    <col min="14934" max="14949" width="0" hidden="1" customWidth="1"/>
    <col min="14950" max="14950" width="16.88671875" customWidth="1"/>
    <col min="14951" max="14966" width="0" hidden="1" customWidth="1"/>
    <col min="14967" max="14967" width="22.77734375" customWidth="1"/>
    <col min="14968" max="14983" width="0" hidden="1" customWidth="1"/>
    <col min="14984" max="14984" width="26.109375" customWidth="1"/>
    <col min="14985" max="15000" width="0" hidden="1" customWidth="1"/>
    <col min="15001" max="15001" width="19.21875" customWidth="1"/>
    <col min="15002" max="15002" width="17.33203125" customWidth="1"/>
    <col min="15003" max="15003" width="8.33203125" customWidth="1"/>
    <col min="15004" max="15004" width="15.33203125" bestFit="1" customWidth="1"/>
    <col min="15005" max="15005" width="16" bestFit="1" customWidth="1"/>
    <col min="15006" max="15006" width="13.109375" bestFit="1" customWidth="1"/>
    <col min="15085" max="15085" width="12.33203125" customWidth="1"/>
    <col min="15086" max="15086" width="12.6640625" customWidth="1"/>
    <col min="15087" max="15087" width="42.109375" bestFit="1" customWidth="1"/>
    <col min="15088" max="15103" width="0" hidden="1" customWidth="1"/>
    <col min="15104" max="15104" width="17.33203125" customWidth="1"/>
    <col min="15105" max="15120" width="0" hidden="1" customWidth="1"/>
    <col min="15121" max="15121" width="18.88671875" customWidth="1"/>
    <col min="15122" max="15137" width="0" hidden="1" customWidth="1"/>
    <col min="15138" max="15138" width="18.88671875" customWidth="1"/>
    <col min="15139" max="15154" width="0" hidden="1" customWidth="1"/>
    <col min="15155" max="15155" width="16.88671875" customWidth="1"/>
    <col min="15156" max="15171" width="0" hidden="1" customWidth="1"/>
    <col min="15172" max="15172" width="16.88671875" customWidth="1"/>
    <col min="15173" max="15188" width="0" hidden="1" customWidth="1"/>
    <col min="15189" max="15189" width="16.88671875" customWidth="1"/>
    <col min="15190" max="15205" width="0" hidden="1" customWidth="1"/>
    <col min="15206" max="15206" width="16.88671875" customWidth="1"/>
    <col min="15207" max="15222" width="0" hidden="1" customWidth="1"/>
    <col min="15223" max="15223" width="22.77734375" customWidth="1"/>
    <col min="15224" max="15239" width="0" hidden="1" customWidth="1"/>
    <col min="15240" max="15240" width="26.109375" customWidth="1"/>
    <col min="15241" max="15256" width="0" hidden="1" customWidth="1"/>
    <col min="15257" max="15257" width="19.21875" customWidth="1"/>
    <col min="15258" max="15258" width="17.33203125" customWidth="1"/>
    <col min="15259" max="15259" width="8.33203125" customWidth="1"/>
    <col min="15260" max="15260" width="15.33203125" bestFit="1" customWidth="1"/>
    <col min="15261" max="15261" width="16" bestFit="1" customWidth="1"/>
    <col min="15262" max="15262" width="13.109375" bestFit="1" customWidth="1"/>
    <col min="15341" max="15341" width="12.33203125" customWidth="1"/>
    <col min="15342" max="15342" width="12.6640625" customWidth="1"/>
    <col min="15343" max="15343" width="42.109375" bestFit="1" customWidth="1"/>
    <col min="15344" max="15359" width="0" hidden="1" customWidth="1"/>
    <col min="15360" max="15360" width="17.33203125" customWidth="1"/>
    <col min="15361" max="15376" width="0" hidden="1" customWidth="1"/>
    <col min="15377" max="15377" width="18.88671875" customWidth="1"/>
    <col min="15378" max="15393" width="0" hidden="1" customWidth="1"/>
    <col min="15394" max="15394" width="18.88671875" customWidth="1"/>
    <col min="15395" max="15410" width="0" hidden="1" customWidth="1"/>
    <col min="15411" max="15411" width="16.88671875" customWidth="1"/>
    <col min="15412" max="15427" width="0" hidden="1" customWidth="1"/>
    <col min="15428" max="15428" width="16.88671875" customWidth="1"/>
    <col min="15429" max="15444" width="0" hidden="1" customWidth="1"/>
    <col min="15445" max="15445" width="16.88671875" customWidth="1"/>
    <col min="15446" max="15461" width="0" hidden="1" customWidth="1"/>
    <col min="15462" max="15462" width="16.88671875" customWidth="1"/>
    <col min="15463" max="15478" width="0" hidden="1" customWidth="1"/>
    <col min="15479" max="15479" width="22.77734375" customWidth="1"/>
    <col min="15480" max="15495" width="0" hidden="1" customWidth="1"/>
    <col min="15496" max="15496" width="26.109375" customWidth="1"/>
    <col min="15497" max="15512" width="0" hidden="1" customWidth="1"/>
    <col min="15513" max="15513" width="19.21875" customWidth="1"/>
    <col min="15514" max="15514" width="17.33203125" customWidth="1"/>
    <col min="15515" max="15515" width="8.33203125" customWidth="1"/>
    <col min="15516" max="15516" width="15.33203125" bestFit="1" customWidth="1"/>
    <col min="15517" max="15517" width="16" bestFit="1" customWidth="1"/>
    <col min="15518" max="15518" width="13.109375" bestFit="1" customWidth="1"/>
    <col min="15597" max="15597" width="12.33203125" customWidth="1"/>
    <col min="15598" max="15598" width="12.6640625" customWidth="1"/>
    <col min="15599" max="15599" width="42.109375" bestFit="1" customWidth="1"/>
    <col min="15600" max="15615" width="0" hidden="1" customWidth="1"/>
    <col min="15616" max="15616" width="17.33203125" customWidth="1"/>
    <col min="15617" max="15632" width="0" hidden="1" customWidth="1"/>
    <col min="15633" max="15633" width="18.88671875" customWidth="1"/>
    <col min="15634" max="15649" width="0" hidden="1" customWidth="1"/>
    <col min="15650" max="15650" width="18.88671875" customWidth="1"/>
    <col min="15651" max="15666" width="0" hidden="1" customWidth="1"/>
    <col min="15667" max="15667" width="16.88671875" customWidth="1"/>
    <col min="15668" max="15683" width="0" hidden="1" customWidth="1"/>
    <col min="15684" max="15684" width="16.88671875" customWidth="1"/>
    <col min="15685" max="15700" width="0" hidden="1" customWidth="1"/>
    <col min="15701" max="15701" width="16.88671875" customWidth="1"/>
    <col min="15702" max="15717" width="0" hidden="1" customWidth="1"/>
    <col min="15718" max="15718" width="16.88671875" customWidth="1"/>
    <col min="15719" max="15734" width="0" hidden="1" customWidth="1"/>
    <col min="15735" max="15735" width="22.77734375" customWidth="1"/>
    <col min="15736" max="15751" width="0" hidden="1" customWidth="1"/>
    <col min="15752" max="15752" width="26.109375" customWidth="1"/>
    <col min="15753" max="15768" width="0" hidden="1" customWidth="1"/>
    <col min="15769" max="15769" width="19.21875" customWidth="1"/>
    <col min="15770" max="15770" width="17.33203125" customWidth="1"/>
    <col min="15771" max="15771" width="8.33203125" customWidth="1"/>
    <col min="15772" max="15772" width="15.33203125" bestFit="1" customWidth="1"/>
    <col min="15773" max="15773" width="16" bestFit="1" customWidth="1"/>
    <col min="15774" max="15774" width="13.109375" bestFit="1" customWidth="1"/>
    <col min="15853" max="15853" width="12.33203125" customWidth="1"/>
    <col min="15854" max="15854" width="12.6640625" customWidth="1"/>
    <col min="15855" max="15855" width="42.109375" bestFit="1" customWidth="1"/>
    <col min="15856" max="15871" width="0" hidden="1" customWidth="1"/>
    <col min="15872" max="15872" width="17.33203125" customWidth="1"/>
    <col min="15873" max="15888" width="0" hidden="1" customWidth="1"/>
    <col min="15889" max="15889" width="18.88671875" customWidth="1"/>
    <col min="15890" max="15905" width="0" hidden="1" customWidth="1"/>
    <col min="15906" max="15906" width="18.88671875" customWidth="1"/>
    <col min="15907" max="15922" width="0" hidden="1" customWidth="1"/>
    <col min="15923" max="15923" width="16.88671875" customWidth="1"/>
    <col min="15924" max="15939" width="0" hidden="1" customWidth="1"/>
    <col min="15940" max="15940" width="16.88671875" customWidth="1"/>
    <col min="15941" max="15956" width="0" hidden="1" customWidth="1"/>
    <col min="15957" max="15957" width="16.88671875" customWidth="1"/>
    <col min="15958" max="15973" width="0" hidden="1" customWidth="1"/>
    <col min="15974" max="15974" width="16.88671875" customWidth="1"/>
    <col min="15975" max="15990" width="0" hidden="1" customWidth="1"/>
    <col min="15991" max="15991" width="22.77734375" customWidth="1"/>
    <col min="15992" max="16007" width="0" hidden="1" customWidth="1"/>
    <col min="16008" max="16008" width="26.109375" customWidth="1"/>
    <col min="16009" max="16024" width="0" hidden="1" customWidth="1"/>
    <col min="16025" max="16025" width="19.21875" customWidth="1"/>
    <col min="16026" max="16026" width="17.33203125" customWidth="1"/>
    <col min="16027" max="16027" width="8.33203125" customWidth="1"/>
    <col min="16028" max="16028" width="15.33203125" bestFit="1" customWidth="1"/>
    <col min="16029" max="16029" width="16" bestFit="1" customWidth="1"/>
    <col min="16030" max="16030" width="13.109375" bestFit="1" customWidth="1"/>
    <col min="16109" max="16109" width="12.33203125" customWidth="1"/>
    <col min="16110" max="16110" width="12.6640625" customWidth="1"/>
    <col min="16111" max="16111" width="42.109375" bestFit="1" customWidth="1"/>
    <col min="16112" max="16127" width="0" hidden="1" customWidth="1"/>
    <col min="16128" max="16128" width="17.33203125" customWidth="1"/>
    <col min="16129" max="16144" width="0" hidden="1" customWidth="1"/>
    <col min="16145" max="16145" width="18.88671875" customWidth="1"/>
    <col min="16146" max="16161" width="0" hidden="1" customWidth="1"/>
    <col min="16162" max="16162" width="18.88671875" customWidth="1"/>
    <col min="16163" max="16178" width="0" hidden="1" customWidth="1"/>
    <col min="16179" max="16179" width="16.88671875" customWidth="1"/>
    <col min="16180" max="16195" width="0" hidden="1" customWidth="1"/>
    <col min="16196" max="16196" width="16.88671875" customWidth="1"/>
    <col min="16197" max="16212" width="0" hidden="1" customWidth="1"/>
    <col min="16213" max="16213" width="16.88671875" customWidth="1"/>
    <col min="16214" max="16229" width="0" hidden="1" customWidth="1"/>
    <col min="16230" max="16230" width="16.88671875" customWidth="1"/>
    <col min="16231" max="16246" width="0" hidden="1" customWidth="1"/>
    <col min="16247" max="16247" width="22.77734375" customWidth="1"/>
    <col min="16248" max="16263" width="0" hidden="1" customWidth="1"/>
    <col min="16264" max="16264" width="26.109375" customWidth="1"/>
    <col min="16265" max="16280" width="0" hidden="1" customWidth="1"/>
    <col min="16281" max="16281" width="19.21875" customWidth="1"/>
    <col min="16282" max="16282" width="17.33203125" customWidth="1"/>
    <col min="16283" max="16283" width="8.33203125" customWidth="1"/>
    <col min="16284" max="16284" width="15.33203125" bestFit="1" customWidth="1"/>
    <col min="16285" max="16285" width="16" bestFit="1" customWidth="1"/>
    <col min="16286" max="16286" width="13.109375" bestFit="1" customWidth="1"/>
  </cols>
  <sheetData>
    <row r="1" spans="1:159" ht="34.200000000000003" thickBot="1">
      <c r="B1" s="288" t="s">
        <v>451</v>
      </c>
      <c r="C1" s="288"/>
      <c r="D1" s="288"/>
      <c r="E1" s="289">
        <v>2021</v>
      </c>
      <c r="F1" s="289"/>
      <c r="G1" s="289"/>
      <c r="H1" s="290"/>
      <c r="I1" s="289"/>
      <c r="J1" s="289"/>
      <c r="K1" s="289"/>
      <c r="L1" s="290"/>
      <c r="M1" s="289"/>
      <c r="N1" s="289"/>
      <c r="O1" s="289"/>
      <c r="P1" s="290"/>
      <c r="Q1" s="289"/>
      <c r="R1" s="289"/>
      <c r="S1" s="289"/>
      <c r="T1" s="290"/>
      <c r="U1" s="289">
        <v>2022</v>
      </c>
      <c r="V1" s="289"/>
      <c r="W1" s="289"/>
      <c r="X1" s="289"/>
      <c r="Y1" s="290"/>
      <c r="Z1" s="289"/>
      <c r="AA1" s="289"/>
      <c r="AB1" s="289"/>
      <c r="AC1" s="290"/>
      <c r="AD1" s="289"/>
      <c r="AE1" s="289"/>
      <c r="AF1" s="289"/>
      <c r="AG1" s="290"/>
      <c r="AH1" s="289"/>
      <c r="AI1" s="289"/>
      <c r="AJ1" s="289"/>
      <c r="AK1" s="290"/>
      <c r="AL1" s="289"/>
      <c r="AM1" s="289"/>
      <c r="AN1" s="289"/>
      <c r="AO1" s="289"/>
      <c r="AP1" s="290"/>
      <c r="AQ1" s="289"/>
      <c r="AR1" s="289"/>
      <c r="AS1" s="289"/>
      <c r="AT1" s="290"/>
      <c r="AU1" s="289"/>
      <c r="AV1" s="289"/>
      <c r="AW1" s="289"/>
      <c r="AX1" s="290"/>
      <c r="AY1" s="289"/>
      <c r="AZ1" s="289"/>
      <c r="BA1" s="289"/>
      <c r="BB1" s="290"/>
      <c r="BC1" s="289"/>
      <c r="BD1" s="289"/>
      <c r="BE1" s="289"/>
      <c r="BF1" s="289"/>
      <c r="BG1" s="290"/>
      <c r="BH1" s="289"/>
      <c r="BI1" s="289"/>
      <c r="BJ1" s="289"/>
      <c r="BK1" s="290"/>
      <c r="BL1" s="289"/>
      <c r="BM1" s="289"/>
      <c r="BN1" s="289"/>
      <c r="BO1" s="290"/>
      <c r="BP1" s="289"/>
      <c r="BQ1" s="289"/>
      <c r="BR1" s="289"/>
      <c r="BS1" s="290"/>
      <c r="BT1" s="289"/>
      <c r="BU1" s="289"/>
      <c r="BV1" s="289"/>
      <c r="BW1" s="289"/>
      <c r="BX1" s="290"/>
      <c r="BY1" s="289"/>
      <c r="BZ1" s="289"/>
      <c r="CA1" s="289"/>
      <c r="CB1" s="290"/>
      <c r="CC1" s="289"/>
      <c r="CD1" s="289"/>
      <c r="CE1" s="289"/>
      <c r="CF1" s="290"/>
      <c r="CG1" s="289"/>
      <c r="CH1" s="289"/>
      <c r="CI1" s="289"/>
      <c r="CJ1" s="290"/>
      <c r="CK1" s="289"/>
      <c r="CL1" s="289"/>
      <c r="CM1" s="289"/>
      <c r="CN1" s="289"/>
      <c r="CO1" s="290"/>
      <c r="CP1" s="289"/>
      <c r="CQ1" s="289"/>
      <c r="CR1" s="289"/>
      <c r="CS1" s="290"/>
      <c r="CT1" s="289"/>
      <c r="CU1" s="289"/>
      <c r="CV1" s="289"/>
      <c r="CW1" s="290"/>
      <c r="CX1" s="289"/>
      <c r="CY1" s="289"/>
      <c r="CZ1" s="289"/>
      <c r="DA1" s="290"/>
      <c r="DB1" s="289"/>
      <c r="DC1" s="289"/>
      <c r="DD1" s="289"/>
      <c r="DE1" s="289"/>
      <c r="DF1" s="290"/>
      <c r="DG1" s="289"/>
      <c r="DH1" s="289"/>
      <c r="DI1" s="289"/>
      <c r="DJ1" s="290"/>
      <c r="DK1" s="289"/>
      <c r="DL1" s="289"/>
      <c r="DM1" s="289"/>
      <c r="DN1" s="290"/>
      <c r="DO1" s="289"/>
      <c r="DP1" s="289"/>
      <c r="DQ1" s="289"/>
      <c r="DR1" s="290"/>
      <c r="DS1" s="289"/>
      <c r="DT1" s="289"/>
      <c r="DU1" s="289"/>
      <c r="DV1" s="289"/>
      <c r="DW1" s="290"/>
      <c r="DX1" s="289"/>
      <c r="DY1" s="289"/>
      <c r="DZ1" s="289"/>
      <c r="EA1" s="290"/>
      <c r="EB1" s="289"/>
      <c r="EC1" s="289"/>
      <c r="ED1" s="289"/>
      <c r="EE1" s="290"/>
      <c r="EF1" s="289"/>
      <c r="EG1" s="289"/>
      <c r="EH1" s="289"/>
      <c r="EI1" s="290"/>
      <c r="EJ1" s="289"/>
      <c r="EK1" s="289"/>
      <c r="EL1" s="289"/>
      <c r="EM1" s="289"/>
      <c r="EN1" s="290"/>
      <c r="EO1" s="289"/>
      <c r="EP1" s="289"/>
      <c r="EQ1" s="289"/>
      <c r="ER1" s="290"/>
      <c r="ES1" s="289"/>
      <c r="ET1" s="289"/>
      <c r="EU1" s="289"/>
      <c r="EV1" s="290"/>
      <c r="EW1" s="289"/>
      <c r="EX1" s="289"/>
      <c r="EY1" s="289"/>
      <c r="EZ1" s="290"/>
      <c r="FA1" s="289"/>
      <c r="FB1" s="289"/>
    </row>
    <row r="2" spans="1:159" ht="36.6">
      <c r="A2" s="22"/>
      <c r="B2" s="291"/>
      <c r="C2" s="291"/>
      <c r="D2" s="292" t="s">
        <v>452</v>
      </c>
      <c r="E2" s="293"/>
      <c r="F2" s="293"/>
      <c r="G2" s="293"/>
      <c r="H2" s="294"/>
      <c r="I2" s="293"/>
      <c r="J2" s="293"/>
      <c r="K2" s="293"/>
      <c r="L2" s="294"/>
      <c r="M2" s="293"/>
      <c r="N2" s="293"/>
      <c r="O2" s="293"/>
      <c r="P2" s="294"/>
      <c r="Q2" s="293"/>
      <c r="R2" s="293"/>
      <c r="S2" s="293"/>
      <c r="T2" s="294"/>
      <c r="U2" s="293"/>
      <c r="V2" s="293"/>
      <c r="W2" s="293"/>
      <c r="X2" s="293"/>
      <c r="Y2" s="294"/>
      <c r="Z2" s="293"/>
      <c r="AA2" s="293"/>
      <c r="AB2" s="293"/>
      <c r="AC2" s="294"/>
      <c r="AD2" s="293"/>
      <c r="AE2" s="293"/>
      <c r="AF2" s="293"/>
      <c r="AG2" s="294"/>
      <c r="AH2" s="293"/>
      <c r="AI2" s="293"/>
      <c r="AJ2" s="293"/>
      <c r="AK2" s="294"/>
      <c r="AL2" s="293"/>
      <c r="AM2" s="293"/>
      <c r="AN2" s="293"/>
      <c r="AO2" s="293"/>
      <c r="AP2" s="294"/>
      <c r="AQ2" s="293"/>
      <c r="AR2" s="293"/>
      <c r="AS2" s="293"/>
      <c r="AT2" s="294"/>
      <c r="AU2" s="293"/>
      <c r="AV2" s="293"/>
      <c r="AW2" s="293"/>
      <c r="AX2" s="294"/>
      <c r="AY2" s="293"/>
      <c r="AZ2" s="293"/>
      <c r="BA2" s="293"/>
      <c r="BB2" s="294"/>
      <c r="BC2" s="293"/>
      <c r="BD2" s="293"/>
      <c r="BE2" s="293"/>
      <c r="BF2" s="293"/>
      <c r="BG2" s="294"/>
      <c r="BH2" s="293"/>
      <c r="BI2" s="293"/>
      <c r="BJ2" s="293"/>
      <c r="BK2" s="294"/>
      <c r="BL2" s="293"/>
      <c r="BM2" s="293"/>
      <c r="BN2" s="293"/>
      <c r="BO2" s="294"/>
      <c r="BP2" s="293"/>
      <c r="BQ2" s="293"/>
      <c r="BR2" s="293"/>
      <c r="BS2" s="294"/>
      <c r="BT2" s="293"/>
      <c r="BU2" s="293"/>
      <c r="BV2" s="293"/>
      <c r="BW2" s="293"/>
      <c r="BX2" s="294"/>
      <c r="BY2" s="293"/>
      <c r="BZ2" s="293"/>
      <c r="CA2" s="293"/>
      <c r="CB2" s="294"/>
      <c r="CC2" s="293"/>
      <c r="CD2" s="293"/>
      <c r="CE2" s="293"/>
      <c r="CF2" s="294"/>
      <c r="CG2" s="293"/>
      <c r="CH2" s="293"/>
      <c r="CI2" s="293"/>
      <c r="CJ2" s="294"/>
      <c r="CK2" s="293"/>
      <c r="CL2" s="293"/>
      <c r="CM2" s="293"/>
      <c r="CN2" s="293"/>
      <c r="CO2" s="294"/>
      <c r="CP2" s="293"/>
      <c r="CQ2" s="293"/>
      <c r="CR2" s="293"/>
      <c r="CS2" s="294"/>
      <c r="CT2" s="293"/>
      <c r="CU2" s="293"/>
      <c r="CV2" s="293"/>
      <c r="CW2" s="294"/>
      <c r="CX2" s="293"/>
      <c r="CY2" s="293"/>
      <c r="CZ2" s="293"/>
      <c r="DA2" s="294"/>
      <c r="DB2" s="293"/>
      <c r="DC2" s="293"/>
      <c r="DD2" s="293"/>
      <c r="DE2" s="293"/>
      <c r="DF2" s="294"/>
      <c r="DG2" s="293"/>
      <c r="DH2" s="293"/>
      <c r="DI2" s="293"/>
      <c r="DJ2" s="294"/>
      <c r="DK2" s="293"/>
      <c r="DL2" s="293"/>
      <c r="DM2" s="293"/>
      <c r="DN2" s="294"/>
      <c r="DO2" s="293"/>
      <c r="DP2" s="293"/>
      <c r="DQ2" s="293"/>
      <c r="DR2" s="294"/>
      <c r="DS2" s="293"/>
      <c r="DT2" s="293"/>
      <c r="DU2" s="293"/>
      <c r="DV2" s="293"/>
      <c r="DW2" s="294"/>
      <c r="DX2" s="293"/>
      <c r="DY2" s="293"/>
      <c r="DZ2" s="293"/>
      <c r="EA2" s="294"/>
      <c r="EB2" s="293"/>
      <c r="EC2" s="293"/>
      <c r="ED2" s="293"/>
      <c r="EE2" s="294"/>
      <c r="EF2" s="293"/>
      <c r="EG2" s="293"/>
      <c r="EH2" s="293"/>
      <c r="EI2" s="294"/>
      <c r="EJ2" s="293"/>
      <c r="EK2" s="293"/>
      <c r="EL2" s="293"/>
      <c r="EM2" s="293"/>
      <c r="EN2" s="294"/>
      <c r="EO2" s="293"/>
      <c r="EP2" s="293"/>
      <c r="EQ2" s="293"/>
      <c r="ER2" s="294"/>
      <c r="ES2" s="293"/>
      <c r="ET2" s="293"/>
      <c r="EU2" s="293"/>
      <c r="EV2" s="294"/>
      <c r="EW2" s="293"/>
      <c r="EX2" s="293"/>
      <c r="EY2" s="293"/>
      <c r="EZ2" s="294"/>
      <c r="FA2" s="293"/>
      <c r="FB2" s="295">
        <f>FB5</f>
        <v>53639543.040000036</v>
      </c>
      <c r="FC2" s="296"/>
    </row>
    <row r="3" spans="1:159" s="303" customFormat="1" ht="18" customHeight="1">
      <c r="A3" s="648" t="s">
        <v>453</v>
      </c>
      <c r="B3" s="649"/>
      <c r="C3" s="652" t="s">
        <v>454</v>
      </c>
      <c r="D3" s="652" t="s">
        <v>455</v>
      </c>
      <c r="E3" s="297"/>
      <c r="F3" s="297"/>
      <c r="G3" s="297"/>
      <c r="H3" s="298"/>
      <c r="I3" s="297"/>
      <c r="J3" s="297"/>
      <c r="K3" s="297"/>
      <c r="L3" s="298"/>
      <c r="M3" s="297"/>
      <c r="N3" s="297" t="s">
        <v>456</v>
      </c>
      <c r="O3" s="297"/>
      <c r="P3" s="298"/>
      <c r="Q3" s="297"/>
      <c r="R3" s="297"/>
      <c r="S3" s="297"/>
      <c r="T3" s="298"/>
      <c r="U3" s="299"/>
      <c r="V3" s="300"/>
      <c r="W3" s="300"/>
      <c r="X3" s="300"/>
      <c r="Y3" s="298"/>
      <c r="Z3" s="300"/>
      <c r="AA3" s="300"/>
      <c r="AB3" s="300"/>
      <c r="AC3" s="298"/>
      <c r="AD3" s="300"/>
      <c r="AE3" s="300"/>
      <c r="AF3" s="300"/>
      <c r="AG3" s="298"/>
      <c r="AH3" s="300"/>
      <c r="AI3" s="300"/>
      <c r="AJ3" s="300"/>
      <c r="AK3" s="298"/>
      <c r="AL3" s="301">
        <f>AL5/U5</f>
        <v>-0.464637566526305</v>
      </c>
      <c r="AM3" s="301"/>
      <c r="AN3" s="301"/>
      <c r="AO3" s="301"/>
      <c r="AP3" s="298"/>
      <c r="AQ3" s="301"/>
      <c r="AR3" s="301"/>
      <c r="AS3" s="301"/>
      <c r="AT3" s="298"/>
      <c r="AU3" s="301"/>
      <c r="AV3" s="301"/>
      <c r="AW3" s="301"/>
      <c r="AX3" s="298"/>
      <c r="AY3" s="301"/>
      <c r="AZ3" s="301"/>
      <c r="BA3" s="301"/>
      <c r="BB3" s="298"/>
      <c r="BC3" s="301">
        <f>BC5/U5</f>
        <v>-4.0783565677151986E-3</v>
      </c>
      <c r="BD3" s="300"/>
      <c r="BE3" s="300"/>
      <c r="BF3" s="300"/>
      <c r="BG3" s="298"/>
      <c r="BH3" s="300"/>
      <c r="BI3" s="300"/>
      <c r="BJ3" s="300"/>
      <c r="BK3" s="298"/>
      <c r="BL3" s="300"/>
      <c r="BM3" s="300"/>
      <c r="BN3" s="300"/>
      <c r="BO3" s="298"/>
      <c r="BP3" s="300"/>
      <c r="BQ3" s="300"/>
      <c r="BR3" s="300"/>
      <c r="BS3" s="298"/>
      <c r="BT3" s="301">
        <f>BT5/U5</f>
        <v>-0.21938069759496781</v>
      </c>
      <c r="BU3" s="300"/>
      <c r="BV3" s="300"/>
      <c r="BW3" s="300"/>
      <c r="BX3" s="298"/>
      <c r="BY3" s="300"/>
      <c r="BZ3" s="300"/>
      <c r="CA3" s="300"/>
      <c r="CB3" s="298"/>
      <c r="CC3" s="300"/>
      <c r="CD3" s="300"/>
      <c r="CE3" s="300"/>
      <c r="CF3" s="298"/>
      <c r="CG3" s="300"/>
      <c r="CH3" s="300"/>
      <c r="CI3" s="300"/>
      <c r="CJ3" s="298"/>
      <c r="CK3" s="301">
        <f>CK5/AL5</f>
        <v>0</v>
      </c>
      <c r="CL3" s="301"/>
      <c r="CM3" s="301"/>
      <c r="CN3" s="301"/>
      <c r="CO3" s="298"/>
      <c r="CP3" s="301"/>
      <c r="CQ3" s="301"/>
      <c r="CR3" s="301"/>
      <c r="CS3" s="298"/>
      <c r="CT3" s="301"/>
      <c r="CU3" s="301"/>
      <c r="CV3" s="301"/>
      <c r="CW3" s="298"/>
      <c r="CX3" s="301"/>
      <c r="CY3" s="301"/>
      <c r="CZ3" s="301"/>
      <c r="DA3" s="298"/>
      <c r="DB3" s="301">
        <f>DB5/BT5</f>
        <v>0.23843187557019652</v>
      </c>
      <c r="DC3" s="300"/>
      <c r="DD3" s="300"/>
      <c r="DE3" s="300"/>
      <c r="DF3" s="298"/>
      <c r="DG3" s="300"/>
      <c r="DH3" s="300"/>
      <c r="DI3" s="300"/>
      <c r="DJ3" s="298"/>
      <c r="DK3" s="300"/>
      <c r="DL3" s="300"/>
      <c r="DM3" s="300"/>
      <c r="DN3" s="298"/>
      <c r="DO3" s="300"/>
      <c r="DP3" s="300"/>
      <c r="DQ3" s="300"/>
      <c r="DR3" s="298"/>
      <c r="DS3" s="301">
        <f>DS5/U5</f>
        <v>-5.5042025788121215E-2</v>
      </c>
      <c r="DT3" s="300"/>
      <c r="DU3" s="300"/>
      <c r="DV3" s="300"/>
      <c r="DW3" s="298"/>
      <c r="DX3" s="300"/>
      <c r="DY3" s="300"/>
      <c r="DZ3" s="300"/>
      <c r="EA3" s="298"/>
      <c r="EB3" s="300"/>
      <c r="EC3" s="300"/>
      <c r="ED3" s="300"/>
      <c r="EE3" s="298"/>
      <c r="EF3" s="300"/>
      <c r="EG3" s="300"/>
      <c r="EH3" s="300"/>
      <c r="EI3" s="298"/>
      <c r="EJ3" s="301">
        <f>EJ5/U5</f>
        <v>-1.6501192816125741E-2</v>
      </c>
      <c r="EK3" s="300"/>
      <c r="EL3" s="300"/>
      <c r="EM3" s="300"/>
      <c r="EN3" s="298"/>
      <c r="EO3" s="300"/>
      <c r="EP3" s="300"/>
      <c r="EQ3" s="300"/>
      <c r="ER3" s="298"/>
      <c r="ES3" s="300"/>
      <c r="ET3" s="300"/>
      <c r="EU3" s="300"/>
      <c r="EV3" s="298"/>
      <c r="EW3" s="300"/>
      <c r="EX3" s="300"/>
      <c r="EY3" s="300"/>
      <c r="EZ3" s="298"/>
      <c r="FA3" s="301">
        <f>FA5/AL5</f>
        <v>0</v>
      </c>
      <c r="FB3" s="300"/>
      <c r="FC3" s="302"/>
    </row>
    <row r="4" spans="1:159" s="303" customFormat="1" ht="54">
      <c r="A4" s="650"/>
      <c r="B4" s="651"/>
      <c r="C4" s="652"/>
      <c r="D4" s="652"/>
      <c r="E4" s="297">
        <v>44562</v>
      </c>
      <c r="F4" s="297">
        <v>44593</v>
      </c>
      <c r="G4" s="297">
        <v>44621</v>
      </c>
      <c r="H4" s="297" t="s">
        <v>457</v>
      </c>
      <c r="I4" s="297">
        <v>44652</v>
      </c>
      <c r="J4" s="297">
        <v>44682</v>
      </c>
      <c r="K4" s="297">
        <v>44713</v>
      </c>
      <c r="L4" s="297" t="s">
        <v>458</v>
      </c>
      <c r="M4" s="297">
        <v>44743</v>
      </c>
      <c r="N4" s="297">
        <v>44774</v>
      </c>
      <c r="O4" s="297">
        <v>44805</v>
      </c>
      <c r="P4" s="297" t="s">
        <v>459</v>
      </c>
      <c r="Q4" s="297">
        <v>44835</v>
      </c>
      <c r="R4" s="297">
        <v>44866</v>
      </c>
      <c r="S4" s="297">
        <v>44896</v>
      </c>
      <c r="T4" s="297" t="s">
        <v>460</v>
      </c>
      <c r="U4" s="299" t="s">
        <v>461</v>
      </c>
      <c r="V4" s="304">
        <v>44562</v>
      </c>
      <c r="W4" s="304">
        <v>44593</v>
      </c>
      <c r="X4" s="304">
        <v>44621</v>
      </c>
      <c r="Y4" s="304" t="s">
        <v>457</v>
      </c>
      <c r="Z4" s="304">
        <v>44652</v>
      </c>
      <c r="AA4" s="304">
        <v>44682</v>
      </c>
      <c r="AB4" s="304">
        <v>44713</v>
      </c>
      <c r="AC4" s="304" t="s">
        <v>458</v>
      </c>
      <c r="AD4" s="304">
        <v>44743</v>
      </c>
      <c r="AE4" s="304">
        <v>44774</v>
      </c>
      <c r="AF4" s="304">
        <v>44805</v>
      </c>
      <c r="AG4" s="304" t="s">
        <v>459</v>
      </c>
      <c r="AH4" s="304">
        <v>44835</v>
      </c>
      <c r="AI4" s="304">
        <v>44866</v>
      </c>
      <c r="AJ4" s="304">
        <v>44896</v>
      </c>
      <c r="AK4" s="304" t="s">
        <v>460</v>
      </c>
      <c r="AL4" s="305" t="s">
        <v>462</v>
      </c>
      <c r="AM4" s="306">
        <v>44562</v>
      </c>
      <c r="AN4" s="306">
        <v>44593</v>
      </c>
      <c r="AO4" s="306">
        <v>44621</v>
      </c>
      <c r="AP4" s="304" t="s">
        <v>457</v>
      </c>
      <c r="AQ4" s="306">
        <v>44652</v>
      </c>
      <c r="AR4" s="306">
        <v>44682</v>
      </c>
      <c r="AS4" s="306">
        <v>44713</v>
      </c>
      <c r="AT4" s="304" t="s">
        <v>458</v>
      </c>
      <c r="AU4" s="306">
        <v>44743</v>
      </c>
      <c r="AV4" s="306">
        <v>44774</v>
      </c>
      <c r="AW4" s="306">
        <v>44805</v>
      </c>
      <c r="AX4" s="304" t="s">
        <v>459</v>
      </c>
      <c r="AY4" s="306">
        <v>44835</v>
      </c>
      <c r="AZ4" s="306">
        <v>44866</v>
      </c>
      <c r="BA4" s="306">
        <v>44896</v>
      </c>
      <c r="BB4" s="304" t="s">
        <v>460</v>
      </c>
      <c r="BC4" s="306" t="s">
        <v>463</v>
      </c>
      <c r="BD4" s="307">
        <v>44562</v>
      </c>
      <c r="BE4" s="307">
        <v>44593</v>
      </c>
      <c r="BF4" s="307">
        <v>44621</v>
      </c>
      <c r="BG4" s="308" t="s">
        <v>457</v>
      </c>
      <c r="BH4" s="307">
        <v>44652</v>
      </c>
      <c r="BI4" s="307">
        <v>44682</v>
      </c>
      <c r="BJ4" s="307">
        <v>44713</v>
      </c>
      <c r="BK4" s="308" t="s">
        <v>458</v>
      </c>
      <c r="BL4" s="307">
        <v>44743</v>
      </c>
      <c r="BM4" s="307">
        <v>44774</v>
      </c>
      <c r="BN4" s="307">
        <v>44805</v>
      </c>
      <c r="BO4" s="308" t="s">
        <v>459</v>
      </c>
      <c r="BP4" s="307">
        <v>44835</v>
      </c>
      <c r="BQ4" s="307">
        <v>44866</v>
      </c>
      <c r="BR4" s="307">
        <v>44896</v>
      </c>
      <c r="BS4" s="308" t="s">
        <v>460</v>
      </c>
      <c r="BT4" s="308" t="s">
        <v>464</v>
      </c>
      <c r="BU4" s="309">
        <v>44562</v>
      </c>
      <c r="BV4" s="309">
        <v>44593</v>
      </c>
      <c r="BW4" s="309">
        <v>44621</v>
      </c>
      <c r="BX4" s="310" t="s">
        <v>457</v>
      </c>
      <c r="BY4" s="309">
        <v>44652</v>
      </c>
      <c r="BZ4" s="309">
        <v>44682</v>
      </c>
      <c r="CA4" s="309">
        <v>44713</v>
      </c>
      <c r="CB4" s="310" t="s">
        <v>458</v>
      </c>
      <c r="CC4" s="309">
        <v>44743</v>
      </c>
      <c r="CD4" s="309">
        <v>44774</v>
      </c>
      <c r="CE4" s="309">
        <v>44805</v>
      </c>
      <c r="CF4" s="310" t="s">
        <v>459</v>
      </c>
      <c r="CG4" s="309">
        <v>44835</v>
      </c>
      <c r="CH4" s="309">
        <v>44866</v>
      </c>
      <c r="CI4" s="309">
        <v>44896</v>
      </c>
      <c r="CJ4" s="310" t="s">
        <v>460</v>
      </c>
      <c r="CK4" s="311" t="s">
        <v>465</v>
      </c>
      <c r="CL4" s="312">
        <v>44562</v>
      </c>
      <c r="CM4" s="312">
        <v>44593</v>
      </c>
      <c r="CN4" s="312">
        <v>44621</v>
      </c>
      <c r="CO4" s="313" t="s">
        <v>457</v>
      </c>
      <c r="CP4" s="312">
        <v>44652</v>
      </c>
      <c r="CQ4" s="312">
        <v>44682</v>
      </c>
      <c r="CR4" s="312">
        <v>44713</v>
      </c>
      <c r="CS4" s="313" t="s">
        <v>458</v>
      </c>
      <c r="CT4" s="312">
        <v>44743</v>
      </c>
      <c r="CU4" s="312">
        <v>44774</v>
      </c>
      <c r="CV4" s="312">
        <v>44805</v>
      </c>
      <c r="CW4" s="313" t="s">
        <v>459</v>
      </c>
      <c r="CX4" s="312">
        <v>44835</v>
      </c>
      <c r="CY4" s="312">
        <v>44866</v>
      </c>
      <c r="CZ4" s="312">
        <v>44896</v>
      </c>
      <c r="DA4" s="313" t="s">
        <v>460</v>
      </c>
      <c r="DB4" s="314" t="s">
        <v>466</v>
      </c>
      <c r="DC4" s="315">
        <v>44562</v>
      </c>
      <c r="DD4" s="315">
        <v>44593</v>
      </c>
      <c r="DE4" s="315">
        <v>44621</v>
      </c>
      <c r="DF4" s="315" t="s">
        <v>457</v>
      </c>
      <c r="DG4" s="315">
        <v>44652</v>
      </c>
      <c r="DH4" s="315">
        <v>44682</v>
      </c>
      <c r="DI4" s="315">
        <v>44713</v>
      </c>
      <c r="DJ4" s="315" t="s">
        <v>458</v>
      </c>
      <c r="DK4" s="315">
        <v>44743</v>
      </c>
      <c r="DL4" s="315">
        <v>44774</v>
      </c>
      <c r="DM4" s="315">
        <v>44805</v>
      </c>
      <c r="DN4" s="315" t="s">
        <v>459</v>
      </c>
      <c r="DO4" s="315">
        <v>44835</v>
      </c>
      <c r="DP4" s="315">
        <v>44866</v>
      </c>
      <c r="DQ4" s="315">
        <v>44896</v>
      </c>
      <c r="DR4" s="315" t="s">
        <v>460</v>
      </c>
      <c r="DS4" s="316" t="s">
        <v>467</v>
      </c>
      <c r="DT4" s="317">
        <v>44562</v>
      </c>
      <c r="DU4" s="317">
        <v>44593</v>
      </c>
      <c r="DV4" s="317">
        <v>44621</v>
      </c>
      <c r="DW4" s="318" t="s">
        <v>457</v>
      </c>
      <c r="DX4" s="317">
        <v>44652</v>
      </c>
      <c r="DY4" s="317">
        <v>44682</v>
      </c>
      <c r="DZ4" s="317">
        <v>44713</v>
      </c>
      <c r="EA4" s="318" t="s">
        <v>458</v>
      </c>
      <c r="EB4" s="317">
        <v>44743</v>
      </c>
      <c r="EC4" s="317">
        <v>44774</v>
      </c>
      <c r="ED4" s="317">
        <v>44805</v>
      </c>
      <c r="EE4" s="318" t="s">
        <v>459</v>
      </c>
      <c r="EF4" s="317">
        <v>44835</v>
      </c>
      <c r="EG4" s="317">
        <v>44866</v>
      </c>
      <c r="EH4" s="317">
        <v>44896</v>
      </c>
      <c r="EI4" s="318" t="s">
        <v>460</v>
      </c>
      <c r="EJ4" s="318" t="s">
        <v>468</v>
      </c>
      <c r="EK4" s="319">
        <v>44562</v>
      </c>
      <c r="EL4" s="319">
        <v>44593</v>
      </c>
      <c r="EM4" s="319">
        <v>44621</v>
      </c>
      <c r="EN4" s="320" t="s">
        <v>457</v>
      </c>
      <c r="EO4" s="319">
        <v>44652</v>
      </c>
      <c r="EP4" s="319">
        <v>44682</v>
      </c>
      <c r="EQ4" s="319">
        <v>44713</v>
      </c>
      <c r="ER4" s="320" t="s">
        <v>458</v>
      </c>
      <c r="ES4" s="319">
        <v>44743</v>
      </c>
      <c r="ET4" s="319">
        <v>44774</v>
      </c>
      <c r="EU4" s="319">
        <v>44805</v>
      </c>
      <c r="EV4" s="320" t="s">
        <v>459</v>
      </c>
      <c r="EW4" s="319">
        <v>44835</v>
      </c>
      <c r="EX4" s="319">
        <v>44866</v>
      </c>
      <c r="EY4" s="319">
        <v>44896</v>
      </c>
      <c r="EZ4" s="320" t="s">
        <v>460</v>
      </c>
      <c r="FA4" s="320" t="s">
        <v>469</v>
      </c>
      <c r="FB4" s="321" t="s">
        <v>470</v>
      </c>
      <c r="FC4" s="302" t="s">
        <v>470</v>
      </c>
    </row>
    <row r="5" spans="1:159" s="337" customFormat="1" ht="21">
      <c r="A5" s="322" t="s">
        <v>471</v>
      </c>
      <c r="B5" s="323" t="s">
        <v>472</v>
      </c>
      <c r="C5" s="324"/>
      <c r="D5" s="325"/>
      <c r="E5" s="326">
        <f t="shared" ref="E5:BP5" si="0">E6+E24</f>
        <v>26664190.993333321</v>
      </c>
      <c r="F5" s="326">
        <f t="shared" si="0"/>
        <v>28414190.993333321</v>
      </c>
      <c r="G5" s="326">
        <f t="shared" si="0"/>
        <v>30274190.993333321</v>
      </c>
      <c r="H5" s="327">
        <f t="shared" si="0"/>
        <v>85352572.979999959</v>
      </c>
      <c r="I5" s="326">
        <f t="shared" si="0"/>
        <v>28516245.32</v>
      </c>
      <c r="J5" s="326">
        <f t="shared" si="0"/>
        <v>27746962.32</v>
      </c>
      <c r="K5" s="326">
        <f t="shared" si="0"/>
        <v>28238006.32</v>
      </c>
      <c r="L5" s="327">
        <f t="shared" si="0"/>
        <v>84501213.959999993</v>
      </c>
      <c r="M5" s="326">
        <f t="shared" si="0"/>
        <v>19564365.986666668</v>
      </c>
      <c r="N5" s="326">
        <f t="shared" si="0"/>
        <v>19564365.986666668</v>
      </c>
      <c r="O5" s="326">
        <f t="shared" si="0"/>
        <v>19564365.986666668</v>
      </c>
      <c r="P5" s="327">
        <f t="shared" si="0"/>
        <v>58693097.959999993</v>
      </c>
      <c r="Q5" s="326">
        <f t="shared" si="0"/>
        <v>19520977.986666668</v>
      </c>
      <c r="R5" s="326">
        <f t="shared" si="0"/>
        <v>18584365.986666668</v>
      </c>
      <c r="S5" s="326">
        <f t="shared" si="0"/>
        <v>18584365.986666668</v>
      </c>
      <c r="T5" s="327">
        <f t="shared" si="0"/>
        <v>56689709.959999993</v>
      </c>
      <c r="U5" s="326">
        <f t="shared" si="0"/>
        <v>285236594.85999995</v>
      </c>
      <c r="V5" s="327">
        <f t="shared" si="0"/>
        <v>-15969153.326666661</v>
      </c>
      <c r="W5" s="327">
        <f t="shared" si="0"/>
        <v>-12205315.326666661</v>
      </c>
      <c r="X5" s="327">
        <f t="shared" si="0"/>
        <v>-16746628.726666661</v>
      </c>
      <c r="Y5" s="327">
        <f t="shared" si="0"/>
        <v>-44921097.37999998</v>
      </c>
      <c r="Z5" s="327">
        <f t="shared" si="0"/>
        <v>-16590273.326666661</v>
      </c>
      <c r="AA5" s="327">
        <f t="shared" si="0"/>
        <v>-13090273.326666661</v>
      </c>
      <c r="AB5" s="327">
        <f t="shared" si="0"/>
        <v>-12090273.326666661</v>
      </c>
      <c r="AC5" s="327">
        <f t="shared" si="0"/>
        <v>-41770819.979999982</v>
      </c>
      <c r="AD5" s="327">
        <f t="shared" si="0"/>
        <v>-9835553.3266666606</v>
      </c>
      <c r="AE5" s="327">
        <f t="shared" si="0"/>
        <v>-7200833.3266666606</v>
      </c>
      <c r="AF5" s="327">
        <f t="shared" si="0"/>
        <v>-7200833.3266666606</v>
      </c>
      <c r="AG5" s="327">
        <f t="shared" si="0"/>
        <v>-24237219.979999982</v>
      </c>
      <c r="AH5" s="327">
        <f t="shared" si="0"/>
        <v>-7200833.3266666606</v>
      </c>
      <c r="AI5" s="327">
        <f t="shared" si="0"/>
        <v>-7200833.3266666606</v>
      </c>
      <c r="AJ5" s="327">
        <f t="shared" si="0"/>
        <v>-7200833.3266666606</v>
      </c>
      <c r="AK5" s="327">
        <f t="shared" si="0"/>
        <v>-21602499.979999982</v>
      </c>
      <c r="AL5" s="327">
        <f t="shared" si="0"/>
        <v>-132531637.31999993</v>
      </c>
      <c r="AM5" s="328">
        <f t="shared" si="0"/>
        <v>-320625</v>
      </c>
      <c r="AN5" s="328">
        <f t="shared" si="0"/>
        <v>-339200</v>
      </c>
      <c r="AO5" s="328">
        <f t="shared" si="0"/>
        <v>-213014.53999999998</v>
      </c>
      <c r="AP5" s="327">
        <f t="shared" si="0"/>
        <v>-872839.54</v>
      </c>
      <c r="AQ5" s="328">
        <f t="shared" si="0"/>
        <v>-103973</v>
      </c>
      <c r="AR5" s="328">
        <f t="shared" si="0"/>
        <v>-25000</v>
      </c>
      <c r="AS5" s="328">
        <f t="shared" si="0"/>
        <v>-25000</v>
      </c>
      <c r="AT5" s="327">
        <f t="shared" si="0"/>
        <v>-153973</v>
      </c>
      <c r="AU5" s="328">
        <f t="shared" si="0"/>
        <v>-25000</v>
      </c>
      <c r="AV5" s="328">
        <f t="shared" si="0"/>
        <v>-25000</v>
      </c>
      <c r="AW5" s="328">
        <f t="shared" si="0"/>
        <v>-25000</v>
      </c>
      <c r="AX5" s="327">
        <f t="shared" si="0"/>
        <v>-75000</v>
      </c>
      <c r="AY5" s="328">
        <f t="shared" si="0"/>
        <v>-25000</v>
      </c>
      <c r="AZ5" s="328">
        <f t="shared" si="0"/>
        <v>-25000</v>
      </c>
      <c r="BA5" s="328">
        <f t="shared" si="0"/>
        <v>-11484</v>
      </c>
      <c r="BB5" s="327">
        <f t="shared" si="0"/>
        <v>-61484</v>
      </c>
      <c r="BC5" s="328">
        <f t="shared" si="0"/>
        <v>-1163296.54</v>
      </c>
      <c r="BD5" s="329">
        <f t="shared" si="0"/>
        <v>-4230142.0600000005</v>
      </c>
      <c r="BE5" s="329">
        <f t="shared" si="0"/>
        <v>-7852287.3999999994</v>
      </c>
      <c r="BF5" s="329">
        <f t="shared" si="0"/>
        <v>-6372431.5199999996</v>
      </c>
      <c r="BG5" s="329">
        <f t="shared" si="0"/>
        <v>-18454860.979999997</v>
      </c>
      <c r="BH5" s="329">
        <f t="shared" si="0"/>
        <v>-6330560.5</v>
      </c>
      <c r="BI5" s="329">
        <f t="shared" si="0"/>
        <v>-6330560.5</v>
      </c>
      <c r="BJ5" s="329">
        <f t="shared" si="0"/>
        <v>-6330560.5</v>
      </c>
      <c r="BK5" s="329">
        <f t="shared" si="0"/>
        <v>-18991681.5</v>
      </c>
      <c r="BL5" s="329">
        <f t="shared" si="0"/>
        <v>-5899023.8599999994</v>
      </c>
      <c r="BM5" s="329">
        <f t="shared" si="0"/>
        <v>-5899023.8599999994</v>
      </c>
      <c r="BN5" s="329">
        <f t="shared" si="0"/>
        <v>-4093336.32</v>
      </c>
      <c r="BO5" s="329">
        <f t="shared" si="0"/>
        <v>-15891384.039999999</v>
      </c>
      <c r="BP5" s="329">
        <f t="shared" si="0"/>
        <v>-4097523.42</v>
      </c>
      <c r="BQ5" s="329">
        <f t="shared" ref="BQ5:EB5" si="1">BQ6+BQ24</f>
        <v>-2569976.6100000003</v>
      </c>
      <c r="BR5" s="329">
        <f t="shared" si="1"/>
        <v>-2569976.6100000003</v>
      </c>
      <c r="BS5" s="329">
        <f t="shared" si="1"/>
        <v>-9237476.6400000006</v>
      </c>
      <c r="BT5" s="329">
        <f t="shared" si="1"/>
        <v>-62575403.159999996</v>
      </c>
      <c r="BU5" s="330">
        <f t="shared" si="1"/>
        <v>0</v>
      </c>
      <c r="BV5" s="330">
        <f t="shared" si="1"/>
        <v>0</v>
      </c>
      <c r="BW5" s="330">
        <f t="shared" si="1"/>
        <v>0</v>
      </c>
      <c r="BX5" s="330">
        <f t="shared" si="1"/>
        <v>0</v>
      </c>
      <c r="BY5" s="330">
        <f t="shared" si="1"/>
        <v>0</v>
      </c>
      <c r="BZ5" s="330">
        <f t="shared" si="1"/>
        <v>0</v>
      </c>
      <c r="CA5" s="330">
        <f t="shared" si="1"/>
        <v>0</v>
      </c>
      <c r="CB5" s="330">
        <f t="shared" si="1"/>
        <v>0</v>
      </c>
      <c r="CC5" s="330">
        <f t="shared" si="1"/>
        <v>0</v>
      </c>
      <c r="CD5" s="330">
        <f t="shared" si="1"/>
        <v>0</v>
      </c>
      <c r="CE5" s="330">
        <f t="shared" si="1"/>
        <v>0</v>
      </c>
      <c r="CF5" s="330">
        <f t="shared" si="1"/>
        <v>0</v>
      </c>
      <c r="CG5" s="330">
        <f t="shared" si="1"/>
        <v>0</v>
      </c>
      <c r="CH5" s="330">
        <f t="shared" si="1"/>
        <v>0</v>
      </c>
      <c r="CI5" s="330">
        <f t="shared" si="1"/>
        <v>0</v>
      </c>
      <c r="CJ5" s="330">
        <f t="shared" si="1"/>
        <v>0</v>
      </c>
      <c r="CK5" s="330">
        <f t="shared" si="1"/>
        <v>0</v>
      </c>
      <c r="CL5" s="331">
        <f t="shared" si="1"/>
        <v>-1009808.49</v>
      </c>
      <c r="CM5" s="331">
        <f t="shared" si="1"/>
        <v>-1868999.61</v>
      </c>
      <c r="CN5" s="331">
        <f t="shared" si="1"/>
        <v>-1517970.35</v>
      </c>
      <c r="CO5" s="331">
        <f t="shared" si="1"/>
        <v>-4396778.45</v>
      </c>
      <c r="CP5" s="331">
        <f t="shared" si="1"/>
        <v>-1508038.33</v>
      </c>
      <c r="CQ5" s="331">
        <f t="shared" si="1"/>
        <v>-1508038.33</v>
      </c>
      <c r="CR5" s="331">
        <f t="shared" si="1"/>
        <v>-1508038.33</v>
      </c>
      <c r="CS5" s="331">
        <f t="shared" si="1"/>
        <v>-4524114.99</v>
      </c>
      <c r="CT5" s="331">
        <f t="shared" si="1"/>
        <v>-1405675.6600000001</v>
      </c>
      <c r="CU5" s="331">
        <f t="shared" si="1"/>
        <v>-1405675.6600000001</v>
      </c>
      <c r="CV5" s="331">
        <f t="shared" si="1"/>
        <v>-977357.49</v>
      </c>
      <c r="CW5" s="331">
        <f t="shared" si="1"/>
        <v>-3788708.81</v>
      </c>
      <c r="CX5" s="331">
        <f t="shared" si="1"/>
        <v>-978350.69000000006</v>
      </c>
      <c r="CY5" s="331">
        <f t="shared" si="1"/>
        <v>-616008.9</v>
      </c>
      <c r="CZ5" s="331">
        <f t="shared" si="1"/>
        <v>-616008.9</v>
      </c>
      <c r="DA5" s="331">
        <f t="shared" si="1"/>
        <v>-2210368.4900000002</v>
      </c>
      <c r="DB5" s="331">
        <f t="shared" si="1"/>
        <v>-14919970.74</v>
      </c>
      <c r="DC5" s="332">
        <f t="shared" si="1"/>
        <v>-2016666.67</v>
      </c>
      <c r="DD5" s="332">
        <f t="shared" si="1"/>
        <v>-1678287.47</v>
      </c>
      <c r="DE5" s="332">
        <f t="shared" si="1"/>
        <v>-1610611.63</v>
      </c>
      <c r="DF5" s="332">
        <f t="shared" si="1"/>
        <v>-5305565.7700000005</v>
      </c>
      <c r="DG5" s="332">
        <f t="shared" si="1"/>
        <v>-1610611.63</v>
      </c>
      <c r="DH5" s="332">
        <f t="shared" si="1"/>
        <v>-1610611.63</v>
      </c>
      <c r="DI5" s="332">
        <f t="shared" si="1"/>
        <v>-1642935.79</v>
      </c>
      <c r="DJ5" s="332">
        <f t="shared" si="1"/>
        <v>-4864159.0500000007</v>
      </c>
      <c r="DK5" s="332">
        <f t="shared" si="1"/>
        <v>-976269.12</v>
      </c>
      <c r="DL5" s="332">
        <f t="shared" si="1"/>
        <v>-976269.12</v>
      </c>
      <c r="DM5" s="332">
        <f t="shared" si="1"/>
        <v>-976269.12</v>
      </c>
      <c r="DN5" s="332">
        <f t="shared" si="1"/>
        <v>-2928807.36</v>
      </c>
      <c r="DO5" s="332">
        <f t="shared" si="1"/>
        <v>-907522.87</v>
      </c>
      <c r="DP5" s="332">
        <f t="shared" si="1"/>
        <v>-846972.48</v>
      </c>
      <c r="DQ5" s="332">
        <f t="shared" si="1"/>
        <v>-846972.48</v>
      </c>
      <c r="DR5" s="332">
        <f t="shared" si="1"/>
        <v>-2601467.83</v>
      </c>
      <c r="DS5" s="332">
        <f t="shared" si="1"/>
        <v>-15700000.010000002</v>
      </c>
      <c r="DT5" s="333">
        <f t="shared" si="1"/>
        <v>-503125.29000000004</v>
      </c>
      <c r="DU5" s="333">
        <f t="shared" si="1"/>
        <v>-503125.29000000004</v>
      </c>
      <c r="DV5" s="333">
        <f t="shared" si="1"/>
        <v>-560674.29</v>
      </c>
      <c r="DW5" s="332">
        <f t="shared" si="1"/>
        <v>-1566924.87</v>
      </c>
      <c r="DX5" s="333">
        <f t="shared" si="1"/>
        <v>-428559.38</v>
      </c>
      <c r="DY5" s="333">
        <f t="shared" si="1"/>
        <v>-418559.35</v>
      </c>
      <c r="DZ5" s="333">
        <f t="shared" si="1"/>
        <v>-466108.35</v>
      </c>
      <c r="EA5" s="332">
        <f t="shared" si="1"/>
        <v>-1313227.08</v>
      </c>
      <c r="EB5" s="333">
        <f t="shared" si="1"/>
        <v>-288582.34999999998</v>
      </c>
      <c r="EC5" s="333">
        <f t="shared" ref="EC5:FB5" si="2">EC6+EC24</f>
        <v>-288582.34999999998</v>
      </c>
      <c r="ED5" s="333">
        <f t="shared" si="2"/>
        <v>-336131.35</v>
      </c>
      <c r="EE5" s="332">
        <f t="shared" si="2"/>
        <v>-913296.05</v>
      </c>
      <c r="EF5" s="333">
        <f t="shared" si="2"/>
        <v>-288582.34999999998</v>
      </c>
      <c r="EG5" s="333">
        <f t="shared" si="2"/>
        <v>-288582.34999999998</v>
      </c>
      <c r="EH5" s="333">
        <f t="shared" si="2"/>
        <v>-336131.35</v>
      </c>
      <c r="EI5" s="332">
        <f t="shared" si="2"/>
        <v>-913296.05</v>
      </c>
      <c r="EJ5" s="333">
        <f t="shared" si="2"/>
        <v>-4706744.05</v>
      </c>
      <c r="EK5" s="334">
        <f t="shared" si="2"/>
        <v>0</v>
      </c>
      <c r="EL5" s="334">
        <f t="shared" si="2"/>
        <v>0</v>
      </c>
      <c r="EM5" s="334">
        <f t="shared" si="2"/>
        <v>0</v>
      </c>
      <c r="EN5" s="334">
        <f t="shared" si="2"/>
        <v>0</v>
      </c>
      <c r="EO5" s="334">
        <f t="shared" si="2"/>
        <v>0</v>
      </c>
      <c r="EP5" s="334">
        <f t="shared" si="2"/>
        <v>0</v>
      </c>
      <c r="EQ5" s="334">
        <f t="shared" si="2"/>
        <v>0</v>
      </c>
      <c r="ER5" s="334">
        <f t="shared" si="2"/>
        <v>0</v>
      </c>
      <c r="ES5" s="334">
        <f t="shared" si="2"/>
        <v>0</v>
      </c>
      <c r="ET5" s="334">
        <f t="shared" si="2"/>
        <v>0</v>
      </c>
      <c r="EU5" s="334">
        <f t="shared" si="2"/>
        <v>0</v>
      </c>
      <c r="EV5" s="334">
        <f t="shared" si="2"/>
        <v>0</v>
      </c>
      <c r="EW5" s="334">
        <f t="shared" si="2"/>
        <v>0</v>
      </c>
      <c r="EX5" s="334">
        <f t="shared" si="2"/>
        <v>0</v>
      </c>
      <c r="EY5" s="334">
        <f t="shared" si="2"/>
        <v>0</v>
      </c>
      <c r="EZ5" s="334">
        <f t="shared" si="2"/>
        <v>0</v>
      </c>
      <c r="FA5" s="334">
        <f t="shared" si="2"/>
        <v>0</v>
      </c>
      <c r="FB5" s="335">
        <f t="shared" si="2"/>
        <v>53639543.040000036</v>
      </c>
      <c r="FC5" s="336">
        <f t="shared" ref="FC5:FC14" si="3">FB5/U5</f>
        <v>0.18805280951529882</v>
      </c>
    </row>
    <row r="6" spans="1:159" s="28" customFormat="1" ht="25.8">
      <c r="A6" s="338"/>
      <c r="B6" s="339" t="s">
        <v>471</v>
      </c>
      <c r="C6" s="339"/>
      <c r="D6" s="340" t="s">
        <v>473</v>
      </c>
      <c r="E6" s="341">
        <f t="shared" ref="E6:BP6" si="4">E7+E17</f>
        <v>18421891.666666653</v>
      </c>
      <c r="F6" s="341">
        <f t="shared" si="4"/>
        <v>20171891.666666653</v>
      </c>
      <c r="G6" s="341">
        <f t="shared" si="4"/>
        <v>22031891.666666653</v>
      </c>
      <c r="H6" s="342">
        <f t="shared" si="4"/>
        <v>60625674.999999955</v>
      </c>
      <c r="I6" s="341">
        <f t="shared" si="4"/>
        <v>20473945.993333332</v>
      </c>
      <c r="J6" s="341">
        <f t="shared" si="4"/>
        <v>19704662.993333332</v>
      </c>
      <c r="K6" s="341">
        <f t="shared" si="4"/>
        <v>20195706.993333332</v>
      </c>
      <c r="L6" s="342">
        <f t="shared" si="4"/>
        <v>60374315.979999997</v>
      </c>
      <c r="M6" s="341">
        <f t="shared" si="4"/>
        <v>12416666.66</v>
      </c>
      <c r="N6" s="341">
        <f t="shared" si="4"/>
        <v>12416666.66</v>
      </c>
      <c r="O6" s="341">
        <f t="shared" si="4"/>
        <v>12416666.66</v>
      </c>
      <c r="P6" s="342">
        <f t="shared" si="4"/>
        <v>37249999.979999997</v>
      </c>
      <c r="Q6" s="341">
        <f t="shared" si="4"/>
        <v>12353278.66</v>
      </c>
      <c r="R6" s="341">
        <f t="shared" si="4"/>
        <v>11416666.66</v>
      </c>
      <c r="S6" s="341">
        <f t="shared" si="4"/>
        <v>11416666.66</v>
      </c>
      <c r="T6" s="342">
        <f t="shared" si="4"/>
        <v>35186611.979999989</v>
      </c>
      <c r="U6" s="342">
        <f t="shared" si="4"/>
        <v>193436602.93999994</v>
      </c>
      <c r="V6" s="341">
        <f t="shared" si="4"/>
        <v>-13261653.33</v>
      </c>
      <c r="W6" s="341">
        <f t="shared" si="4"/>
        <v>-9497815.3300000001</v>
      </c>
      <c r="X6" s="341">
        <f t="shared" si="4"/>
        <v>-14039128.73</v>
      </c>
      <c r="Y6" s="342">
        <f t="shared" si="4"/>
        <v>-36798597.390000001</v>
      </c>
      <c r="Z6" s="341">
        <f t="shared" si="4"/>
        <v>-13982773.33</v>
      </c>
      <c r="AA6" s="341">
        <f t="shared" si="4"/>
        <v>-10482773.33</v>
      </c>
      <c r="AB6" s="341">
        <f t="shared" si="4"/>
        <v>-9482773.3300000001</v>
      </c>
      <c r="AC6" s="342">
        <f t="shared" si="4"/>
        <v>-33948319.990000002</v>
      </c>
      <c r="AD6" s="341">
        <f t="shared" si="4"/>
        <v>-7348053.3300000001</v>
      </c>
      <c r="AE6" s="341">
        <f t="shared" si="4"/>
        <v>-4713333.33</v>
      </c>
      <c r="AF6" s="341">
        <f t="shared" si="4"/>
        <v>-4713333.33</v>
      </c>
      <c r="AG6" s="342">
        <f t="shared" si="4"/>
        <v>-16774719.990000002</v>
      </c>
      <c r="AH6" s="341">
        <f t="shared" si="4"/>
        <v>-4713333.33</v>
      </c>
      <c r="AI6" s="341">
        <f t="shared" si="4"/>
        <v>-4713333.33</v>
      </c>
      <c r="AJ6" s="341">
        <f t="shared" si="4"/>
        <v>-4713333.33</v>
      </c>
      <c r="AK6" s="342">
        <f t="shared" si="4"/>
        <v>-14139999.990000002</v>
      </c>
      <c r="AL6" s="342">
        <f t="shared" si="4"/>
        <v>-101661637.36000001</v>
      </c>
      <c r="AM6" s="341">
        <f t="shared" si="4"/>
        <v>-315625</v>
      </c>
      <c r="AN6" s="341">
        <f t="shared" si="4"/>
        <v>-334200</v>
      </c>
      <c r="AO6" s="341">
        <f t="shared" si="4"/>
        <v>-208014.53999999998</v>
      </c>
      <c r="AP6" s="342">
        <f t="shared" si="4"/>
        <v>-857839.54</v>
      </c>
      <c r="AQ6" s="341">
        <f t="shared" si="4"/>
        <v>-98973</v>
      </c>
      <c r="AR6" s="341">
        <f t="shared" si="4"/>
        <v>-20000</v>
      </c>
      <c r="AS6" s="341">
        <f t="shared" si="4"/>
        <v>-20000</v>
      </c>
      <c r="AT6" s="342">
        <f t="shared" si="4"/>
        <v>-138973</v>
      </c>
      <c r="AU6" s="341">
        <f t="shared" si="4"/>
        <v>-20000</v>
      </c>
      <c r="AV6" s="341">
        <f t="shared" si="4"/>
        <v>-20000</v>
      </c>
      <c r="AW6" s="341">
        <f t="shared" si="4"/>
        <v>-20000</v>
      </c>
      <c r="AX6" s="342">
        <f t="shared" si="4"/>
        <v>-60000</v>
      </c>
      <c r="AY6" s="341">
        <f t="shared" si="4"/>
        <v>-20000</v>
      </c>
      <c r="AZ6" s="341">
        <f t="shared" si="4"/>
        <v>-20000</v>
      </c>
      <c r="BA6" s="341">
        <f t="shared" si="4"/>
        <v>-6484</v>
      </c>
      <c r="BB6" s="342">
        <f t="shared" si="4"/>
        <v>-46484</v>
      </c>
      <c r="BC6" s="342">
        <f t="shared" si="4"/>
        <v>-1103296.54</v>
      </c>
      <c r="BD6" s="341">
        <f t="shared" si="4"/>
        <v>-2196483.6800000002</v>
      </c>
      <c r="BE6" s="341">
        <f t="shared" si="4"/>
        <v>-5818629.0199999996</v>
      </c>
      <c r="BF6" s="341">
        <f t="shared" si="4"/>
        <v>-4338773.1399999997</v>
      </c>
      <c r="BG6" s="342">
        <f t="shared" si="4"/>
        <v>-12353885.839999998</v>
      </c>
      <c r="BH6" s="341">
        <f t="shared" si="4"/>
        <v>-4338773.1399999997</v>
      </c>
      <c r="BI6" s="341">
        <f t="shared" si="4"/>
        <v>-4338773.1399999997</v>
      </c>
      <c r="BJ6" s="341">
        <f t="shared" si="4"/>
        <v>-4338773.1399999997</v>
      </c>
      <c r="BK6" s="342">
        <f t="shared" si="4"/>
        <v>-13016319.420000002</v>
      </c>
      <c r="BL6" s="341">
        <f t="shared" si="4"/>
        <v>-4094525.55</v>
      </c>
      <c r="BM6" s="341">
        <f t="shared" si="4"/>
        <v>-4094525.55</v>
      </c>
      <c r="BN6" s="341">
        <f t="shared" si="4"/>
        <v>-2288838.0099999998</v>
      </c>
      <c r="BO6" s="342">
        <f t="shared" si="4"/>
        <v>-10477889.109999999</v>
      </c>
      <c r="BP6" s="341">
        <f t="shared" si="4"/>
        <v>-2288838.0099999998</v>
      </c>
      <c r="BQ6" s="341">
        <f t="shared" ref="BQ6:EB6" si="5">BQ7+BQ17</f>
        <v>-761291.2</v>
      </c>
      <c r="BR6" s="341">
        <f t="shared" si="5"/>
        <v>-761291.2</v>
      </c>
      <c r="BS6" s="342">
        <f t="shared" si="5"/>
        <v>-3811420.4099999997</v>
      </c>
      <c r="BT6" s="342">
        <f t="shared" si="5"/>
        <v>-39659514.780000001</v>
      </c>
      <c r="BU6" s="341">
        <f t="shared" si="5"/>
        <v>0</v>
      </c>
      <c r="BV6" s="341">
        <f t="shared" si="5"/>
        <v>0</v>
      </c>
      <c r="BW6" s="341">
        <f t="shared" si="5"/>
        <v>0</v>
      </c>
      <c r="BX6" s="342">
        <f t="shared" si="5"/>
        <v>0</v>
      </c>
      <c r="BY6" s="341">
        <f t="shared" si="5"/>
        <v>0</v>
      </c>
      <c r="BZ6" s="341">
        <f t="shared" si="5"/>
        <v>0</v>
      </c>
      <c r="CA6" s="341">
        <f t="shared" si="5"/>
        <v>0</v>
      </c>
      <c r="CB6" s="342">
        <f t="shared" si="5"/>
        <v>0</v>
      </c>
      <c r="CC6" s="341">
        <f t="shared" si="5"/>
        <v>0</v>
      </c>
      <c r="CD6" s="341">
        <f t="shared" si="5"/>
        <v>0</v>
      </c>
      <c r="CE6" s="341">
        <f t="shared" si="5"/>
        <v>0</v>
      </c>
      <c r="CF6" s="342">
        <f t="shared" si="5"/>
        <v>0</v>
      </c>
      <c r="CG6" s="341">
        <f t="shared" si="5"/>
        <v>0</v>
      </c>
      <c r="CH6" s="341">
        <f t="shared" si="5"/>
        <v>0</v>
      </c>
      <c r="CI6" s="341">
        <f t="shared" si="5"/>
        <v>0</v>
      </c>
      <c r="CJ6" s="342">
        <f t="shared" si="5"/>
        <v>0</v>
      </c>
      <c r="CK6" s="342">
        <f t="shared" si="5"/>
        <v>0</v>
      </c>
      <c r="CL6" s="341">
        <f t="shared" si="5"/>
        <v>-521016.98</v>
      </c>
      <c r="CM6" s="341">
        <f t="shared" si="5"/>
        <v>-1380208.1</v>
      </c>
      <c r="CN6" s="341">
        <f t="shared" si="5"/>
        <v>-1029178.8400000001</v>
      </c>
      <c r="CO6" s="342">
        <f t="shared" si="5"/>
        <v>-2930403.92</v>
      </c>
      <c r="CP6" s="341">
        <f t="shared" si="5"/>
        <v>-1029178.8400000001</v>
      </c>
      <c r="CQ6" s="341">
        <f t="shared" si="5"/>
        <v>-1029178.8400000001</v>
      </c>
      <c r="CR6" s="341">
        <f t="shared" si="5"/>
        <v>-1029178.8400000001</v>
      </c>
      <c r="CS6" s="342">
        <f t="shared" si="5"/>
        <v>-3087536.52</v>
      </c>
      <c r="CT6" s="341">
        <f t="shared" si="5"/>
        <v>-971242.08000000007</v>
      </c>
      <c r="CU6" s="341">
        <f t="shared" si="5"/>
        <v>-971242.08000000007</v>
      </c>
      <c r="CV6" s="341">
        <f t="shared" si="5"/>
        <v>-542923.91</v>
      </c>
      <c r="CW6" s="342">
        <f t="shared" si="5"/>
        <v>-2485408.0700000003</v>
      </c>
      <c r="CX6" s="341">
        <f t="shared" si="5"/>
        <v>-542923.91</v>
      </c>
      <c r="CY6" s="341">
        <f t="shared" si="5"/>
        <v>-180582.12</v>
      </c>
      <c r="CZ6" s="341">
        <f t="shared" si="5"/>
        <v>-180582.12</v>
      </c>
      <c r="DA6" s="342">
        <f t="shared" si="5"/>
        <v>-904088.15</v>
      </c>
      <c r="DB6" s="342">
        <f t="shared" si="5"/>
        <v>-9407436.6600000001</v>
      </c>
      <c r="DC6" s="341">
        <f t="shared" si="5"/>
        <v>-2016666.67</v>
      </c>
      <c r="DD6" s="341">
        <f t="shared" si="5"/>
        <v>-1678287.47</v>
      </c>
      <c r="DE6" s="341">
        <f t="shared" si="5"/>
        <v>-1610611.63</v>
      </c>
      <c r="DF6" s="342">
        <f t="shared" si="5"/>
        <v>-5305565.7700000005</v>
      </c>
      <c r="DG6" s="341">
        <f t="shared" si="5"/>
        <v>-1610611.63</v>
      </c>
      <c r="DH6" s="341">
        <f t="shared" si="5"/>
        <v>-1610611.63</v>
      </c>
      <c r="DI6" s="341">
        <f t="shared" si="5"/>
        <v>-1642935.79</v>
      </c>
      <c r="DJ6" s="342">
        <f t="shared" si="5"/>
        <v>-4864159.0500000007</v>
      </c>
      <c r="DK6" s="341">
        <f t="shared" si="5"/>
        <v>-976269.12</v>
      </c>
      <c r="DL6" s="341">
        <f t="shared" si="5"/>
        <v>-976269.12</v>
      </c>
      <c r="DM6" s="341">
        <f t="shared" si="5"/>
        <v>-976269.12</v>
      </c>
      <c r="DN6" s="342">
        <f t="shared" si="5"/>
        <v>-2928807.36</v>
      </c>
      <c r="DO6" s="341">
        <f t="shared" si="5"/>
        <v>-907522.87</v>
      </c>
      <c r="DP6" s="341">
        <f t="shared" si="5"/>
        <v>-846972.48</v>
      </c>
      <c r="DQ6" s="341">
        <f t="shared" si="5"/>
        <v>-846972.48</v>
      </c>
      <c r="DR6" s="342">
        <f t="shared" si="5"/>
        <v>-2601467.83</v>
      </c>
      <c r="DS6" s="342">
        <f t="shared" si="5"/>
        <v>-15700000.010000002</v>
      </c>
      <c r="DT6" s="341">
        <f t="shared" si="5"/>
        <v>-301941.29000000004</v>
      </c>
      <c r="DU6" s="341">
        <f t="shared" si="5"/>
        <v>-301941.29000000004</v>
      </c>
      <c r="DV6" s="341">
        <f t="shared" si="5"/>
        <v>-311941.29000000004</v>
      </c>
      <c r="DW6" s="342">
        <f t="shared" si="5"/>
        <v>-915823.87</v>
      </c>
      <c r="DX6" s="341">
        <f t="shared" si="5"/>
        <v>-253457.38</v>
      </c>
      <c r="DY6" s="341">
        <f t="shared" si="5"/>
        <v>-243457.35</v>
      </c>
      <c r="DZ6" s="341">
        <f t="shared" si="5"/>
        <v>-243457.35</v>
      </c>
      <c r="EA6" s="342">
        <f t="shared" si="5"/>
        <v>-740372.08000000007</v>
      </c>
      <c r="EB6" s="341">
        <f t="shared" si="5"/>
        <v>-233457.35</v>
      </c>
      <c r="EC6" s="341">
        <f t="shared" ref="EC6:FB6" si="6">EC7+EC17</f>
        <v>-233457.35</v>
      </c>
      <c r="ED6" s="341">
        <f t="shared" si="6"/>
        <v>-233457.35</v>
      </c>
      <c r="EE6" s="342">
        <f t="shared" si="6"/>
        <v>-700372.05</v>
      </c>
      <c r="EF6" s="341">
        <f t="shared" si="6"/>
        <v>-233457.35</v>
      </c>
      <c r="EG6" s="341">
        <f t="shared" si="6"/>
        <v>-233457.35</v>
      </c>
      <c r="EH6" s="341">
        <f t="shared" si="6"/>
        <v>-233457.35</v>
      </c>
      <c r="EI6" s="342">
        <f t="shared" si="6"/>
        <v>-700372.05</v>
      </c>
      <c r="EJ6" s="342">
        <f t="shared" si="6"/>
        <v>-3056940.05</v>
      </c>
      <c r="EK6" s="341">
        <f t="shared" si="6"/>
        <v>0</v>
      </c>
      <c r="EL6" s="341">
        <f t="shared" si="6"/>
        <v>0</v>
      </c>
      <c r="EM6" s="341">
        <f t="shared" si="6"/>
        <v>0</v>
      </c>
      <c r="EN6" s="342">
        <f t="shared" si="6"/>
        <v>0</v>
      </c>
      <c r="EO6" s="341">
        <f t="shared" si="6"/>
        <v>0</v>
      </c>
      <c r="EP6" s="341">
        <f t="shared" si="6"/>
        <v>0</v>
      </c>
      <c r="EQ6" s="341">
        <f t="shared" si="6"/>
        <v>0</v>
      </c>
      <c r="ER6" s="342">
        <f t="shared" si="6"/>
        <v>0</v>
      </c>
      <c r="ES6" s="341">
        <f t="shared" si="6"/>
        <v>0</v>
      </c>
      <c r="ET6" s="341">
        <f t="shared" si="6"/>
        <v>0</v>
      </c>
      <c r="EU6" s="341">
        <f t="shared" si="6"/>
        <v>0</v>
      </c>
      <c r="EV6" s="342">
        <f t="shared" si="6"/>
        <v>0</v>
      </c>
      <c r="EW6" s="341">
        <f t="shared" si="6"/>
        <v>0</v>
      </c>
      <c r="EX6" s="341">
        <f t="shared" si="6"/>
        <v>0</v>
      </c>
      <c r="EY6" s="341">
        <f t="shared" si="6"/>
        <v>0</v>
      </c>
      <c r="EZ6" s="342">
        <f t="shared" si="6"/>
        <v>0</v>
      </c>
      <c r="FA6" s="342">
        <f t="shared" si="6"/>
        <v>0</v>
      </c>
      <c r="FB6" s="342">
        <f t="shared" si="6"/>
        <v>22847777.539999947</v>
      </c>
      <c r="FC6" s="336">
        <f t="shared" si="3"/>
        <v>0.11811506815536281</v>
      </c>
    </row>
    <row r="7" spans="1:159" s="6" customFormat="1" ht="18">
      <c r="A7" s="343"/>
      <c r="B7" s="344" t="s">
        <v>474</v>
      </c>
      <c r="C7" s="345" t="s">
        <v>472</v>
      </c>
      <c r="D7" s="346" t="s">
        <v>475</v>
      </c>
      <c r="E7" s="347">
        <f t="shared" ref="E7:BP7" si="7">SUM(E8:E16)</f>
        <v>8838558.3333333321</v>
      </c>
      <c r="F7" s="347">
        <f t="shared" si="7"/>
        <v>10588558.333333332</v>
      </c>
      <c r="G7" s="347">
        <f t="shared" si="7"/>
        <v>11448558.333333332</v>
      </c>
      <c r="H7" s="342">
        <f t="shared" si="7"/>
        <v>30875675</v>
      </c>
      <c r="I7" s="347">
        <f t="shared" si="7"/>
        <v>11557279.333333332</v>
      </c>
      <c r="J7" s="347">
        <f t="shared" si="7"/>
        <v>10787996.333333332</v>
      </c>
      <c r="K7" s="347">
        <f t="shared" si="7"/>
        <v>11279040.333333332</v>
      </c>
      <c r="L7" s="342">
        <f t="shared" si="7"/>
        <v>33624316</v>
      </c>
      <c r="M7" s="347">
        <f t="shared" si="7"/>
        <v>3500000</v>
      </c>
      <c r="N7" s="347">
        <f t="shared" si="7"/>
        <v>3500000</v>
      </c>
      <c r="O7" s="347">
        <f t="shared" si="7"/>
        <v>3500000</v>
      </c>
      <c r="P7" s="342">
        <f t="shared" si="7"/>
        <v>10500000</v>
      </c>
      <c r="Q7" s="347">
        <f t="shared" si="7"/>
        <v>2436612</v>
      </c>
      <c r="R7" s="347">
        <f t="shared" si="7"/>
        <v>1500000</v>
      </c>
      <c r="S7" s="347">
        <f t="shared" si="7"/>
        <v>1500000</v>
      </c>
      <c r="T7" s="342">
        <f t="shared" si="7"/>
        <v>5436612</v>
      </c>
      <c r="U7" s="358">
        <f t="shared" si="7"/>
        <v>80436603</v>
      </c>
      <c r="V7" s="347">
        <f t="shared" si="7"/>
        <v>-8728320</v>
      </c>
      <c r="W7" s="347">
        <f t="shared" si="7"/>
        <v>-4964482</v>
      </c>
      <c r="X7" s="347">
        <f t="shared" si="7"/>
        <v>-10325795.4</v>
      </c>
      <c r="Y7" s="342">
        <f t="shared" si="7"/>
        <v>-24018597.399999999</v>
      </c>
      <c r="Z7" s="347">
        <f t="shared" si="7"/>
        <v>-8769440</v>
      </c>
      <c r="AA7" s="347">
        <f t="shared" si="7"/>
        <v>-5769440</v>
      </c>
      <c r="AB7" s="347">
        <f t="shared" si="7"/>
        <v>-4769440</v>
      </c>
      <c r="AC7" s="342">
        <f t="shared" si="7"/>
        <v>-19308320</v>
      </c>
      <c r="AD7" s="347">
        <f t="shared" si="7"/>
        <v>-2134720</v>
      </c>
      <c r="AE7" s="347">
        <f t="shared" si="7"/>
        <v>0</v>
      </c>
      <c r="AF7" s="347">
        <f t="shared" si="7"/>
        <v>0</v>
      </c>
      <c r="AG7" s="342">
        <f t="shared" si="7"/>
        <v>-2134720</v>
      </c>
      <c r="AH7" s="347">
        <f t="shared" si="7"/>
        <v>0</v>
      </c>
      <c r="AI7" s="347">
        <f t="shared" si="7"/>
        <v>0</v>
      </c>
      <c r="AJ7" s="347">
        <f t="shared" si="7"/>
        <v>0</v>
      </c>
      <c r="AK7" s="342">
        <f t="shared" si="7"/>
        <v>0</v>
      </c>
      <c r="AL7" s="347">
        <f t="shared" si="7"/>
        <v>-45461637.399999999</v>
      </c>
      <c r="AM7" s="348">
        <f t="shared" si="7"/>
        <v>-315625</v>
      </c>
      <c r="AN7" s="348">
        <f t="shared" si="7"/>
        <v>-334200</v>
      </c>
      <c r="AO7" s="348">
        <f t="shared" si="7"/>
        <v>-208014.53999999998</v>
      </c>
      <c r="AP7" s="342">
        <f t="shared" si="7"/>
        <v>-857839.54</v>
      </c>
      <c r="AQ7" s="348">
        <f t="shared" si="7"/>
        <v>-98973</v>
      </c>
      <c r="AR7" s="348">
        <f t="shared" si="7"/>
        <v>-20000</v>
      </c>
      <c r="AS7" s="348">
        <f t="shared" si="7"/>
        <v>-20000</v>
      </c>
      <c r="AT7" s="342">
        <f t="shared" si="7"/>
        <v>-138973</v>
      </c>
      <c r="AU7" s="348">
        <f t="shared" si="7"/>
        <v>-20000</v>
      </c>
      <c r="AV7" s="348">
        <f t="shared" si="7"/>
        <v>-20000</v>
      </c>
      <c r="AW7" s="348">
        <f t="shared" si="7"/>
        <v>-20000</v>
      </c>
      <c r="AX7" s="342">
        <f t="shared" si="7"/>
        <v>-60000</v>
      </c>
      <c r="AY7" s="348">
        <f t="shared" si="7"/>
        <v>-20000</v>
      </c>
      <c r="AZ7" s="348">
        <f t="shared" si="7"/>
        <v>-20000</v>
      </c>
      <c r="BA7" s="348">
        <f t="shared" si="7"/>
        <v>-6484</v>
      </c>
      <c r="BB7" s="342">
        <f t="shared" si="7"/>
        <v>-46484</v>
      </c>
      <c r="BC7" s="347">
        <f t="shared" si="7"/>
        <v>-1103296.54</v>
      </c>
      <c r="BD7" s="348">
        <f t="shared" si="7"/>
        <v>-390796.14</v>
      </c>
      <c r="BE7" s="348">
        <f t="shared" si="7"/>
        <v>-3251650.28</v>
      </c>
      <c r="BF7" s="348">
        <f t="shared" si="7"/>
        <v>-1771794.4</v>
      </c>
      <c r="BG7" s="342">
        <f t="shared" si="7"/>
        <v>-5414240.8200000003</v>
      </c>
      <c r="BH7" s="348">
        <f t="shared" si="7"/>
        <v>-1771794.4</v>
      </c>
      <c r="BI7" s="348">
        <f t="shared" si="7"/>
        <v>-1771794.4</v>
      </c>
      <c r="BJ7" s="348">
        <f t="shared" si="7"/>
        <v>-1771794.4</v>
      </c>
      <c r="BK7" s="342">
        <f t="shared" si="7"/>
        <v>-5315383.2</v>
      </c>
      <c r="BL7" s="348">
        <f t="shared" si="7"/>
        <v>-1527546.81</v>
      </c>
      <c r="BM7" s="348">
        <f t="shared" si="7"/>
        <v>-1527546.81</v>
      </c>
      <c r="BN7" s="347">
        <f t="shared" si="7"/>
        <v>-1527546.81</v>
      </c>
      <c r="BO7" s="342">
        <f t="shared" si="7"/>
        <v>-4582640.43</v>
      </c>
      <c r="BP7" s="348">
        <f t="shared" si="7"/>
        <v>-1527546.81</v>
      </c>
      <c r="BQ7" s="348">
        <f t="shared" ref="BQ7:EB7" si="8">SUM(BQ8:BQ16)</f>
        <v>0</v>
      </c>
      <c r="BR7" s="348">
        <f t="shared" si="8"/>
        <v>0</v>
      </c>
      <c r="BS7" s="342">
        <f t="shared" si="8"/>
        <v>-1527546.81</v>
      </c>
      <c r="BT7" s="347">
        <f t="shared" si="8"/>
        <v>-16839811.260000002</v>
      </c>
      <c r="BU7" s="348">
        <f t="shared" si="8"/>
        <v>0</v>
      </c>
      <c r="BV7" s="348">
        <f t="shared" si="8"/>
        <v>0</v>
      </c>
      <c r="BW7" s="348">
        <f t="shared" si="8"/>
        <v>0</v>
      </c>
      <c r="BX7" s="342">
        <f t="shared" si="8"/>
        <v>0</v>
      </c>
      <c r="BY7" s="348">
        <f t="shared" si="8"/>
        <v>0</v>
      </c>
      <c r="BZ7" s="348">
        <f t="shared" si="8"/>
        <v>0</v>
      </c>
      <c r="CA7" s="348">
        <f t="shared" si="8"/>
        <v>0</v>
      </c>
      <c r="CB7" s="342">
        <f t="shared" si="8"/>
        <v>0</v>
      </c>
      <c r="CC7" s="348">
        <f t="shared" si="8"/>
        <v>0</v>
      </c>
      <c r="CD7" s="348">
        <f t="shared" si="8"/>
        <v>0</v>
      </c>
      <c r="CE7" s="348">
        <f t="shared" si="8"/>
        <v>0</v>
      </c>
      <c r="CF7" s="342">
        <f t="shared" si="8"/>
        <v>0</v>
      </c>
      <c r="CG7" s="348">
        <f t="shared" si="8"/>
        <v>0</v>
      </c>
      <c r="CH7" s="348">
        <f t="shared" si="8"/>
        <v>0</v>
      </c>
      <c r="CI7" s="348">
        <f t="shared" si="8"/>
        <v>0</v>
      </c>
      <c r="CJ7" s="342">
        <f t="shared" si="8"/>
        <v>0</v>
      </c>
      <c r="CK7" s="347">
        <f t="shared" si="8"/>
        <v>0</v>
      </c>
      <c r="CL7" s="347">
        <f t="shared" si="8"/>
        <v>-92698.81</v>
      </c>
      <c r="CM7" s="347">
        <f t="shared" si="8"/>
        <v>-771307.81</v>
      </c>
      <c r="CN7" s="347">
        <f t="shared" si="8"/>
        <v>-420278.55000000005</v>
      </c>
      <c r="CO7" s="342">
        <f t="shared" si="8"/>
        <v>-1284285.17</v>
      </c>
      <c r="CP7" s="347">
        <f t="shared" si="8"/>
        <v>-420278.55000000005</v>
      </c>
      <c r="CQ7" s="347">
        <f t="shared" si="8"/>
        <v>-420278.55000000005</v>
      </c>
      <c r="CR7" s="347">
        <f t="shared" si="8"/>
        <v>-420278.55000000005</v>
      </c>
      <c r="CS7" s="342">
        <f t="shared" si="8"/>
        <v>-1260835.6499999999</v>
      </c>
      <c r="CT7" s="347">
        <f t="shared" si="8"/>
        <v>-362341.79000000004</v>
      </c>
      <c r="CU7" s="347">
        <f t="shared" si="8"/>
        <v>-362341.79000000004</v>
      </c>
      <c r="CV7" s="347">
        <f t="shared" si="8"/>
        <v>-362341.79000000004</v>
      </c>
      <c r="CW7" s="342">
        <f t="shared" si="8"/>
        <v>-1087025.3700000001</v>
      </c>
      <c r="CX7" s="347">
        <f t="shared" si="8"/>
        <v>-362341.79000000004</v>
      </c>
      <c r="CY7" s="347">
        <f t="shared" si="8"/>
        <v>0</v>
      </c>
      <c r="CZ7" s="347">
        <f t="shared" si="8"/>
        <v>0</v>
      </c>
      <c r="DA7" s="342">
        <f t="shared" si="8"/>
        <v>-362341.79000000004</v>
      </c>
      <c r="DB7" s="347">
        <f t="shared" si="8"/>
        <v>-3994487.9799999995</v>
      </c>
      <c r="DC7" s="347">
        <f t="shared" si="8"/>
        <v>-1266666.67</v>
      </c>
      <c r="DD7" s="347">
        <f t="shared" si="8"/>
        <v>-928287.47</v>
      </c>
      <c r="DE7" s="347">
        <f t="shared" si="8"/>
        <v>-860611.63</v>
      </c>
      <c r="DF7" s="342">
        <f t="shared" si="8"/>
        <v>-3055565.7700000005</v>
      </c>
      <c r="DG7" s="347">
        <f t="shared" si="8"/>
        <v>-860611.63</v>
      </c>
      <c r="DH7" s="347">
        <f t="shared" si="8"/>
        <v>-860611.63</v>
      </c>
      <c r="DI7" s="347">
        <f t="shared" si="8"/>
        <v>-892935.79</v>
      </c>
      <c r="DJ7" s="342">
        <f t="shared" si="8"/>
        <v>-2614159.0500000003</v>
      </c>
      <c r="DK7" s="347">
        <f t="shared" si="8"/>
        <v>-226269.12</v>
      </c>
      <c r="DL7" s="347">
        <f t="shared" si="8"/>
        <v>-226269.12</v>
      </c>
      <c r="DM7" s="347">
        <f t="shared" si="8"/>
        <v>-226269.12</v>
      </c>
      <c r="DN7" s="342">
        <f t="shared" si="8"/>
        <v>-678807.36</v>
      </c>
      <c r="DO7" s="348">
        <f t="shared" si="8"/>
        <v>-157522.87</v>
      </c>
      <c r="DP7" s="348">
        <f t="shared" si="8"/>
        <v>-96972.479999999996</v>
      </c>
      <c r="DQ7" s="348">
        <f t="shared" si="8"/>
        <v>-96972.479999999996</v>
      </c>
      <c r="DR7" s="342">
        <f t="shared" si="8"/>
        <v>-351467.82999999996</v>
      </c>
      <c r="DS7" s="347">
        <f t="shared" si="8"/>
        <v>-6700000.0100000007</v>
      </c>
      <c r="DT7" s="347">
        <f t="shared" si="8"/>
        <v>-281941.30000000005</v>
      </c>
      <c r="DU7" s="347">
        <f t="shared" si="8"/>
        <v>-281941.30000000005</v>
      </c>
      <c r="DV7" s="347">
        <f t="shared" si="8"/>
        <v>-281941.30000000005</v>
      </c>
      <c r="DW7" s="342">
        <f t="shared" si="8"/>
        <v>-845823.9</v>
      </c>
      <c r="DX7" s="347">
        <f t="shared" si="8"/>
        <v>-223457.35</v>
      </c>
      <c r="DY7" s="347">
        <f t="shared" si="8"/>
        <v>-223457.35</v>
      </c>
      <c r="DZ7" s="347">
        <f t="shared" si="8"/>
        <v>-223457.35</v>
      </c>
      <c r="EA7" s="342">
        <f t="shared" si="8"/>
        <v>-670372.05000000005</v>
      </c>
      <c r="EB7" s="347">
        <f t="shared" si="8"/>
        <v>-223457.35</v>
      </c>
      <c r="EC7" s="347">
        <f t="shared" ref="EC7:FB7" si="9">SUM(EC8:EC16)</f>
        <v>-223457.35</v>
      </c>
      <c r="ED7" s="347">
        <f t="shared" si="9"/>
        <v>-223457.35</v>
      </c>
      <c r="EE7" s="342">
        <f t="shared" si="9"/>
        <v>-670372.05000000005</v>
      </c>
      <c r="EF7" s="347">
        <f t="shared" si="9"/>
        <v>-223457.35</v>
      </c>
      <c r="EG7" s="347">
        <f t="shared" si="9"/>
        <v>-223457.35</v>
      </c>
      <c r="EH7" s="347">
        <f t="shared" si="9"/>
        <v>-223457.35</v>
      </c>
      <c r="EI7" s="342">
        <f t="shared" si="9"/>
        <v>-670372.05000000005</v>
      </c>
      <c r="EJ7" s="347">
        <f t="shared" si="9"/>
        <v>-2856940.05</v>
      </c>
      <c r="EK7" s="347">
        <f t="shared" si="9"/>
        <v>0</v>
      </c>
      <c r="EL7" s="347">
        <f t="shared" si="9"/>
        <v>0</v>
      </c>
      <c r="EM7" s="347">
        <f t="shared" si="9"/>
        <v>0</v>
      </c>
      <c r="EN7" s="342">
        <f t="shared" si="9"/>
        <v>0</v>
      </c>
      <c r="EO7" s="347">
        <f t="shared" si="9"/>
        <v>0</v>
      </c>
      <c r="EP7" s="347">
        <f t="shared" si="9"/>
        <v>0</v>
      </c>
      <c r="EQ7" s="347">
        <f t="shared" si="9"/>
        <v>0</v>
      </c>
      <c r="ER7" s="342">
        <f t="shared" si="9"/>
        <v>0</v>
      </c>
      <c r="ES7" s="347">
        <f t="shared" si="9"/>
        <v>0</v>
      </c>
      <c r="ET7" s="347">
        <f t="shared" si="9"/>
        <v>0</v>
      </c>
      <c r="EU7" s="347">
        <f t="shared" si="9"/>
        <v>0</v>
      </c>
      <c r="EV7" s="342">
        <f t="shared" si="9"/>
        <v>0</v>
      </c>
      <c r="EW7" s="347">
        <f t="shared" si="9"/>
        <v>0</v>
      </c>
      <c r="EX7" s="347">
        <f t="shared" si="9"/>
        <v>0</v>
      </c>
      <c r="EY7" s="347">
        <f t="shared" si="9"/>
        <v>0</v>
      </c>
      <c r="EZ7" s="342">
        <f t="shared" si="9"/>
        <v>0</v>
      </c>
      <c r="FA7" s="347">
        <f t="shared" si="9"/>
        <v>0</v>
      </c>
      <c r="FB7" s="347">
        <f t="shared" si="9"/>
        <v>3480429.759999997</v>
      </c>
      <c r="FC7" s="336">
        <f t="shared" si="3"/>
        <v>4.3269228562523916E-2</v>
      </c>
    </row>
    <row r="8" spans="1:159" s="6" customFormat="1" ht="18" outlineLevel="1">
      <c r="A8" s="343"/>
      <c r="B8" s="344" t="s">
        <v>476</v>
      </c>
      <c r="C8" s="349">
        <v>8116</v>
      </c>
      <c r="D8" s="350" t="s">
        <v>477</v>
      </c>
      <c r="E8" s="347"/>
      <c r="F8" s="347"/>
      <c r="G8" s="347"/>
      <c r="H8" s="342">
        <f t="shared" ref="H8:H16" si="10">SUM(E8:G8)</f>
        <v>0</v>
      </c>
      <c r="I8" s="347">
        <v>460200</v>
      </c>
      <c r="J8" s="347"/>
      <c r="K8" s="347"/>
      <c r="L8" s="342">
        <f t="shared" ref="L8:L16" si="11">SUM(I8:K8)</f>
        <v>460200</v>
      </c>
      <c r="M8" s="347"/>
      <c r="N8" s="347"/>
      <c r="O8" s="347"/>
      <c r="P8" s="342">
        <f t="shared" ref="P8:P16" si="12">SUM(M8:O8)</f>
        <v>0</v>
      </c>
      <c r="Q8" s="347"/>
      <c r="R8" s="347"/>
      <c r="S8" s="347"/>
      <c r="T8" s="342">
        <f t="shared" ref="T8:T16" si="13">SUM(Q8:S8)</f>
        <v>0</v>
      </c>
      <c r="U8" s="347">
        <f t="shared" ref="U8:U16" si="14">SUM(T8,P8,L8,H8)</f>
        <v>460200</v>
      </c>
      <c r="V8" s="347">
        <v>0</v>
      </c>
      <c r="W8" s="347">
        <v>0</v>
      </c>
      <c r="X8" s="347">
        <v>-17475.400000000001</v>
      </c>
      <c r="Y8" s="342">
        <f t="shared" ref="Y8:Y16" si="15">SUM(V8:X8)</f>
        <v>-17475.400000000001</v>
      </c>
      <c r="Z8" s="347">
        <v>0</v>
      </c>
      <c r="AA8" s="347">
        <v>0</v>
      </c>
      <c r="AB8" s="347">
        <v>0</v>
      </c>
      <c r="AC8" s="342">
        <f t="shared" ref="AC8:AC16" si="16">SUM(Z8:AB8)</f>
        <v>0</v>
      </c>
      <c r="AD8" s="347">
        <v>0</v>
      </c>
      <c r="AE8" s="347">
        <v>0</v>
      </c>
      <c r="AF8" s="347">
        <v>0</v>
      </c>
      <c r="AG8" s="342">
        <f t="shared" ref="AG8:AG16" si="17">SUM(AD8:AF8)</f>
        <v>0</v>
      </c>
      <c r="AH8" s="347">
        <v>0</v>
      </c>
      <c r="AI8" s="347">
        <v>0</v>
      </c>
      <c r="AJ8" s="347">
        <v>0</v>
      </c>
      <c r="AK8" s="342">
        <f t="shared" ref="AK8:AK16" si="18">SUM(AH8:AJ8)</f>
        <v>0</v>
      </c>
      <c r="AL8" s="347">
        <f t="shared" ref="AL8:AL23" si="19">SUM(AK8,AG8,AC8,Y8)</f>
        <v>-17475.400000000001</v>
      </c>
      <c r="AM8" s="348">
        <v>0</v>
      </c>
      <c r="AN8" s="348">
        <v>0</v>
      </c>
      <c r="AO8" s="348">
        <v>-2126.53999999998</v>
      </c>
      <c r="AP8" s="342">
        <f t="shared" ref="AP8:AP16" si="20">SUM(AM8:AO8)</f>
        <v>-2126.53999999998</v>
      </c>
      <c r="AQ8" s="348">
        <v>0</v>
      </c>
      <c r="AR8" s="348">
        <v>0</v>
      </c>
      <c r="AS8" s="348">
        <v>0</v>
      </c>
      <c r="AT8" s="342">
        <f t="shared" ref="AT8:AT16" si="21">SUM(AQ8:AS8)</f>
        <v>0</v>
      </c>
      <c r="AU8" s="348">
        <v>0</v>
      </c>
      <c r="AV8" s="348">
        <v>0</v>
      </c>
      <c r="AW8" s="348">
        <v>0</v>
      </c>
      <c r="AX8" s="342">
        <f t="shared" ref="AX8:AX16" si="22">SUM(AU8:AW8)</f>
        <v>0</v>
      </c>
      <c r="AY8" s="348">
        <v>0</v>
      </c>
      <c r="AZ8" s="348">
        <v>0</v>
      </c>
      <c r="BA8" s="348">
        <v>0</v>
      </c>
      <c r="BB8" s="342">
        <f t="shared" ref="BB8:BB16" si="23">SUM(AY8:BA8)</f>
        <v>0</v>
      </c>
      <c r="BC8" s="347">
        <f>SUM(AP8,AT8,AX8,BB8)</f>
        <v>-2126.53999999998</v>
      </c>
      <c r="BD8" s="347">
        <v>0</v>
      </c>
      <c r="BE8" s="347">
        <v>-96345.21</v>
      </c>
      <c r="BF8" s="347">
        <v>0</v>
      </c>
      <c r="BG8" s="342">
        <f t="shared" ref="BG8:BG16" si="24">SUM(BD8:BF8)</f>
        <v>-96345.21</v>
      </c>
      <c r="BH8" s="347">
        <v>0</v>
      </c>
      <c r="BI8" s="347">
        <v>0</v>
      </c>
      <c r="BJ8" s="347">
        <v>0</v>
      </c>
      <c r="BK8" s="342">
        <f t="shared" ref="BK8:BK16" si="25">SUM(BH8:BJ8)</f>
        <v>0</v>
      </c>
      <c r="BL8" s="347">
        <v>0</v>
      </c>
      <c r="BM8" s="347">
        <v>0</v>
      </c>
      <c r="BN8" s="347">
        <v>0</v>
      </c>
      <c r="BO8" s="342">
        <f t="shared" ref="BO8:BO16" si="26">SUM(BL8:BN8)</f>
        <v>0</v>
      </c>
      <c r="BP8" s="347">
        <v>0</v>
      </c>
      <c r="BQ8" s="347">
        <v>0</v>
      </c>
      <c r="BR8" s="347">
        <v>0</v>
      </c>
      <c r="BS8" s="342">
        <f t="shared" ref="BS8:BS16" si="27">SUM(BP8:BR8)</f>
        <v>0</v>
      </c>
      <c r="BT8" s="347">
        <f t="shared" ref="BT8:BT23" si="28">SUM(BS8,BO8,BK8,BG8)</f>
        <v>-96345.21</v>
      </c>
      <c r="BU8" s="348">
        <v>0</v>
      </c>
      <c r="BV8" s="348">
        <v>0</v>
      </c>
      <c r="BW8" s="348">
        <v>0</v>
      </c>
      <c r="BX8" s="342">
        <f t="shared" ref="BX8:BX16" si="29">SUM(BU8:BW8)</f>
        <v>0</v>
      </c>
      <c r="BY8" s="348">
        <v>0</v>
      </c>
      <c r="BZ8" s="348">
        <v>0</v>
      </c>
      <c r="CA8" s="348">
        <v>0</v>
      </c>
      <c r="CB8" s="342">
        <f t="shared" ref="CB8:CB16" si="30">SUM(BY8:CA8)</f>
        <v>0</v>
      </c>
      <c r="CC8" s="348">
        <v>0</v>
      </c>
      <c r="CD8" s="348">
        <v>0</v>
      </c>
      <c r="CE8" s="348">
        <v>0</v>
      </c>
      <c r="CF8" s="342">
        <f t="shared" ref="CF8:CF16" si="31">SUM(CC8:CE8)</f>
        <v>0</v>
      </c>
      <c r="CG8" s="348">
        <v>0</v>
      </c>
      <c r="CH8" s="348">
        <v>0</v>
      </c>
      <c r="CI8" s="348">
        <v>0</v>
      </c>
      <c r="CJ8" s="342">
        <f t="shared" ref="CJ8:CJ16" si="32">SUM(CG8:CI8)</f>
        <v>0</v>
      </c>
      <c r="CK8" s="347">
        <f t="shared" ref="CK8:CK23" si="33">SUM(CJ8,CF8,CB8,BX8)</f>
        <v>0</v>
      </c>
      <c r="CL8" s="347">
        <v>0</v>
      </c>
      <c r="CM8" s="347">
        <v>-22853.57</v>
      </c>
      <c r="CN8" s="347">
        <v>0</v>
      </c>
      <c r="CO8" s="342">
        <f t="shared" ref="CO8:CO16" si="34">SUM(CL8:CN8)</f>
        <v>-22853.57</v>
      </c>
      <c r="CP8" s="347">
        <v>0</v>
      </c>
      <c r="CQ8" s="347">
        <v>0</v>
      </c>
      <c r="CR8" s="347">
        <v>0</v>
      </c>
      <c r="CS8" s="342">
        <f t="shared" ref="CS8:CS16" si="35">SUM(CP8:CR8)</f>
        <v>0</v>
      </c>
      <c r="CT8" s="347">
        <v>0</v>
      </c>
      <c r="CU8" s="347">
        <v>0</v>
      </c>
      <c r="CV8" s="347">
        <v>0</v>
      </c>
      <c r="CW8" s="342">
        <f t="shared" ref="CW8:CW16" si="36">SUM(CT8:CV8)</f>
        <v>0</v>
      </c>
      <c r="CX8" s="347">
        <v>0</v>
      </c>
      <c r="CY8" s="347">
        <v>0</v>
      </c>
      <c r="CZ8" s="347">
        <v>0</v>
      </c>
      <c r="DA8" s="342">
        <f t="shared" ref="DA8:DA16" si="37">SUM(CX8:CZ8)</f>
        <v>0</v>
      </c>
      <c r="DB8" s="347">
        <f t="shared" ref="DB8:DB23" si="38">SUM(DA8,CW8,CS8,CO8)</f>
        <v>-22853.57</v>
      </c>
      <c r="DC8" s="347">
        <v>0</v>
      </c>
      <c r="DD8" s="347">
        <v>0</v>
      </c>
      <c r="DE8" s="347">
        <v>0</v>
      </c>
      <c r="DF8" s="342">
        <f t="shared" ref="DF8:DF23" si="39">SUM(DC8:DE8)</f>
        <v>0</v>
      </c>
      <c r="DG8" s="347">
        <v>0</v>
      </c>
      <c r="DH8" s="347">
        <v>0</v>
      </c>
      <c r="DI8" s="347">
        <v>0</v>
      </c>
      <c r="DJ8" s="342">
        <f t="shared" ref="DJ8:DJ16" si="40">SUM(DG8:DI8)</f>
        <v>0</v>
      </c>
      <c r="DK8" s="347">
        <v>0</v>
      </c>
      <c r="DL8" s="347">
        <v>0</v>
      </c>
      <c r="DM8" s="347">
        <v>0</v>
      </c>
      <c r="DN8" s="342">
        <f t="shared" ref="DN8:DN16" si="41">SUM(DK8:DM8)</f>
        <v>0</v>
      </c>
      <c r="DO8" s="347">
        <v>0</v>
      </c>
      <c r="DP8" s="347">
        <v>0</v>
      </c>
      <c r="DQ8" s="347">
        <v>0</v>
      </c>
      <c r="DR8" s="342">
        <f t="shared" ref="DR8:DR16" si="42">SUM(DO8:DQ8)</f>
        <v>0</v>
      </c>
      <c r="DS8" s="347">
        <f t="shared" ref="DS8:DS23" si="43">SUM(DR8,DN8,DJ8,DF8)</f>
        <v>0</v>
      </c>
      <c r="DT8" s="347">
        <v>-1837.51</v>
      </c>
      <c r="DU8" s="347">
        <v>-1837.51</v>
      </c>
      <c r="DV8" s="347">
        <v>-1837.51</v>
      </c>
      <c r="DW8" s="342">
        <f t="shared" ref="DW8:DW16" si="44">SUM(DT8:DV8)</f>
        <v>-5512.53</v>
      </c>
      <c r="DX8" s="347">
        <v>-1837.51</v>
      </c>
      <c r="DY8" s="347">
        <v>-1837.51</v>
      </c>
      <c r="DZ8" s="347">
        <v>-1837.51</v>
      </c>
      <c r="EA8" s="342">
        <f t="shared" ref="EA8:EA16" si="45">SUM(DX8:DZ8)</f>
        <v>-5512.53</v>
      </c>
      <c r="EB8" s="347">
        <v>-1837.51</v>
      </c>
      <c r="EC8" s="347">
        <v>-1837.51</v>
      </c>
      <c r="ED8" s="347">
        <v>-1837.51</v>
      </c>
      <c r="EE8" s="342">
        <f t="shared" ref="EE8:EE16" si="46">SUM(EB8:ED8)</f>
        <v>-5512.53</v>
      </c>
      <c r="EF8" s="347">
        <v>-1837.51</v>
      </c>
      <c r="EG8" s="347">
        <v>-1837.51</v>
      </c>
      <c r="EH8" s="347">
        <v>-1837.51</v>
      </c>
      <c r="EI8" s="342">
        <f t="shared" ref="EI8:EI16" si="47">SUM(EF8:EH8)</f>
        <v>-5512.53</v>
      </c>
      <c r="EJ8" s="347">
        <f t="shared" ref="EJ8:EJ23" si="48">SUM(EI8,EE8,EA8,DW8)</f>
        <v>-22050.12</v>
      </c>
      <c r="EK8" s="347"/>
      <c r="EL8" s="347"/>
      <c r="EM8" s="347"/>
      <c r="EN8" s="342">
        <f t="shared" ref="EN8:EN16" si="49">SUM(EK8:EM8)</f>
        <v>0</v>
      </c>
      <c r="EO8" s="347"/>
      <c r="EP8" s="347"/>
      <c r="EQ8" s="347"/>
      <c r="ER8" s="342">
        <f t="shared" ref="ER8:ER16" si="50">SUM(EO8:EQ8)</f>
        <v>0</v>
      </c>
      <c r="ES8" s="347"/>
      <c r="ET8" s="347"/>
      <c r="EU8" s="347"/>
      <c r="EV8" s="342">
        <f t="shared" ref="EV8:EV16" si="51">SUM(ES8:EU8)</f>
        <v>0</v>
      </c>
      <c r="EW8" s="347"/>
      <c r="EX8" s="347"/>
      <c r="EY8" s="347"/>
      <c r="EZ8" s="342">
        <f t="shared" ref="EZ8:EZ16" si="52">SUM(EW8:EY8)</f>
        <v>0</v>
      </c>
      <c r="FA8" s="347">
        <f t="shared" ref="FA8:FA16" si="53">SUM(EZ8,EV8,ER8,EN8)</f>
        <v>0</v>
      </c>
      <c r="FB8" s="347">
        <f>SUM(U8,AL8,BC8,BT8,CK8,DB8,DS8,EJ8,FA8)</f>
        <v>299349.15999999997</v>
      </c>
      <c r="FC8" s="351">
        <f t="shared" si="3"/>
        <v>0.65047622772707514</v>
      </c>
    </row>
    <row r="9" spans="1:159" s="6" customFormat="1" ht="18" outlineLevel="1">
      <c r="A9" s="343"/>
      <c r="B9" s="344" t="s">
        <v>478</v>
      </c>
      <c r="C9" s="349">
        <v>8595</v>
      </c>
      <c r="D9" s="350" t="s">
        <v>479</v>
      </c>
      <c r="E9" s="347"/>
      <c r="F9" s="347"/>
      <c r="G9" s="347"/>
      <c r="H9" s="342">
        <f t="shared" si="10"/>
        <v>0</v>
      </c>
      <c r="I9" s="347"/>
      <c r="J9" s="347">
        <v>399438</v>
      </c>
      <c r="K9" s="347"/>
      <c r="L9" s="342">
        <f t="shared" si="11"/>
        <v>399438</v>
      </c>
      <c r="M9" s="347"/>
      <c r="N9" s="347"/>
      <c r="O9" s="347"/>
      <c r="P9" s="342">
        <f t="shared" si="12"/>
        <v>0</v>
      </c>
      <c r="Q9" s="347"/>
      <c r="R9" s="347"/>
      <c r="S9" s="347"/>
      <c r="T9" s="342">
        <f t="shared" si="13"/>
        <v>0</v>
      </c>
      <c r="U9" s="347">
        <f t="shared" si="14"/>
        <v>399438</v>
      </c>
      <c r="V9" s="347">
        <v>0</v>
      </c>
      <c r="W9" s="347">
        <v>0</v>
      </c>
      <c r="X9" s="347">
        <v>0</v>
      </c>
      <c r="Y9" s="342">
        <f t="shared" si="15"/>
        <v>0</v>
      </c>
      <c r="Z9" s="347">
        <v>0</v>
      </c>
      <c r="AA9" s="347">
        <v>0</v>
      </c>
      <c r="AB9" s="347">
        <v>0</v>
      </c>
      <c r="AC9" s="342">
        <f t="shared" si="16"/>
        <v>0</v>
      </c>
      <c r="AD9" s="347">
        <v>0</v>
      </c>
      <c r="AE9" s="347">
        <v>0</v>
      </c>
      <c r="AF9" s="347">
        <v>0</v>
      </c>
      <c r="AG9" s="342">
        <f t="shared" si="17"/>
        <v>0</v>
      </c>
      <c r="AH9" s="347">
        <v>0</v>
      </c>
      <c r="AI9" s="347">
        <v>0</v>
      </c>
      <c r="AJ9" s="347">
        <v>0</v>
      </c>
      <c r="AK9" s="342">
        <f t="shared" si="18"/>
        <v>0</v>
      </c>
      <c r="AL9" s="347">
        <f t="shared" si="19"/>
        <v>0</v>
      </c>
      <c r="AM9" s="348">
        <v>0</v>
      </c>
      <c r="AN9" s="348">
        <v>0</v>
      </c>
      <c r="AO9" s="348">
        <v>0</v>
      </c>
      <c r="AP9" s="342">
        <f t="shared" si="20"/>
        <v>0</v>
      </c>
      <c r="AQ9" s="348">
        <v>0</v>
      </c>
      <c r="AR9" s="348">
        <v>0</v>
      </c>
      <c r="AS9" s="348">
        <v>0</v>
      </c>
      <c r="AT9" s="342">
        <f t="shared" si="21"/>
        <v>0</v>
      </c>
      <c r="AU9" s="348">
        <v>0</v>
      </c>
      <c r="AV9" s="348">
        <v>0</v>
      </c>
      <c r="AW9" s="348">
        <v>0</v>
      </c>
      <c r="AX9" s="342">
        <f t="shared" si="22"/>
        <v>0</v>
      </c>
      <c r="AY9" s="348">
        <v>0</v>
      </c>
      <c r="AZ9" s="348">
        <v>0</v>
      </c>
      <c r="BA9" s="348">
        <v>0</v>
      </c>
      <c r="BB9" s="342">
        <f t="shared" si="23"/>
        <v>0</v>
      </c>
      <c r="BC9" s="347">
        <f t="shared" ref="BC9:BC19" si="54">SUM(AP9,AT9,AX9,BB9)</f>
        <v>0</v>
      </c>
      <c r="BD9" s="347">
        <v>0</v>
      </c>
      <c r="BE9" s="347">
        <v>-83624.37</v>
      </c>
      <c r="BF9" s="347">
        <v>0</v>
      </c>
      <c r="BG9" s="342">
        <f t="shared" si="24"/>
        <v>-83624.37</v>
      </c>
      <c r="BH9" s="347">
        <v>0</v>
      </c>
      <c r="BI9" s="347">
        <v>0</v>
      </c>
      <c r="BJ9" s="347">
        <v>0</v>
      </c>
      <c r="BK9" s="342">
        <f t="shared" si="25"/>
        <v>0</v>
      </c>
      <c r="BL9" s="347">
        <v>0</v>
      </c>
      <c r="BM9" s="347">
        <v>0</v>
      </c>
      <c r="BN9" s="347">
        <v>0</v>
      </c>
      <c r="BO9" s="342">
        <f t="shared" si="26"/>
        <v>0</v>
      </c>
      <c r="BP9" s="347">
        <v>0</v>
      </c>
      <c r="BQ9" s="347">
        <v>0</v>
      </c>
      <c r="BR9" s="347">
        <v>0</v>
      </c>
      <c r="BS9" s="342">
        <f t="shared" si="27"/>
        <v>0</v>
      </c>
      <c r="BT9" s="347">
        <f t="shared" si="28"/>
        <v>-83624.37</v>
      </c>
      <c r="BU9" s="348">
        <v>0</v>
      </c>
      <c r="BV9" s="348">
        <v>0</v>
      </c>
      <c r="BW9" s="348">
        <v>0</v>
      </c>
      <c r="BX9" s="342">
        <f t="shared" si="29"/>
        <v>0</v>
      </c>
      <c r="BY9" s="348">
        <v>0</v>
      </c>
      <c r="BZ9" s="348">
        <v>0</v>
      </c>
      <c r="CA9" s="348">
        <v>0</v>
      </c>
      <c r="CB9" s="342">
        <f t="shared" si="30"/>
        <v>0</v>
      </c>
      <c r="CC9" s="348">
        <v>0</v>
      </c>
      <c r="CD9" s="348">
        <v>0</v>
      </c>
      <c r="CE9" s="348">
        <v>0</v>
      </c>
      <c r="CF9" s="342">
        <f t="shared" si="31"/>
        <v>0</v>
      </c>
      <c r="CG9" s="348">
        <v>0</v>
      </c>
      <c r="CH9" s="348">
        <v>0</v>
      </c>
      <c r="CI9" s="348">
        <v>0</v>
      </c>
      <c r="CJ9" s="342">
        <f t="shared" si="32"/>
        <v>0</v>
      </c>
      <c r="CK9" s="347">
        <f t="shared" si="33"/>
        <v>0</v>
      </c>
      <c r="CL9" s="347">
        <v>0</v>
      </c>
      <c r="CM9" s="348">
        <v>-19836.12</v>
      </c>
      <c r="CN9" s="347">
        <v>0</v>
      </c>
      <c r="CO9" s="342">
        <f t="shared" si="34"/>
        <v>-19836.12</v>
      </c>
      <c r="CP9" s="347">
        <v>0</v>
      </c>
      <c r="CQ9" s="348">
        <v>0</v>
      </c>
      <c r="CR9" s="347">
        <v>0</v>
      </c>
      <c r="CS9" s="342">
        <f t="shared" si="35"/>
        <v>0</v>
      </c>
      <c r="CT9" s="347">
        <v>0</v>
      </c>
      <c r="CU9" s="348">
        <v>0</v>
      </c>
      <c r="CV9" s="347">
        <v>0</v>
      </c>
      <c r="CW9" s="342">
        <f t="shared" si="36"/>
        <v>0</v>
      </c>
      <c r="CX9" s="347">
        <v>0</v>
      </c>
      <c r="CY9" s="348">
        <v>0</v>
      </c>
      <c r="CZ9" s="347">
        <v>0</v>
      </c>
      <c r="DA9" s="342">
        <f t="shared" si="37"/>
        <v>0</v>
      </c>
      <c r="DB9" s="347">
        <f t="shared" si="38"/>
        <v>-19836.12</v>
      </c>
      <c r="DC9" s="347">
        <v>0</v>
      </c>
      <c r="DD9" s="347">
        <v>0</v>
      </c>
      <c r="DE9" s="347">
        <v>0</v>
      </c>
      <c r="DF9" s="342">
        <f t="shared" si="39"/>
        <v>0</v>
      </c>
      <c r="DG9" s="347">
        <v>0</v>
      </c>
      <c r="DH9" s="347">
        <v>0</v>
      </c>
      <c r="DI9" s="347">
        <v>0</v>
      </c>
      <c r="DJ9" s="342">
        <f t="shared" si="40"/>
        <v>0</v>
      </c>
      <c r="DK9" s="347">
        <v>0</v>
      </c>
      <c r="DL9" s="347">
        <v>0</v>
      </c>
      <c r="DM9" s="347">
        <v>0</v>
      </c>
      <c r="DN9" s="342">
        <f t="shared" si="41"/>
        <v>0</v>
      </c>
      <c r="DO9" s="347">
        <v>0</v>
      </c>
      <c r="DP9" s="347">
        <v>0</v>
      </c>
      <c r="DQ9" s="347">
        <v>0</v>
      </c>
      <c r="DR9" s="342">
        <f t="shared" si="42"/>
        <v>0</v>
      </c>
      <c r="DS9" s="347">
        <f t="shared" si="43"/>
        <v>0</v>
      </c>
      <c r="DT9" s="347">
        <v>-1594.9</v>
      </c>
      <c r="DU9" s="347">
        <v>-1594.9</v>
      </c>
      <c r="DV9" s="347">
        <v>-1594.9</v>
      </c>
      <c r="DW9" s="342">
        <f t="shared" si="44"/>
        <v>-4784.7000000000007</v>
      </c>
      <c r="DX9" s="347">
        <v>-1594.9</v>
      </c>
      <c r="DY9" s="347">
        <v>-1594.9</v>
      </c>
      <c r="DZ9" s="347">
        <v>-1594.9</v>
      </c>
      <c r="EA9" s="342">
        <f t="shared" si="45"/>
        <v>-4784.7000000000007</v>
      </c>
      <c r="EB9" s="347">
        <v>-1594.9</v>
      </c>
      <c r="EC9" s="347">
        <v>-1594.9</v>
      </c>
      <c r="ED9" s="347">
        <v>-1594.9</v>
      </c>
      <c r="EE9" s="342">
        <f t="shared" si="46"/>
        <v>-4784.7000000000007</v>
      </c>
      <c r="EF9" s="347">
        <v>-1594.9</v>
      </c>
      <c r="EG9" s="347">
        <v>-1594.9</v>
      </c>
      <c r="EH9" s="347">
        <v>-1594.9</v>
      </c>
      <c r="EI9" s="342">
        <f t="shared" si="47"/>
        <v>-4784.7000000000007</v>
      </c>
      <c r="EJ9" s="347">
        <f t="shared" si="48"/>
        <v>-19138.800000000003</v>
      </c>
      <c r="EK9" s="347"/>
      <c r="EL9" s="347"/>
      <c r="EM9" s="347"/>
      <c r="EN9" s="342">
        <f t="shared" si="49"/>
        <v>0</v>
      </c>
      <c r="EO9" s="347"/>
      <c r="EP9" s="347"/>
      <c r="EQ9" s="347"/>
      <c r="ER9" s="342">
        <f t="shared" si="50"/>
        <v>0</v>
      </c>
      <c r="ES9" s="347"/>
      <c r="ET9" s="347"/>
      <c r="EU9" s="347"/>
      <c r="EV9" s="342">
        <f t="shared" si="51"/>
        <v>0</v>
      </c>
      <c r="EW9" s="347"/>
      <c r="EX9" s="347"/>
      <c r="EY9" s="347"/>
      <c r="EZ9" s="342">
        <f t="shared" si="52"/>
        <v>0</v>
      </c>
      <c r="FA9" s="347">
        <f t="shared" si="53"/>
        <v>0</v>
      </c>
      <c r="FB9" s="347">
        <f t="shared" ref="FB9:FB23" si="55">SUM(U9,AL9,BC9,BT9,CK9,DB9,DS9,EJ9,FA9)</f>
        <v>276838.71000000002</v>
      </c>
      <c r="FC9" s="351">
        <f t="shared" si="3"/>
        <v>0.69307053910744598</v>
      </c>
    </row>
    <row r="10" spans="1:159" s="6" customFormat="1" ht="18" outlineLevel="1">
      <c r="A10" s="343"/>
      <c r="B10" s="344" t="s">
        <v>480</v>
      </c>
      <c r="C10" s="349">
        <v>8374</v>
      </c>
      <c r="D10" s="350" t="s">
        <v>481</v>
      </c>
      <c r="E10" s="347">
        <v>600000</v>
      </c>
      <c r="F10" s="347">
        <v>500000</v>
      </c>
      <c r="G10" s="347">
        <v>350000</v>
      </c>
      <c r="H10" s="342">
        <f t="shared" si="10"/>
        <v>1450000</v>
      </c>
      <c r="I10" s="347">
        <v>208521</v>
      </c>
      <c r="J10" s="347"/>
      <c r="K10" s="347"/>
      <c r="L10" s="342">
        <f t="shared" si="11"/>
        <v>208521</v>
      </c>
      <c r="M10" s="347"/>
      <c r="N10" s="347"/>
      <c r="O10" s="347"/>
      <c r="P10" s="342">
        <f t="shared" si="12"/>
        <v>0</v>
      </c>
      <c r="Q10" s="347"/>
      <c r="R10" s="347"/>
      <c r="S10" s="347"/>
      <c r="T10" s="342">
        <f t="shared" si="13"/>
        <v>0</v>
      </c>
      <c r="U10" s="347">
        <f t="shared" si="14"/>
        <v>1658521</v>
      </c>
      <c r="V10" s="347">
        <v>-20000</v>
      </c>
      <c r="W10" s="347">
        <v>0</v>
      </c>
      <c r="X10" s="347">
        <v>0</v>
      </c>
      <c r="Y10" s="342">
        <f t="shared" si="15"/>
        <v>-20000</v>
      </c>
      <c r="Z10" s="347">
        <v>0</v>
      </c>
      <c r="AA10" s="347">
        <v>0</v>
      </c>
      <c r="AB10" s="347">
        <v>0</v>
      </c>
      <c r="AC10" s="342">
        <f t="shared" si="16"/>
        <v>0</v>
      </c>
      <c r="AD10" s="347">
        <v>0</v>
      </c>
      <c r="AE10" s="347">
        <v>0</v>
      </c>
      <c r="AF10" s="347">
        <v>0</v>
      </c>
      <c r="AG10" s="342">
        <f t="shared" si="17"/>
        <v>0</v>
      </c>
      <c r="AH10" s="347">
        <v>0</v>
      </c>
      <c r="AI10" s="347">
        <v>0</v>
      </c>
      <c r="AJ10" s="347">
        <v>0</v>
      </c>
      <c r="AK10" s="342">
        <f t="shared" si="18"/>
        <v>0</v>
      </c>
      <c r="AL10" s="347">
        <f>SUM(AK10,AG10,AC10,Y10)</f>
        <v>-20000</v>
      </c>
      <c r="AM10" s="348">
        <v>-5625</v>
      </c>
      <c r="AN10" s="348">
        <v>-1700</v>
      </c>
      <c r="AO10" s="348">
        <v>0</v>
      </c>
      <c r="AP10" s="342">
        <f t="shared" si="20"/>
        <v>-7325</v>
      </c>
      <c r="AQ10" s="348">
        <v>0</v>
      </c>
      <c r="AR10" s="348">
        <v>0</v>
      </c>
      <c r="AS10" s="348">
        <v>0</v>
      </c>
      <c r="AT10" s="342">
        <f t="shared" si="21"/>
        <v>0</v>
      </c>
      <c r="AU10" s="348">
        <v>0</v>
      </c>
      <c r="AV10" s="348">
        <v>0</v>
      </c>
      <c r="AW10" s="348">
        <v>0</v>
      </c>
      <c r="AX10" s="342">
        <f t="shared" si="22"/>
        <v>0</v>
      </c>
      <c r="AY10" s="348">
        <v>0</v>
      </c>
      <c r="AZ10" s="348">
        <v>0</v>
      </c>
      <c r="BA10" s="348">
        <v>0</v>
      </c>
      <c r="BB10" s="342">
        <f t="shared" si="23"/>
        <v>0</v>
      </c>
      <c r="BC10" s="347">
        <f t="shared" si="54"/>
        <v>-7325</v>
      </c>
      <c r="BD10" s="347">
        <v>0</v>
      </c>
      <c r="BE10" s="347">
        <v>-347219.79</v>
      </c>
      <c r="BF10" s="347">
        <v>0</v>
      </c>
      <c r="BG10" s="342">
        <f t="shared" si="24"/>
        <v>-347219.79</v>
      </c>
      <c r="BH10" s="347">
        <v>0</v>
      </c>
      <c r="BI10" s="347">
        <v>0</v>
      </c>
      <c r="BJ10" s="347">
        <v>0</v>
      </c>
      <c r="BK10" s="342">
        <f t="shared" si="25"/>
        <v>0</v>
      </c>
      <c r="BL10" s="347">
        <v>0</v>
      </c>
      <c r="BM10" s="347">
        <v>0</v>
      </c>
      <c r="BN10" s="347">
        <v>0</v>
      </c>
      <c r="BO10" s="342">
        <f t="shared" si="26"/>
        <v>0</v>
      </c>
      <c r="BP10" s="347">
        <v>0</v>
      </c>
      <c r="BQ10" s="347">
        <v>0</v>
      </c>
      <c r="BR10" s="347">
        <v>0</v>
      </c>
      <c r="BS10" s="342">
        <f t="shared" si="27"/>
        <v>0</v>
      </c>
      <c r="BT10" s="347">
        <f t="shared" si="28"/>
        <v>-347219.79</v>
      </c>
      <c r="BU10" s="348">
        <v>0</v>
      </c>
      <c r="BV10" s="348">
        <v>0</v>
      </c>
      <c r="BW10" s="348">
        <v>0</v>
      </c>
      <c r="BX10" s="342">
        <f t="shared" si="29"/>
        <v>0</v>
      </c>
      <c r="BY10" s="348">
        <v>0</v>
      </c>
      <c r="BZ10" s="348">
        <v>0</v>
      </c>
      <c r="CA10" s="348">
        <v>0</v>
      </c>
      <c r="CB10" s="342">
        <f t="shared" si="30"/>
        <v>0</v>
      </c>
      <c r="CC10" s="348">
        <v>0</v>
      </c>
      <c r="CD10" s="348">
        <v>0</v>
      </c>
      <c r="CE10" s="348">
        <v>0</v>
      </c>
      <c r="CF10" s="342">
        <f t="shared" si="31"/>
        <v>0</v>
      </c>
      <c r="CG10" s="348">
        <v>0</v>
      </c>
      <c r="CH10" s="348">
        <v>0</v>
      </c>
      <c r="CI10" s="348">
        <v>0</v>
      </c>
      <c r="CJ10" s="342">
        <f t="shared" si="32"/>
        <v>0</v>
      </c>
      <c r="CK10" s="347">
        <f t="shared" si="33"/>
        <v>0</v>
      </c>
      <c r="CL10" s="347">
        <v>0</v>
      </c>
      <c r="CM10" s="348">
        <v>-82362.28</v>
      </c>
      <c r="CN10" s="347">
        <v>0</v>
      </c>
      <c r="CO10" s="342">
        <f t="shared" si="34"/>
        <v>-82362.28</v>
      </c>
      <c r="CP10" s="347">
        <v>0</v>
      </c>
      <c r="CQ10" s="348">
        <v>0</v>
      </c>
      <c r="CR10" s="347">
        <v>0</v>
      </c>
      <c r="CS10" s="342">
        <f t="shared" si="35"/>
        <v>0</v>
      </c>
      <c r="CT10" s="347">
        <v>0</v>
      </c>
      <c r="CU10" s="348">
        <v>0</v>
      </c>
      <c r="CV10" s="347">
        <v>0</v>
      </c>
      <c r="CW10" s="342">
        <f t="shared" si="36"/>
        <v>0</v>
      </c>
      <c r="CX10" s="347">
        <v>0</v>
      </c>
      <c r="CY10" s="348">
        <v>0</v>
      </c>
      <c r="CZ10" s="347">
        <v>0</v>
      </c>
      <c r="DA10" s="342">
        <f t="shared" si="37"/>
        <v>0</v>
      </c>
      <c r="DB10" s="347">
        <f t="shared" si="38"/>
        <v>-82362.28</v>
      </c>
      <c r="DC10" s="347">
        <v>0</v>
      </c>
      <c r="DD10" s="347">
        <v>0</v>
      </c>
      <c r="DE10" s="347">
        <v>0</v>
      </c>
      <c r="DF10" s="342">
        <f t="shared" si="39"/>
        <v>0</v>
      </c>
      <c r="DG10" s="347">
        <v>0</v>
      </c>
      <c r="DH10" s="347">
        <v>0</v>
      </c>
      <c r="DI10" s="347">
        <v>0</v>
      </c>
      <c r="DJ10" s="342">
        <f t="shared" si="40"/>
        <v>0</v>
      </c>
      <c r="DK10" s="347">
        <v>0</v>
      </c>
      <c r="DL10" s="347">
        <v>0</v>
      </c>
      <c r="DM10" s="347">
        <v>0</v>
      </c>
      <c r="DN10" s="342">
        <f t="shared" si="41"/>
        <v>0</v>
      </c>
      <c r="DO10" s="347">
        <v>0</v>
      </c>
      <c r="DP10" s="347">
        <v>0</v>
      </c>
      <c r="DQ10" s="347">
        <v>0</v>
      </c>
      <c r="DR10" s="342">
        <f t="shared" si="42"/>
        <v>0</v>
      </c>
      <c r="DS10" s="347">
        <f t="shared" si="43"/>
        <v>0</v>
      </c>
      <c r="DT10" s="347">
        <v>-6622.23</v>
      </c>
      <c r="DU10" s="347">
        <v>-6622.23</v>
      </c>
      <c r="DV10" s="347">
        <v>-6622.23</v>
      </c>
      <c r="DW10" s="342">
        <f t="shared" si="44"/>
        <v>-19866.689999999999</v>
      </c>
      <c r="DX10" s="347">
        <v>-6622.23</v>
      </c>
      <c r="DY10" s="347">
        <v>-6622.23</v>
      </c>
      <c r="DZ10" s="347">
        <v>-6622.23</v>
      </c>
      <c r="EA10" s="342">
        <f t="shared" si="45"/>
        <v>-19866.689999999999</v>
      </c>
      <c r="EB10" s="347">
        <v>-6622.23</v>
      </c>
      <c r="EC10" s="347">
        <v>-6622.23</v>
      </c>
      <c r="ED10" s="347">
        <v>-6622.23</v>
      </c>
      <c r="EE10" s="342">
        <f t="shared" si="46"/>
        <v>-19866.689999999999</v>
      </c>
      <c r="EF10" s="347">
        <v>-6622.23</v>
      </c>
      <c r="EG10" s="347">
        <v>-6622.23</v>
      </c>
      <c r="EH10" s="347">
        <v>-6622.23</v>
      </c>
      <c r="EI10" s="342">
        <f t="shared" si="47"/>
        <v>-19866.689999999999</v>
      </c>
      <c r="EJ10" s="347">
        <f t="shared" si="48"/>
        <v>-79466.759999999995</v>
      </c>
      <c r="EK10" s="347"/>
      <c r="EL10" s="347"/>
      <c r="EM10" s="347"/>
      <c r="EN10" s="342">
        <f t="shared" si="49"/>
        <v>0</v>
      </c>
      <c r="EO10" s="347"/>
      <c r="EP10" s="347"/>
      <c r="EQ10" s="347"/>
      <c r="ER10" s="342">
        <f t="shared" si="50"/>
        <v>0</v>
      </c>
      <c r="ES10" s="347"/>
      <c r="ET10" s="347"/>
      <c r="EU10" s="347"/>
      <c r="EV10" s="342">
        <f t="shared" si="51"/>
        <v>0</v>
      </c>
      <c r="EW10" s="347"/>
      <c r="EX10" s="347"/>
      <c r="EY10" s="347"/>
      <c r="EZ10" s="342">
        <f t="shared" si="52"/>
        <v>0</v>
      </c>
      <c r="FA10" s="347">
        <f>SUM(EZ10,EV10,ER10,EN10)</f>
        <v>0</v>
      </c>
      <c r="FB10" s="347">
        <f>SUM(U10,AL10,BC10,BT10,CK10,DB10,DS10,EJ10,FA10)</f>
        <v>1122147.17</v>
      </c>
      <c r="FC10" s="351">
        <f t="shared" si="3"/>
        <v>0.6765950928568284</v>
      </c>
    </row>
    <row r="11" spans="1:159" s="6" customFormat="1" ht="18" outlineLevel="1">
      <c r="A11" s="343"/>
      <c r="B11" s="344" t="s">
        <v>482</v>
      </c>
      <c r="C11" s="349">
        <v>9495</v>
      </c>
      <c r="D11" s="350" t="s">
        <v>483</v>
      </c>
      <c r="E11" s="347">
        <v>400000</v>
      </c>
      <c r="F11" s="347">
        <v>500000</v>
      </c>
      <c r="G11" s="347">
        <v>360000</v>
      </c>
      <c r="H11" s="342">
        <f t="shared" si="10"/>
        <v>1260000</v>
      </c>
      <c r="I11" s="347"/>
      <c r="J11" s="347"/>
      <c r="K11" s="347"/>
      <c r="L11" s="342">
        <f t="shared" si="11"/>
        <v>0</v>
      </c>
      <c r="M11" s="347"/>
      <c r="N11" s="347"/>
      <c r="O11" s="347"/>
      <c r="P11" s="342">
        <f t="shared" si="12"/>
        <v>0</v>
      </c>
      <c r="Q11" s="347"/>
      <c r="R11" s="347"/>
      <c r="S11" s="347"/>
      <c r="T11" s="342">
        <f t="shared" si="13"/>
        <v>0</v>
      </c>
      <c r="U11" s="347">
        <f t="shared" si="14"/>
        <v>1260000</v>
      </c>
      <c r="V11" s="347">
        <v>-500000</v>
      </c>
      <c r="W11" s="347">
        <v>-96352</v>
      </c>
      <c r="X11" s="347">
        <v>0</v>
      </c>
      <c r="Y11" s="342">
        <f t="shared" si="15"/>
        <v>-596352</v>
      </c>
      <c r="Z11" s="347">
        <v>0</v>
      </c>
      <c r="AA11" s="347">
        <v>0</v>
      </c>
      <c r="AB11" s="347">
        <v>0</v>
      </c>
      <c r="AC11" s="342">
        <f t="shared" si="16"/>
        <v>0</v>
      </c>
      <c r="AD11" s="347">
        <v>0</v>
      </c>
      <c r="AE11" s="347">
        <v>0</v>
      </c>
      <c r="AF11" s="347">
        <v>0</v>
      </c>
      <c r="AG11" s="342">
        <f t="shared" si="17"/>
        <v>0</v>
      </c>
      <c r="AH11" s="347">
        <v>0</v>
      </c>
      <c r="AI11" s="347">
        <v>0</v>
      </c>
      <c r="AJ11" s="347">
        <v>0</v>
      </c>
      <c r="AK11" s="342">
        <f t="shared" si="18"/>
        <v>0</v>
      </c>
      <c r="AL11" s="347">
        <f t="shared" si="19"/>
        <v>-596352</v>
      </c>
      <c r="AM11" s="348">
        <v>-60000</v>
      </c>
      <c r="AN11" s="348">
        <v>-22500</v>
      </c>
      <c r="AO11" s="348">
        <v>0</v>
      </c>
      <c r="AP11" s="342">
        <f t="shared" si="20"/>
        <v>-82500</v>
      </c>
      <c r="AQ11" s="348">
        <v>0</v>
      </c>
      <c r="AR11" s="348">
        <v>0</v>
      </c>
      <c r="AS11" s="348">
        <v>0</v>
      </c>
      <c r="AT11" s="342">
        <f t="shared" si="21"/>
        <v>0</v>
      </c>
      <c r="AU11" s="348">
        <v>0</v>
      </c>
      <c r="AV11" s="348">
        <v>0</v>
      </c>
      <c r="AW11" s="348">
        <v>0</v>
      </c>
      <c r="AX11" s="342">
        <f t="shared" si="22"/>
        <v>0</v>
      </c>
      <c r="AY11" s="348">
        <v>0</v>
      </c>
      <c r="AZ11" s="348">
        <v>0</v>
      </c>
      <c r="BA11" s="348">
        <v>0</v>
      </c>
      <c r="BB11" s="342">
        <f t="shared" si="23"/>
        <v>0</v>
      </c>
      <c r="BC11" s="347">
        <f t="shared" si="54"/>
        <v>-82500</v>
      </c>
      <c r="BD11" s="347">
        <v>0</v>
      </c>
      <c r="BE11" s="347">
        <v>-263787.40000000002</v>
      </c>
      <c r="BF11" s="347">
        <v>0</v>
      </c>
      <c r="BG11" s="342">
        <f t="shared" si="24"/>
        <v>-263787.40000000002</v>
      </c>
      <c r="BH11" s="347">
        <v>0</v>
      </c>
      <c r="BI11" s="347">
        <v>0</v>
      </c>
      <c r="BJ11" s="347">
        <v>0</v>
      </c>
      <c r="BK11" s="342">
        <f t="shared" si="25"/>
        <v>0</v>
      </c>
      <c r="BL11" s="347">
        <v>0</v>
      </c>
      <c r="BM11" s="347">
        <v>0</v>
      </c>
      <c r="BN11" s="347">
        <v>0</v>
      </c>
      <c r="BO11" s="342">
        <f t="shared" si="26"/>
        <v>0</v>
      </c>
      <c r="BP11" s="347">
        <v>0</v>
      </c>
      <c r="BQ11" s="347">
        <v>0</v>
      </c>
      <c r="BR11" s="347">
        <v>0</v>
      </c>
      <c r="BS11" s="342">
        <f t="shared" si="27"/>
        <v>0</v>
      </c>
      <c r="BT11" s="347">
        <f t="shared" si="28"/>
        <v>-263787.40000000002</v>
      </c>
      <c r="BU11" s="348">
        <v>0</v>
      </c>
      <c r="BV11" s="348">
        <v>0</v>
      </c>
      <c r="BW11" s="348">
        <v>0</v>
      </c>
      <c r="BX11" s="342">
        <f t="shared" si="29"/>
        <v>0</v>
      </c>
      <c r="BY11" s="348">
        <v>0</v>
      </c>
      <c r="BZ11" s="348">
        <v>0</v>
      </c>
      <c r="CA11" s="348">
        <v>0</v>
      </c>
      <c r="CB11" s="342">
        <f t="shared" si="30"/>
        <v>0</v>
      </c>
      <c r="CC11" s="348">
        <v>0</v>
      </c>
      <c r="CD11" s="348">
        <v>0</v>
      </c>
      <c r="CE11" s="348">
        <v>0</v>
      </c>
      <c r="CF11" s="342">
        <f t="shared" si="31"/>
        <v>0</v>
      </c>
      <c r="CG11" s="348">
        <v>0</v>
      </c>
      <c r="CH11" s="348">
        <v>0</v>
      </c>
      <c r="CI11" s="348">
        <v>0</v>
      </c>
      <c r="CJ11" s="342">
        <f t="shared" si="32"/>
        <v>0</v>
      </c>
      <c r="CK11" s="347">
        <f t="shared" si="33"/>
        <v>0</v>
      </c>
      <c r="CL11" s="347">
        <v>0</v>
      </c>
      <c r="CM11" s="348">
        <v>-62571.7</v>
      </c>
      <c r="CN11" s="347">
        <v>0</v>
      </c>
      <c r="CO11" s="342">
        <f t="shared" si="34"/>
        <v>-62571.7</v>
      </c>
      <c r="CP11" s="347">
        <v>0</v>
      </c>
      <c r="CQ11" s="348">
        <v>0</v>
      </c>
      <c r="CR11" s="347">
        <v>0</v>
      </c>
      <c r="CS11" s="342">
        <f t="shared" si="35"/>
        <v>0</v>
      </c>
      <c r="CT11" s="347">
        <v>0</v>
      </c>
      <c r="CU11" s="348">
        <v>0</v>
      </c>
      <c r="CV11" s="347">
        <v>0</v>
      </c>
      <c r="CW11" s="342">
        <f t="shared" si="36"/>
        <v>0</v>
      </c>
      <c r="CX11" s="347">
        <v>0</v>
      </c>
      <c r="CY11" s="348">
        <v>0</v>
      </c>
      <c r="CZ11" s="347">
        <v>0</v>
      </c>
      <c r="DA11" s="342">
        <f t="shared" si="37"/>
        <v>0</v>
      </c>
      <c r="DB11" s="347">
        <f t="shared" si="38"/>
        <v>-62571.7</v>
      </c>
      <c r="DC11" s="347">
        <v>0</v>
      </c>
      <c r="DD11" s="347">
        <v>0</v>
      </c>
      <c r="DE11" s="347">
        <v>0</v>
      </c>
      <c r="DF11" s="342">
        <f t="shared" si="39"/>
        <v>0</v>
      </c>
      <c r="DG11" s="347">
        <v>0</v>
      </c>
      <c r="DH11" s="347">
        <v>0</v>
      </c>
      <c r="DI11" s="347">
        <v>0</v>
      </c>
      <c r="DJ11" s="342">
        <f t="shared" si="40"/>
        <v>0</v>
      </c>
      <c r="DK11" s="347">
        <v>0</v>
      </c>
      <c r="DL11" s="347">
        <v>0</v>
      </c>
      <c r="DM11" s="347">
        <v>0</v>
      </c>
      <c r="DN11" s="342">
        <f t="shared" si="41"/>
        <v>0</v>
      </c>
      <c r="DO11" s="347">
        <v>0</v>
      </c>
      <c r="DP11" s="347">
        <v>0</v>
      </c>
      <c r="DQ11" s="347">
        <v>0</v>
      </c>
      <c r="DR11" s="342">
        <f t="shared" si="42"/>
        <v>0</v>
      </c>
      <c r="DS11" s="347">
        <f t="shared" si="43"/>
        <v>0</v>
      </c>
      <c r="DT11" s="347">
        <v>-30123.98</v>
      </c>
      <c r="DU11" s="347">
        <v>-30123.98</v>
      </c>
      <c r="DV11" s="347">
        <v>-30123.98</v>
      </c>
      <c r="DW11" s="342">
        <f t="shared" si="44"/>
        <v>-90371.94</v>
      </c>
      <c r="DX11" s="347">
        <v>0</v>
      </c>
      <c r="DY11" s="347">
        <v>0</v>
      </c>
      <c r="DZ11" s="347">
        <v>0</v>
      </c>
      <c r="EA11" s="342">
        <f t="shared" si="45"/>
        <v>0</v>
      </c>
      <c r="EB11" s="347">
        <v>0</v>
      </c>
      <c r="EC11" s="347">
        <v>0</v>
      </c>
      <c r="ED11" s="347">
        <v>0</v>
      </c>
      <c r="EE11" s="342">
        <f t="shared" si="46"/>
        <v>0</v>
      </c>
      <c r="EF11" s="347">
        <v>0</v>
      </c>
      <c r="EG11" s="347">
        <v>0</v>
      </c>
      <c r="EH11" s="347">
        <v>0</v>
      </c>
      <c r="EI11" s="342">
        <f t="shared" si="47"/>
        <v>0</v>
      </c>
      <c r="EJ11" s="347">
        <f t="shared" si="48"/>
        <v>-90371.94</v>
      </c>
      <c r="EK11" s="347"/>
      <c r="EL11" s="347"/>
      <c r="EM11" s="347"/>
      <c r="EN11" s="342">
        <f t="shared" si="49"/>
        <v>0</v>
      </c>
      <c r="EO11" s="347"/>
      <c r="EP11" s="347"/>
      <c r="EQ11" s="347"/>
      <c r="ER11" s="342">
        <f t="shared" si="50"/>
        <v>0</v>
      </c>
      <c r="ES11" s="347"/>
      <c r="ET11" s="347"/>
      <c r="EU11" s="347"/>
      <c r="EV11" s="342">
        <f t="shared" si="51"/>
        <v>0</v>
      </c>
      <c r="EW11" s="347"/>
      <c r="EX11" s="347"/>
      <c r="EY11" s="347"/>
      <c r="EZ11" s="342">
        <f t="shared" si="52"/>
        <v>0</v>
      </c>
      <c r="FA11" s="347">
        <f t="shared" si="53"/>
        <v>0</v>
      </c>
      <c r="FB11" s="347">
        <f t="shared" si="55"/>
        <v>164416.95999999996</v>
      </c>
      <c r="FC11" s="351">
        <f t="shared" si="3"/>
        <v>0.13048965079365077</v>
      </c>
    </row>
    <row r="12" spans="1:159" s="6" customFormat="1" ht="18" outlineLevel="1">
      <c r="A12" s="343"/>
      <c r="B12" s="344" t="s">
        <v>484</v>
      </c>
      <c r="C12" s="349">
        <v>9454</v>
      </c>
      <c r="D12" s="350" t="s">
        <v>485</v>
      </c>
      <c r="E12" s="347">
        <v>600000</v>
      </c>
      <c r="F12" s="347">
        <v>750000</v>
      </c>
      <c r="G12" s="347">
        <v>1500000</v>
      </c>
      <c r="H12" s="342">
        <f t="shared" si="10"/>
        <v>2850000</v>
      </c>
      <c r="I12" s="347">
        <v>1500000</v>
      </c>
      <c r="J12" s="347">
        <v>1000000</v>
      </c>
      <c r="K12" s="347">
        <v>1650000</v>
      </c>
      <c r="L12" s="342">
        <f t="shared" si="11"/>
        <v>4150000</v>
      </c>
      <c r="M12" s="347"/>
      <c r="N12" s="347"/>
      <c r="O12" s="347"/>
      <c r="P12" s="342">
        <f t="shared" si="12"/>
        <v>0</v>
      </c>
      <c r="Q12" s="347"/>
      <c r="R12" s="347"/>
      <c r="S12" s="347"/>
      <c r="T12" s="342">
        <f t="shared" si="13"/>
        <v>0</v>
      </c>
      <c r="U12" s="347">
        <f t="shared" si="14"/>
        <v>7000000</v>
      </c>
      <c r="V12" s="347">
        <v>-500000</v>
      </c>
      <c r="W12" s="347">
        <v>-500000</v>
      </c>
      <c r="X12" s="347">
        <v>0</v>
      </c>
      <c r="Y12" s="342">
        <f t="shared" si="15"/>
        <v>-1000000</v>
      </c>
      <c r="Z12" s="347">
        <v>0</v>
      </c>
      <c r="AA12" s="347">
        <v>0</v>
      </c>
      <c r="AB12" s="347">
        <v>0</v>
      </c>
      <c r="AC12" s="342">
        <f t="shared" si="16"/>
        <v>0</v>
      </c>
      <c r="AD12" s="347">
        <v>0</v>
      </c>
      <c r="AE12" s="347">
        <v>0</v>
      </c>
      <c r="AF12" s="347">
        <v>0</v>
      </c>
      <c r="AG12" s="342">
        <f t="shared" si="17"/>
        <v>0</v>
      </c>
      <c r="AH12" s="347">
        <v>0</v>
      </c>
      <c r="AI12" s="347">
        <v>0</v>
      </c>
      <c r="AJ12" s="347">
        <v>0</v>
      </c>
      <c r="AK12" s="342">
        <f t="shared" si="18"/>
        <v>0</v>
      </c>
      <c r="AL12" s="347">
        <f t="shared" si="19"/>
        <v>-1000000</v>
      </c>
      <c r="AM12" s="348">
        <v>-140000</v>
      </c>
      <c r="AN12" s="348">
        <v>-200000</v>
      </c>
      <c r="AO12" s="348">
        <v>-150000</v>
      </c>
      <c r="AP12" s="342">
        <f t="shared" si="20"/>
        <v>-490000</v>
      </c>
      <c r="AQ12" s="348">
        <v>-68973</v>
      </c>
      <c r="AR12" s="348">
        <v>0</v>
      </c>
      <c r="AS12" s="348">
        <v>0</v>
      </c>
      <c r="AT12" s="342">
        <f t="shared" si="21"/>
        <v>-68973</v>
      </c>
      <c r="AU12" s="348">
        <v>0</v>
      </c>
      <c r="AV12" s="348">
        <v>0</v>
      </c>
      <c r="AW12" s="348">
        <v>0</v>
      </c>
      <c r="AX12" s="342">
        <f t="shared" si="22"/>
        <v>0</v>
      </c>
      <c r="AY12" s="348">
        <v>0</v>
      </c>
      <c r="AZ12" s="348">
        <v>0</v>
      </c>
      <c r="BA12" s="348">
        <v>0</v>
      </c>
      <c r="BB12" s="342">
        <f t="shared" si="23"/>
        <v>0</v>
      </c>
      <c r="BC12" s="347">
        <f t="shared" si="54"/>
        <v>-558973</v>
      </c>
      <c r="BD12" s="347">
        <v>-244247.59</v>
      </c>
      <c r="BE12" s="347">
        <v>-244247.59</v>
      </c>
      <c r="BF12" s="347">
        <v>-244247.59</v>
      </c>
      <c r="BG12" s="342">
        <f t="shared" si="24"/>
        <v>-732742.77</v>
      </c>
      <c r="BH12" s="347">
        <v>-244247.59</v>
      </c>
      <c r="BI12" s="347">
        <v>-244247.59</v>
      </c>
      <c r="BJ12" s="347">
        <v>-244247.59</v>
      </c>
      <c r="BK12" s="342">
        <f t="shared" si="25"/>
        <v>-732742.77</v>
      </c>
      <c r="BL12" s="347">
        <v>0</v>
      </c>
      <c r="BM12" s="347">
        <v>0</v>
      </c>
      <c r="BN12" s="347">
        <v>0</v>
      </c>
      <c r="BO12" s="342">
        <f t="shared" si="26"/>
        <v>0</v>
      </c>
      <c r="BP12" s="347">
        <v>0</v>
      </c>
      <c r="BQ12" s="347">
        <v>0</v>
      </c>
      <c r="BR12" s="347">
        <v>0</v>
      </c>
      <c r="BS12" s="342">
        <f t="shared" si="27"/>
        <v>0</v>
      </c>
      <c r="BT12" s="347">
        <f t="shared" si="28"/>
        <v>-1465485.54</v>
      </c>
      <c r="BU12" s="348">
        <v>0</v>
      </c>
      <c r="BV12" s="348">
        <v>0</v>
      </c>
      <c r="BW12" s="348">
        <v>0</v>
      </c>
      <c r="BX12" s="342">
        <f t="shared" si="29"/>
        <v>0</v>
      </c>
      <c r="BY12" s="348">
        <v>0</v>
      </c>
      <c r="BZ12" s="348">
        <v>0</v>
      </c>
      <c r="CA12" s="348">
        <v>0</v>
      </c>
      <c r="CB12" s="342">
        <f t="shared" si="30"/>
        <v>0</v>
      </c>
      <c r="CC12" s="348">
        <v>0</v>
      </c>
      <c r="CD12" s="348">
        <v>0</v>
      </c>
      <c r="CE12" s="348">
        <v>0</v>
      </c>
      <c r="CF12" s="342">
        <f t="shared" si="31"/>
        <v>0</v>
      </c>
      <c r="CG12" s="348">
        <v>0</v>
      </c>
      <c r="CH12" s="348">
        <v>0</v>
      </c>
      <c r="CI12" s="348">
        <v>0</v>
      </c>
      <c r="CJ12" s="342">
        <f t="shared" si="32"/>
        <v>0</v>
      </c>
      <c r="CK12" s="347">
        <f t="shared" si="33"/>
        <v>0</v>
      </c>
      <c r="CL12" s="347">
        <v>-57936.76</v>
      </c>
      <c r="CM12" s="347">
        <v>-57936.76</v>
      </c>
      <c r="CN12" s="347">
        <v>-57936.76</v>
      </c>
      <c r="CO12" s="342">
        <f t="shared" si="34"/>
        <v>-173810.28</v>
      </c>
      <c r="CP12" s="347">
        <v>-57936.76</v>
      </c>
      <c r="CQ12" s="347">
        <v>-57936.76</v>
      </c>
      <c r="CR12" s="347">
        <v>-57936.76</v>
      </c>
      <c r="CS12" s="342">
        <f t="shared" si="35"/>
        <v>-173810.28</v>
      </c>
      <c r="CT12" s="347">
        <v>0</v>
      </c>
      <c r="CU12" s="348">
        <v>0</v>
      </c>
      <c r="CV12" s="347">
        <v>0</v>
      </c>
      <c r="CW12" s="342">
        <f t="shared" si="36"/>
        <v>0</v>
      </c>
      <c r="CX12" s="347">
        <v>0</v>
      </c>
      <c r="CY12" s="348">
        <v>0</v>
      </c>
      <c r="CZ12" s="347">
        <v>0</v>
      </c>
      <c r="DA12" s="342">
        <f t="shared" si="37"/>
        <v>0</v>
      </c>
      <c r="DB12" s="347">
        <f t="shared" si="38"/>
        <v>-347620.56</v>
      </c>
      <c r="DC12" s="347">
        <v>0</v>
      </c>
      <c r="DD12" s="347">
        <v>0</v>
      </c>
      <c r="DE12" s="347">
        <v>0</v>
      </c>
      <c r="DF12" s="342">
        <f t="shared" si="39"/>
        <v>0</v>
      </c>
      <c r="DG12" s="347">
        <v>0</v>
      </c>
      <c r="DH12" s="347">
        <v>0</v>
      </c>
      <c r="DI12" s="347">
        <v>0</v>
      </c>
      <c r="DJ12" s="342">
        <f t="shared" si="40"/>
        <v>0</v>
      </c>
      <c r="DK12" s="347">
        <v>0</v>
      </c>
      <c r="DL12" s="347">
        <v>0</v>
      </c>
      <c r="DM12" s="347">
        <v>0</v>
      </c>
      <c r="DN12" s="342">
        <f t="shared" si="41"/>
        <v>0</v>
      </c>
      <c r="DO12" s="347">
        <v>0</v>
      </c>
      <c r="DP12" s="347">
        <v>0</v>
      </c>
      <c r="DQ12" s="347">
        <v>0</v>
      </c>
      <c r="DR12" s="342">
        <f t="shared" si="42"/>
        <v>0</v>
      </c>
      <c r="DS12" s="347">
        <f t="shared" si="43"/>
        <v>0</v>
      </c>
      <c r="DT12" s="347">
        <v>-48741.97</v>
      </c>
      <c r="DU12" s="347">
        <v>-48741.97</v>
      </c>
      <c r="DV12" s="347">
        <v>-48741.97</v>
      </c>
      <c r="DW12" s="342">
        <f t="shared" si="44"/>
        <v>-146225.91</v>
      </c>
      <c r="DX12" s="347">
        <v>-48741.97</v>
      </c>
      <c r="DY12" s="347">
        <v>-48741.97</v>
      </c>
      <c r="DZ12" s="347">
        <v>-48741.97</v>
      </c>
      <c r="EA12" s="342">
        <f t="shared" si="45"/>
        <v>-146225.91</v>
      </c>
      <c r="EB12" s="347">
        <v>-48741.97</v>
      </c>
      <c r="EC12" s="347">
        <v>-48741.97</v>
      </c>
      <c r="ED12" s="347">
        <v>-48741.97</v>
      </c>
      <c r="EE12" s="342">
        <f t="shared" si="46"/>
        <v>-146225.91</v>
      </c>
      <c r="EF12" s="347">
        <v>-48741.97</v>
      </c>
      <c r="EG12" s="347">
        <v>-48741.97</v>
      </c>
      <c r="EH12" s="347">
        <v>-48741.97</v>
      </c>
      <c r="EI12" s="342">
        <f t="shared" si="47"/>
        <v>-146225.91</v>
      </c>
      <c r="EJ12" s="347">
        <f t="shared" si="48"/>
        <v>-584903.64</v>
      </c>
      <c r="EK12" s="347"/>
      <c r="EL12" s="347"/>
      <c r="EM12" s="347"/>
      <c r="EN12" s="342">
        <f t="shared" si="49"/>
        <v>0</v>
      </c>
      <c r="EO12" s="347"/>
      <c r="EP12" s="347"/>
      <c r="EQ12" s="347"/>
      <c r="ER12" s="342">
        <f t="shared" si="50"/>
        <v>0</v>
      </c>
      <c r="ES12" s="347"/>
      <c r="ET12" s="347"/>
      <c r="EU12" s="347"/>
      <c r="EV12" s="342">
        <f t="shared" si="51"/>
        <v>0</v>
      </c>
      <c r="EW12" s="347"/>
      <c r="EX12" s="347"/>
      <c r="EY12" s="347"/>
      <c r="EZ12" s="342">
        <f t="shared" si="52"/>
        <v>0</v>
      </c>
      <c r="FA12" s="347">
        <f t="shared" si="53"/>
        <v>0</v>
      </c>
      <c r="FB12" s="347">
        <f t="shared" si="55"/>
        <v>3043017.26</v>
      </c>
      <c r="FC12" s="351">
        <f t="shared" si="3"/>
        <v>0.43471675142857141</v>
      </c>
    </row>
    <row r="13" spans="1:159" s="6" customFormat="1" ht="18" outlineLevel="1">
      <c r="A13" s="343"/>
      <c r="B13" s="344" t="s">
        <v>486</v>
      </c>
      <c r="C13" s="349">
        <v>9511</v>
      </c>
      <c r="D13" s="350" t="s">
        <v>487</v>
      </c>
      <c r="E13" s="347">
        <v>250000</v>
      </c>
      <c r="F13" s="347">
        <v>350000</v>
      </c>
      <c r="G13" s="347">
        <v>450000</v>
      </c>
      <c r="H13" s="342">
        <f t="shared" si="10"/>
        <v>1050000</v>
      </c>
      <c r="I13" s="347">
        <v>600000</v>
      </c>
      <c r="J13" s="347">
        <v>600000</v>
      </c>
      <c r="K13" s="347">
        <v>340482</v>
      </c>
      <c r="L13" s="342">
        <f t="shared" si="11"/>
        <v>1540482</v>
      </c>
      <c r="M13" s="347"/>
      <c r="N13" s="347"/>
      <c r="O13" s="347"/>
      <c r="P13" s="342">
        <f t="shared" si="12"/>
        <v>0</v>
      </c>
      <c r="Q13" s="347"/>
      <c r="R13" s="347"/>
      <c r="S13" s="347"/>
      <c r="T13" s="342">
        <f t="shared" si="13"/>
        <v>0</v>
      </c>
      <c r="U13" s="347">
        <f t="shared" si="14"/>
        <v>2590482</v>
      </c>
      <c r="V13" s="347">
        <v>-800000</v>
      </c>
      <c r="W13" s="347">
        <v>-233410</v>
      </c>
      <c r="X13" s="347">
        <v>0</v>
      </c>
      <c r="Y13" s="342">
        <f t="shared" si="15"/>
        <v>-1033410</v>
      </c>
      <c r="Z13" s="347">
        <v>0</v>
      </c>
      <c r="AA13" s="347">
        <v>0</v>
      </c>
      <c r="AB13" s="347">
        <v>0</v>
      </c>
      <c r="AC13" s="342">
        <f t="shared" si="16"/>
        <v>0</v>
      </c>
      <c r="AD13" s="347">
        <v>0</v>
      </c>
      <c r="AE13" s="347">
        <v>0</v>
      </c>
      <c r="AF13" s="347">
        <v>0</v>
      </c>
      <c r="AG13" s="342">
        <f t="shared" si="17"/>
        <v>0</v>
      </c>
      <c r="AH13" s="347">
        <v>0</v>
      </c>
      <c r="AI13" s="347">
        <v>0</v>
      </c>
      <c r="AJ13" s="347">
        <v>0</v>
      </c>
      <c r="AK13" s="342">
        <f t="shared" si="18"/>
        <v>0</v>
      </c>
      <c r="AL13" s="347">
        <f t="shared" si="19"/>
        <v>-1033410</v>
      </c>
      <c r="AM13" s="348">
        <v>-40000</v>
      </c>
      <c r="AN13" s="348">
        <v>-40000</v>
      </c>
      <c r="AO13" s="348">
        <v>-35888</v>
      </c>
      <c r="AP13" s="342">
        <f t="shared" si="20"/>
        <v>-115888</v>
      </c>
      <c r="AQ13" s="348">
        <v>-10000</v>
      </c>
      <c r="AR13" s="348">
        <v>0</v>
      </c>
      <c r="AS13" s="348">
        <v>0</v>
      </c>
      <c r="AT13" s="342">
        <f t="shared" si="21"/>
        <v>-10000</v>
      </c>
      <c r="AU13" s="348">
        <v>0</v>
      </c>
      <c r="AV13" s="348">
        <v>0</v>
      </c>
      <c r="AW13" s="348">
        <v>0</v>
      </c>
      <c r="AX13" s="342">
        <f t="shared" si="22"/>
        <v>0</v>
      </c>
      <c r="AY13" s="348">
        <v>0</v>
      </c>
      <c r="AZ13" s="348">
        <v>0</v>
      </c>
      <c r="BA13" s="348">
        <v>0</v>
      </c>
      <c r="BB13" s="342">
        <f t="shared" si="23"/>
        <v>0</v>
      </c>
      <c r="BC13" s="347">
        <f t="shared" si="54"/>
        <v>-125888</v>
      </c>
      <c r="BD13" s="347">
        <v>0</v>
      </c>
      <c r="BE13" s="347">
        <v>-542330.56000000006</v>
      </c>
      <c r="BF13" s="347">
        <v>0</v>
      </c>
      <c r="BG13" s="342">
        <f t="shared" si="24"/>
        <v>-542330.56000000006</v>
      </c>
      <c r="BH13" s="347">
        <v>0</v>
      </c>
      <c r="BI13" s="347">
        <v>0</v>
      </c>
      <c r="BJ13" s="347">
        <v>0</v>
      </c>
      <c r="BK13" s="342">
        <f t="shared" si="25"/>
        <v>0</v>
      </c>
      <c r="BL13" s="347">
        <v>0</v>
      </c>
      <c r="BM13" s="347">
        <v>0</v>
      </c>
      <c r="BN13" s="347">
        <v>0</v>
      </c>
      <c r="BO13" s="342">
        <f t="shared" si="26"/>
        <v>0</v>
      </c>
      <c r="BP13" s="347">
        <v>0</v>
      </c>
      <c r="BQ13" s="347">
        <v>0</v>
      </c>
      <c r="BR13" s="347">
        <v>0</v>
      </c>
      <c r="BS13" s="342">
        <f t="shared" si="27"/>
        <v>0</v>
      </c>
      <c r="BT13" s="347">
        <f t="shared" si="28"/>
        <v>-542330.56000000006</v>
      </c>
      <c r="BU13" s="348">
        <v>0</v>
      </c>
      <c r="BV13" s="348">
        <v>0</v>
      </c>
      <c r="BW13" s="348">
        <v>0</v>
      </c>
      <c r="BX13" s="342">
        <f t="shared" si="29"/>
        <v>0</v>
      </c>
      <c r="BY13" s="348">
        <v>0</v>
      </c>
      <c r="BZ13" s="348">
        <v>0</v>
      </c>
      <c r="CA13" s="348">
        <v>0</v>
      </c>
      <c r="CB13" s="342">
        <f t="shared" si="30"/>
        <v>0</v>
      </c>
      <c r="CC13" s="348">
        <v>0</v>
      </c>
      <c r="CD13" s="348">
        <v>0</v>
      </c>
      <c r="CE13" s="348">
        <v>0</v>
      </c>
      <c r="CF13" s="342">
        <f t="shared" si="31"/>
        <v>0</v>
      </c>
      <c r="CG13" s="348">
        <v>0</v>
      </c>
      <c r="CH13" s="348">
        <v>0</v>
      </c>
      <c r="CI13" s="348">
        <v>0</v>
      </c>
      <c r="CJ13" s="342">
        <f t="shared" si="32"/>
        <v>0</v>
      </c>
      <c r="CK13" s="347">
        <f t="shared" si="33"/>
        <v>0</v>
      </c>
      <c r="CL13" s="347">
        <v>0</v>
      </c>
      <c r="CM13" s="348">
        <v>-128643.54</v>
      </c>
      <c r="CN13" s="347">
        <v>0</v>
      </c>
      <c r="CO13" s="342">
        <f t="shared" si="34"/>
        <v>-128643.54</v>
      </c>
      <c r="CP13" s="347">
        <v>0</v>
      </c>
      <c r="CQ13" s="348">
        <v>0</v>
      </c>
      <c r="CR13" s="347">
        <v>0</v>
      </c>
      <c r="CS13" s="342">
        <f t="shared" si="35"/>
        <v>0</v>
      </c>
      <c r="CT13" s="347">
        <v>0</v>
      </c>
      <c r="CU13" s="348">
        <v>0</v>
      </c>
      <c r="CV13" s="347">
        <v>0</v>
      </c>
      <c r="CW13" s="342">
        <f t="shared" si="36"/>
        <v>0</v>
      </c>
      <c r="CX13" s="347">
        <v>0</v>
      </c>
      <c r="CY13" s="348">
        <v>0</v>
      </c>
      <c r="CZ13" s="347">
        <v>0</v>
      </c>
      <c r="DA13" s="342">
        <f t="shared" si="37"/>
        <v>0</v>
      </c>
      <c r="DB13" s="347">
        <f t="shared" si="38"/>
        <v>-128643.54</v>
      </c>
      <c r="DC13" s="347">
        <v>0</v>
      </c>
      <c r="DD13" s="347">
        <v>0</v>
      </c>
      <c r="DE13" s="347">
        <v>0</v>
      </c>
      <c r="DF13" s="342">
        <f t="shared" si="39"/>
        <v>0</v>
      </c>
      <c r="DG13" s="347">
        <v>0</v>
      </c>
      <c r="DH13" s="347">
        <v>0</v>
      </c>
      <c r="DI13" s="347">
        <v>0</v>
      </c>
      <c r="DJ13" s="342">
        <f t="shared" si="40"/>
        <v>0</v>
      </c>
      <c r="DK13" s="347">
        <v>0</v>
      </c>
      <c r="DL13" s="347">
        <v>0</v>
      </c>
      <c r="DM13" s="347">
        <v>0</v>
      </c>
      <c r="DN13" s="342">
        <f t="shared" si="41"/>
        <v>0</v>
      </c>
      <c r="DO13" s="347">
        <v>0</v>
      </c>
      <c r="DP13" s="347">
        <v>0</v>
      </c>
      <c r="DQ13" s="347">
        <v>0</v>
      </c>
      <c r="DR13" s="342">
        <f t="shared" si="42"/>
        <v>0</v>
      </c>
      <c r="DS13" s="347">
        <f t="shared" si="43"/>
        <v>0</v>
      </c>
      <c r="DT13" s="347">
        <v>-31135.41</v>
      </c>
      <c r="DU13" s="347">
        <v>-31135.41</v>
      </c>
      <c r="DV13" s="347">
        <v>-31135.41</v>
      </c>
      <c r="DW13" s="342">
        <f t="shared" si="44"/>
        <v>-93406.23</v>
      </c>
      <c r="DX13" s="347">
        <v>-31135.41</v>
      </c>
      <c r="DY13" s="347">
        <v>-31135.41</v>
      </c>
      <c r="DZ13" s="347">
        <v>-31135.41</v>
      </c>
      <c r="EA13" s="342">
        <f t="shared" si="45"/>
        <v>-93406.23</v>
      </c>
      <c r="EB13" s="347">
        <v>-31135.41</v>
      </c>
      <c r="EC13" s="347">
        <v>-31135.41</v>
      </c>
      <c r="ED13" s="347">
        <v>-31135.41</v>
      </c>
      <c r="EE13" s="342">
        <f t="shared" si="46"/>
        <v>-93406.23</v>
      </c>
      <c r="EF13" s="347">
        <v>-31135.41</v>
      </c>
      <c r="EG13" s="347">
        <v>-31135.41</v>
      </c>
      <c r="EH13" s="347">
        <v>-31135.41</v>
      </c>
      <c r="EI13" s="342">
        <f t="shared" si="47"/>
        <v>-93406.23</v>
      </c>
      <c r="EJ13" s="347">
        <f t="shared" si="48"/>
        <v>-373624.92</v>
      </c>
      <c r="EK13" s="347"/>
      <c r="EL13" s="347"/>
      <c r="EM13" s="347"/>
      <c r="EN13" s="342">
        <f t="shared" si="49"/>
        <v>0</v>
      </c>
      <c r="EO13" s="347"/>
      <c r="EP13" s="347"/>
      <c r="EQ13" s="347"/>
      <c r="ER13" s="342">
        <f t="shared" si="50"/>
        <v>0</v>
      </c>
      <c r="ES13" s="347"/>
      <c r="ET13" s="347"/>
      <c r="EU13" s="347"/>
      <c r="EV13" s="342">
        <f t="shared" si="51"/>
        <v>0</v>
      </c>
      <c r="EW13" s="347"/>
      <c r="EX13" s="347"/>
      <c r="EY13" s="347"/>
      <c r="EZ13" s="342">
        <f t="shared" si="52"/>
        <v>0</v>
      </c>
      <c r="FA13" s="347">
        <f t="shared" si="53"/>
        <v>0</v>
      </c>
      <c r="FB13" s="347">
        <f t="shared" si="55"/>
        <v>386584.97999999992</v>
      </c>
      <c r="FC13" s="351">
        <f t="shared" si="3"/>
        <v>0.14923283774988591</v>
      </c>
    </row>
    <row r="14" spans="1:159" s="6" customFormat="1" ht="18" outlineLevel="1">
      <c r="A14" s="343"/>
      <c r="B14" s="344" t="s">
        <v>488</v>
      </c>
      <c r="C14" s="349">
        <v>9589</v>
      </c>
      <c r="D14" s="350" t="s">
        <v>489</v>
      </c>
      <c r="E14" s="347"/>
      <c r="F14" s="347">
        <v>2500000</v>
      </c>
      <c r="G14" s="347">
        <v>3000000</v>
      </c>
      <c r="H14" s="342">
        <f t="shared" si="10"/>
        <v>5500000</v>
      </c>
      <c r="I14" s="347">
        <v>3000000</v>
      </c>
      <c r="J14" s="347">
        <v>3000000</v>
      </c>
      <c r="K14" s="347">
        <v>3500000</v>
      </c>
      <c r="L14" s="342">
        <f t="shared" si="11"/>
        <v>9500000</v>
      </c>
      <c r="M14" s="347">
        <v>3500000</v>
      </c>
      <c r="N14" s="347">
        <v>3500000</v>
      </c>
      <c r="O14" s="347">
        <v>3500000</v>
      </c>
      <c r="P14" s="342">
        <f t="shared" si="12"/>
        <v>10500000</v>
      </c>
      <c r="Q14" s="347">
        <v>2436612</v>
      </c>
      <c r="R14" s="347">
        <v>1500000</v>
      </c>
      <c r="S14" s="347">
        <v>1500000</v>
      </c>
      <c r="T14" s="342">
        <f t="shared" si="13"/>
        <v>5436612</v>
      </c>
      <c r="U14" s="347">
        <f t="shared" si="14"/>
        <v>30936612</v>
      </c>
      <c r="V14" s="347">
        <v>-3000000</v>
      </c>
      <c r="W14" s="347">
        <v>-3000000</v>
      </c>
      <c r="X14" s="347">
        <v>-5000000</v>
      </c>
      <c r="Y14" s="342">
        <f t="shared" si="15"/>
        <v>-11000000</v>
      </c>
      <c r="Z14" s="347">
        <v>-5000000</v>
      </c>
      <c r="AA14" s="347">
        <v>-2000000</v>
      </c>
      <c r="AB14" s="347">
        <v>-2000000</v>
      </c>
      <c r="AC14" s="342">
        <f t="shared" si="16"/>
        <v>-9000000</v>
      </c>
      <c r="AD14" s="347">
        <v>0</v>
      </c>
      <c r="AE14" s="347">
        <v>0</v>
      </c>
      <c r="AF14" s="347">
        <v>0</v>
      </c>
      <c r="AG14" s="342">
        <f t="shared" si="17"/>
        <v>0</v>
      </c>
      <c r="AH14" s="347">
        <v>0</v>
      </c>
      <c r="AI14" s="347">
        <v>0</v>
      </c>
      <c r="AJ14" s="347">
        <v>0</v>
      </c>
      <c r="AK14" s="342">
        <f t="shared" si="18"/>
        <v>0</v>
      </c>
      <c r="AL14" s="347">
        <f t="shared" si="19"/>
        <v>-20000000</v>
      </c>
      <c r="AM14" s="348">
        <v>-70000</v>
      </c>
      <c r="AN14" s="348">
        <v>-70000</v>
      </c>
      <c r="AO14" s="348">
        <v>-20000</v>
      </c>
      <c r="AP14" s="342">
        <f t="shared" si="20"/>
        <v>-160000</v>
      </c>
      <c r="AQ14" s="348">
        <v>-20000</v>
      </c>
      <c r="AR14" s="348">
        <v>-20000</v>
      </c>
      <c r="AS14" s="348">
        <v>-20000</v>
      </c>
      <c r="AT14" s="342">
        <f t="shared" si="21"/>
        <v>-60000</v>
      </c>
      <c r="AU14" s="348">
        <v>-20000</v>
      </c>
      <c r="AV14" s="348">
        <v>-20000</v>
      </c>
      <c r="AW14" s="348">
        <v>-20000</v>
      </c>
      <c r="AX14" s="342">
        <f t="shared" si="22"/>
        <v>-60000</v>
      </c>
      <c r="AY14" s="348">
        <v>-20000</v>
      </c>
      <c r="AZ14" s="348">
        <v>-20000</v>
      </c>
      <c r="BA14" s="348">
        <v>-6484</v>
      </c>
      <c r="BB14" s="342">
        <f t="shared" si="23"/>
        <v>-46484</v>
      </c>
      <c r="BC14" s="347">
        <f t="shared" si="54"/>
        <v>-326484</v>
      </c>
      <c r="BD14" s="347">
        <v>0</v>
      </c>
      <c r="BE14" s="347">
        <v>-719637.42</v>
      </c>
      <c r="BF14" s="347">
        <v>-719637.42</v>
      </c>
      <c r="BG14" s="342">
        <f t="shared" si="24"/>
        <v>-1439274.84</v>
      </c>
      <c r="BH14" s="347">
        <v>-719637.42</v>
      </c>
      <c r="BI14" s="347">
        <v>-719637.42</v>
      </c>
      <c r="BJ14" s="347">
        <v>-719637.42</v>
      </c>
      <c r="BK14" s="342">
        <f t="shared" si="25"/>
        <v>-2158912.2600000002</v>
      </c>
      <c r="BL14" s="347">
        <v>-719637.42</v>
      </c>
      <c r="BM14" s="347">
        <v>-719637.42</v>
      </c>
      <c r="BN14" s="347">
        <v>-719637.42</v>
      </c>
      <c r="BO14" s="342">
        <f t="shared" si="26"/>
        <v>-2158912.2600000002</v>
      </c>
      <c r="BP14" s="347">
        <v>-719637.42</v>
      </c>
      <c r="BQ14" s="347">
        <v>0</v>
      </c>
      <c r="BR14" s="347">
        <v>0</v>
      </c>
      <c r="BS14" s="342">
        <f t="shared" si="27"/>
        <v>-719637.42</v>
      </c>
      <c r="BT14" s="347">
        <f t="shared" si="28"/>
        <v>-6476736.7800000003</v>
      </c>
      <c r="BU14" s="348">
        <v>0</v>
      </c>
      <c r="BV14" s="348">
        <v>0</v>
      </c>
      <c r="BW14" s="348">
        <v>0</v>
      </c>
      <c r="BX14" s="342">
        <f t="shared" si="29"/>
        <v>0</v>
      </c>
      <c r="BY14" s="348">
        <v>0</v>
      </c>
      <c r="BZ14" s="348">
        <v>0</v>
      </c>
      <c r="CA14" s="348">
        <v>0</v>
      </c>
      <c r="CB14" s="342">
        <f t="shared" si="30"/>
        <v>0</v>
      </c>
      <c r="CC14" s="348">
        <v>0</v>
      </c>
      <c r="CD14" s="348">
        <v>0</v>
      </c>
      <c r="CE14" s="348">
        <v>0</v>
      </c>
      <c r="CF14" s="342">
        <f t="shared" si="31"/>
        <v>0</v>
      </c>
      <c r="CG14" s="348">
        <v>0</v>
      </c>
      <c r="CH14" s="348">
        <v>0</v>
      </c>
      <c r="CI14" s="348">
        <v>0</v>
      </c>
      <c r="CJ14" s="342">
        <f t="shared" si="32"/>
        <v>0</v>
      </c>
      <c r="CK14" s="347">
        <f t="shared" si="33"/>
        <v>0</v>
      </c>
      <c r="CL14" s="347">
        <v>0</v>
      </c>
      <c r="CM14" s="348">
        <v>-170701.62</v>
      </c>
      <c r="CN14" s="348">
        <v>-170701.62</v>
      </c>
      <c r="CO14" s="342">
        <f t="shared" si="34"/>
        <v>-341403.24</v>
      </c>
      <c r="CP14" s="348">
        <v>-170701.62</v>
      </c>
      <c r="CQ14" s="348">
        <v>-170701.62</v>
      </c>
      <c r="CR14" s="348">
        <v>-170701.62</v>
      </c>
      <c r="CS14" s="342">
        <f t="shared" si="35"/>
        <v>-512104.86</v>
      </c>
      <c r="CT14" s="348">
        <v>-170701.62</v>
      </c>
      <c r="CU14" s="348">
        <v>-170701.62</v>
      </c>
      <c r="CV14" s="348">
        <v>-170701.62</v>
      </c>
      <c r="CW14" s="342">
        <f t="shared" si="36"/>
        <v>-512104.86</v>
      </c>
      <c r="CX14" s="348">
        <v>-170701.62</v>
      </c>
      <c r="CY14" s="348">
        <v>0</v>
      </c>
      <c r="CZ14" s="347">
        <v>0</v>
      </c>
      <c r="DA14" s="342">
        <f t="shared" si="37"/>
        <v>-170701.62</v>
      </c>
      <c r="DB14" s="347">
        <f t="shared" si="38"/>
        <v>-1536314.5799999998</v>
      </c>
      <c r="DC14" s="347">
        <v>0</v>
      </c>
      <c r="DD14" s="347">
        <v>-161620.79999999999</v>
      </c>
      <c r="DE14" s="347">
        <v>-193944.95999999999</v>
      </c>
      <c r="DF14" s="342">
        <f t="shared" si="39"/>
        <v>-355565.76</v>
      </c>
      <c r="DG14" s="347">
        <v>-193944.95999999999</v>
      </c>
      <c r="DH14" s="347">
        <v>-193944.95999999999</v>
      </c>
      <c r="DI14" s="347">
        <v>-226269.12</v>
      </c>
      <c r="DJ14" s="342">
        <f t="shared" si="40"/>
        <v>-614159.04</v>
      </c>
      <c r="DK14" s="347">
        <v>-226269.12</v>
      </c>
      <c r="DL14" s="347">
        <v>-226269.12</v>
      </c>
      <c r="DM14" s="347">
        <v>-226269.12</v>
      </c>
      <c r="DN14" s="342">
        <f t="shared" si="41"/>
        <v>-678807.36</v>
      </c>
      <c r="DO14" s="347">
        <v>-157522.87</v>
      </c>
      <c r="DP14" s="347">
        <v>-96972.479999999996</v>
      </c>
      <c r="DQ14" s="347">
        <v>-96972.479999999996</v>
      </c>
      <c r="DR14" s="342">
        <f t="shared" si="42"/>
        <v>-351467.82999999996</v>
      </c>
      <c r="DS14" s="347">
        <f t="shared" si="43"/>
        <v>-1999999.99</v>
      </c>
      <c r="DT14" s="347">
        <v>-123525.33</v>
      </c>
      <c r="DU14" s="347">
        <v>-123525.33</v>
      </c>
      <c r="DV14" s="347">
        <v>-123525.33</v>
      </c>
      <c r="DW14" s="342">
        <f t="shared" si="44"/>
        <v>-370575.99</v>
      </c>
      <c r="DX14" s="347">
        <v>-123525.33</v>
      </c>
      <c r="DY14" s="347">
        <v>-123525.33</v>
      </c>
      <c r="DZ14" s="347">
        <v>-123525.33</v>
      </c>
      <c r="EA14" s="342">
        <f t="shared" si="45"/>
        <v>-370575.99</v>
      </c>
      <c r="EB14" s="347">
        <v>-123525.33</v>
      </c>
      <c r="EC14" s="347">
        <v>-123525.33</v>
      </c>
      <c r="ED14" s="347">
        <v>-123525.33</v>
      </c>
      <c r="EE14" s="342">
        <f t="shared" si="46"/>
        <v>-370575.99</v>
      </c>
      <c r="EF14" s="347">
        <v>-123525.33</v>
      </c>
      <c r="EG14" s="347">
        <v>-123525.33</v>
      </c>
      <c r="EH14" s="347">
        <v>-123525.33</v>
      </c>
      <c r="EI14" s="342">
        <f t="shared" si="47"/>
        <v>-370575.99</v>
      </c>
      <c r="EJ14" s="347">
        <f t="shared" si="48"/>
        <v>-1482303.96</v>
      </c>
      <c r="EK14" s="347"/>
      <c r="EL14" s="347"/>
      <c r="EM14" s="347"/>
      <c r="EN14" s="342">
        <f t="shared" si="49"/>
        <v>0</v>
      </c>
      <c r="EO14" s="347"/>
      <c r="EP14" s="347"/>
      <c r="EQ14" s="347"/>
      <c r="ER14" s="342">
        <f t="shared" si="50"/>
        <v>0</v>
      </c>
      <c r="ES14" s="347"/>
      <c r="ET14" s="347"/>
      <c r="EU14" s="347"/>
      <c r="EV14" s="342">
        <f t="shared" si="51"/>
        <v>0</v>
      </c>
      <c r="EW14" s="347"/>
      <c r="EX14" s="347"/>
      <c r="EY14" s="347"/>
      <c r="EZ14" s="342">
        <f t="shared" si="52"/>
        <v>0</v>
      </c>
      <c r="FA14" s="347">
        <f t="shared" si="53"/>
        <v>0</v>
      </c>
      <c r="FB14" s="347">
        <f t="shared" si="55"/>
        <v>-885227.31000000029</v>
      </c>
      <c r="FC14" s="351">
        <f t="shared" si="3"/>
        <v>-2.8614229315091139E-2</v>
      </c>
    </row>
    <row r="15" spans="1:159" s="6" customFormat="1" ht="18" outlineLevel="1">
      <c r="A15" s="343"/>
      <c r="B15" s="344" t="s">
        <v>490</v>
      </c>
      <c r="C15" s="349">
        <v>9606</v>
      </c>
      <c r="D15" s="350" t="s">
        <v>491</v>
      </c>
      <c r="E15" s="347">
        <v>1200000</v>
      </c>
      <c r="F15" s="347">
        <v>200000</v>
      </c>
      <c r="G15" s="347"/>
      <c r="H15" s="342">
        <f t="shared" si="10"/>
        <v>1400000</v>
      </c>
      <c r="I15" s="347"/>
      <c r="J15" s="347"/>
      <c r="K15" s="347"/>
      <c r="L15" s="342">
        <f t="shared" si="11"/>
        <v>0</v>
      </c>
      <c r="M15" s="347"/>
      <c r="N15" s="347"/>
      <c r="O15" s="347"/>
      <c r="P15" s="342">
        <f t="shared" si="12"/>
        <v>0</v>
      </c>
      <c r="Q15" s="347"/>
      <c r="R15" s="347"/>
      <c r="S15" s="347"/>
      <c r="T15" s="342">
        <f t="shared" si="13"/>
        <v>0</v>
      </c>
      <c r="U15" s="347">
        <f t="shared" si="14"/>
        <v>1400000</v>
      </c>
      <c r="V15" s="347">
        <v>-100000</v>
      </c>
      <c r="W15" s="347">
        <v>0</v>
      </c>
      <c r="X15" s="347">
        <v>0</v>
      </c>
      <c r="Y15" s="342">
        <f t="shared" si="15"/>
        <v>-100000</v>
      </c>
      <c r="Z15" s="347">
        <v>0</v>
      </c>
      <c r="AA15" s="347">
        <v>0</v>
      </c>
      <c r="AB15" s="347">
        <v>0</v>
      </c>
      <c r="AC15" s="342">
        <f t="shared" si="16"/>
        <v>0</v>
      </c>
      <c r="AD15" s="347">
        <v>0</v>
      </c>
      <c r="AE15" s="347">
        <v>0</v>
      </c>
      <c r="AF15" s="347">
        <v>0</v>
      </c>
      <c r="AG15" s="342">
        <f t="shared" si="17"/>
        <v>0</v>
      </c>
      <c r="AH15" s="347">
        <v>0</v>
      </c>
      <c r="AI15" s="347">
        <v>0</v>
      </c>
      <c r="AJ15" s="347">
        <v>0</v>
      </c>
      <c r="AK15" s="342">
        <f t="shared" si="18"/>
        <v>0</v>
      </c>
      <c r="AL15" s="347">
        <f t="shared" si="19"/>
        <v>-100000</v>
      </c>
      <c r="AM15" s="348">
        <v>0</v>
      </c>
      <c r="AN15" s="348">
        <v>0</v>
      </c>
      <c r="AO15" s="348">
        <v>0</v>
      </c>
      <c r="AP15" s="342">
        <f t="shared" si="20"/>
        <v>0</v>
      </c>
      <c r="AQ15" s="348">
        <v>0</v>
      </c>
      <c r="AR15" s="348">
        <v>0</v>
      </c>
      <c r="AS15" s="348">
        <v>0</v>
      </c>
      <c r="AT15" s="342">
        <f t="shared" si="21"/>
        <v>0</v>
      </c>
      <c r="AU15" s="348">
        <v>0</v>
      </c>
      <c r="AV15" s="348">
        <v>0</v>
      </c>
      <c r="AW15" s="348">
        <v>0</v>
      </c>
      <c r="AX15" s="342">
        <f t="shared" si="22"/>
        <v>0</v>
      </c>
      <c r="AY15" s="348">
        <v>0</v>
      </c>
      <c r="AZ15" s="348">
        <v>0</v>
      </c>
      <c r="BA15" s="348">
        <v>0</v>
      </c>
      <c r="BB15" s="342">
        <f t="shared" si="23"/>
        <v>0</v>
      </c>
      <c r="BC15" s="347">
        <f t="shared" si="54"/>
        <v>0</v>
      </c>
      <c r="BD15" s="347">
        <v>-146548.54999999999</v>
      </c>
      <c r="BE15" s="347">
        <v>-146548.54999999999</v>
      </c>
      <c r="BF15" s="347">
        <v>0</v>
      </c>
      <c r="BG15" s="342">
        <f t="shared" si="24"/>
        <v>-293097.09999999998</v>
      </c>
      <c r="BH15" s="347">
        <v>0</v>
      </c>
      <c r="BI15" s="347">
        <v>0</v>
      </c>
      <c r="BJ15" s="347">
        <v>0</v>
      </c>
      <c r="BK15" s="342">
        <f t="shared" si="25"/>
        <v>0</v>
      </c>
      <c r="BL15" s="347">
        <v>0</v>
      </c>
      <c r="BM15" s="347">
        <v>0</v>
      </c>
      <c r="BN15" s="347">
        <v>0</v>
      </c>
      <c r="BO15" s="342">
        <f t="shared" si="26"/>
        <v>0</v>
      </c>
      <c r="BP15" s="347">
        <v>0</v>
      </c>
      <c r="BQ15" s="347">
        <v>0</v>
      </c>
      <c r="BR15" s="347">
        <v>0</v>
      </c>
      <c r="BS15" s="342">
        <f t="shared" si="27"/>
        <v>0</v>
      </c>
      <c r="BT15" s="347">
        <f t="shared" si="28"/>
        <v>-293097.09999999998</v>
      </c>
      <c r="BU15" s="348">
        <v>0</v>
      </c>
      <c r="BV15" s="348">
        <v>0</v>
      </c>
      <c r="BW15" s="348">
        <v>0</v>
      </c>
      <c r="BX15" s="342">
        <f t="shared" si="29"/>
        <v>0</v>
      </c>
      <c r="BY15" s="348">
        <v>0</v>
      </c>
      <c r="BZ15" s="348">
        <v>0</v>
      </c>
      <c r="CA15" s="348">
        <v>0</v>
      </c>
      <c r="CB15" s="342">
        <f t="shared" si="30"/>
        <v>0</v>
      </c>
      <c r="CC15" s="348">
        <v>0</v>
      </c>
      <c r="CD15" s="348">
        <v>0</v>
      </c>
      <c r="CE15" s="348">
        <v>0</v>
      </c>
      <c r="CF15" s="342">
        <f t="shared" si="31"/>
        <v>0</v>
      </c>
      <c r="CG15" s="348">
        <v>0</v>
      </c>
      <c r="CH15" s="348">
        <v>0</v>
      </c>
      <c r="CI15" s="348">
        <v>0</v>
      </c>
      <c r="CJ15" s="342">
        <f t="shared" si="32"/>
        <v>0</v>
      </c>
      <c r="CK15" s="347">
        <f t="shared" si="33"/>
        <v>0</v>
      </c>
      <c r="CL15" s="347">
        <v>-34762.050000000003</v>
      </c>
      <c r="CM15" s="347">
        <v>-34762.050000000003</v>
      </c>
      <c r="CN15" s="347">
        <v>0</v>
      </c>
      <c r="CO15" s="342">
        <f t="shared" si="34"/>
        <v>-69524.100000000006</v>
      </c>
      <c r="CP15" s="347">
        <v>0</v>
      </c>
      <c r="CQ15" s="347">
        <v>0</v>
      </c>
      <c r="CR15" s="347">
        <v>0</v>
      </c>
      <c r="CS15" s="342">
        <f t="shared" si="35"/>
        <v>0</v>
      </c>
      <c r="CT15" s="347">
        <v>0</v>
      </c>
      <c r="CU15" s="348">
        <v>0</v>
      </c>
      <c r="CV15" s="347">
        <v>0</v>
      </c>
      <c r="CW15" s="342">
        <f t="shared" si="36"/>
        <v>0</v>
      </c>
      <c r="CX15" s="347">
        <v>0</v>
      </c>
      <c r="CY15" s="348">
        <v>0</v>
      </c>
      <c r="CZ15" s="347">
        <v>0</v>
      </c>
      <c r="DA15" s="342">
        <f t="shared" si="37"/>
        <v>0</v>
      </c>
      <c r="DB15" s="347">
        <f t="shared" si="38"/>
        <v>-69524.100000000006</v>
      </c>
      <c r="DC15" s="347">
        <v>-600000</v>
      </c>
      <c r="DD15" s="347">
        <v>-100000</v>
      </c>
      <c r="DE15" s="347">
        <v>0</v>
      </c>
      <c r="DF15" s="342">
        <f t="shared" si="39"/>
        <v>-700000</v>
      </c>
      <c r="DG15" s="347"/>
      <c r="DH15" s="347"/>
      <c r="DI15" s="347"/>
      <c r="DJ15" s="342">
        <f t="shared" si="40"/>
        <v>0</v>
      </c>
      <c r="DK15" s="347"/>
      <c r="DL15" s="347"/>
      <c r="DM15" s="347"/>
      <c r="DN15" s="342">
        <f t="shared" si="41"/>
        <v>0</v>
      </c>
      <c r="DO15" s="347"/>
      <c r="DP15" s="347"/>
      <c r="DQ15" s="347"/>
      <c r="DR15" s="342">
        <f t="shared" si="42"/>
        <v>0</v>
      </c>
      <c r="DS15" s="347">
        <f t="shared" si="43"/>
        <v>-700000</v>
      </c>
      <c r="DT15" s="347">
        <v>-28359.97</v>
      </c>
      <c r="DU15" s="347">
        <v>-28359.97</v>
      </c>
      <c r="DV15" s="347">
        <v>-28359.97</v>
      </c>
      <c r="DW15" s="342">
        <f t="shared" si="44"/>
        <v>-85079.91</v>
      </c>
      <c r="DX15" s="347">
        <v>0</v>
      </c>
      <c r="DY15" s="347">
        <v>0</v>
      </c>
      <c r="DZ15" s="347">
        <v>0</v>
      </c>
      <c r="EA15" s="342">
        <f t="shared" si="45"/>
        <v>0</v>
      </c>
      <c r="EB15" s="347">
        <v>0</v>
      </c>
      <c r="EC15" s="347">
        <v>0</v>
      </c>
      <c r="ED15" s="347">
        <v>0</v>
      </c>
      <c r="EE15" s="342">
        <f t="shared" si="46"/>
        <v>0</v>
      </c>
      <c r="EF15" s="347">
        <v>0</v>
      </c>
      <c r="EG15" s="347">
        <v>0</v>
      </c>
      <c r="EH15" s="347">
        <v>0</v>
      </c>
      <c r="EI15" s="342">
        <f t="shared" si="47"/>
        <v>0</v>
      </c>
      <c r="EJ15" s="347">
        <f t="shared" si="48"/>
        <v>-85079.91</v>
      </c>
      <c r="EK15" s="347"/>
      <c r="EL15" s="347"/>
      <c r="EM15" s="347"/>
      <c r="EN15" s="342">
        <f t="shared" si="49"/>
        <v>0</v>
      </c>
      <c r="EO15" s="347"/>
      <c r="EP15" s="347"/>
      <c r="EQ15" s="347"/>
      <c r="ER15" s="342">
        <f t="shared" si="50"/>
        <v>0</v>
      </c>
      <c r="ES15" s="347"/>
      <c r="ET15" s="347"/>
      <c r="EU15" s="347"/>
      <c r="EV15" s="342">
        <f t="shared" si="51"/>
        <v>0</v>
      </c>
      <c r="EW15" s="347"/>
      <c r="EX15" s="347"/>
      <c r="EY15" s="347"/>
      <c r="EZ15" s="342">
        <f t="shared" si="52"/>
        <v>0</v>
      </c>
      <c r="FA15" s="347">
        <f t="shared" si="53"/>
        <v>0</v>
      </c>
      <c r="FB15" s="347">
        <f t="shared" si="55"/>
        <v>152298.89000000004</v>
      </c>
      <c r="FC15" s="351"/>
    </row>
    <row r="16" spans="1:159" s="6" customFormat="1" ht="18" outlineLevel="1">
      <c r="A16" s="343"/>
      <c r="B16" s="344" t="s">
        <v>492</v>
      </c>
      <c r="C16" s="349"/>
      <c r="D16" s="350" t="s">
        <v>493</v>
      </c>
      <c r="E16" s="347">
        <v>5788558.333333333</v>
      </c>
      <c r="F16" s="347">
        <v>5788558.333333333</v>
      </c>
      <c r="G16" s="347">
        <v>5788558.333333333</v>
      </c>
      <c r="H16" s="342">
        <f t="shared" si="10"/>
        <v>17365675</v>
      </c>
      <c r="I16" s="347">
        <v>5788558.333333333</v>
      </c>
      <c r="J16" s="347">
        <v>5788558.333333333</v>
      </c>
      <c r="K16" s="347">
        <v>5788558.333333333</v>
      </c>
      <c r="L16" s="342">
        <f t="shared" si="11"/>
        <v>17365675</v>
      </c>
      <c r="M16" s="347"/>
      <c r="N16" s="347"/>
      <c r="O16" s="347"/>
      <c r="P16" s="342">
        <f t="shared" si="12"/>
        <v>0</v>
      </c>
      <c r="Q16" s="347"/>
      <c r="R16" s="347"/>
      <c r="S16" s="347"/>
      <c r="T16" s="342">
        <f t="shared" si="13"/>
        <v>0</v>
      </c>
      <c r="U16" s="347">
        <f t="shared" si="14"/>
        <v>34731350</v>
      </c>
      <c r="V16" s="347">
        <v>-3808320</v>
      </c>
      <c r="W16" s="347">
        <v>-1134720</v>
      </c>
      <c r="X16" s="347">
        <f>-4808320-500000</f>
        <v>-5308320</v>
      </c>
      <c r="Y16" s="342">
        <f t="shared" si="15"/>
        <v>-10251360</v>
      </c>
      <c r="Z16" s="347">
        <f>-2269440-1500000</f>
        <v>-3769440</v>
      </c>
      <c r="AA16" s="347">
        <f>-2269440-1500000</f>
        <v>-3769440</v>
      </c>
      <c r="AB16" s="347">
        <f>-2269440-500000</f>
        <v>-2769440</v>
      </c>
      <c r="AC16" s="342">
        <f t="shared" si="16"/>
        <v>-10308320</v>
      </c>
      <c r="AD16" s="347">
        <f>-2134720</f>
        <v>-2134720</v>
      </c>
      <c r="AE16" s="347">
        <v>0</v>
      </c>
      <c r="AF16" s="347">
        <v>0</v>
      </c>
      <c r="AG16" s="342">
        <f t="shared" si="17"/>
        <v>-2134720</v>
      </c>
      <c r="AH16" s="347">
        <v>0</v>
      </c>
      <c r="AI16" s="347">
        <v>0</v>
      </c>
      <c r="AJ16" s="347">
        <v>0</v>
      </c>
      <c r="AK16" s="342">
        <f t="shared" si="18"/>
        <v>0</v>
      </c>
      <c r="AL16" s="347">
        <f t="shared" si="19"/>
        <v>-22694400</v>
      </c>
      <c r="AM16" s="348">
        <v>0</v>
      </c>
      <c r="AN16" s="348">
        <v>0</v>
      </c>
      <c r="AO16" s="348">
        <v>0</v>
      </c>
      <c r="AP16" s="342">
        <f t="shared" si="20"/>
        <v>0</v>
      </c>
      <c r="AQ16" s="348">
        <v>0</v>
      </c>
      <c r="AR16" s="348">
        <v>0</v>
      </c>
      <c r="AS16" s="348">
        <v>0</v>
      </c>
      <c r="AT16" s="342">
        <f t="shared" si="21"/>
        <v>0</v>
      </c>
      <c r="AU16" s="348">
        <v>0</v>
      </c>
      <c r="AV16" s="348">
        <v>0</v>
      </c>
      <c r="AW16" s="348">
        <v>0</v>
      </c>
      <c r="AX16" s="342">
        <f t="shared" si="22"/>
        <v>0</v>
      </c>
      <c r="AY16" s="348">
        <v>0</v>
      </c>
      <c r="AZ16" s="348">
        <v>0</v>
      </c>
      <c r="BA16" s="348">
        <v>0</v>
      </c>
      <c r="BB16" s="342">
        <f t="shared" si="23"/>
        <v>0</v>
      </c>
      <c r="BC16" s="347">
        <f t="shared" si="54"/>
        <v>0</v>
      </c>
      <c r="BD16" s="347">
        <v>0</v>
      </c>
      <c r="BE16" s="347">
        <v>-807909.39</v>
      </c>
      <c r="BF16" s="347">
        <v>-807909.39</v>
      </c>
      <c r="BG16" s="342">
        <f t="shared" si="24"/>
        <v>-1615818.78</v>
      </c>
      <c r="BH16" s="347">
        <v>-807909.39</v>
      </c>
      <c r="BI16" s="347">
        <v>-807909.39</v>
      </c>
      <c r="BJ16" s="347">
        <v>-807909.39</v>
      </c>
      <c r="BK16" s="342">
        <f t="shared" si="25"/>
        <v>-2423728.17</v>
      </c>
      <c r="BL16" s="347">
        <v>-807909.39</v>
      </c>
      <c r="BM16" s="347">
        <v>-807909.39</v>
      </c>
      <c r="BN16" s="347">
        <v>-807909.39</v>
      </c>
      <c r="BO16" s="342">
        <f t="shared" si="26"/>
        <v>-2423728.17</v>
      </c>
      <c r="BP16" s="347">
        <v>-807909.39</v>
      </c>
      <c r="BQ16" s="347">
        <v>0</v>
      </c>
      <c r="BR16" s="347">
        <v>0</v>
      </c>
      <c r="BS16" s="342">
        <f t="shared" si="27"/>
        <v>-807909.39</v>
      </c>
      <c r="BT16" s="347">
        <f t="shared" si="28"/>
        <v>-7271184.5100000007</v>
      </c>
      <c r="BU16" s="348">
        <v>0</v>
      </c>
      <c r="BV16" s="348">
        <v>0</v>
      </c>
      <c r="BW16" s="348">
        <v>0</v>
      </c>
      <c r="BX16" s="342">
        <f t="shared" si="29"/>
        <v>0</v>
      </c>
      <c r="BY16" s="348">
        <v>0</v>
      </c>
      <c r="BZ16" s="348">
        <v>0</v>
      </c>
      <c r="CA16" s="348">
        <v>0</v>
      </c>
      <c r="CB16" s="342">
        <f t="shared" si="30"/>
        <v>0</v>
      </c>
      <c r="CC16" s="348">
        <v>0</v>
      </c>
      <c r="CD16" s="348">
        <v>0</v>
      </c>
      <c r="CE16" s="348">
        <v>0</v>
      </c>
      <c r="CF16" s="342">
        <f t="shared" si="31"/>
        <v>0</v>
      </c>
      <c r="CG16" s="348">
        <v>0</v>
      </c>
      <c r="CH16" s="348">
        <v>0</v>
      </c>
      <c r="CI16" s="348">
        <v>0</v>
      </c>
      <c r="CJ16" s="342">
        <f t="shared" si="32"/>
        <v>0</v>
      </c>
      <c r="CK16" s="347">
        <f t="shared" si="33"/>
        <v>0</v>
      </c>
      <c r="CL16" s="347">
        <v>0</v>
      </c>
      <c r="CM16" s="348">
        <v>-191640.17</v>
      </c>
      <c r="CN16" s="348">
        <v>-191640.17</v>
      </c>
      <c r="CO16" s="342">
        <f t="shared" si="34"/>
        <v>-383280.34</v>
      </c>
      <c r="CP16" s="348">
        <v>-191640.17</v>
      </c>
      <c r="CQ16" s="348">
        <v>-191640.17</v>
      </c>
      <c r="CR16" s="348">
        <v>-191640.17</v>
      </c>
      <c r="CS16" s="342">
        <f t="shared" si="35"/>
        <v>-574920.51</v>
      </c>
      <c r="CT16" s="348">
        <v>-191640.17</v>
      </c>
      <c r="CU16" s="348">
        <v>-191640.17</v>
      </c>
      <c r="CV16" s="348">
        <v>-191640.17</v>
      </c>
      <c r="CW16" s="342">
        <f t="shared" si="36"/>
        <v>-574920.51</v>
      </c>
      <c r="CX16" s="348">
        <v>-191640.17</v>
      </c>
      <c r="CY16" s="348">
        <v>0</v>
      </c>
      <c r="CZ16" s="347">
        <v>0</v>
      </c>
      <c r="DA16" s="342">
        <f t="shared" si="37"/>
        <v>-191640.17</v>
      </c>
      <c r="DB16" s="347">
        <f t="shared" si="38"/>
        <v>-1724761.53</v>
      </c>
      <c r="DC16" s="347">
        <v>-666666.67000000004</v>
      </c>
      <c r="DD16" s="347">
        <v>-666666.67000000004</v>
      </c>
      <c r="DE16" s="347">
        <v>-666666.67000000004</v>
      </c>
      <c r="DF16" s="342">
        <f t="shared" si="39"/>
        <v>-2000000.0100000002</v>
      </c>
      <c r="DG16" s="347">
        <v>-666666.67000000004</v>
      </c>
      <c r="DH16" s="347">
        <v>-666666.67000000004</v>
      </c>
      <c r="DI16" s="347">
        <v>-666666.67000000004</v>
      </c>
      <c r="DJ16" s="342">
        <f t="shared" si="40"/>
        <v>-2000000.0100000002</v>
      </c>
      <c r="DK16" s="347"/>
      <c r="DL16" s="347"/>
      <c r="DM16" s="347"/>
      <c r="DN16" s="342">
        <f t="shared" si="41"/>
        <v>0</v>
      </c>
      <c r="DO16" s="347"/>
      <c r="DP16" s="347"/>
      <c r="DQ16" s="347"/>
      <c r="DR16" s="342">
        <f t="shared" si="42"/>
        <v>0</v>
      </c>
      <c r="DS16" s="347">
        <f t="shared" si="43"/>
        <v>-4000000.0200000005</v>
      </c>
      <c r="DT16" s="347">
        <v>-10000</v>
      </c>
      <c r="DU16" s="347">
        <v>-10000</v>
      </c>
      <c r="DV16" s="347">
        <v>-10000</v>
      </c>
      <c r="DW16" s="342">
        <f t="shared" si="44"/>
        <v>-30000</v>
      </c>
      <c r="DX16" s="347">
        <v>-10000</v>
      </c>
      <c r="DY16" s="347">
        <v>-10000</v>
      </c>
      <c r="DZ16" s="347">
        <v>-10000</v>
      </c>
      <c r="EA16" s="342">
        <f t="shared" si="45"/>
        <v>-30000</v>
      </c>
      <c r="EB16" s="347">
        <v>-10000</v>
      </c>
      <c r="EC16" s="347">
        <v>-10000</v>
      </c>
      <c r="ED16" s="347">
        <v>-10000</v>
      </c>
      <c r="EE16" s="342">
        <f t="shared" si="46"/>
        <v>-30000</v>
      </c>
      <c r="EF16" s="347">
        <v>-10000</v>
      </c>
      <c r="EG16" s="347">
        <v>-10000</v>
      </c>
      <c r="EH16" s="347">
        <v>-10000</v>
      </c>
      <c r="EI16" s="342">
        <f t="shared" si="47"/>
        <v>-30000</v>
      </c>
      <c r="EJ16" s="347">
        <f t="shared" si="48"/>
        <v>-120000</v>
      </c>
      <c r="EK16" s="347"/>
      <c r="EL16" s="347"/>
      <c r="EM16" s="347"/>
      <c r="EN16" s="342">
        <f t="shared" si="49"/>
        <v>0</v>
      </c>
      <c r="EO16" s="347"/>
      <c r="EP16" s="347"/>
      <c r="EQ16" s="347"/>
      <c r="ER16" s="342">
        <f t="shared" si="50"/>
        <v>0</v>
      </c>
      <c r="ES16" s="347"/>
      <c r="ET16" s="347"/>
      <c r="EU16" s="347"/>
      <c r="EV16" s="342">
        <f t="shared" si="51"/>
        <v>0</v>
      </c>
      <c r="EW16" s="347"/>
      <c r="EX16" s="347"/>
      <c r="EY16" s="347"/>
      <c r="EZ16" s="342">
        <f t="shared" si="52"/>
        <v>0</v>
      </c>
      <c r="FA16" s="347">
        <f t="shared" si="53"/>
        <v>0</v>
      </c>
      <c r="FB16" s="347">
        <f t="shared" si="55"/>
        <v>-1078996.0600000015</v>
      </c>
      <c r="FC16" s="351"/>
    </row>
    <row r="17" spans="1:159" s="6" customFormat="1" ht="18">
      <c r="A17" s="343"/>
      <c r="B17" s="344" t="s">
        <v>494</v>
      </c>
      <c r="C17" s="345" t="s">
        <v>472</v>
      </c>
      <c r="D17" s="346" t="s">
        <v>495</v>
      </c>
      <c r="E17" s="347">
        <f t="shared" ref="E17:AJ17" si="56">SUM(E18:E23)</f>
        <v>9583333.3333333209</v>
      </c>
      <c r="F17" s="347">
        <f t="shared" si="56"/>
        <v>9583333.3333333209</v>
      </c>
      <c r="G17" s="347">
        <f t="shared" si="56"/>
        <v>10583333.333333321</v>
      </c>
      <c r="H17" s="342">
        <f t="shared" si="56"/>
        <v>29749999.999999959</v>
      </c>
      <c r="I17" s="347">
        <f t="shared" si="56"/>
        <v>8916666.6600000001</v>
      </c>
      <c r="J17" s="347">
        <f t="shared" si="56"/>
        <v>8916666.6600000001</v>
      </c>
      <c r="K17" s="347">
        <f t="shared" si="56"/>
        <v>8916666.6600000001</v>
      </c>
      <c r="L17" s="342">
        <f t="shared" si="56"/>
        <v>26749999.979999997</v>
      </c>
      <c r="M17" s="347">
        <f t="shared" si="56"/>
        <v>8916666.6600000001</v>
      </c>
      <c r="N17" s="347">
        <f t="shared" si="56"/>
        <v>8916666.6600000001</v>
      </c>
      <c r="O17" s="347">
        <f t="shared" si="56"/>
        <v>8916666.6600000001</v>
      </c>
      <c r="P17" s="342">
        <f t="shared" si="56"/>
        <v>26749999.979999997</v>
      </c>
      <c r="Q17" s="347">
        <f t="shared" si="56"/>
        <v>9916666.6600000001</v>
      </c>
      <c r="R17" s="347">
        <f t="shared" si="56"/>
        <v>9916666.6600000001</v>
      </c>
      <c r="S17" s="347">
        <f t="shared" si="56"/>
        <v>9916666.6600000001</v>
      </c>
      <c r="T17" s="342">
        <f t="shared" si="56"/>
        <v>29749999.979999993</v>
      </c>
      <c r="U17" s="358">
        <f t="shared" si="56"/>
        <v>112999999.93999995</v>
      </c>
      <c r="V17" s="347">
        <f t="shared" si="56"/>
        <v>-4533333.33</v>
      </c>
      <c r="W17" s="347">
        <f t="shared" si="56"/>
        <v>-4533333.33</v>
      </c>
      <c r="X17" s="347">
        <f t="shared" si="56"/>
        <v>-3713333.33</v>
      </c>
      <c r="Y17" s="342">
        <f t="shared" si="56"/>
        <v>-12779999.990000002</v>
      </c>
      <c r="Z17" s="347">
        <f t="shared" si="56"/>
        <v>-5213333.33</v>
      </c>
      <c r="AA17" s="347">
        <f t="shared" si="56"/>
        <v>-4713333.33</v>
      </c>
      <c r="AB17" s="347">
        <f t="shared" si="56"/>
        <v>-4713333.33</v>
      </c>
      <c r="AC17" s="342">
        <f t="shared" si="56"/>
        <v>-14639999.990000002</v>
      </c>
      <c r="AD17" s="347">
        <f t="shared" si="56"/>
        <v>-5213333.33</v>
      </c>
      <c r="AE17" s="347">
        <f t="shared" si="56"/>
        <v>-4713333.33</v>
      </c>
      <c r="AF17" s="347">
        <f t="shared" si="56"/>
        <v>-4713333.33</v>
      </c>
      <c r="AG17" s="342">
        <f t="shared" si="56"/>
        <v>-14639999.990000002</v>
      </c>
      <c r="AH17" s="347">
        <f t="shared" si="56"/>
        <v>-4713333.33</v>
      </c>
      <c r="AI17" s="347">
        <f t="shared" si="56"/>
        <v>-4713333.33</v>
      </c>
      <c r="AJ17" s="347">
        <f t="shared" si="56"/>
        <v>-4713333.33</v>
      </c>
      <c r="AK17" s="342">
        <f t="shared" ref="AK17:CV17" si="57">SUM(AK18:AK23)</f>
        <v>-14139999.990000002</v>
      </c>
      <c r="AL17" s="347">
        <f t="shared" si="57"/>
        <v>-56199999.960000008</v>
      </c>
      <c r="AM17" s="348">
        <f t="shared" si="57"/>
        <v>0</v>
      </c>
      <c r="AN17" s="348">
        <f t="shared" si="57"/>
        <v>0</v>
      </c>
      <c r="AO17" s="348">
        <f t="shared" si="57"/>
        <v>0</v>
      </c>
      <c r="AP17" s="342">
        <f t="shared" si="57"/>
        <v>0</v>
      </c>
      <c r="AQ17" s="348">
        <f t="shared" si="57"/>
        <v>0</v>
      </c>
      <c r="AR17" s="348">
        <f t="shared" si="57"/>
        <v>0</v>
      </c>
      <c r="AS17" s="348">
        <f t="shared" si="57"/>
        <v>0</v>
      </c>
      <c r="AT17" s="342">
        <f t="shared" si="57"/>
        <v>0</v>
      </c>
      <c r="AU17" s="348">
        <f t="shared" si="57"/>
        <v>0</v>
      </c>
      <c r="AV17" s="348">
        <f t="shared" si="57"/>
        <v>0</v>
      </c>
      <c r="AW17" s="348">
        <f t="shared" si="57"/>
        <v>0</v>
      </c>
      <c r="AX17" s="342">
        <f t="shared" si="57"/>
        <v>0</v>
      </c>
      <c r="AY17" s="348">
        <f t="shared" si="57"/>
        <v>0</v>
      </c>
      <c r="AZ17" s="348">
        <f t="shared" si="57"/>
        <v>0</v>
      </c>
      <c r="BA17" s="348">
        <f t="shared" si="57"/>
        <v>0</v>
      </c>
      <c r="BB17" s="342">
        <f t="shared" si="57"/>
        <v>0</v>
      </c>
      <c r="BC17" s="347">
        <f t="shared" si="57"/>
        <v>0</v>
      </c>
      <c r="BD17" s="348">
        <f t="shared" si="57"/>
        <v>-1805687.54</v>
      </c>
      <c r="BE17" s="348">
        <f t="shared" si="57"/>
        <v>-2566978.7399999998</v>
      </c>
      <c r="BF17" s="348">
        <f t="shared" si="57"/>
        <v>-2566978.7399999998</v>
      </c>
      <c r="BG17" s="342">
        <f t="shared" si="57"/>
        <v>-6939645.0199999977</v>
      </c>
      <c r="BH17" s="348">
        <f t="shared" si="57"/>
        <v>-2566978.7399999998</v>
      </c>
      <c r="BI17" s="348">
        <f t="shared" si="57"/>
        <v>-2566978.7399999998</v>
      </c>
      <c r="BJ17" s="348">
        <f t="shared" si="57"/>
        <v>-2566978.7399999998</v>
      </c>
      <c r="BK17" s="342">
        <f t="shared" si="57"/>
        <v>-7700936.2200000007</v>
      </c>
      <c r="BL17" s="348">
        <f t="shared" si="57"/>
        <v>-2566978.7399999998</v>
      </c>
      <c r="BM17" s="348">
        <f t="shared" si="57"/>
        <v>-2566978.7399999998</v>
      </c>
      <c r="BN17" s="348">
        <f t="shared" si="57"/>
        <v>-761291.2</v>
      </c>
      <c r="BO17" s="342">
        <f t="shared" si="57"/>
        <v>-5895248.6799999997</v>
      </c>
      <c r="BP17" s="348">
        <f t="shared" si="57"/>
        <v>-761291.2</v>
      </c>
      <c r="BQ17" s="348">
        <f t="shared" si="57"/>
        <v>-761291.2</v>
      </c>
      <c r="BR17" s="348">
        <f t="shared" si="57"/>
        <v>-761291.2</v>
      </c>
      <c r="BS17" s="342">
        <f t="shared" si="57"/>
        <v>-2283873.5999999996</v>
      </c>
      <c r="BT17" s="347">
        <f t="shared" si="57"/>
        <v>-22819703.52</v>
      </c>
      <c r="BU17" s="348">
        <f t="shared" si="57"/>
        <v>0</v>
      </c>
      <c r="BV17" s="348">
        <f t="shared" si="57"/>
        <v>0</v>
      </c>
      <c r="BW17" s="348">
        <f t="shared" si="57"/>
        <v>0</v>
      </c>
      <c r="BX17" s="342">
        <f t="shared" si="57"/>
        <v>0</v>
      </c>
      <c r="BY17" s="348">
        <f t="shared" si="57"/>
        <v>0</v>
      </c>
      <c r="BZ17" s="348">
        <f t="shared" si="57"/>
        <v>0</v>
      </c>
      <c r="CA17" s="348">
        <f t="shared" si="57"/>
        <v>0</v>
      </c>
      <c r="CB17" s="342">
        <f t="shared" si="57"/>
        <v>0</v>
      </c>
      <c r="CC17" s="348">
        <f t="shared" si="57"/>
        <v>0</v>
      </c>
      <c r="CD17" s="348">
        <f t="shared" si="57"/>
        <v>0</v>
      </c>
      <c r="CE17" s="348">
        <f t="shared" si="57"/>
        <v>0</v>
      </c>
      <c r="CF17" s="342">
        <f t="shared" si="57"/>
        <v>0</v>
      </c>
      <c r="CG17" s="348">
        <f t="shared" si="57"/>
        <v>0</v>
      </c>
      <c r="CH17" s="348">
        <f t="shared" si="57"/>
        <v>0</v>
      </c>
      <c r="CI17" s="348">
        <f t="shared" si="57"/>
        <v>0</v>
      </c>
      <c r="CJ17" s="342">
        <f t="shared" si="57"/>
        <v>0</v>
      </c>
      <c r="CK17" s="347">
        <f t="shared" si="57"/>
        <v>0</v>
      </c>
      <c r="CL17" s="347">
        <f t="shared" si="57"/>
        <v>-428318.17</v>
      </c>
      <c r="CM17" s="347">
        <f t="shared" si="57"/>
        <v>-608900.29</v>
      </c>
      <c r="CN17" s="347">
        <f t="shared" si="57"/>
        <v>-608900.29</v>
      </c>
      <c r="CO17" s="342">
        <f t="shared" si="57"/>
        <v>-1646118.75</v>
      </c>
      <c r="CP17" s="347">
        <f t="shared" si="57"/>
        <v>-608900.29</v>
      </c>
      <c r="CQ17" s="347">
        <f t="shared" si="57"/>
        <v>-608900.29</v>
      </c>
      <c r="CR17" s="347">
        <f t="shared" si="57"/>
        <v>-608900.29</v>
      </c>
      <c r="CS17" s="342">
        <f t="shared" si="57"/>
        <v>-1826700.87</v>
      </c>
      <c r="CT17" s="347">
        <f t="shared" si="57"/>
        <v>-608900.29</v>
      </c>
      <c r="CU17" s="347">
        <f t="shared" si="57"/>
        <v>-608900.29</v>
      </c>
      <c r="CV17" s="347">
        <f t="shared" si="57"/>
        <v>-180582.12</v>
      </c>
      <c r="CW17" s="342">
        <f t="shared" ref="CW17:FA17" si="58">SUM(CW18:CW23)</f>
        <v>-1398382.7000000002</v>
      </c>
      <c r="CX17" s="347">
        <f t="shared" si="58"/>
        <v>-180582.12</v>
      </c>
      <c r="CY17" s="347">
        <f t="shared" si="58"/>
        <v>-180582.12</v>
      </c>
      <c r="CZ17" s="347">
        <f t="shared" si="58"/>
        <v>-180582.12</v>
      </c>
      <c r="DA17" s="342">
        <f t="shared" si="58"/>
        <v>-541746.36</v>
      </c>
      <c r="DB17" s="347">
        <f t="shared" si="58"/>
        <v>-5412948.6799999997</v>
      </c>
      <c r="DC17" s="347">
        <f t="shared" si="58"/>
        <v>-750000</v>
      </c>
      <c r="DD17" s="347">
        <f t="shared" si="58"/>
        <v>-750000</v>
      </c>
      <c r="DE17" s="347">
        <f t="shared" si="58"/>
        <v>-750000</v>
      </c>
      <c r="DF17" s="342">
        <f t="shared" si="58"/>
        <v>-2250000</v>
      </c>
      <c r="DG17" s="347">
        <f t="shared" si="58"/>
        <v>-750000</v>
      </c>
      <c r="DH17" s="347">
        <f t="shared" si="58"/>
        <v>-750000</v>
      </c>
      <c r="DI17" s="347">
        <f t="shared" si="58"/>
        <v>-750000</v>
      </c>
      <c r="DJ17" s="342">
        <f t="shared" si="58"/>
        <v>-2250000</v>
      </c>
      <c r="DK17" s="347">
        <f t="shared" si="58"/>
        <v>-750000</v>
      </c>
      <c r="DL17" s="347">
        <f t="shared" si="58"/>
        <v>-750000</v>
      </c>
      <c r="DM17" s="347">
        <f t="shared" si="58"/>
        <v>-750000</v>
      </c>
      <c r="DN17" s="342">
        <f t="shared" si="58"/>
        <v>-2250000</v>
      </c>
      <c r="DO17" s="348">
        <f t="shared" si="58"/>
        <v>-750000</v>
      </c>
      <c r="DP17" s="348">
        <f t="shared" si="58"/>
        <v>-750000</v>
      </c>
      <c r="DQ17" s="348">
        <f t="shared" si="58"/>
        <v>-750000</v>
      </c>
      <c r="DR17" s="342">
        <f t="shared" si="58"/>
        <v>-2250000</v>
      </c>
      <c r="DS17" s="347">
        <f t="shared" si="58"/>
        <v>-9000000</v>
      </c>
      <c r="DT17" s="347">
        <f t="shared" si="58"/>
        <v>-19999.989999999998</v>
      </c>
      <c r="DU17" s="347">
        <f t="shared" si="58"/>
        <v>-19999.989999999998</v>
      </c>
      <c r="DV17" s="347">
        <f t="shared" si="58"/>
        <v>-29999.989999999998</v>
      </c>
      <c r="DW17" s="342">
        <f t="shared" si="58"/>
        <v>-69999.97</v>
      </c>
      <c r="DX17" s="347">
        <f t="shared" si="58"/>
        <v>-30000.030000000002</v>
      </c>
      <c r="DY17" s="347">
        <f t="shared" si="58"/>
        <v>-20000</v>
      </c>
      <c r="DZ17" s="347">
        <f t="shared" si="58"/>
        <v>-20000</v>
      </c>
      <c r="EA17" s="342">
        <f t="shared" si="58"/>
        <v>-70000.03</v>
      </c>
      <c r="EB17" s="347">
        <f t="shared" si="58"/>
        <v>-10000</v>
      </c>
      <c r="EC17" s="347">
        <f t="shared" si="58"/>
        <v>-10000</v>
      </c>
      <c r="ED17" s="347">
        <f t="shared" si="58"/>
        <v>-10000</v>
      </c>
      <c r="EE17" s="342">
        <f t="shared" si="58"/>
        <v>-30000</v>
      </c>
      <c r="EF17" s="347">
        <f t="shared" si="58"/>
        <v>-10000</v>
      </c>
      <c r="EG17" s="347">
        <f t="shared" si="58"/>
        <v>-10000</v>
      </c>
      <c r="EH17" s="347">
        <f t="shared" si="58"/>
        <v>-10000</v>
      </c>
      <c r="EI17" s="342">
        <f t="shared" si="58"/>
        <v>-30000</v>
      </c>
      <c r="EJ17" s="347">
        <f t="shared" si="58"/>
        <v>-199999.99999999997</v>
      </c>
      <c r="EK17" s="347">
        <f t="shared" si="58"/>
        <v>0</v>
      </c>
      <c r="EL17" s="347">
        <f t="shared" si="58"/>
        <v>0</v>
      </c>
      <c r="EM17" s="347">
        <f t="shared" si="58"/>
        <v>0</v>
      </c>
      <c r="EN17" s="342">
        <f t="shared" si="58"/>
        <v>0</v>
      </c>
      <c r="EO17" s="347">
        <f t="shared" si="58"/>
        <v>0</v>
      </c>
      <c r="EP17" s="347">
        <f t="shared" si="58"/>
        <v>0</v>
      </c>
      <c r="EQ17" s="347">
        <f t="shared" si="58"/>
        <v>0</v>
      </c>
      <c r="ER17" s="342">
        <f t="shared" si="58"/>
        <v>0</v>
      </c>
      <c r="ES17" s="347">
        <f t="shared" si="58"/>
        <v>0</v>
      </c>
      <c r="ET17" s="347">
        <f t="shared" si="58"/>
        <v>0</v>
      </c>
      <c r="EU17" s="347">
        <f t="shared" si="58"/>
        <v>0</v>
      </c>
      <c r="EV17" s="342">
        <f t="shared" si="58"/>
        <v>0</v>
      </c>
      <c r="EW17" s="347">
        <f t="shared" si="58"/>
        <v>0</v>
      </c>
      <c r="EX17" s="347">
        <f t="shared" si="58"/>
        <v>0</v>
      </c>
      <c r="EY17" s="347">
        <f t="shared" si="58"/>
        <v>0</v>
      </c>
      <c r="EZ17" s="342">
        <f t="shared" si="58"/>
        <v>0</v>
      </c>
      <c r="FA17" s="347">
        <f t="shared" si="58"/>
        <v>0</v>
      </c>
      <c r="FB17" s="347">
        <f t="shared" si="55"/>
        <v>19367347.779999949</v>
      </c>
      <c r="FC17" s="336">
        <f t="shared" ref="FC17:FC76" si="59">FB17/U17</f>
        <v>0.17139245832109296</v>
      </c>
    </row>
    <row r="18" spans="1:159" s="6" customFormat="1" ht="18" outlineLevel="1">
      <c r="A18" s="343"/>
      <c r="B18" s="344" t="s">
        <v>496</v>
      </c>
      <c r="C18" s="349">
        <v>9755</v>
      </c>
      <c r="D18" s="350" t="s">
        <v>497</v>
      </c>
      <c r="E18" s="347">
        <f>5750000-1333333.33</f>
        <v>4416666.67</v>
      </c>
      <c r="F18" s="347">
        <f>5750000-1333333.33</f>
        <v>4416666.67</v>
      </c>
      <c r="G18" s="347">
        <f>5750000-1333333.33</f>
        <v>4416666.67</v>
      </c>
      <c r="H18" s="342">
        <f t="shared" ref="H18:H24" si="60">SUM(E18:G18)</f>
        <v>13250000.01</v>
      </c>
      <c r="I18" s="347">
        <f>5750000-1333333.33</f>
        <v>4416666.67</v>
      </c>
      <c r="J18" s="347">
        <f>5750000-1333333.33</f>
        <v>4416666.67</v>
      </c>
      <c r="K18" s="347">
        <f>5750000-1333333.33</f>
        <v>4416666.67</v>
      </c>
      <c r="L18" s="342">
        <f t="shared" ref="L18:L23" si="61">SUM(I18:K18)</f>
        <v>13250000.01</v>
      </c>
      <c r="M18" s="347">
        <f>5750000-1333333.33</f>
        <v>4416666.67</v>
      </c>
      <c r="N18" s="347">
        <f>5750000-1333333.33</f>
        <v>4416666.67</v>
      </c>
      <c r="O18" s="347">
        <f>5750000-1333333.33</f>
        <v>4416666.67</v>
      </c>
      <c r="P18" s="342">
        <f t="shared" ref="P18:P23" si="62">SUM(M18:O18)</f>
        <v>13250000.01</v>
      </c>
      <c r="Q18" s="347">
        <f>5750000-1333333.33</f>
        <v>4416666.67</v>
      </c>
      <c r="R18" s="347">
        <f>5750000-1333333.33</f>
        <v>4416666.67</v>
      </c>
      <c r="S18" s="347">
        <f>5750000-1333333.33</f>
        <v>4416666.67</v>
      </c>
      <c r="T18" s="342">
        <f t="shared" ref="T18:T23" si="63">SUM(Q18:S18)</f>
        <v>13250000.01</v>
      </c>
      <c r="U18" s="347">
        <f t="shared" ref="U18:U23" si="64">SUM(T18,P18,L18,H18)</f>
        <v>53000000.039999999</v>
      </c>
      <c r="V18" s="347">
        <v>-2858333.3310000002</v>
      </c>
      <c r="W18" s="347">
        <v>-2858333.3310000002</v>
      </c>
      <c r="X18" s="347">
        <v>-2158333.3310000002</v>
      </c>
      <c r="Y18" s="342">
        <f t="shared" ref="Y18:Y31" si="65">SUM(V18:X18)</f>
        <v>-7874999.9930000007</v>
      </c>
      <c r="Z18" s="347">
        <v>-3208333.3310000002</v>
      </c>
      <c r="AA18" s="347">
        <v>-2858333.3310000002</v>
      </c>
      <c r="AB18" s="347">
        <v>-2858333.3310000002</v>
      </c>
      <c r="AC18" s="342">
        <f t="shared" ref="AC18:AC23" si="66">SUM(Z18:AB18)</f>
        <v>-8924999.9930000007</v>
      </c>
      <c r="AD18" s="347">
        <v>-3208333.3310000002</v>
      </c>
      <c r="AE18" s="347">
        <v>-2858333.3310000002</v>
      </c>
      <c r="AF18" s="347">
        <v>-2858333.3310000002</v>
      </c>
      <c r="AG18" s="342">
        <f t="shared" ref="AG18:AG31" si="67">SUM(AD18:AF18)</f>
        <v>-8924999.9930000007</v>
      </c>
      <c r="AH18" s="347">
        <v>-2858333.3310000002</v>
      </c>
      <c r="AI18" s="347">
        <v>-2858333.3310000002</v>
      </c>
      <c r="AJ18" s="347">
        <v>-2858333.3310000002</v>
      </c>
      <c r="AK18" s="342">
        <f t="shared" ref="AK18:AK23" si="68">SUM(AH18:AJ18)</f>
        <v>-8574999.9930000007</v>
      </c>
      <c r="AL18" s="347">
        <f t="shared" si="19"/>
        <v>-34299999.972000003</v>
      </c>
      <c r="AM18" s="348">
        <v>0</v>
      </c>
      <c r="AN18" s="348">
        <v>0</v>
      </c>
      <c r="AO18" s="347"/>
      <c r="AP18" s="342">
        <f t="shared" ref="AP18:AP23" si="69">SUM(AM18:AO18)</f>
        <v>0</v>
      </c>
      <c r="AQ18" s="348"/>
      <c r="AR18" s="348"/>
      <c r="AS18" s="348"/>
      <c r="AT18" s="342">
        <f t="shared" ref="AT18" si="70">SUM(AQ18:AS18)</f>
        <v>0</v>
      </c>
      <c r="AU18" s="348"/>
      <c r="AV18" s="348"/>
      <c r="AW18" s="348"/>
      <c r="AX18" s="342">
        <f t="shared" ref="AX18" si="71">SUM(AU18:AW18)</f>
        <v>0</v>
      </c>
      <c r="AY18" s="348"/>
      <c r="AZ18" s="348"/>
      <c r="BA18" s="348"/>
      <c r="BB18" s="342">
        <f t="shared" ref="BB18:BB23" si="72">SUM(AY18:BA18)</f>
        <v>0</v>
      </c>
      <c r="BC18" s="347">
        <f t="shared" si="54"/>
        <v>0</v>
      </c>
      <c r="BD18" s="347">
        <v>-1263981.2779999999</v>
      </c>
      <c r="BE18" s="347">
        <v>-1263981.2779999999</v>
      </c>
      <c r="BF18" s="347">
        <v>-1263981.2779999999</v>
      </c>
      <c r="BG18" s="342">
        <f t="shared" ref="BG18:BG31" si="73">SUM(BD18:BF18)</f>
        <v>-3791943.8339999998</v>
      </c>
      <c r="BH18" s="347">
        <v>-1263981.2779999999</v>
      </c>
      <c r="BI18" s="347">
        <v>-1263981.2779999999</v>
      </c>
      <c r="BJ18" s="347">
        <v>-1263981.2779999999</v>
      </c>
      <c r="BK18" s="342">
        <f t="shared" ref="BK18:BK76" si="74">SUM(BH18:BJ18)</f>
        <v>-3791943.8339999998</v>
      </c>
      <c r="BL18" s="347">
        <v>-1263981.2779999999</v>
      </c>
      <c r="BM18" s="347">
        <v>-1263981.2779999999</v>
      </c>
      <c r="BN18" s="347">
        <v>0</v>
      </c>
      <c r="BO18" s="342">
        <f t="shared" ref="BO18:BO23" si="75">SUM(BL18:BN18)</f>
        <v>-2527962.5559999999</v>
      </c>
      <c r="BP18" s="347">
        <v>0</v>
      </c>
      <c r="BQ18" s="347">
        <v>0</v>
      </c>
      <c r="BR18" s="347">
        <v>0</v>
      </c>
      <c r="BS18" s="342">
        <f t="shared" ref="BS18:BS76" si="76">SUM(BP18:BR18)</f>
        <v>0</v>
      </c>
      <c r="BT18" s="347">
        <f t="shared" si="28"/>
        <v>-10111850.223999999</v>
      </c>
      <c r="BU18" s="347"/>
      <c r="BV18" s="347"/>
      <c r="BW18" s="347"/>
      <c r="BX18" s="342">
        <f t="shared" ref="BX18:BX76" si="77">SUM(BU18:BW18)</f>
        <v>0</v>
      </c>
      <c r="BY18" s="347"/>
      <c r="BZ18" s="347"/>
      <c r="CA18" s="347"/>
      <c r="CB18" s="342">
        <f t="shared" ref="CB18:CB76" si="78">SUM(BY18:CA18)</f>
        <v>0</v>
      </c>
      <c r="CC18" s="347"/>
      <c r="CD18" s="347"/>
      <c r="CE18" s="347"/>
      <c r="CF18" s="342">
        <f t="shared" ref="CF18:CF76" si="79">SUM(CC18:CE18)</f>
        <v>0</v>
      </c>
      <c r="CG18" s="348"/>
      <c r="CH18" s="348"/>
      <c r="CI18" s="348"/>
      <c r="CJ18" s="342">
        <f t="shared" ref="CJ18:CJ76" si="80">SUM(CG18:CI18)</f>
        <v>0</v>
      </c>
      <c r="CK18" s="347">
        <f t="shared" si="33"/>
        <v>0</v>
      </c>
      <c r="CL18" s="347">
        <v>-299822.71899999998</v>
      </c>
      <c r="CM18" s="347">
        <v>-299822.71899999998</v>
      </c>
      <c r="CN18" s="347">
        <v>-299822.71899999998</v>
      </c>
      <c r="CO18" s="342">
        <f t="shared" ref="CO18:CO76" si="81">SUM(CL18:CN18)</f>
        <v>-899468.15699999989</v>
      </c>
      <c r="CP18" s="347">
        <v>-299822.71899999998</v>
      </c>
      <c r="CQ18" s="347">
        <v>-299822.71899999998</v>
      </c>
      <c r="CR18" s="347">
        <v>-299822.71899999998</v>
      </c>
      <c r="CS18" s="342">
        <f t="shared" ref="CS18:CS63" si="82">SUM(CP18:CR18)</f>
        <v>-899468.15699999989</v>
      </c>
      <c r="CT18" s="347">
        <v>-299822.71899999998</v>
      </c>
      <c r="CU18" s="347">
        <v>-299822.71899999998</v>
      </c>
      <c r="CV18" s="347">
        <v>0</v>
      </c>
      <c r="CW18" s="342">
        <f t="shared" ref="CW18:CW63" si="83">SUM(CT18:CV18)</f>
        <v>-599645.43799999997</v>
      </c>
      <c r="CX18" s="347">
        <v>0</v>
      </c>
      <c r="CY18" s="347">
        <v>0</v>
      </c>
      <c r="CZ18" s="347">
        <v>0</v>
      </c>
      <c r="DA18" s="342">
        <f t="shared" ref="DA18:DA63" si="84">SUM(CX18:CZ18)</f>
        <v>0</v>
      </c>
      <c r="DB18" s="347">
        <f t="shared" si="38"/>
        <v>-2398581.7519999994</v>
      </c>
      <c r="DC18" s="347">
        <v>-525000</v>
      </c>
      <c r="DD18" s="347">
        <v>-525000</v>
      </c>
      <c r="DE18" s="347">
        <v>-525000</v>
      </c>
      <c r="DF18" s="342">
        <f t="shared" ref="DF18:DF19" si="85">SUM(DC18:DE18)</f>
        <v>-1575000</v>
      </c>
      <c r="DG18" s="347">
        <v>-525000</v>
      </c>
      <c r="DH18" s="347">
        <v>-525000</v>
      </c>
      <c r="DI18" s="347">
        <v>-525000</v>
      </c>
      <c r="DJ18" s="342">
        <f t="shared" ref="DJ18:DJ23" si="86">SUM(DG18:DI18)</f>
        <v>-1575000</v>
      </c>
      <c r="DK18" s="347">
        <v>-525000</v>
      </c>
      <c r="DL18" s="347">
        <v>-525000</v>
      </c>
      <c r="DM18" s="347">
        <v>-525000</v>
      </c>
      <c r="DN18" s="342">
        <f t="shared" ref="DN18:DN23" si="87">SUM(DK18:DM18)</f>
        <v>-1575000</v>
      </c>
      <c r="DO18" s="347">
        <v>-525000</v>
      </c>
      <c r="DP18" s="347">
        <v>-525000</v>
      </c>
      <c r="DQ18" s="347">
        <v>-525000</v>
      </c>
      <c r="DR18" s="342">
        <f t="shared" ref="DR18:DR23" si="88">SUM(DO18:DQ18)</f>
        <v>-1575000</v>
      </c>
      <c r="DS18" s="347">
        <f t="shared" si="43"/>
        <v>-6300000</v>
      </c>
      <c r="DT18" s="347">
        <v>-7000</v>
      </c>
      <c r="DU18" s="347">
        <v>-7000</v>
      </c>
      <c r="DV18" s="347">
        <v>-7000</v>
      </c>
      <c r="DW18" s="342">
        <f t="shared" ref="DW18:DW76" si="89">SUM(DT18:DV18)</f>
        <v>-21000</v>
      </c>
      <c r="DX18" s="347">
        <v>-7000</v>
      </c>
      <c r="DY18" s="347">
        <v>-7000</v>
      </c>
      <c r="DZ18" s="347">
        <v>-7000</v>
      </c>
      <c r="EA18" s="342">
        <f t="shared" ref="EA18:EA23" si="90">SUM(DX18:DZ18)</f>
        <v>-21000</v>
      </c>
      <c r="EB18" s="347">
        <v>-7000</v>
      </c>
      <c r="EC18" s="347">
        <v>-7000</v>
      </c>
      <c r="ED18" s="347">
        <v>-7000</v>
      </c>
      <c r="EE18" s="342">
        <f t="shared" ref="EE18:EE23" si="91">SUM(EB18:ED18)</f>
        <v>-21000</v>
      </c>
      <c r="EF18" s="347">
        <v>-7000</v>
      </c>
      <c r="EG18" s="347">
        <v>-7000</v>
      </c>
      <c r="EH18" s="347">
        <v>-7000</v>
      </c>
      <c r="EI18" s="342">
        <f t="shared" ref="EI18:EI23" si="92">SUM(EF18:EH18)</f>
        <v>-21000</v>
      </c>
      <c r="EJ18" s="347">
        <f t="shared" si="48"/>
        <v>-84000</v>
      </c>
      <c r="EK18" s="347"/>
      <c r="EL18" s="347"/>
      <c r="EM18" s="347"/>
      <c r="EN18" s="342">
        <f>SUM(EN19:EN24)</f>
        <v>0</v>
      </c>
      <c r="EO18" s="347"/>
      <c r="EP18" s="347"/>
      <c r="EQ18" s="347"/>
      <c r="ER18" s="342">
        <f>SUM(ER19:ER24)</f>
        <v>0</v>
      </c>
      <c r="ES18" s="347"/>
      <c r="ET18" s="347"/>
      <c r="EU18" s="347"/>
      <c r="EV18" s="342">
        <f>SUM(EV19:EV24)</f>
        <v>0</v>
      </c>
      <c r="EW18" s="347"/>
      <c r="EX18" s="347"/>
      <c r="EY18" s="347"/>
      <c r="EZ18" s="342">
        <f>SUM(EZ19:EZ24)</f>
        <v>0</v>
      </c>
      <c r="FA18" s="347">
        <f>SUM(FA19:FA24)</f>
        <v>0</v>
      </c>
      <c r="FB18" s="347">
        <f t="shared" si="55"/>
        <v>-194431.90800000262</v>
      </c>
      <c r="FC18" s="351">
        <f t="shared" si="59"/>
        <v>-3.668526563269086E-3</v>
      </c>
    </row>
    <row r="19" spans="1:159" s="6" customFormat="1" ht="18" outlineLevel="1">
      <c r="A19" s="343"/>
      <c r="B19" s="344" t="s">
        <v>498</v>
      </c>
      <c r="C19" s="352"/>
      <c r="D19" s="350" t="s">
        <v>499</v>
      </c>
      <c r="E19" s="347">
        <v>2000000</v>
      </c>
      <c r="F19" s="347">
        <v>2000000</v>
      </c>
      <c r="G19" s="347">
        <v>2000000</v>
      </c>
      <c r="H19" s="342">
        <f t="shared" si="60"/>
        <v>6000000</v>
      </c>
      <c r="I19" s="347">
        <v>1000000</v>
      </c>
      <c r="J19" s="347">
        <v>1000000</v>
      </c>
      <c r="K19" s="347">
        <v>1000000</v>
      </c>
      <c r="L19" s="342">
        <f t="shared" si="61"/>
        <v>3000000</v>
      </c>
      <c r="M19" s="347">
        <v>1000000</v>
      </c>
      <c r="N19" s="347">
        <v>1000000</v>
      </c>
      <c r="O19" s="347">
        <v>1000000</v>
      </c>
      <c r="P19" s="342">
        <f t="shared" si="62"/>
        <v>3000000</v>
      </c>
      <c r="Q19" s="347">
        <v>2000000</v>
      </c>
      <c r="R19" s="347">
        <v>2000000</v>
      </c>
      <c r="S19" s="347">
        <v>2000000</v>
      </c>
      <c r="T19" s="342">
        <f t="shared" si="63"/>
        <v>6000000</v>
      </c>
      <c r="U19" s="347">
        <f t="shared" si="64"/>
        <v>18000000</v>
      </c>
      <c r="V19" s="347">
        <v>-1224999.9990000001</v>
      </c>
      <c r="W19" s="347">
        <v>-1224999.9990000001</v>
      </c>
      <c r="X19" s="347">
        <v>-924999.99900000007</v>
      </c>
      <c r="Y19" s="342">
        <f t="shared" si="65"/>
        <v>-3374999.9970000004</v>
      </c>
      <c r="Z19" s="347">
        <v>-1374999.9990000001</v>
      </c>
      <c r="AA19" s="347">
        <v>-1224999.9990000001</v>
      </c>
      <c r="AB19" s="347">
        <v>-1224999.9990000001</v>
      </c>
      <c r="AC19" s="342">
        <f t="shared" si="66"/>
        <v>-3824999.9970000004</v>
      </c>
      <c r="AD19" s="347">
        <v>-1374999.9990000001</v>
      </c>
      <c r="AE19" s="347">
        <v>-1224999.9990000001</v>
      </c>
      <c r="AF19" s="347">
        <v>-1224999.9990000001</v>
      </c>
      <c r="AG19" s="342">
        <f t="shared" si="67"/>
        <v>-3824999.9970000004</v>
      </c>
      <c r="AH19" s="347">
        <v>-1224999.9990000001</v>
      </c>
      <c r="AI19" s="347">
        <v>-1224999.9990000001</v>
      </c>
      <c r="AJ19" s="347">
        <v>-1224999.9990000001</v>
      </c>
      <c r="AK19" s="342">
        <f t="shared" si="68"/>
        <v>-3674999.9970000004</v>
      </c>
      <c r="AL19" s="347">
        <f t="shared" si="19"/>
        <v>-14699999.988000002</v>
      </c>
      <c r="AM19" s="347">
        <v>0</v>
      </c>
      <c r="AN19" s="347">
        <v>0</v>
      </c>
      <c r="AO19" s="347">
        <v>0</v>
      </c>
      <c r="AP19" s="342">
        <f t="shared" si="69"/>
        <v>0</v>
      </c>
      <c r="AQ19" s="347">
        <v>0</v>
      </c>
      <c r="AR19" s="347">
        <v>0</v>
      </c>
      <c r="AS19" s="347">
        <v>0</v>
      </c>
      <c r="AT19" s="342">
        <v>0</v>
      </c>
      <c r="AU19" s="347">
        <v>0</v>
      </c>
      <c r="AV19" s="347">
        <v>0</v>
      </c>
      <c r="AW19" s="347">
        <v>0</v>
      </c>
      <c r="AX19" s="342">
        <v>0</v>
      </c>
      <c r="AY19" s="347">
        <v>0</v>
      </c>
      <c r="AZ19" s="347">
        <v>0</v>
      </c>
      <c r="BA19" s="347">
        <v>0</v>
      </c>
      <c r="BB19" s="342">
        <f t="shared" si="72"/>
        <v>0</v>
      </c>
      <c r="BC19" s="347">
        <f t="shared" si="54"/>
        <v>0</v>
      </c>
      <c r="BD19" s="347">
        <v>-541706.26199999999</v>
      </c>
      <c r="BE19" s="347">
        <v>-541706.26199999999</v>
      </c>
      <c r="BF19" s="347">
        <v>-541706.26199999999</v>
      </c>
      <c r="BG19" s="342">
        <f t="shared" si="73"/>
        <v>-1625118.7859999998</v>
      </c>
      <c r="BH19" s="347">
        <v>-541706.26199999999</v>
      </c>
      <c r="BI19" s="347">
        <v>-541706.26199999999</v>
      </c>
      <c r="BJ19" s="347">
        <v>-541706.26199999999</v>
      </c>
      <c r="BK19" s="342">
        <f t="shared" si="74"/>
        <v>-1625118.7859999998</v>
      </c>
      <c r="BL19" s="347">
        <v>-541706.26199999999</v>
      </c>
      <c r="BM19" s="347">
        <v>-541706.26199999999</v>
      </c>
      <c r="BN19" s="347">
        <v>0</v>
      </c>
      <c r="BO19" s="342">
        <f t="shared" si="75"/>
        <v>-1083412.524</v>
      </c>
      <c r="BP19" s="347">
        <v>0</v>
      </c>
      <c r="BQ19" s="347">
        <v>0</v>
      </c>
      <c r="BR19" s="347">
        <v>0</v>
      </c>
      <c r="BS19" s="342">
        <f t="shared" si="76"/>
        <v>0</v>
      </c>
      <c r="BT19" s="347">
        <f t="shared" si="28"/>
        <v>-4333650.095999999</v>
      </c>
      <c r="BU19" s="347"/>
      <c r="BV19" s="347"/>
      <c r="BW19" s="347"/>
      <c r="BX19" s="342">
        <f t="shared" si="77"/>
        <v>0</v>
      </c>
      <c r="BY19" s="347"/>
      <c r="BZ19" s="347"/>
      <c r="CA19" s="347"/>
      <c r="CB19" s="342">
        <f t="shared" si="78"/>
        <v>0</v>
      </c>
      <c r="CC19" s="347"/>
      <c r="CD19" s="347"/>
      <c r="CE19" s="347"/>
      <c r="CF19" s="342">
        <f t="shared" si="79"/>
        <v>0</v>
      </c>
      <c r="CG19" s="348"/>
      <c r="CH19" s="348"/>
      <c r="CI19" s="348">
        <v>0</v>
      </c>
      <c r="CJ19" s="342">
        <f t="shared" si="80"/>
        <v>0</v>
      </c>
      <c r="CK19" s="347">
        <f t="shared" si="33"/>
        <v>0</v>
      </c>
      <c r="CL19" s="347">
        <v>-128495.451</v>
      </c>
      <c r="CM19" s="347">
        <v>-128495.451</v>
      </c>
      <c r="CN19" s="347">
        <v>-128495.451</v>
      </c>
      <c r="CO19" s="342">
        <f t="shared" si="81"/>
        <v>-385486.353</v>
      </c>
      <c r="CP19" s="347">
        <v>-128495.451</v>
      </c>
      <c r="CQ19" s="347">
        <v>-128495.451</v>
      </c>
      <c r="CR19" s="347">
        <v>-128495.451</v>
      </c>
      <c r="CS19" s="342">
        <f t="shared" si="82"/>
        <v>-385486.353</v>
      </c>
      <c r="CT19" s="347">
        <v>-128495.451</v>
      </c>
      <c r="CU19" s="347">
        <v>-128495.451</v>
      </c>
      <c r="CV19" s="347">
        <v>0</v>
      </c>
      <c r="CW19" s="342">
        <f t="shared" si="83"/>
        <v>-256990.902</v>
      </c>
      <c r="CX19" s="347">
        <v>0</v>
      </c>
      <c r="CY19" s="347">
        <v>0</v>
      </c>
      <c r="CZ19" s="347">
        <v>0</v>
      </c>
      <c r="DA19" s="342">
        <f t="shared" si="84"/>
        <v>0</v>
      </c>
      <c r="DB19" s="347">
        <f t="shared" si="38"/>
        <v>-1027963.608</v>
      </c>
      <c r="DC19" s="347">
        <v>-225000</v>
      </c>
      <c r="DD19" s="347">
        <v>-225000</v>
      </c>
      <c r="DE19" s="347">
        <v>-225000</v>
      </c>
      <c r="DF19" s="342">
        <f t="shared" si="85"/>
        <v>-675000</v>
      </c>
      <c r="DG19" s="347">
        <v>-225000</v>
      </c>
      <c r="DH19" s="347">
        <v>-225000</v>
      </c>
      <c r="DI19" s="347">
        <v>-225000</v>
      </c>
      <c r="DJ19" s="342">
        <f t="shared" si="86"/>
        <v>-675000</v>
      </c>
      <c r="DK19" s="347">
        <v>-225000</v>
      </c>
      <c r="DL19" s="347">
        <v>-225000</v>
      </c>
      <c r="DM19" s="347">
        <v>-225000</v>
      </c>
      <c r="DN19" s="342">
        <f t="shared" si="87"/>
        <v>-675000</v>
      </c>
      <c r="DO19" s="347">
        <v>-225000</v>
      </c>
      <c r="DP19" s="347">
        <v>-225000</v>
      </c>
      <c r="DQ19" s="347">
        <v>-225000</v>
      </c>
      <c r="DR19" s="342">
        <f t="shared" si="88"/>
        <v>-675000</v>
      </c>
      <c r="DS19" s="347">
        <f t="shared" si="43"/>
        <v>-2700000</v>
      </c>
      <c r="DT19" s="347">
        <v>-3000</v>
      </c>
      <c r="DU19" s="347">
        <v>-3000</v>
      </c>
      <c r="DV19" s="347">
        <v>-3000</v>
      </c>
      <c r="DW19" s="342">
        <f t="shared" si="89"/>
        <v>-9000</v>
      </c>
      <c r="DX19" s="347">
        <v>-3000</v>
      </c>
      <c r="DY19" s="347">
        <v>-3000</v>
      </c>
      <c r="DZ19" s="347">
        <v>-3000</v>
      </c>
      <c r="EA19" s="342">
        <f t="shared" si="90"/>
        <v>-9000</v>
      </c>
      <c r="EB19" s="347">
        <v>-3000</v>
      </c>
      <c r="EC19" s="347">
        <v>-3000</v>
      </c>
      <c r="ED19" s="347">
        <v>-3000</v>
      </c>
      <c r="EE19" s="342">
        <f t="shared" si="91"/>
        <v>-9000</v>
      </c>
      <c r="EF19" s="347">
        <v>-3000</v>
      </c>
      <c r="EG19" s="347">
        <v>-3000</v>
      </c>
      <c r="EH19" s="347">
        <v>-3000</v>
      </c>
      <c r="EI19" s="342">
        <f t="shared" si="92"/>
        <v>-9000</v>
      </c>
      <c r="EJ19" s="347">
        <f t="shared" si="48"/>
        <v>-36000</v>
      </c>
      <c r="EK19" s="347"/>
      <c r="EL19" s="347"/>
      <c r="EM19" s="347"/>
      <c r="EN19" s="342">
        <f>SUM(EN20:EN25)</f>
        <v>0</v>
      </c>
      <c r="EO19" s="347"/>
      <c r="EP19" s="347"/>
      <c r="EQ19" s="347"/>
      <c r="ER19" s="342">
        <f>SUM(ER20:ER25)</f>
        <v>0</v>
      </c>
      <c r="ES19" s="347"/>
      <c r="ET19" s="347"/>
      <c r="EU19" s="347"/>
      <c r="EV19" s="342">
        <f>SUM(EV20:EV25)</f>
        <v>0</v>
      </c>
      <c r="EW19" s="347"/>
      <c r="EX19" s="347"/>
      <c r="EY19" s="347"/>
      <c r="EZ19" s="342">
        <f>SUM(EZ20:EZ25)</f>
        <v>0</v>
      </c>
      <c r="FA19" s="347">
        <f>SUM(FA20:FA25)</f>
        <v>0</v>
      </c>
      <c r="FB19" s="347">
        <f t="shared" si="55"/>
        <v>-4797613.6920000007</v>
      </c>
      <c r="FC19" s="351"/>
    </row>
    <row r="20" spans="1:159" s="6" customFormat="1" ht="18" outlineLevel="1">
      <c r="A20" s="343"/>
      <c r="B20" s="344" t="s">
        <v>500</v>
      </c>
      <c r="C20" s="349"/>
      <c r="D20" s="350" t="s">
        <v>501</v>
      </c>
      <c r="E20" s="347">
        <v>833333.33</v>
      </c>
      <c r="F20" s="347">
        <v>833333.33</v>
      </c>
      <c r="G20" s="347">
        <v>833333.33</v>
      </c>
      <c r="H20" s="342">
        <f t="shared" si="60"/>
        <v>2499999.9899999998</v>
      </c>
      <c r="I20" s="347">
        <v>833333.33</v>
      </c>
      <c r="J20" s="347">
        <v>833333.33</v>
      </c>
      <c r="K20" s="347">
        <v>833333.33</v>
      </c>
      <c r="L20" s="342">
        <f t="shared" si="61"/>
        <v>2499999.9899999998</v>
      </c>
      <c r="M20" s="347">
        <v>833333.33</v>
      </c>
      <c r="N20" s="347">
        <v>833333.33</v>
      </c>
      <c r="O20" s="347">
        <v>833333.33</v>
      </c>
      <c r="P20" s="342">
        <f t="shared" si="62"/>
        <v>2499999.9899999998</v>
      </c>
      <c r="Q20" s="347">
        <v>833333.33</v>
      </c>
      <c r="R20" s="347">
        <v>833333.33</v>
      </c>
      <c r="S20" s="347">
        <v>833333.33</v>
      </c>
      <c r="T20" s="342">
        <f t="shared" si="63"/>
        <v>2499999.9899999998</v>
      </c>
      <c r="U20" s="347">
        <f t="shared" si="64"/>
        <v>9999999.959999999</v>
      </c>
      <c r="V20" s="347">
        <v>-150000</v>
      </c>
      <c r="W20" s="347">
        <v>-150000</v>
      </c>
      <c r="X20" s="347">
        <v>-150000</v>
      </c>
      <c r="Y20" s="342">
        <f t="shared" si="65"/>
        <v>-450000</v>
      </c>
      <c r="Z20" s="347">
        <v>-150000</v>
      </c>
      <c r="AA20" s="347">
        <v>-150000</v>
      </c>
      <c r="AB20" s="347">
        <v>-150000</v>
      </c>
      <c r="AC20" s="342">
        <f t="shared" si="66"/>
        <v>-450000</v>
      </c>
      <c r="AD20" s="347">
        <v>-150000</v>
      </c>
      <c r="AE20" s="347">
        <v>-150000</v>
      </c>
      <c r="AF20" s="347">
        <v>-150000</v>
      </c>
      <c r="AG20" s="342">
        <f t="shared" si="67"/>
        <v>-450000</v>
      </c>
      <c r="AH20" s="347">
        <v>-150000</v>
      </c>
      <c r="AI20" s="347">
        <v>-150000</v>
      </c>
      <c r="AJ20" s="347">
        <v>-150000</v>
      </c>
      <c r="AK20" s="342">
        <f t="shared" si="68"/>
        <v>-450000</v>
      </c>
      <c r="AL20" s="347">
        <f t="shared" si="19"/>
        <v>-1800000</v>
      </c>
      <c r="AM20" s="348">
        <v>0</v>
      </c>
      <c r="AN20" s="348">
        <v>0</v>
      </c>
      <c r="AO20" s="347">
        <v>0</v>
      </c>
      <c r="AP20" s="342">
        <f t="shared" si="69"/>
        <v>0</v>
      </c>
      <c r="AQ20" s="348">
        <v>0</v>
      </c>
      <c r="AR20" s="347">
        <v>0</v>
      </c>
      <c r="AS20" s="347">
        <v>0</v>
      </c>
      <c r="AT20" s="342">
        <f t="shared" ref="AT20:AT23" si="93">SUM(AQ20:AS20)</f>
        <v>0</v>
      </c>
      <c r="AU20" s="348">
        <v>0</v>
      </c>
      <c r="AV20" s="348">
        <v>0</v>
      </c>
      <c r="AW20" s="348">
        <v>0</v>
      </c>
      <c r="AX20" s="342">
        <f t="shared" ref="AX20:AX23" si="94">SUM(AU20:AW20)</f>
        <v>0</v>
      </c>
      <c r="AY20" s="348"/>
      <c r="AZ20" s="348"/>
      <c r="BA20" s="347"/>
      <c r="BB20" s="342">
        <f t="shared" si="72"/>
        <v>0</v>
      </c>
      <c r="BC20" s="347">
        <f t="shared" ref="BC20:BC23" si="95">SUM(BB20,AX20,AT20,AP20)</f>
        <v>0</v>
      </c>
      <c r="BD20" s="347">
        <v>0</v>
      </c>
      <c r="BE20" s="347">
        <v>-190322.8</v>
      </c>
      <c r="BF20" s="347">
        <v>-190322.8</v>
      </c>
      <c r="BG20" s="342">
        <f t="shared" si="73"/>
        <v>-380645.6</v>
      </c>
      <c r="BH20" s="347">
        <v>-190322.8</v>
      </c>
      <c r="BI20" s="347">
        <v>-190322.8</v>
      </c>
      <c r="BJ20" s="347">
        <v>-190322.8</v>
      </c>
      <c r="BK20" s="342">
        <f t="shared" si="74"/>
        <v>-570968.39999999991</v>
      </c>
      <c r="BL20" s="347">
        <v>-190322.8</v>
      </c>
      <c r="BM20" s="347">
        <v>-190322.8</v>
      </c>
      <c r="BN20" s="347">
        <v>-190322.8</v>
      </c>
      <c r="BO20" s="342">
        <f t="shared" si="75"/>
        <v>-570968.39999999991</v>
      </c>
      <c r="BP20" s="347">
        <v>-190322.8</v>
      </c>
      <c r="BQ20" s="347">
        <v>-190322.8</v>
      </c>
      <c r="BR20" s="347">
        <v>-190322.8</v>
      </c>
      <c r="BS20" s="342">
        <f t="shared" si="76"/>
        <v>-570968.39999999991</v>
      </c>
      <c r="BT20" s="347">
        <f t="shared" si="28"/>
        <v>-2093550.7999999998</v>
      </c>
      <c r="BU20" s="347">
        <v>0</v>
      </c>
      <c r="BV20" s="347">
        <v>0</v>
      </c>
      <c r="BW20" s="347">
        <v>0</v>
      </c>
      <c r="BX20" s="342">
        <f t="shared" si="77"/>
        <v>0</v>
      </c>
      <c r="BY20" s="347">
        <v>0</v>
      </c>
      <c r="BZ20" s="347">
        <v>0</v>
      </c>
      <c r="CA20" s="347">
        <v>0</v>
      </c>
      <c r="CB20" s="342">
        <f t="shared" si="78"/>
        <v>0</v>
      </c>
      <c r="CC20" s="347">
        <v>0</v>
      </c>
      <c r="CD20" s="347">
        <v>0</v>
      </c>
      <c r="CE20" s="347">
        <v>0</v>
      </c>
      <c r="CF20" s="342">
        <f t="shared" si="79"/>
        <v>0</v>
      </c>
      <c r="CG20" s="348">
        <v>0</v>
      </c>
      <c r="CH20" s="348">
        <v>0</v>
      </c>
      <c r="CI20" s="348">
        <v>0</v>
      </c>
      <c r="CJ20" s="342">
        <f t="shared" si="80"/>
        <v>0</v>
      </c>
      <c r="CK20" s="347">
        <f t="shared" si="33"/>
        <v>0</v>
      </c>
      <c r="CL20" s="347">
        <v>0</v>
      </c>
      <c r="CM20" s="347">
        <v>-45145.53</v>
      </c>
      <c r="CN20" s="347">
        <v>-45145.53</v>
      </c>
      <c r="CO20" s="342">
        <f t="shared" si="81"/>
        <v>-90291.06</v>
      </c>
      <c r="CP20" s="347">
        <v>-45145.53</v>
      </c>
      <c r="CQ20" s="347">
        <v>-45145.53</v>
      </c>
      <c r="CR20" s="347">
        <v>-45145.53</v>
      </c>
      <c r="CS20" s="342">
        <f t="shared" si="82"/>
        <v>-135436.59</v>
      </c>
      <c r="CT20" s="347">
        <v>-45145.53</v>
      </c>
      <c r="CU20" s="347">
        <v>-45145.53</v>
      </c>
      <c r="CV20" s="347">
        <v>-45145.53</v>
      </c>
      <c r="CW20" s="342">
        <f t="shared" si="83"/>
        <v>-135436.59</v>
      </c>
      <c r="CX20" s="347">
        <v>-45145.53</v>
      </c>
      <c r="CY20" s="347">
        <v>-45145.53</v>
      </c>
      <c r="CZ20" s="347">
        <v>-45145.53</v>
      </c>
      <c r="DA20" s="342">
        <f t="shared" si="84"/>
        <v>-135436.59</v>
      </c>
      <c r="DB20" s="347">
        <f t="shared" si="38"/>
        <v>-496600.83</v>
      </c>
      <c r="DC20" s="347">
        <v>0</v>
      </c>
      <c r="DD20" s="347">
        <v>0</v>
      </c>
      <c r="DE20" s="347">
        <v>0</v>
      </c>
      <c r="DF20" s="342">
        <f t="shared" si="39"/>
        <v>0</v>
      </c>
      <c r="DG20" s="347">
        <v>0</v>
      </c>
      <c r="DH20" s="347">
        <v>0</v>
      </c>
      <c r="DI20" s="347">
        <v>0</v>
      </c>
      <c r="DJ20" s="342">
        <f t="shared" si="86"/>
        <v>0</v>
      </c>
      <c r="DK20" s="347">
        <v>0</v>
      </c>
      <c r="DL20" s="347">
        <v>0</v>
      </c>
      <c r="DM20" s="347">
        <v>0</v>
      </c>
      <c r="DN20" s="342">
        <f t="shared" si="87"/>
        <v>0</v>
      </c>
      <c r="DO20" s="347">
        <v>0</v>
      </c>
      <c r="DP20" s="347">
        <v>0</v>
      </c>
      <c r="DQ20" s="347">
        <v>0</v>
      </c>
      <c r="DR20" s="342">
        <f t="shared" si="88"/>
        <v>0</v>
      </c>
      <c r="DS20" s="347">
        <f t="shared" si="43"/>
        <v>0</v>
      </c>
      <c r="DT20" s="347">
        <v>-3333.33</v>
      </c>
      <c r="DU20" s="347">
        <v>-3333.33</v>
      </c>
      <c r="DV20" s="347">
        <v>-3333.33</v>
      </c>
      <c r="DW20" s="342">
        <f t="shared" si="89"/>
        <v>-9999.99</v>
      </c>
      <c r="DX20" s="347">
        <v>-3333.35</v>
      </c>
      <c r="DY20" s="347">
        <v>0</v>
      </c>
      <c r="DZ20" s="347">
        <v>0</v>
      </c>
      <c r="EA20" s="342">
        <f t="shared" si="90"/>
        <v>-3333.35</v>
      </c>
      <c r="EB20" s="347">
        <v>0</v>
      </c>
      <c r="EC20" s="347">
        <v>0</v>
      </c>
      <c r="ED20" s="347">
        <v>0</v>
      </c>
      <c r="EE20" s="342">
        <f t="shared" si="91"/>
        <v>0</v>
      </c>
      <c r="EF20" s="347">
        <v>0</v>
      </c>
      <c r="EG20" s="347">
        <v>0</v>
      </c>
      <c r="EH20" s="347">
        <v>0</v>
      </c>
      <c r="EI20" s="342">
        <f t="shared" si="92"/>
        <v>0</v>
      </c>
      <c r="EJ20" s="347">
        <f t="shared" si="48"/>
        <v>-13333.34</v>
      </c>
      <c r="EK20" s="347"/>
      <c r="EL20" s="347"/>
      <c r="EM20" s="347"/>
      <c r="EN20" s="342">
        <f t="shared" ref="EN20:EN23" si="96">SUM(EK20:EM20)</f>
        <v>0</v>
      </c>
      <c r="EO20" s="347"/>
      <c r="EP20" s="347"/>
      <c r="EQ20" s="347"/>
      <c r="ER20" s="342">
        <f t="shared" ref="ER20:ER23" si="97">SUM(EO20:EQ20)</f>
        <v>0</v>
      </c>
      <c r="ES20" s="347"/>
      <c r="ET20" s="347"/>
      <c r="EU20" s="347"/>
      <c r="EV20" s="342">
        <f t="shared" ref="EV20:EV23" si="98">SUM(ES20:EU20)</f>
        <v>0</v>
      </c>
      <c r="EW20" s="347"/>
      <c r="EX20" s="347"/>
      <c r="EY20" s="347"/>
      <c r="EZ20" s="342">
        <f t="shared" ref="EZ20:EZ23" si="99">SUM(EW20:EY20)</f>
        <v>0</v>
      </c>
      <c r="FA20" s="347">
        <f t="shared" ref="FA20:FA23" si="100">SUM(EZ20,EV20,ER20,EN20)</f>
        <v>0</v>
      </c>
      <c r="FB20" s="347">
        <f t="shared" si="55"/>
        <v>5596514.9899999993</v>
      </c>
      <c r="FC20" s="351">
        <f t="shared" si="59"/>
        <v>0.55965150123860596</v>
      </c>
    </row>
    <row r="21" spans="1:159" s="6" customFormat="1" ht="18" outlineLevel="1">
      <c r="A21" s="343"/>
      <c r="B21" s="344" t="s">
        <v>502</v>
      </c>
      <c r="C21" s="349"/>
      <c r="D21" s="350" t="s">
        <v>503</v>
      </c>
      <c r="E21" s="347">
        <v>1166666.66666666</v>
      </c>
      <c r="F21" s="347">
        <v>1166666.66666666</v>
      </c>
      <c r="G21" s="347">
        <v>1166666.66666666</v>
      </c>
      <c r="H21" s="342">
        <f t="shared" si="60"/>
        <v>3499999.99999998</v>
      </c>
      <c r="I21" s="347">
        <v>833333.33</v>
      </c>
      <c r="J21" s="347">
        <v>833333.33</v>
      </c>
      <c r="K21" s="347">
        <v>833333.33</v>
      </c>
      <c r="L21" s="342">
        <f t="shared" si="61"/>
        <v>2499999.9899999998</v>
      </c>
      <c r="M21" s="347">
        <v>833333.33</v>
      </c>
      <c r="N21" s="347">
        <v>833333.33</v>
      </c>
      <c r="O21" s="347">
        <v>833333.33</v>
      </c>
      <c r="P21" s="342">
        <f t="shared" si="62"/>
        <v>2499999.9899999998</v>
      </c>
      <c r="Q21" s="347">
        <v>833333.33</v>
      </c>
      <c r="R21" s="347">
        <v>833333.33</v>
      </c>
      <c r="S21" s="347">
        <v>833333.33</v>
      </c>
      <c r="T21" s="342">
        <f t="shared" si="63"/>
        <v>2499999.9899999998</v>
      </c>
      <c r="U21" s="347">
        <f t="shared" si="64"/>
        <v>10999999.969999978</v>
      </c>
      <c r="V21" s="347">
        <v>-150000</v>
      </c>
      <c r="W21" s="347">
        <v>-150000</v>
      </c>
      <c r="X21" s="347">
        <v>-150000</v>
      </c>
      <c r="Y21" s="342">
        <f t="shared" si="65"/>
        <v>-450000</v>
      </c>
      <c r="Z21" s="347">
        <v>-150000</v>
      </c>
      <c r="AA21" s="347">
        <v>-150000</v>
      </c>
      <c r="AB21" s="347">
        <v>-150000</v>
      </c>
      <c r="AC21" s="342">
        <f t="shared" si="66"/>
        <v>-450000</v>
      </c>
      <c r="AD21" s="347">
        <v>-150000</v>
      </c>
      <c r="AE21" s="347">
        <v>-150000</v>
      </c>
      <c r="AF21" s="347">
        <v>-150000</v>
      </c>
      <c r="AG21" s="342">
        <f t="shared" si="67"/>
        <v>-450000</v>
      </c>
      <c r="AH21" s="347">
        <v>-150000</v>
      </c>
      <c r="AI21" s="347">
        <v>-150000</v>
      </c>
      <c r="AJ21" s="347">
        <v>-150000</v>
      </c>
      <c r="AK21" s="342">
        <f t="shared" si="68"/>
        <v>-450000</v>
      </c>
      <c r="AL21" s="347">
        <f t="shared" si="19"/>
        <v>-1800000</v>
      </c>
      <c r="AM21" s="348"/>
      <c r="AN21" s="348"/>
      <c r="AO21" s="347"/>
      <c r="AP21" s="342">
        <f t="shared" si="69"/>
        <v>0</v>
      </c>
      <c r="AQ21" s="348"/>
      <c r="AR21" s="347"/>
      <c r="AS21" s="347"/>
      <c r="AT21" s="342">
        <f t="shared" si="93"/>
        <v>0</v>
      </c>
      <c r="AU21" s="348"/>
      <c r="AV21" s="348"/>
      <c r="AW21" s="348"/>
      <c r="AX21" s="342">
        <f t="shared" si="94"/>
        <v>0</v>
      </c>
      <c r="AY21" s="348"/>
      <c r="AZ21" s="348"/>
      <c r="BA21" s="347"/>
      <c r="BB21" s="342">
        <f t="shared" si="72"/>
        <v>0</v>
      </c>
      <c r="BC21" s="347">
        <f t="shared" si="95"/>
        <v>0</v>
      </c>
      <c r="BD21" s="347">
        <v>0</v>
      </c>
      <c r="BE21" s="347">
        <v>-190322.8</v>
      </c>
      <c r="BF21" s="347">
        <v>-190322.8</v>
      </c>
      <c r="BG21" s="342">
        <f t="shared" si="73"/>
        <v>-380645.6</v>
      </c>
      <c r="BH21" s="347">
        <v>-190322.8</v>
      </c>
      <c r="BI21" s="347">
        <v>-190322.8</v>
      </c>
      <c r="BJ21" s="347">
        <v>-190322.8</v>
      </c>
      <c r="BK21" s="342">
        <f t="shared" si="74"/>
        <v>-570968.39999999991</v>
      </c>
      <c r="BL21" s="347">
        <v>-190322.8</v>
      </c>
      <c r="BM21" s="347">
        <v>-190322.8</v>
      </c>
      <c r="BN21" s="347">
        <v>-190322.8</v>
      </c>
      <c r="BO21" s="342">
        <f t="shared" si="75"/>
        <v>-570968.39999999991</v>
      </c>
      <c r="BP21" s="347">
        <v>-190322.8</v>
      </c>
      <c r="BQ21" s="347">
        <v>-190322.8</v>
      </c>
      <c r="BR21" s="347">
        <v>-190322.8</v>
      </c>
      <c r="BS21" s="342">
        <f t="shared" si="76"/>
        <v>-570968.39999999991</v>
      </c>
      <c r="BT21" s="347">
        <f t="shared" si="28"/>
        <v>-2093550.7999999998</v>
      </c>
      <c r="BU21" s="347">
        <v>0</v>
      </c>
      <c r="BV21" s="347">
        <v>0</v>
      </c>
      <c r="BW21" s="347">
        <v>0</v>
      </c>
      <c r="BX21" s="342">
        <f t="shared" si="77"/>
        <v>0</v>
      </c>
      <c r="BY21" s="347">
        <v>0</v>
      </c>
      <c r="BZ21" s="347">
        <v>0</v>
      </c>
      <c r="CA21" s="347">
        <v>0</v>
      </c>
      <c r="CB21" s="342">
        <f t="shared" si="78"/>
        <v>0</v>
      </c>
      <c r="CC21" s="347">
        <v>0</v>
      </c>
      <c r="CD21" s="347">
        <v>0</v>
      </c>
      <c r="CE21" s="347">
        <v>0</v>
      </c>
      <c r="CF21" s="342">
        <f t="shared" si="79"/>
        <v>0</v>
      </c>
      <c r="CG21" s="348">
        <v>0</v>
      </c>
      <c r="CH21" s="348">
        <v>0</v>
      </c>
      <c r="CI21" s="348">
        <v>0</v>
      </c>
      <c r="CJ21" s="342">
        <f t="shared" si="80"/>
        <v>0</v>
      </c>
      <c r="CK21" s="347">
        <f t="shared" si="33"/>
        <v>0</v>
      </c>
      <c r="CL21" s="347">
        <v>0</v>
      </c>
      <c r="CM21" s="347">
        <v>-45145.53</v>
      </c>
      <c r="CN21" s="347">
        <v>-45145.53</v>
      </c>
      <c r="CO21" s="342">
        <f t="shared" si="81"/>
        <v>-90291.06</v>
      </c>
      <c r="CP21" s="347">
        <v>-45145.53</v>
      </c>
      <c r="CQ21" s="347">
        <v>-45145.53</v>
      </c>
      <c r="CR21" s="347">
        <v>-45145.53</v>
      </c>
      <c r="CS21" s="342">
        <f t="shared" si="82"/>
        <v>-135436.59</v>
      </c>
      <c r="CT21" s="347">
        <v>-45145.53</v>
      </c>
      <c r="CU21" s="347">
        <v>-45145.53</v>
      </c>
      <c r="CV21" s="347">
        <v>-45145.53</v>
      </c>
      <c r="CW21" s="342">
        <f t="shared" si="83"/>
        <v>-135436.59</v>
      </c>
      <c r="CX21" s="347">
        <v>-45145.53</v>
      </c>
      <c r="CY21" s="347">
        <v>-45145.53</v>
      </c>
      <c r="CZ21" s="347">
        <v>-45145.53</v>
      </c>
      <c r="DA21" s="342">
        <f t="shared" si="84"/>
        <v>-135436.59</v>
      </c>
      <c r="DB21" s="347">
        <f t="shared" si="38"/>
        <v>-496600.83</v>
      </c>
      <c r="DC21" s="347">
        <v>0</v>
      </c>
      <c r="DD21" s="347">
        <v>0</v>
      </c>
      <c r="DE21" s="347">
        <v>0</v>
      </c>
      <c r="DF21" s="342">
        <f t="shared" si="39"/>
        <v>0</v>
      </c>
      <c r="DG21" s="347">
        <v>0</v>
      </c>
      <c r="DH21" s="347">
        <v>0</v>
      </c>
      <c r="DI21" s="347">
        <v>0</v>
      </c>
      <c r="DJ21" s="342">
        <f t="shared" si="86"/>
        <v>0</v>
      </c>
      <c r="DK21" s="347">
        <v>0</v>
      </c>
      <c r="DL21" s="347">
        <v>0</v>
      </c>
      <c r="DM21" s="347">
        <v>0</v>
      </c>
      <c r="DN21" s="342">
        <f t="shared" si="87"/>
        <v>0</v>
      </c>
      <c r="DO21" s="347">
        <v>0</v>
      </c>
      <c r="DP21" s="347">
        <v>0</v>
      </c>
      <c r="DQ21" s="347">
        <v>0</v>
      </c>
      <c r="DR21" s="342">
        <f t="shared" si="88"/>
        <v>0</v>
      </c>
      <c r="DS21" s="347">
        <f t="shared" si="43"/>
        <v>0</v>
      </c>
      <c r="DT21" s="347">
        <v>-3333.33</v>
      </c>
      <c r="DU21" s="347">
        <v>-3333.33</v>
      </c>
      <c r="DV21" s="347">
        <v>-3333.33</v>
      </c>
      <c r="DW21" s="342">
        <f t="shared" si="89"/>
        <v>-9999.99</v>
      </c>
      <c r="DX21" s="347">
        <v>-3333.34</v>
      </c>
      <c r="DY21" s="347">
        <v>0</v>
      </c>
      <c r="DZ21" s="347">
        <v>0</v>
      </c>
      <c r="EA21" s="342">
        <f t="shared" si="90"/>
        <v>-3333.34</v>
      </c>
      <c r="EB21" s="347">
        <v>0</v>
      </c>
      <c r="EC21" s="347">
        <v>0</v>
      </c>
      <c r="ED21" s="347">
        <v>0</v>
      </c>
      <c r="EE21" s="342">
        <f t="shared" si="91"/>
        <v>0</v>
      </c>
      <c r="EF21" s="347">
        <v>0</v>
      </c>
      <c r="EG21" s="347">
        <v>0</v>
      </c>
      <c r="EH21" s="347">
        <v>0</v>
      </c>
      <c r="EI21" s="342">
        <f t="shared" si="92"/>
        <v>0</v>
      </c>
      <c r="EJ21" s="347">
        <f t="shared" si="48"/>
        <v>-13333.33</v>
      </c>
      <c r="EK21" s="347"/>
      <c r="EL21" s="347"/>
      <c r="EM21" s="347"/>
      <c r="EN21" s="342">
        <f t="shared" si="96"/>
        <v>0</v>
      </c>
      <c r="EO21" s="347"/>
      <c r="EP21" s="347"/>
      <c r="EQ21" s="347"/>
      <c r="ER21" s="342">
        <f t="shared" si="97"/>
        <v>0</v>
      </c>
      <c r="ES21" s="347"/>
      <c r="ET21" s="347"/>
      <c r="EU21" s="347"/>
      <c r="EV21" s="342">
        <f t="shared" si="98"/>
        <v>0</v>
      </c>
      <c r="EW21" s="347"/>
      <c r="EX21" s="347"/>
      <c r="EY21" s="347"/>
      <c r="EZ21" s="342">
        <f t="shared" si="99"/>
        <v>0</v>
      </c>
      <c r="FA21" s="347">
        <f t="shared" si="100"/>
        <v>0</v>
      </c>
      <c r="FB21" s="347">
        <f t="shared" si="55"/>
        <v>6596515.0099999784</v>
      </c>
      <c r="FC21" s="351"/>
    </row>
    <row r="22" spans="1:159" s="6" customFormat="1" ht="18" outlineLevel="1">
      <c r="A22" s="343"/>
      <c r="B22" s="344" t="s">
        <v>504</v>
      </c>
      <c r="C22" s="349"/>
      <c r="D22" s="350" t="s">
        <v>505</v>
      </c>
      <c r="E22" s="347">
        <v>1166666.66666666</v>
      </c>
      <c r="F22" s="347">
        <v>1166666.66666666</v>
      </c>
      <c r="G22" s="347">
        <v>1166666.66666666</v>
      </c>
      <c r="H22" s="342">
        <f t="shared" si="60"/>
        <v>3499999.99999998</v>
      </c>
      <c r="I22" s="347">
        <v>833333.33</v>
      </c>
      <c r="J22" s="347">
        <v>833333.33</v>
      </c>
      <c r="K22" s="347">
        <v>833333.33</v>
      </c>
      <c r="L22" s="342">
        <f t="shared" si="61"/>
        <v>2499999.9899999998</v>
      </c>
      <c r="M22" s="347">
        <v>833333.33</v>
      </c>
      <c r="N22" s="347">
        <v>833333.33</v>
      </c>
      <c r="O22" s="347">
        <v>833333.33</v>
      </c>
      <c r="P22" s="342">
        <f t="shared" si="62"/>
        <v>2499999.9899999998</v>
      </c>
      <c r="Q22" s="347">
        <v>833333.33</v>
      </c>
      <c r="R22" s="347">
        <v>833333.33</v>
      </c>
      <c r="S22" s="347">
        <v>833333.33</v>
      </c>
      <c r="T22" s="342">
        <f t="shared" si="63"/>
        <v>2499999.9899999998</v>
      </c>
      <c r="U22" s="347">
        <f t="shared" si="64"/>
        <v>10999999.969999978</v>
      </c>
      <c r="V22" s="347">
        <v>-150000</v>
      </c>
      <c r="W22" s="347">
        <v>-150000</v>
      </c>
      <c r="X22" s="347">
        <v>-150000</v>
      </c>
      <c r="Y22" s="342">
        <f t="shared" si="65"/>
        <v>-450000</v>
      </c>
      <c r="Z22" s="347">
        <v>-150000</v>
      </c>
      <c r="AA22" s="347">
        <v>-150000</v>
      </c>
      <c r="AB22" s="347">
        <v>-150000</v>
      </c>
      <c r="AC22" s="342">
        <f t="shared" si="66"/>
        <v>-450000</v>
      </c>
      <c r="AD22" s="347">
        <v>-150000</v>
      </c>
      <c r="AE22" s="347">
        <v>-150000</v>
      </c>
      <c r="AF22" s="347">
        <v>-150000</v>
      </c>
      <c r="AG22" s="342">
        <f t="shared" si="67"/>
        <v>-450000</v>
      </c>
      <c r="AH22" s="347">
        <v>-150000</v>
      </c>
      <c r="AI22" s="347">
        <v>-150000</v>
      </c>
      <c r="AJ22" s="347">
        <v>-150000</v>
      </c>
      <c r="AK22" s="342">
        <f t="shared" si="68"/>
        <v>-450000</v>
      </c>
      <c r="AL22" s="347">
        <f t="shared" si="19"/>
        <v>-1800000</v>
      </c>
      <c r="AM22" s="348"/>
      <c r="AN22" s="348"/>
      <c r="AO22" s="347"/>
      <c r="AP22" s="342">
        <f t="shared" si="69"/>
        <v>0</v>
      </c>
      <c r="AQ22" s="348"/>
      <c r="AR22" s="347"/>
      <c r="AS22" s="347"/>
      <c r="AT22" s="342">
        <f t="shared" si="93"/>
        <v>0</v>
      </c>
      <c r="AU22" s="348"/>
      <c r="AV22" s="348"/>
      <c r="AW22" s="348"/>
      <c r="AX22" s="342">
        <f t="shared" si="94"/>
        <v>0</v>
      </c>
      <c r="AY22" s="348"/>
      <c r="AZ22" s="348"/>
      <c r="BA22" s="347"/>
      <c r="BB22" s="342">
        <f t="shared" si="72"/>
        <v>0</v>
      </c>
      <c r="BC22" s="347">
        <f t="shared" si="95"/>
        <v>0</v>
      </c>
      <c r="BD22" s="347">
        <v>0</v>
      </c>
      <c r="BE22" s="347">
        <v>-190322.8</v>
      </c>
      <c r="BF22" s="347">
        <v>-190322.8</v>
      </c>
      <c r="BG22" s="342">
        <f t="shared" si="73"/>
        <v>-380645.6</v>
      </c>
      <c r="BH22" s="347">
        <v>-190322.8</v>
      </c>
      <c r="BI22" s="347">
        <v>-190322.8</v>
      </c>
      <c r="BJ22" s="347">
        <v>-190322.8</v>
      </c>
      <c r="BK22" s="342">
        <f t="shared" si="74"/>
        <v>-570968.39999999991</v>
      </c>
      <c r="BL22" s="347">
        <v>-190322.8</v>
      </c>
      <c r="BM22" s="347">
        <v>-190322.8</v>
      </c>
      <c r="BN22" s="347">
        <v>-190322.8</v>
      </c>
      <c r="BO22" s="342">
        <f t="shared" si="75"/>
        <v>-570968.39999999991</v>
      </c>
      <c r="BP22" s="347">
        <v>-190322.8</v>
      </c>
      <c r="BQ22" s="347">
        <v>-190322.8</v>
      </c>
      <c r="BR22" s="347">
        <v>-190322.8</v>
      </c>
      <c r="BS22" s="342">
        <f t="shared" si="76"/>
        <v>-570968.39999999991</v>
      </c>
      <c r="BT22" s="347">
        <f t="shared" si="28"/>
        <v>-2093550.7999999998</v>
      </c>
      <c r="BU22" s="347">
        <v>0</v>
      </c>
      <c r="BV22" s="347">
        <v>0</v>
      </c>
      <c r="BW22" s="347">
        <v>0</v>
      </c>
      <c r="BX22" s="342">
        <f t="shared" si="77"/>
        <v>0</v>
      </c>
      <c r="BY22" s="347">
        <v>0</v>
      </c>
      <c r="BZ22" s="347">
        <v>0</v>
      </c>
      <c r="CA22" s="347">
        <v>0</v>
      </c>
      <c r="CB22" s="342">
        <f t="shared" si="78"/>
        <v>0</v>
      </c>
      <c r="CC22" s="347">
        <v>0</v>
      </c>
      <c r="CD22" s="347">
        <v>0</v>
      </c>
      <c r="CE22" s="347">
        <v>0</v>
      </c>
      <c r="CF22" s="342">
        <f t="shared" si="79"/>
        <v>0</v>
      </c>
      <c r="CG22" s="348">
        <v>0</v>
      </c>
      <c r="CH22" s="348">
        <v>0</v>
      </c>
      <c r="CI22" s="348">
        <v>0</v>
      </c>
      <c r="CJ22" s="342">
        <f t="shared" si="80"/>
        <v>0</v>
      </c>
      <c r="CK22" s="347">
        <f t="shared" si="33"/>
        <v>0</v>
      </c>
      <c r="CL22" s="347">
        <v>0</v>
      </c>
      <c r="CM22" s="347">
        <v>-45145.53</v>
      </c>
      <c r="CN22" s="347">
        <v>-45145.53</v>
      </c>
      <c r="CO22" s="342">
        <f t="shared" si="81"/>
        <v>-90291.06</v>
      </c>
      <c r="CP22" s="347">
        <v>-45145.53</v>
      </c>
      <c r="CQ22" s="347">
        <v>-45145.53</v>
      </c>
      <c r="CR22" s="347">
        <v>-45145.53</v>
      </c>
      <c r="CS22" s="342">
        <f t="shared" si="82"/>
        <v>-135436.59</v>
      </c>
      <c r="CT22" s="347">
        <v>-45145.53</v>
      </c>
      <c r="CU22" s="347">
        <v>-45145.53</v>
      </c>
      <c r="CV22" s="347">
        <v>-45145.53</v>
      </c>
      <c r="CW22" s="342">
        <f t="shared" si="83"/>
        <v>-135436.59</v>
      </c>
      <c r="CX22" s="347">
        <v>-45145.53</v>
      </c>
      <c r="CY22" s="347">
        <v>-45145.53</v>
      </c>
      <c r="CZ22" s="347">
        <v>-45145.53</v>
      </c>
      <c r="DA22" s="342">
        <f t="shared" si="84"/>
        <v>-135436.59</v>
      </c>
      <c r="DB22" s="347">
        <f t="shared" si="38"/>
        <v>-496600.83</v>
      </c>
      <c r="DC22" s="347">
        <v>0</v>
      </c>
      <c r="DD22" s="347">
        <v>0</v>
      </c>
      <c r="DE22" s="347">
        <v>0</v>
      </c>
      <c r="DF22" s="342">
        <f t="shared" si="39"/>
        <v>0</v>
      </c>
      <c r="DG22" s="347">
        <v>0</v>
      </c>
      <c r="DH22" s="347">
        <v>0</v>
      </c>
      <c r="DI22" s="347">
        <v>0</v>
      </c>
      <c r="DJ22" s="342">
        <f t="shared" si="86"/>
        <v>0</v>
      </c>
      <c r="DK22" s="347">
        <v>0</v>
      </c>
      <c r="DL22" s="347">
        <v>0</v>
      </c>
      <c r="DM22" s="347">
        <v>0</v>
      </c>
      <c r="DN22" s="342">
        <f t="shared" si="87"/>
        <v>0</v>
      </c>
      <c r="DO22" s="347">
        <v>0</v>
      </c>
      <c r="DP22" s="347">
        <v>0</v>
      </c>
      <c r="DQ22" s="347">
        <v>0</v>
      </c>
      <c r="DR22" s="342">
        <f t="shared" si="88"/>
        <v>0</v>
      </c>
      <c r="DS22" s="347">
        <f t="shared" si="43"/>
        <v>0</v>
      </c>
      <c r="DT22" s="347">
        <v>-3333.33</v>
      </c>
      <c r="DU22" s="347">
        <v>-3333.33</v>
      </c>
      <c r="DV22" s="347">
        <v>-3333.33</v>
      </c>
      <c r="DW22" s="342">
        <f t="shared" si="89"/>
        <v>-9999.99</v>
      </c>
      <c r="DX22" s="347">
        <v>-3333.34</v>
      </c>
      <c r="DY22" s="347">
        <v>0</v>
      </c>
      <c r="DZ22" s="347">
        <v>0</v>
      </c>
      <c r="EA22" s="342">
        <f t="shared" si="90"/>
        <v>-3333.34</v>
      </c>
      <c r="EB22" s="347">
        <v>0</v>
      </c>
      <c r="EC22" s="347">
        <v>0</v>
      </c>
      <c r="ED22" s="347">
        <v>0</v>
      </c>
      <c r="EE22" s="342">
        <f t="shared" si="91"/>
        <v>0</v>
      </c>
      <c r="EF22" s="347">
        <v>0</v>
      </c>
      <c r="EG22" s="347">
        <v>0</v>
      </c>
      <c r="EH22" s="347">
        <v>0</v>
      </c>
      <c r="EI22" s="342">
        <f t="shared" si="92"/>
        <v>0</v>
      </c>
      <c r="EJ22" s="347">
        <f t="shared" si="48"/>
        <v>-13333.33</v>
      </c>
      <c r="EK22" s="347"/>
      <c r="EL22" s="347"/>
      <c r="EM22" s="347"/>
      <c r="EN22" s="342">
        <f t="shared" si="96"/>
        <v>0</v>
      </c>
      <c r="EO22" s="347"/>
      <c r="EP22" s="347"/>
      <c r="EQ22" s="347"/>
      <c r="ER22" s="342">
        <f t="shared" si="97"/>
        <v>0</v>
      </c>
      <c r="ES22" s="347"/>
      <c r="ET22" s="347"/>
      <c r="EU22" s="347"/>
      <c r="EV22" s="342">
        <f t="shared" si="98"/>
        <v>0</v>
      </c>
      <c r="EW22" s="347"/>
      <c r="EX22" s="347"/>
      <c r="EY22" s="347"/>
      <c r="EZ22" s="342">
        <f t="shared" si="99"/>
        <v>0</v>
      </c>
      <c r="FA22" s="347">
        <f t="shared" si="100"/>
        <v>0</v>
      </c>
      <c r="FB22" s="347">
        <f t="shared" si="55"/>
        <v>6596515.0099999784</v>
      </c>
      <c r="FC22" s="351"/>
    </row>
    <row r="23" spans="1:159" s="6" customFormat="1" ht="18" outlineLevel="1">
      <c r="A23" s="343"/>
      <c r="B23" s="344" t="s">
        <v>506</v>
      </c>
      <c r="C23" s="349"/>
      <c r="D23" s="350" t="s">
        <v>507</v>
      </c>
      <c r="E23" s="347"/>
      <c r="F23" s="347"/>
      <c r="G23" s="347">
        <v>1000000</v>
      </c>
      <c r="H23" s="342">
        <f t="shared" si="60"/>
        <v>1000000</v>
      </c>
      <c r="I23" s="347">
        <v>1000000</v>
      </c>
      <c r="J23" s="347">
        <v>1000000</v>
      </c>
      <c r="K23" s="347">
        <v>1000000</v>
      </c>
      <c r="L23" s="342">
        <f t="shared" si="61"/>
        <v>3000000</v>
      </c>
      <c r="M23" s="347">
        <v>1000000</v>
      </c>
      <c r="N23" s="347">
        <v>1000000</v>
      </c>
      <c r="O23" s="347">
        <v>1000000</v>
      </c>
      <c r="P23" s="342">
        <f t="shared" si="62"/>
        <v>3000000</v>
      </c>
      <c r="Q23" s="347">
        <v>1000000</v>
      </c>
      <c r="R23" s="347">
        <v>1000000</v>
      </c>
      <c r="S23" s="347">
        <v>1000000</v>
      </c>
      <c r="T23" s="342">
        <f t="shared" si="63"/>
        <v>3000000</v>
      </c>
      <c r="U23" s="347">
        <f t="shared" si="64"/>
        <v>10000000</v>
      </c>
      <c r="V23" s="347">
        <v>0</v>
      </c>
      <c r="W23" s="347">
        <v>0</v>
      </c>
      <c r="X23" s="347">
        <v>-180000</v>
      </c>
      <c r="Y23" s="342">
        <f t="shared" si="65"/>
        <v>-180000</v>
      </c>
      <c r="Z23" s="347">
        <v>-180000</v>
      </c>
      <c r="AA23" s="347">
        <v>-180000</v>
      </c>
      <c r="AB23" s="347">
        <v>-180000</v>
      </c>
      <c r="AC23" s="342">
        <f t="shared" si="66"/>
        <v>-540000</v>
      </c>
      <c r="AD23" s="347">
        <v>-180000</v>
      </c>
      <c r="AE23" s="347">
        <v>-180000</v>
      </c>
      <c r="AF23" s="347">
        <v>-180000</v>
      </c>
      <c r="AG23" s="342">
        <f t="shared" si="67"/>
        <v>-540000</v>
      </c>
      <c r="AH23" s="347">
        <v>-180000</v>
      </c>
      <c r="AI23" s="347">
        <v>-180000</v>
      </c>
      <c r="AJ23" s="347">
        <v>-180000</v>
      </c>
      <c r="AK23" s="342">
        <f t="shared" si="68"/>
        <v>-540000</v>
      </c>
      <c r="AL23" s="347">
        <f t="shared" si="19"/>
        <v>-1800000</v>
      </c>
      <c r="AM23" s="347">
        <v>0</v>
      </c>
      <c r="AN23" s="347">
        <v>0</v>
      </c>
      <c r="AO23" s="347">
        <v>0</v>
      </c>
      <c r="AP23" s="342">
        <f t="shared" si="69"/>
        <v>0</v>
      </c>
      <c r="AQ23" s="348">
        <v>0</v>
      </c>
      <c r="AR23" s="347">
        <v>0</v>
      </c>
      <c r="AS23" s="347">
        <v>0</v>
      </c>
      <c r="AT23" s="342">
        <f t="shared" si="93"/>
        <v>0</v>
      </c>
      <c r="AU23" s="348">
        <v>0</v>
      </c>
      <c r="AV23" s="348">
        <v>0</v>
      </c>
      <c r="AW23" s="348">
        <v>0</v>
      </c>
      <c r="AX23" s="342">
        <f t="shared" si="94"/>
        <v>0</v>
      </c>
      <c r="AY23" s="347"/>
      <c r="AZ23" s="347"/>
      <c r="BA23" s="347"/>
      <c r="BB23" s="342">
        <f t="shared" si="72"/>
        <v>0</v>
      </c>
      <c r="BC23" s="347">
        <f t="shared" si="95"/>
        <v>0</v>
      </c>
      <c r="BD23" s="347">
        <v>0</v>
      </c>
      <c r="BE23" s="347">
        <v>-190322.8</v>
      </c>
      <c r="BF23" s="347">
        <v>-190322.8</v>
      </c>
      <c r="BG23" s="342">
        <f t="shared" si="73"/>
        <v>-380645.6</v>
      </c>
      <c r="BH23" s="347">
        <v>-190322.8</v>
      </c>
      <c r="BI23" s="347">
        <v>-190322.8</v>
      </c>
      <c r="BJ23" s="347">
        <v>-190322.8</v>
      </c>
      <c r="BK23" s="342">
        <f t="shared" si="74"/>
        <v>-570968.39999999991</v>
      </c>
      <c r="BL23" s="347">
        <v>-190322.8</v>
      </c>
      <c r="BM23" s="347">
        <v>-190322.8</v>
      </c>
      <c r="BN23" s="347">
        <v>-190322.8</v>
      </c>
      <c r="BO23" s="342">
        <f t="shared" si="75"/>
        <v>-570968.39999999991</v>
      </c>
      <c r="BP23" s="347">
        <v>-190322.8</v>
      </c>
      <c r="BQ23" s="347">
        <v>-190322.8</v>
      </c>
      <c r="BR23" s="347">
        <v>-190322.8</v>
      </c>
      <c r="BS23" s="342">
        <f t="shared" si="76"/>
        <v>-570968.39999999991</v>
      </c>
      <c r="BT23" s="347">
        <f t="shared" si="28"/>
        <v>-2093550.7999999998</v>
      </c>
      <c r="BU23" s="347">
        <v>0</v>
      </c>
      <c r="BV23" s="347">
        <v>0</v>
      </c>
      <c r="BW23" s="347">
        <v>0</v>
      </c>
      <c r="BX23" s="342">
        <f t="shared" si="77"/>
        <v>0</v>
      </c>
      <c r="BY23" s="347">
        <v>0</v>
      </c>
      <c r="BZ23" s="347">
        <v>0</v>
      </c>
      <c r="CA23" s="347">
        <v>0</v>
      </c>
      <c r="CB23" s="342">
        <f t="shared" si="78"/>
        <v>0</v>
      </c>
      <c r="CC23" s="347">
        <v>0</v>
      </c>
      <c r="CD23" s="347">
        <v>0</v>
      </c>
      <c r="CE23" s="347">
        <v>0</v>
      </c>
      <c r="CF23" s="342">
        <f t="shared" si="79"/>
        <v>0</v>
      </c>
      <c r="CG23" s="348">
        <v>0</v>
      </c>
      <c r="CH23" s="348">
        <v>0</v>
      </c>
      <c r="CI23" s="348">
        <v>0</v>
      </c>
      <c r="CJ23" s="342">
        <f t="shared" si="80"/>
        <v>0</v>
      </c>
      <c r="CK23" s="347">
        <f t="shared" si="33"/>
        <v>0</v>
      </c>
      <c r="CL23" s="347">
        <v>0</v>
      </c>
      <c r="CM23" s="347">
        <v>-45145.53</v>
      </c>
      <c r="CN23" s="347">
        <v>-45145.53</v>
      </c>
      <c r="CO23" s="342">
        <f t="shared" si="81"/>
        <v>-90291.06</v>
      </c>
      <c r="CP23" s="347">
        <v>-45145.53</v>
      </c>
      <c r="CQ23" s="347">
        <v>-45145.53</v>
      </c>
      <c r="CR23" s="347">
        <v>-45145.53</v>
      </c>
      <c r="CS23" s="342">
        <f t="shared" si="82"/>
        <v>-135436.59</v>
      </c>
      <c r="CT23" s="347">
        <v>-45145.53</v>
      </c>
      <c r="CU23" s="347">
        <v>-45145.53</v>
      </c>
      <c r="CV23" s="347">
        <v>-45145.53</v>
      </c>
      <c r="CW23" s="342">
        <f t="shared" si="83"/>
        <v>-135436.59</v>
      </c>
      <c r="CX23" s="347">
        <v>-45145.53</v>
      </c>
      <c r="CY23" s="347">
        <v>-45145.53</v>
      </c>
      <c r="CZ23" s="347">
        <v>-45145.53</v>
      </c>
      <c r="DA23" s="342">
        <f t="shared" si="84"/>
        <v>-135436.59</v>
      </c>
      <c r="DB23" s="347">
        <f t="shared" si="38"/>
        <v>-496600.83</v>
      </c>
      <c r="DC23" s="347">
        <v>0</v>
      </c>
      <c r="DD23" s="347">
        <v>0</v>
      </c>
      <c r="DE23" s="347">
        <v>0</v>
      </c>
      <c r="DF23" s="342">
        <f t="shared" si="39"/>
        <v>0</v>
      </c>
      <c r="DG23" s="347">
        <v>0</v>
      </c>
      <c r="DH23" s="347">
        <v>0</v>
      </c>
      <c r="DI23" s="347">
        <v>0</v>
      </c>
      <c r="DJ23" s="342">
        <f t="shared" si="86"/>
        <v>0</v>
      </c>
      <c r="DK23" s="347">
        <v>0</v>
      </c>
      <c r="DL23" s="347">
        <v>0</v>
      </c>
      <c r="DM23" s="347">
        <v>0</v>
      </c>
      <c r="DN23" s="342">
        <f t="shared" si="87"/>
        <v>0</v>
      </c>
      <c r="DO23" s="347">
        <v>0</v>
      </c>
      <c r="DP23" s="347">
        <v>0</v>
      </c>
      <c r="DQ23" s="347">
        <v>0</v>
      </c>
      <c r="DR23" s="342">
        <f t="shared" si="88"/>
        <v>0</v>
      </c>
      <c r="DS23" s="347">
        <f t="shared" si="43"/>
        <v>0</v>
      </c>
      <c r="DT23" s="347">
        <v>0</v>
      </c>
      <c r="DU23" s="347">
        <v>0</v>
      </c>
      <c r="DV23" s="347">
        <v>-10000</v>
      </c>
      <c r="DW23" s="342">
        <f t="shared" si="89"/>
        <v>-10000</v>
      </c>
      <c r="DX23" s="347">
        <v>-10000</v>
      </c>
      <c r="DY23" s="347">
        <v>-10000</v>
      </c>
      <c r="DZ23" s="347">
        <v>-10000</v>
      </c>
      <c r="EA23" s="342">
        <f t="shared" si="90"/>
        <v>-30000</v>
      </c>
      <c r="EB23" s="347">
        <v>0</v>
      </c>
      <c r="EC23" s="347">
        <v>0</v>
      </c>
      <c r="ED23" s="347">
        <v>0</v>
      </c>
      <c r="EE23" s="342">
        <f t="shared" si="91"/>
        <v>0</v>
      </c>
      <c r="EF23" s="347">
        <v>0</v>
      </c>
      <c r="EG23" s="347">
        <v>0</v>
      </c>
      <c r="EH23" s="347">
        <v>0</v>
      </c>
      <c r="EI23" s="342">
        <f t="shared" si="92"/>
        <v>0</v>
      </c>
      <c r="EJ23" s="347">
        <f t="shared" si="48"/>
        <v>-40000</v>
      </c>
      <c r="EK23" s="347"/>
      <c r="EL23" s="347"/>
      <c r="EM23" s="347"/>
      <c r="EN23" s="342">
        <f t="shared" si="96"/>
        <v>0</v>
      </c>
      <c r="EO23" s="347"/>
      <c r="EP23" s="347"/>
      <c r="EQ23" s="347"/>
      <c r="ER23" s="342">
        <f t="shared" si="97"/>
        <v>0</v>
      </c>
      <c r="ES23" s="347"/>
      <c r="ET23" s="347"/>
      <c r="EU23" s="347"/>
      <c r="EV23" s="342">
        <f t="shared" si="98"/>
        <v>0</v>
      </c>
      <c r="EW23" s="347"/>
      <c r="EX23" s="347"/>
      <c r="EY23" s="347"/>
      <c r="EZ23" s="342">
        <f t="shared" si="99"/>
        <v>0</v>
      </c>
      <c r="FA23" s="347">
        <f t="shared" si="100"/>
        <v>0</v>
      </c>
      <c r="FB23" s="347">
        <f t="shared" si="55"/>
        <v>5569848.3700000001</v>
      </c>
      <c r="FC23" s="351">
        <f t="shared" si="59"/>
        <v>0.55698483700000001</v>
      </c>
    </row>
    <row r="24" spans="1:159" s="28" customFormat="1" ht="25.8">
      <c r="A24" s="338"/>
      <c r="B24" s="339" t="s">
        <v>508</v>
      </c>
      <c r="C24" s="339"/>
      <c r="D24" s="340" t="s">
        <v>509</v>
      </c>
      <c r="E24" s="341">
        <f>E25+E31+E38+E49+E51+E62+E64+E75</f>
        <v>8242299.3266666671</v>
      </c>
      <c r="F24" s="341">
        <f>F25+F31+F38+F49+F51+F62+F64+F75</f>
        <v>8242299.3266666671</v>
      </c>
      <c r="G24" s="341">
        <f>G25+G31+G38+G49+G51+G62+G64+G75</f>
        <v>8242299.3266666671</v>
      </c>
      <c r="H24" s="342">
        <f t="shared" si="60"/>
        <v>24726897.98</v>
      </c>
      <c r="I24" s="341">
        <f>I25+I31+I38+I49+I51+I62+I64+I75</f>
        <v>8042299.3266666671</v>
      </c>
      <c r="J24" s="341">
        <f>J25+J31+J38+J49+J51+J62+J64+J75</f>
        <v>8042299.3266666671</v>
      </c>
      <c r="K24" s="341">
        <f>K25+K31+K38+K49+K51+K62+K64+K75</f>
        <v>8042299.3266666671</v>
      </c>
      <c r="L24" s="342">
        <f>SUM(I24:K24)</f>
        <v>24126897.98</v>
      </c>
      <c r="M24" s="341">
        <f>M25+M31+M38+M49+M51+M62+M64+M75</f>
        <v>7147699.3266666671</v>
      </c>
      <c r="N24" s="341">
        <f>N25+N31+N38+N49+N51+N62+N64+N75</f>
        <v>7147699.3266666671</v>
      </c>
      <c r="O24" s="341">
        <f>O25+O31+O38+O49+O51+O62+O64+O75</f>
        <v>7147699.3266666671</v>
      </c>
      <c r="P24" s="342">
        <f>SUM(M24:O24)</f>
        <v>21443097.98</v>
      </c>
      <c r="Q24" s="341">
        <f>Q25+Q31+Q38+Q49+Q51+Q62+Q64+Q75</f>
        <v>7167699.3266666671</v>
      </c>
      <c r="R24" s="341">
        <f>R25+R31+R38+R49+R51+R62+R64+R75</f>
        <v>7167699.3266666671</v>
      </c>
      <c r="S24" s="341">
        <f>S25+S31+S38+S49+S51+S62+S64+S75</f>
        <v>7167699.3266666671</v>
      </c>
      <c r="T24" s="342">
        <f>SUM(Q24:S24)</f>
        <v>21503097.98</v>
      </c>
      <c r="U24" s="341">
        <f>U25+U31+U38+U49+U51+U62+U64+U75</f>
        <v>91799991.920000002</v>
      </c>
      <c r="V24" s="341">
        <f>V25+V31+V38+V49+V51+V62+V64+V75</f>
        <v>-2707499.9966666601</v>
      </c>
      <c r="W24" s="341">
        <f>W25+W31+W38+W49+W51+W62+W64+W75</f>
        <v>-2707499.9966666601</v>
      </c>
      <c r="X24" s="341">
        <f>X25+X31+X38+X49+X51+X62+X64+X75</f>
        <v>-2707499.9966666601</v>
      </c>
      <c r="Y24" s="342">
        <f t="shared" si="65"/>
        <v>-8122499.9899999797</v>
      </c>
      <c r="Z24" s="341">
        <f>Z25+Z31+Z38+Z49+Z51+Z62+Z64+Z75</f>
        <v>-2607499.9966666601</v>
      </c>
      <c r="AA24" s="341">
        <f>AA25+AA31+AA38+AA49+AA51+AA62+AA64+AA75</f>
        <v>-2607499.9966666601</v>
      </c>
      <c r="AB24" s="341">
        <f>AB25+AB31+AB38+AB49+AB51+AB62+AB64+AB75</f>
        <v>-2607499.9966666601</v>
      </c>
      <c r="AC24" s="342">
        <f t="shared" ref="AC24:AC76" si="101">SUM(Z24:AB24)</f>
        <v>-7822499.9899999797</v>
      </c>
      <c r="AD24" s="341">
        <f>AD25+AD31+AD38+AD49+AD51+AD62+AD64+AD75</f>
        <v>-2487499.9966666601</v>
      </c>
      <c r="AE24" s="341">
        <f>AE25+AE31+AE38+AE49+AE51+AE62+AE64+AE75</f>
        <v>-2487499.9966666601</v>
      </c>
      <c r="AF24" s="341">
        <f>AF25+AF31+AF38+AF49+AF51+AF62+AF64+AF75</f>
        <v>-2487499.9966666601</v>
      </c>
      <c r="AG24" s="342">
        <f t="shared" si="67"/>
        <v>-7462499.9899999797</v>
      </c>
      <c r="AH24" s="341">
        <f>AH25+AH31+AH38+AH49+AH51+AH62+AH64+AH75</f>
        <v>-2487499.9966666601</v>
      </c>
      <c r="AI24" s="341">
        <f>AI25+AI31+AI38+AI49+AI51+AI62+AI64+AI75</f>
        <v>-2487499.9966666601</v>
      </c>
      <c r="AJ24" s="341">
        <f>AJ25+AJ31+AJ38+AJ49+AJ51+AJ62+AJ64+AJ75</f>
        <v>-2487499.9966666601</v>
      </c>
      <c r="AK24" s="342">
        <f t="shared" ref="AK24:AK76" si="102">SUM(AH24:AJ24)</f>
        <v>-7462499.9899999797</v>
      </c>
      <c r="AL24" s="341">
        <f>AL25+AL31+AL38+AL49+AL51+AL62+AL64+AL75</f>
        <v>-30869999.959999919</v>
      </c>
      <c r="AM24" s="341">
        <f>AM25+AM31+AM38+AM49+AM51+AM62+AM64+AM75</f>
        <v>-5000</v>
      </c>
      <c r="AN24" s="341">
        <f>AN25+AN31+AN38+AN49+AN51+AN62+AN64+AN75</f>
        <v>-5000</v>
      </c>
      <c r="AO24" s="341">
        <f>AO25+AO31+AO38+AO49+AO51+AO62+AO64+AO75</f>
        <v>-5000</v>
      </c>
      <c r="AP24" s="342">
        <f t="shared" ref="AP24:AP63" si="103">SUM(AM24:AO24)</f>
        <v>-15000</v>
      </c>
      <c r="AQ24" s="341">
        <f>AQ25+AQ31+AQ38+AQ49+AQ51+AQ62+AQ64+AQ75</f>
        <v>-5000</v>
      </c>
      <c r="AR24" s="341">
        <f>AR25+AR31+AR38+AR49+AR51+AR62+AR64+AR75</f>
        <v>-5000</v>
      </c>
      <c r="AS24" s="341">
        <f>AS25+AS31+AS38+AS49+AS51+AS62+AS64+AS75</f>
        <v>-5000</v>
      </c>
      <c r="AT24" s="342">
        <f t="shared" ref="AT24:AT63" si="104">SUM(AQ24:AS24)</f>
        <v>-15000</v>
      </c>
      <c r="AU24" s="341">
        <f>AU25+AU31+AU38+AU49+AU51+AU62+AU64+AU75</f>
        <v>-5000</v>
      </c>
      <c r="AV24" s="341">
        <f>AV25+AV31+AV38+AV49+AV51+AV62+AV64+AV75</f>
        <v>-5000</v>
      </c>
      <c r="AW24" s="341">
        <f>AW25+AW31+AW38+AW49+AW51+AW62+AW64+AW75</f>
        <v>-5000</v>
      </c>
      <c r="AX24" s="342">
        <f t="shared" ref="AX24:AX63" si="105">SUM(AU24:AW24)</f>
        <v>-15000</v>
      </c>
      <c r="AY24" s="341">
        <f>AY25+AY31+AY38+AY49+AY51+AY62+AY64+AY75</f>
        <v>-5000</v>
      </c>
      <c r="AZ24" s="341">
        <f>AZ25+AZ31+AZ38+AZ49+AZ51+AZ62+AZ64+AZ75</f>
        <v>-5000</v>
      </c>
      <c r="BA24" s="341">
        <f>BA25+BA31+BA38+BA49+BA51+BA62+BA64+BA75</f>
        <v>-5000</v>
      </c>
      <c r="BB24" s="342">
        <f t="shared" ref="BB24:BB63" si="106">SUM(AY24:BA24)</f>
        <v>-15000</v>
      </c>
      <c r="BC24" s="341">
        <f>BC25+BC31+BC38+BC49+BC51+BC62+BC64+BC75</f>
        <v>-60000</v>
      </c>
      <c r="BD24" s="341">
        <f>BD25+BD31+BD38+BD49+BD51+BD62+BD64+BD75</f>
        <v>-2033658.3800000001</v>
      </c>
      <c r="BE24" s="341">
        <f>BE25+BE31+BE38+BE49+BE51+BE62+BE64+BE75</f>
        <v>-2033658.3800000001</v>
      </c>
      <c r="BF24" s="341">
        <f>BF25+BF31+BF38+BF49+BF51+BF62+BF64+BF75</f>
        <v>-2033658.3800000001</v>
      </c>
      <c r="BG24" s="342">
        <f t="shared" si="73"/>
        <v>-6100975.1400000006</v>
      </c>
      <c r="BH24" s="341">
        <f>BH25+BH31+BH38+BH49+BH51+BH62+BH64+BH75</f>
        <v>-1991787.36</v>
      </c>
      <c r="BI24" s="341">
        <f>BI25+BI31+BI38+BI49+BI51+BI62+BI64+BI75</f>
        <v>-1991787.36</v>
      </c>
      <c r="BJ24" s="341">
        <f>BJ25+BJ31+BJ38+BJ49+BJ51+BJ62+BJ64+BJ75</f>
        <v>-1991787.36</v>
      </c>
      <c r="BK24" s="342">
        <f t="shared" si="74"/>
        <v>-5975362.0800000001</v>
      </c>
      <c r="BL24" s="341">
        <f>BL25+BL31+BL38+BL49+BL51+BL62+BL64+BL75</f>
        <v>-1804498.31</v>
      </c>
      <c r="BM24" s="341">
        <f>BM25+BM31+BM38+BM49+BM51+BM62+BM64+BM75</f>
        <v>-1804498.31</v>
      </c>
      <c r="BN24" s="341">
        <f>BN25+BN31+BN38+BN49+BN51+BN62+BN64+BN75</f>
        <v>-1804498.31</v>
      </c>
      <c r="BO24" s="342">
        <f>SUM(BL24:BN24)</f>
        <v>-5413494.9299999997</v>
      </c>
      <c r="BP24" s="341">
        <f>BP25+BP31+BP38+BP49+BP51+BP62+BP64+BP75</f>
        <v>-1808685.4100000001</v>
      </c>
      <c r="BQ24" s="341">
        <f>BQ25+BQ31+BQ38+BQ49+BQ51+BQ62+BQ64+BQ75</f>
        <v>-1808685.4100000001</v>
      </c>
      <c r="BR24" s="341">
        <f>BR25+BR31+BR38+BR49+BR51+BR62+BR64+BR75</f>
        <v>-1808685.4100000001</v>
      </c>
      <c r="BS24" s="342">
        <f t="shared" si="76"/>
        <v>-5426056.2300000004</v>
      </c>
      <c r="BT24" s="341">
        <f>BT25+BT31+BT38+BT49+BT51+BT62+BT64+BT75</f>
        <v>-22915888.379999999</v>
      </c>
      <c r="BU24" s="341">
        <f>BU25+BU31+BU38+BU49+BU51+BU62+BU64+BU75</f>
        <v>0</v>
      </c>
      <c r="BV24" s="341">
        <f>BV25+BV31+BV38+BV49+BV51+BV62+BV64+BV75</f>
        <v>0</v>
      </c>
      <c r="BW24" s="341">
        <f>BW25+BW31+BW38+BW49+BW51+BW62+BW64+BW75</f>
        <v>0</v>
      </c>
      <c r="BX24" s="342">
        <f t="shared" si="77"/>
        <v>0</v>
      </c>
      <c r="BY24" s="341">
        <f>BY25+BY31+BY38+BY49+BY51+BY62+BY64+BY75</f>
        <v>0</v>
      </c>
      <c r="BZ24" s="341">
        <f>BZ25+BZ31+BZ38+BZ49+BZ51+BZ62+BZ64+BZ75</f>
        <v>0</v>
      </c>
      <c r="CA24" s="341">
        <f>CA25+CA31+CA38+CA49+CA51+CA62+CA64+CA75</f>
        <v>0</v>
      </c>
      <c r="CB24" s="342">
        <f t="shared" si="78"/>
        <v>0</v>
      </c>
      <c r="CC24" s="341">
        <f>CC25+CC31+CC38+CC49+CC51+CC62+CC64+CC75</f>
        <v>0</v>
      </c>
      <c r="CD24" s="341">
        <f>CD25+CD31+CD38+CD49+CD51+CD62+CD64+CD75</f>
        <v>0</v>
      </c>
      <c r="CE24" s="341">
        <f>CE25+CE31+CE38+CE49+CE51+CE62+CE64+CE75</f>
        <v>0</v>
      </c>
      <c r="CF24" s="342">
        <f t="shared" si="79"/>
        <v>0</v>
      </c>
      <c r="CG24" s="341">
        <f>CG25+CG31+CG38+CG49+CG51+CG62+CG64+CG75</f>
        <v>0</v>
      </c>
      <c r="CH24" s="341">
        <f>CH25+CH31+CH38+CH49+CH51+CH62+CH64+CH75</f>
        <v>0</v>
      </c>
      <c r="CI24" s="341">
        <f>CI25+CI31+CI38+CI49+CI51+CI62+CI64+CI75</f>
        <v>0</v>
      </c>
      <c r="CJ24" s="342">
        <f t="shared" si="80"/>
        <v>0</v>
      </c>
      <c r="CK24" s="341">
        <f>CK25+CK31+CK38+CK49+CK51+CK62+CK64+CK75</f>
        <v>0</v>
      </c>
      <c r="CL24" s="341">
        <f>CL25+CL31+CL38+CL49+CL51+CL62+CL64+CL75</f>
        <v>-488791.51</v>
      </c>
      <c r="CM24" s="341">
        <f>CM25+CM31+CM38+CM49+CM51+CM62+CM64+CM75</f>
        <v>-488791.51</v>
      </c>
      <c r="CN24" s="341">
        <f>CN25+CN31+CN38+CN49+CN51+CN62+CN64+CN75</f>
        <v>-488791.51</v>
      </c>
      <c r="CO24" s="342">
        <f t="shared" si="81"/>
        <v>-1466374.53</v>
      </c>
      <c r="CP24" s="341">
        <f>CP25+CP31+CP38+CP49+CP51+CP62+CP64+CP75</f>
        <v>-478859.49</v>
      </c>
      <c r="CQ24" s="341">
        <f>CQ25+CQ31+CQ38+CQ49+CQ51+CQ62+CQ64+CQ75</f>
        <v>-478859.49</v>
      </c>
      <c r="CR24" s="341">
        <f>CR25+CR31+CR38+CR49+CR51+CR62+CR64+CR75</f>
        <v>-478859.49</v>
      </c>
      <c r="CS24" s="342">
        <f t="shared" si="82"/>
        <v>-1436578.47</v>
      </c>
      <c r="CT24" s="341">
        <f>CT25+CT31+CT38+CT49+CT51+CT62+CT64+CT75</f>
        <v>-434433.57999999996</v>
      </c>
      <c r="CU24" s="341">
        <f>CU25+CU31+CU38+CU49+CU51+CU62+CU64+CU75</f>
        <v>-434433.57999999996</v>
      </c>
      <c r="CV24" s="341">
        <f>CV25+CV31+CV38+CV49+CV51+CV62+CV64+CV75</f>
        <v>-434433.57999999996</v>
      </c>
      <c r="CW24" s="342">
        <f t="shared" si="83"/>
        <v>-1303300.7399999998</v>
      </c>
      <c r="CX24" s="341">
        <f>CX25+CX31+CX38+CX49+CX51+CX62+CX64+CX75</f>
        <v>-435426.78</v>
      </c>
      <c r="CY24" s="341">
        <f>CY25+CY31+CY38+CY49+CY51+CY62+CY64+CY75</f>
        <v>-435426.78</v>
      </c>
      <c r="CZ24" s="341">
        <f>CZ25+CZ31+CZ38+CZ49+CZ51+CZ62+CZ64+CZ75</f>
        <v>-435426.78</v>
      </c>
      <c r="DA24" s="342">
        <f t="shared" si="84"/>
        <v>-1306280.3400000001</v>
      </c>
      <c r="DB24" s="341">
        <f>DB25+DB31+DB38+DB49+DB51+DB62+DB64+DB75</f>
        <v>-5512534.0800000001</v>
      </c>
      <c r="DC24" s="341">
        <f>DC25+DC31+DC38+DC49+DC51+DC62+DC64+DC75</f>
        <v>0</v>
      </c>
      <c r="DD24" s="341">
        <f>DD25+DD31+DD38+DD49+DD51+DD62+DD64+DD75</f>
        <v>0</v>
      </c>
      <c r="DE24" s="341">
        <f>DE25+DE31+DE38+DE49+DE51+DE62+DE64+DE75</f>
        <v>0</v>
      </c>
      <c r="DF24" s="342">
        <f>SUM(DC24:DE24)</f>
        <v>0</v>
      </c>
      <c r="DG24" s="341">
        <f>DG25+DG31+DG38+DG49+DG51+DG62+DG64+DG75</f>
        <v>0</v>
      </c>
      <c r="DH24" s="341">
        <f>DH25+DH31+DH38+DH49+DH51+DH62+DH64+DH75</f>
        <v>0</v>
      </c>
      <c r="DI24" s="341">
        <f>DI25+DI31+DI38+DI49+DI51+DI62+DI64+DI75</f>
        <v>0</v>
      </c>
      <c r="DJ24" s="342">
        <f t="shared" ref="DJ24" si="107">SUM(DG24:DI24)</f>
        <v>0</v>
      </c>
      <c r="DK24" s="341">
        <f>DK25+DK31+DK38+DK49+DK51+DK62+DK64+DK75</f>
        <v>0</v>
      </c>
      <c r="DL24" s="341">
        <f>DL25+DL31+DL38+DL49+DL51+DL62+DL64+DL75</f>
        <v>0</v>
      </c>
      <c r="DM24" s="341">
        <f>DM25+DM31+DM38+DM49+DM51+DM62+DM64+DM75</f>
        <v>0</v>
      </c>
      <c r="DN24" s="342">
        <f t="shared" ref="DN24" si="108">SUM(DK24:DM24)</f>
        <v>0</v>
      </c>
      <c r="DO24" s="341">
        <f>DO25+DO31+DO38+DO49+DO51+DO62+DO64+DO75</f>
        <v>0</v>
      </c>
      <c r="DP24" s="341">
        <f>DP25+DP31+DP38+DP49+DP51+DP62+DP64+DP75</f>
        <v>0</v>
      </c>
      <c r="DQ24" s="341">
        <f>DQ25+DQ31+DQ38+DQ49+DQ51+DQ62+DQ64+DQ75</f>
        <v>0</v>
      </c>
      <c r="DR24" s="342">
        <f t="shared" ref="DR24" si="109">SUM(DO24:DQ24)</f>
        <v>0</v>
      </c>
      <c r="DS24" s="341">
        <f>DS25+DS31+DS38+DS49+DS51+DS62+DS64+DS75</f>
        <v>0</v>
      </c>
      <c r="DT24" s="341">
        <f>DT25+DT31+DT38+DT49+DT51+DT62+DT64+DT75</f>
        <v>-201184</v>
      </c>
      <c r="DU24" s="341">
        <f>DU25+DU31+DU38+DU49+DU51+DU62+DU64+DU75</f>
        <v>-201184</v>
      </c>
      <c r="DV24" s="341">
        <f>DV25+DV31+DV38+DV49+DV51+DV62+DV64+DV75</f>
        <v>-248733</v>
      </c>
      <c r="DW24" s="342">
        <f t="shared" si="89"/>
        <v>-651101</v>
      </c>
      <c r="DX24" s="341">
        <f>DX25+DX31+DX38+DX49+DX51+DX62+DX64+DX75</f>
        <v>-175102</v>
      </c>
      <c r="DY24" s="341">
        <f>DY25+DY31+DY38+DY49+DY51+DY62+DY64+DY75</f>
        <v>-175102</v>
      </c>
      <c r="DZ24" s="341">
        <f>DZ25+DZ31+DZ38+DZ49+DZ51+DZ62+DZ64+DZ75</f>
        <v>-222651</v>
      </c>
      <c r="EA24" s="342">
        <f t="shared" ref="EA24:EA26" si="110">SUM(DX24:DZ24)</f>
        <v>-572855</v>
      </c>
      <c r="EB24" s="341">
        <f>EB25+EB31+EB38+EB49+EB51+EB62+EB64+EB75</f>
        <v>-55125</v>
      </c>
      <c r="EC24" s="341">
        <f>EC25+EC31+EC38+EC49+EC51+EC62+EC64+EC75</f>
        <v>-55125</v>
      </c>
      <c r="ED24" s="341">
        <f>ED25+ED31+ED38+ED49+ED51+ED62+ED64+ED75</f>
        <v>-102674</v>
      </c>
      <c r="EE24" s="342">
        <f t="shared" ref="EE24:EE30" si="111">SUM(EB24:ED24)</f>
        <v>-212924</v>
      </c>
      <c r="EF24" s="341">
        <f>EF25+EF31+EF38+EF49+EF51+EF62+EF64+EF75</f>
        <v>-55125</v>
      </c>
      <c r="EG24" s="341">
        <f>EG25+EG31+EG38+EG49+EG51+EG62+EG64+EG75</f>
        <v>-55125</v>
      </c>
      <c r="EH24" s="341">
        <f>EH25+EH31+EH38+EH49+EH51+EH62+EH64+EH75</f>
        <v>-102674</v>
      </c>
      <c r="EI24" s="342">
        <f t="shared" ref="EI24:EI30" si="112">SUM(EF24:EH24)</f>
        <v>-212924</v>
      </c>
      <c r="EJ24" s="341">
        <f>EJ25+EJ31+EJ38+EJ49+EJ51+EJ62+EJ64+EJ75</f>
        <v>-1649804</v>
      </c>
      <c r="EK24" s="341">
        <f>EK25+EK31+EK38+EK49+EK51+EK62+EK64+EK75</f>
        <v>0</v>
      </c>
      <c r="EL24" s="341">
        <f>EL25+EL31+EL38+EL49+EL51+EL62+EL64+EL75</f>
        <v>0</v>
      </c>
      <c r="EM24" s="341">
        <f>EM25+EM31+EM38+EM49+EM51+EM62+EM64+EM75</f>
        <v>0</v>
      </c>
      <c r="EN24" s="342">
        <f>EN25+EN31</f>
        <v>0</v>
      </c>
      <c r="EO24" s="341">
        <f>EO25+EO31+EO38+EO49+EO51+EO62+EO64+EO75</f>
        <v>0</v>
      </c>
      <c r="EP24" s="341">
        <f>EP25+EP31+EP38+EP49+EP51+EP62+EP64+EP75</f>
        <v>0</v>
      </c>
      <c r="EQ24" s="341">
        <f>EQ25+EQ31+EQ38+EQ49+EQ51+EQ62+EQ64+EQ75</f>
        <v>0</v>
      </c>
      <c r="ER24" s="342">
        <f>ER25+ER31</f>
        <v>0</v>
      </c>
      <c r="ES24" s="341">
        <f>ES25+ES31+ES38+ES49+ES51+ES62+ES64+ES75</f>
        <v>0</v>
      </c>
      <c r="ET24" s="341">
        <f>ET25+ET31+ET38+ET49+ET51+ET62+ET64+ET75</f>
        <v>0</v>
      </c>
      <c r="EU24" s="341">
        <f>EU25+EU31+EU38+EU49+EU51+EU62+EU64+EU75</f>
        <v>0</v>
      </c>
      <c r="EV24" s="342">
        <f>EV25+EV31</f>
        <v>0</v>
      </c>
      <c r="EW24" s="341">
        <f>EW25+EW31+EW38+EW49+EW51+EW62+EW64+EW75</f>
        <v>0</v>
      </c>
      <c r="EX24" s="341">
        <f>EX25+EX31+EX38+EX49+EX51+EX62+EX64+EX75</f>
        <v>0</v>
      </c>
      <c r="EY24" s="341">
        <f>EY25+EY31+EY38+EY49+EY51+EY62+EY64+EY75</f>
        <v>0</v>
      </c>
      <c r="EZ24" s="342">
        <f>EZ25+EZ31</f>
        <v>0</v>
      </c>
      <c r="FA24" s="341">
        <f>FA25+FA31+FA38+FA49+FA51+FA62+FA64+FA75</f>
        <v>0</v>
      </c>
      <c r="FB24" s="341">
        <f>FB25+FB31+FB38+FB49+FB51+FB62+FB64+FB75</f>
        <v>30791765.500000086</v>
      </c>
      <c r="FC24" s="336">
        <f t="shared" si="59"/>
        <v>0.33542231165808672</v>
      </c>
    </row>
    <row r="25" spans="1:159" s="6" customFormat="1" ht="18">
      <c r="A25" s="343"/>
      <c r="B25" s="344" t="s">
        <v>510</v>
      </c>
      <c r="C25" s="345" t="s">
        <v>511</v>
      </c>
      <c r="D25" s="346" t="s">
        <v>475</v>
      </c>
      <c r="E25" s="347">
        <f t="shared" ref="E25:X25" si="113">SUM(E26:E30)</f>
        <v>1958966</v>
      </c>
      <c r="F25" s="347">
        <f t="shared" si="113"/>
        <v>1958966</v>
      </c>
      <c r="G25" s="347">
        <f t="shared" si="113"/>
        <v>1958966</v>
      </c>
      <c r="H25" s="342">
        <f t="shared" si="113"/>
        <v>5876898</v>
      </c>
      <c r="I25" s="347">
        <f t="shared" si="113"/>
        <v>1758966</v>
      </c>
      <c r="J25" s="347">
        <f t="shared" si="113"/>
        <v>1758966</v>
      </c>
      <c r="K25" s="347">
        <f>SUM(K26:K30)</f>
        <v>1758966</v>
      </c>
      <c r="L25" s="342">
        <f t="shared" si="113"/>
        <v>5276898</v>
      </c>
      <c r="M25" s="347">
        <f t="shared" si="113"/>
        <v>864366</v>
      </c>
      <c r="N25" s="347">
        <f t="shared" si="113"/>
        <v>864366</v>
      </c>
      <c r="O25" s="347">
        <f>SUM(O26:O30)</f>
        <v>864366</v>
      </c>
      <c r="P25" s="342">
        <f t="shared" si="113"/>
        <v>2593098</v>
      </c>
      <c r="Q25" s="347">
        <f t="shared" si="113"/>
        <v>450000</v>
      </c>
      <c r="R25" s="347">
        <f t="shared" si="113"/>
        <v>450000</v>
      </c>
      <c r="S25" s="347">
        <f t="shared" si="113"/>
        <v>450000</v>
      </c>
      <c r="T25" s="342">
        <f t="shared" si="113"/>
        <v>1350000</v>
      </c>
      <c r="U25" s="358">
        <f t="shared" si="113"/>
        <v>15096894</v>
      </c>
      <c r="V25" s="347">
        <f t="shared" si="113"/>
        <v>-220000</v>
      </c>
      <c r="W25" s="347">
        <f t="shared" si="113"/>
        <v>-220000</v>
      </c>
      <c r="X25" s="347">
        <f t="shared" si="113"/>
        <v>-220000</v>
      </c>
      <c r="Y25" s="342">
        <f t="shared" si="65"/>
        <v>-660000</v>
      </c>
      <c r="Z25" s="347">
        <f>SUM(Z26:Z30)</f>
        <v>-120000</v>
      </c>
      <c r="AA25" s="347">
        <f>SUM(AA26:AA30)</f>
        <v>-120000</v>
      </c>
      <c r="AB25" s="347">
        <f>SUM(AB26:AB30)</f>
        <v>-120000</v>
      </c>
      <c r="AC25" s="342">
        <f t="shared" si="101"/>
        <v>-360000</v>
      </c>
      <c r="AD25" s="347">
        <f>SUM(AD26:AD30)</f>
        <v>0</v>
      </c>
      <c r="AE25" s="347">
        <f>SUM(AE26:AE30)</f>
        <v>0</v>
      </c>
      <c r="AF25" s="347">
        <f>SUM(AF26:AF30)</f>
        <v>0</v>
      </c>
      <c r="AG25" s="342">
        <f t="shared" si="67"/>
        <v>0</v>
      </c>
      <c r="AH25" s="347">
        <f>SUM(AH26:AH30)</f>
        <v>0</v>
      </c>
      <c r="AI25" s="347">
        <f>SUM(AI26:AI30)</f>
        <v>0</v>
      </c>
      <c r="AJ25" s="347">
        <f>SUM(AJ26:AJ30)</f>
        <v>0</v>
      </c>
      <c r="AK25" s="342">
        <f t="shared" si="102"/>
        <v>0</v>
      </c>
      <c r="AL25" s="347">
        <f>SUM(AL26:AL30)</f>
        <v>-1020000</v>
      </c>
      <c r="AM25" s="348">
        <f>SUM(AM26:AM30)</f>
        <v>0</v>
      </c>
      <c r="AN25" s="348">
        <f>SUM(AN26:AN30)</f>
        <v>0</v>
      </c>
      <c r="AO25" s="348">
        <f>SUM(AO26:AO30)</f>
        <v>0</v>
      </c>
      <c r="AP25" s="342">
        <f t="shared" si="103"/>
        <v>0</v>
      </c>
      <c r="AQ25" s="348">
        <f>SUM(AQ26:AQ30)</f>
        <v>0</v>
      </c>
      <c r="AR25" s="348">
        <f>SUM(AR26:AR30)</f>
        <v>0</v>
      </c>
      <c r="AS25" s="348">
        <f>SUM(AS26:AS30)</f>
        <v>0</v>
      </c>
      <c r="AT25" s="342">
        <f t="shared" si="104"/>
        <v>0</v>
      </c>
      <c r="AU25" s="348">
        <f>SUM(AU26:AU30)</f>
        <v>0</v>
      </c>
      <c r="AV25" s="348">
        <f>SUM(AV26:AV30)</f>
        <v>0</v>
      </c>
      <c r="AW25" s="348">
        <f>SUM(AW26:AW30)</f>
        <v>0</v>
      </c>
      <c r="AX25" s="342">
        <f t="shared" si="105"/>
        <v>0</v>
      </c>
      <c r="AY25" s="348">
        <f>SUM(AY26:AY30)</f>
        <v>0</v>
      </c>
      <c r="AZ25" s="348">
        <f>SUM(AZ26:AZ30)</f>
        <v>0</v>
      </c>
      <c r="BA25" s="348">
        <f>SUM(BA26:BA30)</f>
        <v>0</v>
      </c>
      <c r="BB25" s="342">
        <f t="shared" si="106"/>
        <v>0</v>
      </c>
      <c r="BC25" s="347">
        <f>SUM(BC26:BC30)</f>
        <v>0</v>
      </c>
      <c r="BD25" s="348">
        <f>SUM(BD26:BD30)</f>
        <v>-410119.47</v>
      </c>
      <c r="BE25" s="348">
        <f>SUM(BE26:BE30)</f>
        <v>-410119.47</v>
      </c>
      <c r="BF25" s="348">
        <f>SUM(BF26:BF30)</f>
        <v>-410119.47</v>
      </c>
      <c r="BG25" s="342">
        <f t="shared" si="73"/>
        <v>-1230358.4099999999</v>
      </c>
      <c r="BH25" s="348">
        <f>SUM(BH26:BH30)</f>
        <v>-368248.44999999995</v>
      </c>
      <c r="BI25" s="348">
        <f>SUM(BI26:BI30)</f>
        <v>-368248.44999999995</v>
      </c>
      <c r="BJ25" s="348">
        <f>SUM(BJ26:BJ30)</f>
        <v>-368248.44999999995</v>
      </c>
      <c r="BK25" s="342">
        <f t="shared" si="74"/>
        <v>-1104745.3499999999</v>
      </c>
      <c r="BL25" s="348">
        <f>SUM(BL26:BL30)</f>
        <v>-180959.4</v>
      </c>
      <c r="BM25" s="348">
        <f>SUM(BM26:BM30)</f>
        <v>-180959.4</v>
      </c>
      <c r="BN25" s="347">
        <f>SUM(BN26:BN30)</f>
        <v>-180959.4</v>
      </c>
      <c r="BO25" s="342">
        <f t="shared" ref="BO25:BO76" si="114">SUM(BL25:BN25)</f>
        <v>-542878.19999999995</v>
      </c>
      <c r="BP25" s="348">
        <f>SUM(BP26:BP30)</f>
        <v>-94209.78</v>
      </c>
      <c r="BQ25" s="348">
        <f>SUM(BQ26:BQ30)</f>
        <v>-94209.78</v>
      </c>
      <c r="BR25" s="348">
        <f>SUM(BR26:BR30)</f>
        <v>-94209.78</v>
      </c>
      <c r="BS25" s="342">
        <f t="shared" si="76"/>
        <v>-282629.33999999997</v>
      </c>
      <c r="BT25" s="347">
        <f>SUM(BT26:BT30)</f>
        <v>-3160611.3</v>
      </c>
      <c r="BU25" s="348">
        <f>SUM(BU26:BU30)</f>
        <v>0</v>
      </c>
      <c r="BV25" s="348">
        <f>SUM(BV26:BV30)</f>
        <v>0</v>
      </c>
      <c r="BW25" s="348">
        <f>SUM(BW26:BW30)</f>
        <v>0</v>
      </c>
      <c r="BX25" s="342">
        <f t="shared" si="77"/>
        <v>0</v>
      </c>
      <c r="BY25" s="348">
        <f>SUM(BY26:BY30)</f>
        <v>0</v>
      </c>
      <c r="BZ25" s="348">
        <f>SUM(BZ26:BZ30)</f>
        <v>0</v>
      </c>
      <c r="CA25" s="348">
        <f>SUM(CA26:CA30)</f>
        <v>0</v>
      </c>
      <c r="CB25" s="342">
        <f t="shared" si="78"/>
        <v>0</v>
      </c>
      <c r="CC25" s="348">
        <f>SUM(CC26:CC30)</f>
        <v>0</v>
      </c>
      <c r="CD25" s="348">
        <f>SUM(CD26:CD30)</f>
        <v>0</v>
      </c>
      <c r="CE25" s="348">
        <f>SUM(CE26:CE30)</f>
        <v>0</v>
      </c>
      <c r="CF25" s="342">
        <f t="shared" si="79"/>
        <v>0</v>
      </c>
      <c r="CG25" s="348">
        <f>SUM(CG26:CG30)</f>
        <v>0</v>
      </c>
      <c r="CH25" s="348">
        <f>SUM(CH26:CH30)</f>
        <v>0</v>
      </c>
      <c r="CI25" s="348">
        <f>SUM(CI26:CI30)</f>
        <v>0</v>
      </c>
      <c r="CJ25" s="342">
        <f t="shared" si="80"/>
        <v>0</v>
      </c>
      <c r="CK25" s="347">
        <f t="shared" ref="CK25:DV25" si="115">SUM(CK26:CK30)</f>
        <v>0</v>
      </c>
      <c r="CL25" s="347">
        <f t="shared" si="115"/>
        <v>-97282.420000000013</v>
      </c>
      <c r="CM25" s="347">
        <f t="shared" si="115"/>
        <v>-97282.420000000013</v>
      </c>
      <c r="CN25" s="347">
        <f t="shared" si="115"/>
        <v>-97282.420000000013</v>
      </c>
      <c r="CO25" s="342">
        <f t="shared" si="115"/>
        <v>-291847.26</v>
      </c>
      <c r="CP25" s="347">
        <f t="shared" si="115"/>
        <v>-87350.399999999994</v>
      </c>
      <c r="CQ25" s="347">
        <f t="shared" si="115"/>
        <v>-87350.399999999994</v>
      </c>
      <c r="CR25" s="347">
        <f t="shared" si="115"/>
        <v>-87350.399999999994</v>
      </c>
      <c r="CS25" s="342">
        <f t="shared" si="115"/>
        <v>-262051.20000000001</v>
      </c>
      <c r="CT25" s="347">
        <f t="shared" si="115"/>
        <v>-42924.490000000005</v>
      </c>
      <c r="CU25" s="347">
        <f t="shared" si="115"/>
        <v>-42924.490000000005</v>
      </c>
      <c r="CV25" s="347">
        <f t="shared" si="115"/>
        <v>-42924.490000000005</v>
      </c>
      <c r="CW25" s="342">
        <f t="shared" si="115"/>
        <v>-128773.47</v>
      </c>
      <c r="CX25" s="347">
        <f t="shared" si="115"/>
        <v>-22347.040000000001</v>
      </c>
      <c r="CY25" s="347">
        <f t="shared" si="115"/>
        <v>-22347.040000000001</v>
      </c>
      <c r="CZ25" s="347">
        <f t="shared" si="115"/>
        <v>-22347.040000000001</v>
      </c>
      <c r="DA25" s="342">
        <f t="shared" si="115"/>
        <v>-67041.119999999995</v>
      </c>
      <c r="DB25" s="347">
        <f t="shared" si="115"/>
        <v>-749713.05</v>
      </c>
      <c r="DC25" s="347">
        <f t="shared" si="115"/>
        <v>0</v>
      </c>
      <c r="DD25" s="347">
        <f t="shared" si="115"/>
        <v>0</v>
      </c>
      <c r="DE25" s="347">
        <f t="shared" si="115"/>
        <v>0</v>
      </c>
      <c r="DF25" s="342">
        <f t="shared" si="115"/>
        <v>0</v>
      </c>
      <c r="DG25" s="347">
        <f t="shared" si="115"/>
        <v>0</v>
      </c>
      <c r="DH25" s="347">
        <f t="shared" si="115"/>
        <v>0</v>
      </c>
      <c r="DI25" s="347">
        <f t="shared" si="115"/>
        <v>0</v>
      </c>
      <c r="DJ25" s="342">
        <f t="shared" si="115"/>
        <v>0</v>
      </c>
      <c r="DK25" s="347">
        <f t="shared" si="115"/>
        <v>0</v>
      </c>
      <c r="DL25" s="347">
        <f t="shared" si="115"/>
        <v>0</v>
      </c>
      <c r="DM25" s="347">
        <f t="shared" si="115"/>
        <v>0</v>
      </c>
      <c r="DN25" s="342">
        <f t="shared" si="115"/>
        <v>0</v>
      </c>
      <c r="DO25" s="348">
        <f t="shared" si="115"/>
        <v>0</v>
      </c>
      <c r="DP25" s="348">
        <f t="shared" si="115"/>
        <v>0</v>
      </c>
      <c r="DQ25" s="348">
        <f t="shared" si="115"/>
        <v>0</v>
      </c>
      <c r="DR25" s="342">
        <f t="shared" si="115"/>
        <v>0</v>
      </c>
      <c r="DS25" s="347">
        <f t="shared" si="115"/>
        <v>0</v>
      </c>
      <c r="DT25" s="347">
        <f t="shared" si="115"/>
        <v>-146059</v>
      </c>
      <c r="DU25" s="347">
        <f t="shared" si="115"/>
        <v>-146059</v>
      </c>
      <c r="DV25" s="347">
        <f t="shared" si="115"/>
        <v>-193608</v>
      </c>
      <c r="DW25" s="342">
        <f t="shared" si="89"/>
        <v>-485726</v>
      </c>
      <c r="DX25" s="347">
        <f>SUM(DX26:DX30)</f>
        <v>-119977</v>
      </c>
      <c r="DY25" s="347">
        <f>SUM(DY26:DY30)</f>
        <v>-119977</v>
      </c>
      <c r="DZ25" s="347">
        <f>SUM(DZ26:DZ30)</f>
        <v>-167526</v>
      </c>
      <c r="EA25" s="342">
        <f t="shared" si="110"/>
        <v>-407480</v>
      </c>
      <c r="EB25" s="347">
        <f>SUM(EB26:EB30)</f>
        <v>0</v>
      </c>
      <c r="EC25" s="347">
        <f>SUM(EC26:EC30)</f>
        <v>0</v>
      </c>
      <c r="ED25" s="347">
        <f>SUM(ED26:ED30)</f>
        <v>0</v>
      </c>
      <c r="EE25" s="342">
        <f t="shared" si="111"/>
        <v>0</v>
      </c>
      <c r="EF25" s="347">
        <f>SUM(EF26:EF30)</f>
        <v>0</v>
      </c>
      <c r="EG25" s="347">
        <f>SUM(EG26:EG30)</f>
        <v>0</v>
      </c>
      <c r="EH25" s="347">
        <f>SUM(EH26:EH30)</f>
        <v>0</v>
      </c>
      <c r="EI25" s="342">
        <f t="shared" si="112"/>
        <v>0</v>
      </c>
      <c r="EJ25" s="347">
        <f t="shared" ref="EJ25:EU25" si="116">SUM(EJ26:EJ30)</f>
        <v>-893206</v>
      </c>
      <c r="EK25" s="347">
        <f t="shared" si="116"/>
        <v>0</v>
      </c>
      <c r="EL25" s="347">
        <f t="shared" si="116"/>
        <v>0</v>
      </c>
      <c r="EM25" s="347">
        <f t="shared" si="116"/>
        <v>0</v>
      </c>
      <c r="EN25" s="342">
        <f t="shared" si="116"/>
        <v>0</v>
      </c>
      <c r="EO25" s="347">
        <f t="shared" si="116"/>
        <v>0</v>
      </c>
      <c r="EP25" s="347">
        <f t="shared" si="116"/>
        <v>0</v>
      </c>
      <c r="EQ25" s="347">
        <f t="shared" si="116"/>
        <v>0</v>
      </c>
      <c r="ER25" s="342">
        <f t="shared" si="116"/>
        <v>0</v>
      </c>
      <c r="ES25" s="347">
        <f t="shared" si="116"/>
        <v>0</v>
      </c>
      <c r="ET25" s="347">
        <f t="shared" si="116"/>
        <v>0</v>
      </c>
      <c r="EU25" s="347">
        <f t="shared" si="116"/>
        <v>0</v>
      </c>
      <c r="EV25" s="342">
        <f t="shared" ref="EV25:EV76" si="117">SUM(ES25:EU25)</f>
        <v>0</v>
      </c>
      <c r="EW25" s="347">
        <f>SUM(EW26:EW30)</f>
        <v>0</v>
      </c>
      <c r="EX25" s="347">
        <f>SUM(EX26:EX30)</f>
        <v>0</v>
      </c>
      <c r="EY25" s="347">
        <f>SUM(EY26:EY30)</f>
        <v>0</v>
      </c>
      <c r="EZ25" s="342">
        <f t="shared" ref="EZ25:EZ76" si="118">SUM(EW25:EY25)</f>
        <v>0</v>
      </c>
      <c r="FA25" s="347">
        <f>SUM(FA26:FA30)</f>
        <v>0</v>
      </c>
      <c r="FB25" s="347">
        <f>SUM(FB26:FB30)</f>
        <v>9273363.6500000004</v>
      </c>
      <c r="FC25" s="336">
        <f t="shared" si="59"/>
        <v>0.61425639273879784</v>
      </c>
    </row>
    <row r="26" spans="1:159" s="6" customFormat="1" ht="18" outlineLevel="1">
      <c r="A26" s="343"/>
      <c r="B26" s="344" t="s">
        <v>512</v>
      </c>
      <c r="C26" s="349">
        <v>3424</v>
      </c>
      <c r="D26" s="350" t="s">
        <v>513</v>
      </c>
      <c r="E26" s="347">
        <v>894600</v>
      </c>
      <c r="F26" s="347">
        <v>894600</v>
      </c>
      <c r="G26" s="347">
        <v>894600</v>
      </c>
      <c r="H26" s="342">
        <f t="shared" ref="H26:H30" si="119">SUM(E26:G26)</f>
        <v>2683800</v>
      </c>
      <c r="I26" s="347">
        <v>894600</v>
      </c>
      <c r="J26" s="347">
        <v>894600</v>
      </c>
      <c r="K26" s="347">
        <v>894600</v>
      </c>
      <c r="L26" s="342">
        <f t="shared" ref="L26:L30" si="120">SUM(I26:K26)</f>
        <v>2683800</v>
      </c>
      <c r="M26" s="347"/>
      <c r="N26" s="347"/>
      <c r="O26" s="347"/>
      <c r="P26" s="342">
        <f t="shared" ref="P26:P30" si="121">SUM(M26:O26)</f>
        <v>0</v>
      </c>
      <c r="Q26" s="347"/>
      <c r="R26" s="347"/>
      <c r="S26" s="347"/>
      <c r="T26" s="342">
        <f t="shared" ref="T26:T30" si="122">SUM(Q26:S26)</f>
        <v>0</v>
      </c>
      <c r="U26" s="347">
        <f t="shared" ref="U26:U30" si="123">SUM(T26,P26,L26,H26)</f>
        <v>5367600</v>
      </c>
      <c r="V26" s="347">
        <v>-120000</v>
      </c>
      <c r="W26" s="347">
        <v>-120000</v>
      </c>
      <c r="X26" s="347">
        <v>-120000</v>
      </c>
      <c r="Y26" s="342">
        <f t="shared" si="65"/>
        <v>-360000</v>
      </c>
      <c r="Z26" s="347">
        <v>-120000</v>
      </c>
      <c r="AA26" s="347">
        <v>-120000</v>
      </c>
      <c r="AB26" s="347">
        <v>-120000</v>
      </c>
      <c r="AC26" s="342">
        <f t="shared" si="101"/>
        <v>-360000</v>
      </c>
      <c r="AD26" s="347">
        <v>0</v>
      </c>
      <c r="AE26" s="347">
        <v>0</v>
      </c>
      <c r="AF26" s="347">
        <v>0</v>
      </c>
      <c r="AG26" s="342">
        <f t="shared" si="67"/>
        <v>0</v>
      </c>
      <c r="AH26" s="347">
        <v>0</v>
      </c>
      <c r="AI26" s="347">
        <v>0</v>
      </c>
      <c r="AJ26" s="347">
        <v>0</v>
      </c>
      <c r="AK26" s="342">
        <f t="shared" si="102"/>
        <v>0</v>
      </c>
      <c r="AL26" s="347">
        <f t="shared" ref="AL26:AL30" si="124">SUM(AK26,AG26,AC26,Y26)</f>
        <v>-720000</v>
      </c>
      <c r="AM26" s="348">
        <v>0</v>
      </c>
      <c r="AN26" s="348">
        <v>0</v>
      </c>
      <c r="AO26" s="348">
        <v>0</v>
      </c>
      <c r="AP26" s="342">
        <f t="shared" si="103"/>
        <v>0</v>
      </c>
      <c r="AQ26" s="348">
        <v>0</v>
      </c>
      <c r="AR26" s="348">
        <v>0</v>
      </c>
      <c r="AS26" s="348">
        <v>0</v>
      </c>
      <c r="AT26" s="342">
        <f t="shared" si="104"/>
        <v>0</v>
      </c>
      <c r="AU26" s="348">
        <v>0</v>
      </c>
      <c r="AV26" s="348">
        <v>0</v>
      </c>
      <c r="AW26" s="348">
        <v>0</v>
      </c>
      <c r="AX26" s="342">
        <f t="shared" si="105"/>
        <v>0</v>
      </c>
      <c r="AY26" s="348"/>
      <c r="AZ26" s="348"/>
      <c r="BA26" s="348"/>
      <c r="BB26" s="342">
        <f t="shared" si="106"/>
        <v>0</v>
      </c>
      <c r="BC26" s="347">
        <f t="shared" ref="BC26:BC30" si="125">SUM(BB26,AX26,AT26,AP26)</f>
        <v>0</v>
      </c>
      <c r="BD26" s="347">
        <v>-187289.05</v>
      </c>
      <c r="BE26" s="347">
        <v>-187289.05</v>
      </c>
      <c r="BF26" s="347">
        <v>-187289.05</v>
      </c>
      <c r="BG26" s="342">
        <f t="shared" si="73"/>
        <v>-561867.14999999991</v>
      </c>
      <c r="BH26" s="347">
        <v>-187289.05</v>
      </c>
      <c r="BI26" s="347">
        <v>-187289.05</v>
      </c>
      <c r="BJ26" s="347">
        <v>-187289.05</v>
      </c>
      <c r="BK26" s="342">
        <f t="shared" si="74"/>
        <v>-561867.14999999991</v>
      </c>
      <c r="BL26" s="347">
        <v>0</v>
      </c>
      <c r="BM26" s="347">
        <v>0</v>
      </c>
      <c r="BN26" s="347">
        <v>0</v>
      </c>
      <c r="BO26" s="342">
        <f t="shared" si="114"/>
        <v>0</v>
      </c>
      <c r="BP26" s="347">
        <v>0</v>
      </c>
      <c r="BQ26" s="347">
        <v>0</v>
      </c>
      <c r="BR26" s="347">
        <v>0</v>
      </c>
      <c r="BS26" s="342">
        <f t="shared" si="76"/>
        <v>0</v>
      </c>
      <c r="BT26" s="347">
        <f t="shared" ref="BT26:BT30" si="126">SUM(BS26,BO26,BK26,BG26)</f>
        <v>-1123734.2999999998</v>
      </c>
      <c r="BU26" s="348">
        <v>0</v>
      </c>
      <c r="BV26" s="348">
        <v>0</v>
      </c>
      <c r="BW26" s="348">
        <v>0</v>
      </c>
      <c r="BX26" s="342">
        <f t="shared" si="77"/>
        <v>0</v>
      </c>
      <c r="BY26" s="348">
        <v>0</v>
      </c>
      <c r="BZ26" s="348">
        <v>0</v>
      </c>
      <c r="CA26" s="348">
        <v>0</v>
      </c>
      <c r="CB26" s="342">
        <f t="shared" si="78"/>
        <v>0</v>
      </c>
      <c r="CC26" s="348">
        <v>0</v>
      </c>
      <c r="CD26" s="348">
        <v>0</v>
      </c>
      <c r="CE26" s="348">
        <v>0</v>
      </c>
      <c r="CF26" s="342">
        <f t="shared" si="79"/>
        <v>0</v>
      </c>
      <c r="CG26" s="348">
        <v>0</v>
      </c>
      <c r="CH26" s="348">
        <v>0</v>
      </c>
      <c r="CI26" s="348">
        <v>0</v>
      </c>
      <c r="CJ26" s="342">
        <f t="shared" si="80"/>
        <v>0</v>
      </c>
      <c r="CK26" s="347">
        <f t="shared" ref="CK26:CK30" si="127">SUM(CJ26,CF26,CB26,BX26)</f>
        <v>0</v>
      </c>
      <c r="CL26" s="347">
        <v>-44425.91</v>
      </c>
      <c r="CM26" s="347">
        <v>-44425.91</v>
      </c>
      <c r="CN26" s="347">
        <v>-44425.91</v>
      </c>
      <c r="CO26" s="342">
        <f t="shared" si="81"/>
        <v>-133277.73000000001</v>
      </c>
      <c r="CP26" s="347">
        <v>-44425.91</v>
      </c>
      <c r="CQ26" s="347">
        <v>-44425.91</v>
      </c>
      <c r="CR26" s="347">
        <v>-44425.91</v>
      </c>
      <c r="CS26" s="342">
        <f t="shared" si="82"/>
        <v>-133277.73000000001</v>
      </c>
      <c r="CT26" s="347">
        <v>0</v>
      </c>
      <c r="CU26" s="347">
        <v>0</v>
      </c>
      <c r="CV26" s="347">
        <v>0</v>
      </c>
      <c r="CW26" s="342">
        <f t="shared" si="83"/>
        <v>0</v>
      </c>
      <c r="CX26" s="347">
        <v>0</v>
      </c>
      <c r="CY26" s="347">
        <v>0</v>
      </c>
      <c r="CZ26" s="347">
        <v>0</v>
      </c>
      <c r="DA26" s="342">
        <f t="shared" si="84"/>
        <v>0</v>
      </c>
      <c r="DB26" s="347">
        <f t="shared" ref="DB26:DB30" si="128">SUM(DA26,CW26,CS26,CO26)</f>
        <v>-266555.46000000002</v>
      </c>
      <c r="DC26" s="347">
        <v>0</v>
      </c>
      <c r="DD26" s="347">
        <v>0</v>
      </c>
      <c r="DE26" s="347">
        <v>0</v>
      </c>
      <c r="DF26" s="342">
        <f t="shared" ref="DF26:DF63" si="129">SUM(DC26:DE26)</f>
        <v>0</v>
      </c>
      <c r="DG26" s="347">
        <v>0</v>
      </c>
      <c r="DH26" s="347">
        <v>0</v>
      </c>
      <c r="DI26" s="347">
        <v>0</v>
      </c>
      <c r="DJ26" s="342">
        <f t="shared" ref="DJ26:DJ30" si="130">SUM(DG26:DI26)</f>
        <v>0</v>
      </c>
      <c r="DK26" s="347">
        <v>0</v>
      </c>
      <c r="DL26" s="347">
        <v>0</v>
      </c>
      <c r="DM26" s="347">
        <v>0</v>
      </c>
      <c r="DN26" s="342">
        <f t="shared" ref="DN26:DN30" si="131">SUM(DK26:DM26)</f>
        <v>0</v>
      </c>
      <c r="DO26" s="347">
        <v>0</v>
      </c>
      <c r="DP26" s="347">
        <v>0</v>
      </c>
      <c r="DQ26" s="347">
        <v>0</v>
      </c>
      <c r="DR26" s="342">
        <f t="shared" ref="DR26:DR30" si="132">SUM(DO26:DQ26)</f>
        <v>0</v>
      </c>
      <c r="DS26" s="347">
        <f t="shared" ref="DS26:DS30" si="133">SUM(DR26,DN26,DJ26,DF26)</f>
        <v>0</v>
      </c>
      <c r="DT26" s="347">
        <v>-119977</v>
      </c>
      <c r="DU26" s="347">
        <v>-119977</v>
      </c>
      <c r="DV26" s="347">
        <v>-119977</v>
      </c>
      <c r="DW26" s="342">
        <f t="shared" si="89"/>
        <v>-359931</v>
      </c>
      <c r="DX26" s="347">
        <v>-119977</v>
      </c>
      <c r="DY26" s="347">
        <v>-119977</v>
      </c>
      <c r="DZ26" s="347">
        <v>-119977</v>
      </c>
      <c r="EA26" s="342">
        <f t="shared" si="110"/>
        <v>-359931</v>
      </c>
      <c r="EB26" s="347">
        <v>0</v>
      </c>
      <c r="EC26" s="347">
        <v>0</v>
      </c>
      <c r="ED26" s="347">
        <v>0</v>
      </c>
      <c r="EE26" s="342">
        <f t="shared" si="111"/>
        <v>0</v>
      </c>
      <c r="EF26" s="347">
        <v>0</v>
      </c>
      <c r="EG26" s="347">
        <v>0</v>
      </c>
      <c r="EH26" s="347">
        <v>0</v>
      </c>
      <c r="EI26" s="342">
        <f t="shared" si="112"/>
        <v>0</v>
      </c>
      <c r="EJ26" s="347">
        <f t="shared" ref="EJ26:EJ30" si="134">SUM(EI26,EE26,EA26,DW26)</f>
        <v>-719862</v>
      </c>
      <c r="EK26" s="347"/>
      <c r="EL26" s="347"/>
      <c r="EM26" s="347"/>
      <c r="EN26" s="342">
        <f>SUM(EK26:EM26)</f>
        <v>0</v>
      </c>
      <c r="EO26" s="347"/>
      <c r="EP26" s="347"/>
      <c r="EQ26" s="347"/>
      <c r="ER26" s="342">
        <f t="shared" ref="ER26:ER76" si="135">SUM(EO26:EQ26)</f>
        <v>0</v>
      </c>
      <c r="ES26" s="347"/>
      <c r="ET26" s="347"/>
      <c r="EU26" s="347"/>
      <c r="EV26" s="342">
        <f t="shared" si="117"/>
        <v>0</v>
      </c>
      <c r="EW26" s="347"/>
      <c r="EX26" s="347"/>
      <c r="EY26" s="347"/>
      <c r="EZ26" s="342">
        <f t="shared" si="118"/>
        <v>0</v>
      </c>
      <c r="FA26" s="347">
        <f t="shared" ref="FA26:FA30" si="136">SUM(EZ26,EV26,ER26,EN26)</f>
        <v>0</v>
      </c>
      <c r="FB26" s="347">
        <f>SUM(U26,AL26,BC26,BT26,CK26,DB26,DS26,EJ26,FA26)</f>
        <v>2537448.2400000002</v>
      </c>
      <c r="FC26" s="351">
        <f t="shared" si="59"/>
        <v>0.47273422758774875</v>
      </c>
    </row>
    <row r="27" spans="1:159" s="6" customFormat="1" ht="18" outlineLevel="1">
      <c r="A27" s="343"/>
      <c r="B27" s="344" t="s">
        <v>514</v>
      </c>
      <c r="C27" s="349">
        <v>5005</v>
      </c>
      <c r="D27" s="350" t="s">
        <v>515</v>
      </c>
      <c r="E27" s="347">
        <v>200000</v>
      </c>
      <c r="F27" s="347">
        <v>200000</v>
      </c>
      <c r="G27" s="347">
        <v>200000</v>
      </c>
      <c r="H27" s="342">
        <f t="shared" si="119"/>
        <v>600000</v>
      </c>
      <c r="I27" s="347"/>
      <c r="J27" s="347"/>
      <c r="K27" s="347"/>
      <c r="L27" s="342">
        <f t="shared" si="120"/>
        <v>0</v>
      </c>
      <c r="M27" s="347"/>
      <c r="N27" s="347"/>
      <c r="O27" s="347"/>
      <c r="P27" s="342">
        <f t="shared" si="121"/>
        <v>0</v>
      </c>
      <c r="Q27" s="347"/>
      <c r="R27" s="347"/>
      <c r="S27" s="347"/>
      <c r="T27" s="342">
        <f t="shared" si="122"/>
        <v>0</v>
      </c>
      <c r="U27" s="347">
        <f t="shared" si="123"/>
        <v>600000</v>
      </c>
      <c r="V27" s="347">
        <v>-100000</v>
      </c>
      <c r="W27" s="347">
        <v>-100000</v>
      </c>
      <c r="X27" s="347">
        <v>-100000</v>
      </c>
      <c r="Y27" s="342">
        <f t="shared" si="65"/>
        <v>-300000</v>
      </c>
      <c r="Z27" s="347">
        <v>0</v>
      </c>
      <c r="AA27" s="347">
        <v>0</v>
      </c>
      <c r="AB27" s="347">
        <v>0</v>
      </c>
      <c r="AC27" s="342">
        <f t="shared" si="101"/>
        <v>0</v>
      </c>
      <c r="AD27" s="347">
        <v>0</v>
      </c>
      <c r="AE27" s="347">
        <v>0</v>
      </c>
      <c r="AF27" s="347">
        <v>0</v>
      </c>
      <c r="AG27" s="342">
        <f t="shared" si="67"/>
        <v>0</v>
      </c>
      <c r="AH27" s="347">
        <v>0</v>
      </c>
      <c r="AI27" s="347">
        <v>0</v>
      </c>
      <c r="AJ27" s="347">
        <v>0</v>
      </c>
      <c r="AK27" s="342">
        <f t="shared" si="102"/>
        <v>0</v>
      </c>
      <c r="AL27" s="347">
        <f t="shared" si="124"/>
        <v>-300000</v>
      </c>
      <c r="AM27" s="348">
        <v>0</v>
      </c>
      <c r="AN27" s="348">
        <v>0</v>
      </c>
      <c r="AO27" s="348">
        <v>0</v>
      </c>
      <c r="AP27" s="342">
        <f t="shared" si="103"/>
        <v>0</v>
      </c>
      <c r="AQ27" s="348">
        <v>0</v>
      </c>
      <c r="AR27" s="348">
        <v>0</v>
      </c>
      <c r="AS27" s="348">
        <v>0</v>
      </c>
      <c r="AT27" s="342">
        <f t="shared" si="104"/>
        <v>0</v>
      </c>
      <c r="AU27" s="348">
        <v>0</v>
      </c>
      <c r="AV27" s="348">
        <v>0</v>
      </c>
      <c r="AW27" s="348">
        <v>0</v>
      </c>
      <c r="AX27" s="342">
        <f t="shared" si="105"/>
        <v>0</v>
      </c>
      <c r="AY27" s="348"/>
      <c r="AZ27" s="348"/>
      <c r="BA27" s="348"/>
      <c r="BB27" s="342">
        <f t="shared" si="106"/>
        <v>0</v>
      </c>
      <c r="BC27" s="347">
        <f t="shared" si="125"/>
        <v>0</v>
      </c>
      <c r="BD27" s="347">
        <v>-41871.019999999997</v>
      </c>
      <c r="BE27" s="347">
        <v>-41871.019999999997</v>
      </c>
      <c r="BF27" s="347">
        <v>-41871.019999999997</v>
      </c>
      <c r="BG27" s="342">
        <f t="shared" si="73"/>
        <v>-125613.06</v>
      </c>
      <c r="BH27" s="347">
        <v>0</v>
      </c>
      <c r="BI27" s="347">
        <v>0</v>
      </c>
      <c r="BJ27" s="347">
        <v>0</v>
      </c>
      <c r="BK27" s="342">
        <f t="shared" si="74"/>
        <v>0</v>
      </c>
      <c r="BL27" s="347">
        <v>0</v>
      </c>
      <c r="BM27" s="347">
        <v>0</v>
      </c>
      <c r="BN27" s="347">
        <v>0</v>
      </c>
      <c r="BO27" s="342">
        <f t="shared" si="114"/>
        <v>0</v>
      </c>
      <c r="BP27" s="347">
        <v>0</v>
      </c>
      <c r="BQ27" s="347">
        <v>0</v>
      </c>
      <c r="BR27" s="347">
        <v>0</v>
      </c>
      <c r="BS27" s="342">
        <f t="shared" si="76"/>
        <v>0</v>
      </c>
      <c r="BT27" s="347">
        <f t="shared" si="126"/>
        <v>-125613.06</v>
      </c>
      <c r="BU27" s="348">
        <v>0</v>
      </c>
      <c r="BV27" s="348">
        <v>0</v>
      </c>
      <c r="BW27" s="348">
        <v>0</v>
      </c>
      <c r="BX27" s="342">
        <f t="shared" si="77"/>
        <v>0</v>
      </c>
      <c r="BY27" s="348">
        <v>0</v>
      </c>
      <c r="BZ27" s="348">
        <v>0</v>
      </c>
      <c r="CA27" s="348">
        <v>0</v>
      </c>
      <c r="CB27" s="342">
        <f t="shared" si="78"/>
        <v>0</v>
      </c>
      <c r="CC27" s="348">
        <v>0</v>
      </c>
      <c r="CD27" s="348">
        <v>0</v>
      </c>
      <c r="CE27" s="348">
        <v>0</v>
      </c>
      <c r="CF27" s="342">
        <f t="shared" si="79"/>
        <v>0</v>
      </c>
      <c r="CG27" s="348">
        <v>0</v>
      </c>
      <c r="CH27" s="348">
        <v>0</v>
      </c>
      <c r="CI27" s="348">
        <v>0</v>
      </c>
      <c r="CJ27" s="342">
        <f t="shared" si="80"/>
        <v>0</v>
      </c>
      <c r="CK27" s="347">
        <f t="shared" si="127"/>
        <v>0</v>
      </c>
      <c r="CL27" s="347">
        <v>-9932.02</v>
      </c>
      <c r="CM27" s="347">
        <v>-9932.02</v>
      </c>
      <c r="CN27" s="347">
        <v>-9932.02</v>
      </c>
      <c r="CO27" s="342">
        <f t="shared" si="81"/>
        <v>-29796.06</v>
      </c>
      <c r="CP27" s="347">
        <v>0</v>
      </c>
      <c r="CQ27" s="347">
        <v>0</v>
      </c>
      <c r="CR27" s="347">
        <v>0</v>
      </c>
      <c r="CS27" s="342">
        <f t="shared" si="82"/>
        <v>0</v>
      </c>
      <c r="CT27" s="347">
        <v>0</v>
      </c>
      <c r="CU27" s="347">
        <v>0</v>
      </c>
      <c r="CV27" s="347">
        <v>0</v>
      </c>
      <c r="CW27" s="342">
        <f t="shared" si="83"/>
        <v>0</v>
      </c>
      <c r="CX27" s="347">
        <v>0</v>
      </c>
      <c r="CY27" s="347">
        <v>0</v>
      </c>
      <c r="CZ27" s="347">
        <v>0</v>
      </c>
      <c r="DA27" s="342">
        <f t="shared" si="84"/>
        <v>0</v>
      </c>
      <c r="DB27" s="347">
        <f t="shared" si="128"/>
        <v>-29796.06</v>
      </c>
      <c r="DC27" s="347">
        <v>0</v>
      </c>
      <c r="DD27" s="347">
        <v>0</v>
      </c>
      <c r="DE27" s="347">
        <v>0</v>
      </c>
      <c r="DF27" s="342">
        <f t="shared" si="129"/>
        <v>0</v>
      </c>
      <c r="DG27" s="347">
        <v>0</v>
      </c>
      <c r="DH27" s="347">
        <v>0</v>
      </c>
      <c r="DI27" s="347">
        <v>0</v>
      </c>
      <c r="DJ27" s="342">
        <f t="shared" si="130"/>
        <v>0</v>
      </c>
      <c r="DK27" s="347">
        <v>0</v>
      </c>
      <c r="DL27" s="347">
        <v>0</v>
      </c>
      <c r="DM27" s="347">
        <v>0</v>
      </c>
      <c r="DN27" s="342">
        <f t="shared" si="131"/>
        <v>0</v>
      </c>
      <c r="DO27" s="347">
        <v>0</v>
      </c>
      <c r="DP27" s="347">
        <v>0</v>
      </c>
      <c r="DQ27" s="347">
        <v>0</v>
      </c>
      <c r="DR27" s="342">
        <f t="shared" si="132"/>
        <v>0</v>
      </c>
      <c r="DS27" s="347">
        <f t="shared" si="133"/>
        <v>0</v>
      </c>
      <c r="DT27" s="347">
        <v>-26082</v>
      </c>
      <c r="DU27" s="347">
        <v>-26082</v>
      </c>
      <c r="DV27" s="347">
        <v>-26082</v>
      </c>
      <c r="DW27" s="342">
        <f t="shared" si="89"/>
        <v>-78246</v>
      </c>
      <c r="DX27" s="347">
        <v>0</v>
      </c>
      <c r="DY27" s="347">
        <v>0</v>
      </c>
      <c r="DZ27" s="347">
        <v>0</v>
      </c>
      <c r="EA27" s="342">
        <f t="shared" ref="EA27:EA76" si="137">SUM(DX27:DZ27)</f>
        <v>0</v>
      </c>
      <c r="EB27" s="347">
        <v>0</v>
      </c>
      <c r="EC27" s="347">
        <v>0</v>
      </c>
      <c r="ED27" s="347">
        <v>0</v>
      </c>
      <c r="EE27" s="342">
        <f t="shared" si="111"/>
        <v>0</v>
      </c>
      <c r="EF27" s="347">
        <v>0</v>
      </c>
      <c r="EG27" s="347">
        <v>0</v>
      </c>
      <c r="EH27" s="347">
        <v>0</v>
      </c>
      <c r="EI27" s="342">
        <f t="shared" si="112"/>
        <v>0</v>
      </c>
      <c r="EJ27" s="347">
        <f t="shared" si="134"/>
        <v>-78246</v>
      </c>
      <c r="EK27" s="347"/>
      <c r="EL27" s="347"/>
      <c r="EM27" s="347"/>
      <c r="EN27" s="342">
        <f t="shared" ref="EN27:EN30" si="138">SUM(EK27:EM27)</f>
        <v>0</v>
      </c>
      <c r="EO27" s="347"/>
      <c r="EP27" s="347"/>
      <c r="EQ27" s="347"/>
      <c r="ER27" s="342">
        <f t="shared" si="135"/>
        <v>0</v>
      </c>
      <c r="ES27" s="347"/>
      <c r="ET27" s="347"/>
      <c r="EU27" s="347"/>
      <c r="EV27" s="342">
        <f t="shared" si="117"/>
        <v>0</v>
      </c>
      <c r="EW27" s="347"/>
      <c r="EX27" s="347"/>
      <c r="EY27" s="347"/>
      <c r="EZ27" s="342">
        <f t="shared" si="118"/>
        <v>0</v>
      </c>
      <c r="FA27" s="347">
        <f t="shared" si="136"/>
        <v>0</v>
      </c>
      <c r="FB27" s="347">
        <f t="shared" ref="FB27:FB74" si="139">SUM(U27,AL27,BC27,BT27,CK27,DB27,DS27,EJ27,FA27)</f>
        <v>66344.88</v>
      </c>
      <c r="FC27" s="336">
        <f t="shared" si="59"/>
        <v>0.1105748</v>
      </c>
    </row>
    <row r="28" spans="1:159" s="6" customFormat="1" ht="18" outlineLevel="1">
      <c r="A28" s="343"/>
      <c r="B28" s="344" t="s">
        <v>516</v>
      </c>
      <c r="C28" s="349">
        <v>8181</v>
      </c>
      <c r="D28" s="350" t="s">
        <v>517</v>
      </c>
      <c r="E28" s="347">
        <v>280000</v>
      </c>
      <c r="F28" s="347">
        <v>280000</v>
      </c>
      <c r="G28" s="347">
        <v>280000</v>
      </c>
      <c r="H28" s="342">
        <f t="shared" si="119"/>
        <v>840000</v>
      </c>
      <c r="I28" s="347">
        <v>280000</v>
      </c>
      <c r="J28" s="347">
        <v>280000</v>
      </c>
      <c r="K28" s="347">
        <v>280000</v>
      </c>
      <c r="L28" s="342">
        <f t="shared" si="120"/>
        <v>840000</v>
      </c>
      <c r="M28" s="347">
        <v>280000</v>
      </c>
      <c r="N28" s="347">
        <v>280000</v>
      </c>
      <c r="O28" s="347">
        <v>280000</v>
      </c>
      <c r="P28" s="342">
        <f t="shared" si="121"/>
        <v>840000</v>
      </c>
      <c r="Q28" s="347"/>
      <c r="R28" s="347"/>
      <c r="S28" s="347"/>
      <c r="T28" s="342">
        <f t="shared" si="122"/>
        <v>0</v>
      </c>
      <c r="U28" s="347">
        <f t="shared" si="123"/>
        <v>2520000</v>
      </c>
      <c r="V28" s="347">
        <v>0</v>
      </c>
      <c r="W28" s="347">
        <v>0</v>
      </c>
      <c r="X28" s="347">
        <v>0</v>
      </c>
      <c r="Y28" s="342">
        <f t="shared" si="65"/>
        <v>0</v>
      </c>
      <c r="Z28" s="347">
        <v>0</v>
      </c>
      <c r="AA28" s="347">
        <v>0</v>
      </c>
      <c r="AB28" s="347">
        <v>0</v>
      </c>
      <c r="AC28" s="342">
        <f t="shared" si="101"/>
        <v>0</v>
      </c>
      <c r="AD28" s="347">
        <v>0</v>
      </c>
      <c r="AE28" s="347">
        <v>0</v>
      </c>
      <c r="AF28" s="347">
        <v>0</v>
      </c>
      <c r="AG28" s="342">
        <f t="shared" si="67"/>
        <v>0</v>
      </c>
      <c r="AH28" s="347">
        <v>0</v>
      </c>
      <c r="AI28" s="347">
        <v>0</v>
      </c>
      <c r="AJ28" s="347">
        <v>0</v>
      </c>
      <c r="AK28" s="342">
        <f t="shared" si="102"/>
        <v>0</v>
      </c>
      <c r="AL28" s="347">
        <f t="shared" si="124"/>
        <v>0</v>
      </c>
      <c r="AM28" s="348">
        <v>0</v>
      </c>
      <c r="AN28" s="348">
        <v>0</v>
      </c>
      <c r="AO28" s="348">
        <v>0</v>
      </c>
      <c r="AP28" s="342">
        <f t="shared" si="103"/>
        <v>0</v>
      </c>
      <c r="AQ28" s="348">
        <v>0</v>
      </c>
      <c r="AR28" s="348">
        <v>0</v>
      </c>
      <c r="AS28" s="348">
        <v>0</v>
      </c>
      <c r="AT28" s="342">
        <f t="shared" si="104"/>
        <v>0</v>
      </c>
      <c r="AU28" s="348">
        <v>0</v>
      </c>
      <c r="AV28" s="348">
        <v>0</v>
      </c>
      <c r="AW28" s="348">
        <v>0</v>
      </c>
      <c r="AX28" s="342">
        <f t="shared" si="105"/>
        <v>0</v>
      </c>
      <c r="AY28" s="348"/>
      <c r="AZ28" s="348"/>
      <c r="BA28" s="348"/>
      <c r="BB28" s="342">
        <f t="shared" si="106"/>
        <v>0</v>
      </c>
      <c r="BC28" s="347">
        <f t="shared" si="125"/>
        <v>0</v>
      </c>
      <c r="BD28" s="347">
        <v>-58619.42</v>
      </c>
      <c r="BE28" s="347">
        <v>-58619.42</v>
      </c>
      <c r="BF28" s="347">
        <v>-58619.42</v>
      </c>
      <c r="BG28" s="342">
        <f t="shared" si="73"/>
        <v>-175858.26</v>
      </c>
      <c r="BH28" s="347">
        <v>-58619.42</v>
      </c>
      <c r="BI28" s="347">
        <v>-58619.42</v>
      </c>
      <c r="BJ28" s="347">
        <v>-58619.42</v>
      </c>
      <c r="BK28" s="342">
        <f t="shared" si="74"/>
        <v>-175858.26</v>
      </c>
      <c r="BL28" s="347">
        <v>-58619.42</v>
      </c>
      <c r="BM28" s="347">
        <v>-58619.42</v>
      </c>
      <c r="BN28" s="347">
        <v>-58619.42</v>
      </c>
      <c r="BO28" s="342">
        <f t="shared" si="114"/>
        <v>-175858.26</v>
      </c>
      <c r="BP28" s="347">
        <v>0</v>
      </c>
      <c r="BQ28" s="347">
        <v>0</v>
      </c>
      <c r="BR28" s="347">
        <v>0</v>
      </c>
      <c r="BS28" s="342">
        <f t="shared" si="76"/>
        <v>0</v>
      </c>
      <c r="BT28" s="347">
        <f t="shared" si="126"/>
        <v>-527574.78</v>
      </c>
      <c r="BU28" s="348">
        <v>0</v>
      </c>
      <c r="BV28" s="348">
        <v>0</v>
      </c>
      <c r="BW28" s="348">
        <v>0</v>
      </c>
      <c r="BX28" s="342">
        <f t="shared" si="77"/>
        <v>0</v>
      </c>
      <c r="BY28" s="348">
        <v>0</v>
      </c>
      <c r="BZ28" s="348">
        <v>0</v>
      </c>
      <c r="CA28" s="348">
        <v>0</v>
      </c>
      <c r="CB28" s="342">
        <f t="shared" si="78"/>
        <v>0</v>
      </c>
      <c r="CC28" s="348">
        <v>0</v>
      </c>
      <c r="CD28" s="348">
        <v>0</v>
      </c>
      <c r="CE28" s="348">
        <v>0</v>
      </c>
      <c r="CF28" s="342">
        <f t="shared" si="79"/>
        <v>0</v>
      </c>
      <c r="CG28" s="348">
        <v>0</v>
      </c>
      <c r="CH28" s="348">
        <v>0</v>
      </c>
      <c r="CI28" s="348">
        <v>0</v>
      </c>
      <c r="CJ28" s="342">
        <f t="shared" si="80"/>
        <v>0</v>
      </c>
      <c r="CK28" s="347">
        <f t="shared" si="127"/>
        <v>0</v>
      </c>
      <c r="CL28" s="347">
        <v>-13904.82</v>
      </c>
      <c r="CM28" s="347">
        <v>-13904.82</v>
      </c>
      <c r="CN28" s="347">
        <v>-13904.82</v>
      </c>
      <c r="CO28" s="342">
        <f t="shared" si="81"/>
        <v>-41714.46</v>
      </c>
      <c r="CP28" s="347">
        <v>-13904.82</v>
      </c>
      <c r="CQ28" s="347">
        <v>-13904.82</v>
      </c>
      <c r="CR28" s="347">
        <v>-13904.82</v>
      </c>
      <c r="CS28" s="342">
        <f t="shared" si="82"/>
        <v>-41714.46</v>
      </c>
      <c r="CT28" s="347">
        <v>-13904.82</v>
      </c>
      <c r="CU28" s="347">
        <v>-13904.82</v>
      </c>
      <c r="CV28" s="347">
        <v>-13904.82</v>
      </c>
      <c r="CW28" s="342">
        <f t="shared" si="83"/>
        <v>-41714.46</v>
      </c>
      <c r="CX28" s="347">
        <v>0</v>
      </c>
      <c r="CY28" s="347">
        <v>0</v>
      </c>
      <c r="CZ28" s="347">
        <v>0</v>
      </c>
      <c r="DA28" s="342">
        <f t="shared" si="84"/>
        <v>0</v>
      </c>
      <c r="DB28" s="347">
        <f t="shared" si="128"/>
        <v>-125143.38</v>
      </c>
      <c r="DC28" s="347">
        <v>0</v>
      </c>
      <c r="DD28" s="347">
        <v>0</v>
      </c>
      <c r="DE28" s="347">
        <v>0</v>
      </c>
      <c r="DF28" s="342">
        <f t="shared" si="129"/>
        <v>0</v>
      </c>
      <c r="DG28" s="347">
        <v>0</v>
      </c>
      <c r="DH28" s="347">
        <v>0</v>
      </c>
      <c r="DI28" s="347">
        <v>0</v>
      </c>
      <c r="DJ28" s="342">
        <f t="shared" si="130"/>
        <v>0</v>
      </c>
      <c r="DK28" s="347">
        <v>0</v>
      </c>
      <c r="DL28" s="347">
        <v>0</v>
      </c>
      <c r="DM28" s="347">
        <v>0</v>
      </c>
      <c r="DN28" s="342">
        <f t="shared" si="131"/>
        <v>0</v>
      </c>
      <c r="DO28" s="347">
        <v>0</v>
      </c>
      <c r="DP28" s="347">
        <v>0</v>
      </c>
      <c r="DQ28" s="347">
        <v>0</v>
      </c>
      <c r="DR28" s="342">
        <f t="shared" si="132"/>
        <v>0</v>
      </c>
      <c r="DS28" s="347">
        <f t="shared" si="133"/>
        <v>0</v>
      </c>
      <c r="DT28" s="347">
        <v>0</v>
      </c>
      <c r="DU28" s="347">
        <v>0</v>
      </c>
      <c r="DV28" s="347">
        <v>-47549</v>
      </c>
      <c r="DW28" s="342">
        <f t="shared" si="89"/>
        <v>-47549</v>
      </c>
      <c r="DX28" s="347">
        <v>0</v>
      </c>
      <c r="DY28" s="347">
        <v>0</v>
      </c>
      <c r="DZ28" s="347">
        <v>-47549</v>
      </c>
      <c r="EA28" s="342">
        <f t="shared" si="137"/>
        <v>-47549</v>
      </c>
      <c r="EB28" s="347">
        <v>0</v>
      </c>
      <c r="EC28" s="347">
        <v>0</v>
      </c>
      <c r="ED28" s="347">
        <v>0</v>
      </c>
      <c r="EE28" s="342">
        <f t="shared" si="111"/>
        <v>0</v>
      </c>
      <c r="EF28" s="347">
        <v>0</v>
      </c>
      <c r="EG28" s="347">
        <v>0</v>
      </c>
      <c r="EH28" s="347">
        <v>0</v>
      </c>
      <c r="EI28" s="342">
        <f t="shared" si="112"/>
        <v>0</v>
      </c>
      <c r="EJ28" s="347">
        <f t="shared" si="134"/>
        <v>-95098</v>
      </c>
      <c r="EK28" s="347"/>
      <c r="EL28" s="347"/>
      <c r="EM28" s="347"/>
      <c r="EN28" s="342">
        <f t="shared" si="138"/>
        <v>0</v>
      </c>
      <c r="EO28" s="347"/>
      <c r="EP28" s="347"/>
      <c r="EQ28" s="347"/>
      <c r="ER28" s="342">
        <f t="shared" si="135"/>
        <v>0</v>
      </c>
      <c r="ES28" s="347"/>
      <c r="ET28" s="347"/>
      <c r="EU28" s="347"/>
      <c r="EV28" s="342">
        <f t="shared" si="117"/>
        <v>0</v>
      </c>
      <c r="EW28" s="347"/>
      <c r="EX28" s="347"/>
      <c r="EY28" s="347"/>
      <c r="EZ28" s="342">
        <f t="shared" si="118"/>
        <v>0</v>
      </c>
      <c r="FA28" s="347">
        <f t="shared" si="136"/>
        <v>0</v>
      </c>
      <c r="FB28" s="347">
        <f t="shared" si="139"/>
        <v>1772183.8399999999</v>
      </c>
      <c r="FC28" s="336">
        <f t="shared" si="59"/>
        <v>0.70324755555555551</v>
      </c>
    </row>
    <row r="29" spans="1:159" s="6" customFormat="1" ht="18" outlineLevel="1">
      <c r="A29" s="343"/>
      <c r="B29" s="344" t="s">
        <v>518</v>
      </c>
      <c r="C29" s="349">
        <v>8852</v>
      </c>
      <c r="D29" s="350" t="s">
        <v>519</v>
      </c>
      <c r="E29" s="347">
        <v>134366</v>
      </c>
      <c r="F29" s="347">
        <v>134366</v>
      </c>
      <c r="G29" s="347">
        <v>134366</v>
      </c>
      <c r="H29" s="342">
        <f t="shared" si="119"/>
        <v>403098</v>
      </c>
      <c r="I29" s="347">
        <v>134366</v>
      </c>
      <c r="J29" s="347">
        <v>134366</v>
      </c>
      <c r="K29" s="347">
        <v>134366</v>
      </c>
      <c r="L29" s="342">
        <f t="shared" si="120"/>
        <v>403098</v>
      </c>
      <c r="M29" s="347">
        <v>134366</v>
      </c>
      <c r="N29" s="347">
        <v>134366</v>
      </c>
      <c r="O29" s="347">
        <v>134366</v>
      </c>
      <c r="P29" s="342">
        <f t="shared" si="121"/>
        <v>403098</v>
      </c>
      <c r="Q29" s="347"/>
      <c r="R29" s="347"/>
      <c r="S29" s="347"/>
      <c r="T29" s="342">
        <f t="shared" si="122"/>
        <v>0</v>
      </c>
      <c r="U29" s="347">
        <f t="shared" si="123"/>
        <v>1209294</v>
      </c>
      <c r="V29" s="347">
        <v>0</v>
      </c>
      <c r="W29" s="347">
        <v>0</v>
      </c>
      <c r="X29" s="347">
        <v>0</v>
      </c>
      <c r="Y29" s="342">
        <f t="shared" si="65"/>
        <v>0</v>
      </c>
      <c r="Z29" s="347">
        <v>0</v>
      </c>
      <c r="AA29" s="347">
        <v>0</v>
      </c>
      <c r="AB29" s="347">
        <v>0</v>
      </c>
      <c r="AC29" s="342">
        <f t="shared" si="101"/>
        <v>0</v>
      </c>
      <c r="AD29" s="347">
        <v>0</v>
      </c>
      <c r="AE29" s="347">
        <v>0</v>
      </c>
      <c r="AF29" s="347">
        <v>0</v>
      </c>
      <c r="AG29" s="342">
        <f t="shared" si="67"/>
        <v>0</v>
      </c>
      <c r="AH29" s="347">
        <v>0</v>
      </c>
      <c r="AI29" s="347">
        <v>0</v>
      </c>
      <c r="AJ29" s="347">
        <v>0</v>
      </c>
      <c r="AK29" s="342">
        <f t="shared" si="102"/>
        <v>0</v>
      </c>
      <c r="AL29" s="347">
        <f t="shared" si="124"/>
        <v>0</v>
      </c>
      <c r="AM29" s="348">
        <v>0</v>
      </c>
      <c r="AN29" s="348">
        <v>0</v>
      </c>
      <c r="AO29" s="348">
        <v>0</v>
      </c>
      <c r="AP29" s="342">
        <f t="shared" si="103"/>
        <v>0</v>
      </c>
      <c r="AQ29" s="348">
        <v>0</v>
      </c>
      <c r="AR29" s="348">
        <v>0</v>
      </c>
      <c r="AS29" s="348">
        <v>0</v>
      </c>
      <c r="AT29" s="342">
        <f t="shared" si="104"/>
        <v>0</v>
      </c>
      <c r="AU29" s="348">
        <v>0</v>
      </c>
      <c r="AV29" s="348">
        <v>0</v>
      </c>
      <c r="AW29" s="348">
        <v>0</v>
      </c>
      <c r="AX29" s="342">
        <f t="shared" si="105"/>
        <v>0</v>
      </c>
      <c r="AY29" s="348"/>
      <c r="AZ29" s="348"/>
      <c r="BA29" s="348"/>
      <c r="BB29" s="342">
        <f t="shared" si="106"/>
        <v>0</v>
      </c>
      <c r="BC29" s="347">
        <f t="shared" si="125"/>
        <v>0</v>
      </c>
      <c r="BD29" s="347">
        <v>-28130.2</v>
      </c>
      <c r="BE29" s="347">
        <v>-28130.2</v>
      </c>
      <c r="BF29" s="347">
        <v>-28130.2</v>
      </c>
      <c r="BG29" s="342">
        <f t="shared" si="73"/>
        <v>-84390.6</v>
      </c>
      <c r="BH29" s="347">
        <v>-28130.2</v>
      </c>
      <c r="BI29" s="347">
        <v>-28130.2</v>
      </c>
      <c r="BJ29" s="347">
        <v>-28130.2</v>
      </c>
      <c r="BK29" s="342">
        <f t="shared" si="74"/>
        <v>-84390.6</v>
      </c>
      <c r="BL29" s="347">
        <v>-28130.2</v>
      </c>
      <c r="BM29" s="347">
        <v>-28130.2</v>
      </c>
      <c r="BN29" s="347">
        <v>-28130.2</v>
      </c>
      <c r="BO29" s="342">
        <f t="shared" si="114"/>
        <v>-84390.6</v>
      </c>
      <c r="BP29" s="347">
        <v>0</v>
      </c>
      <c r="BQ29" s="347">
        <v>0</v>
      </c>
      <c r="BR29" s="347">
        <v>0</v>
      </c>
      <c r="BS29" s="342">
        <f t="shared" si="76"/>
        <v>0</v>
      </c>
      <c r="BT29" s="347">
        <f t="shared" si="126"/>
        <v>-253171.80000000002</v>
      </c>
      <c r="BU29" s="348">
        <v>0</v>
      </c>
      <c r="BV29" s="348">
        <v>0</v>
      </c>
      <c r="BW29" s="348">
        <v>0</v>
      </c>
      <c r="BX29" s="342">
        <f t="shared" si="77"/>
        <v>0</v>
      </c>
      <c r="BY29" s="348">
        <v>0</v>
      </c>
      <c r="BZ29" s="348">
        <v>0</v>
      </c>
      <c r="CA29" s="348">
        <v>0</v>
      </c>
      <c r="CB29" s="342">
        <f t="shared" si="78"/>
        <v>0</v>
      </c>
      <c r="CC29" s="348">
        <v>0</v>
      </c>
      <c r="CD29" s="348">
        <v>0</v>
      </c>
      <c r="CE29" s="348">
        <v>0</v>
      </c>
      <c r="CF29" s="342">
        <f t="shared" si="79"/>
        <v>0</v>
      </c>
      <c r="CG29" s="348">
        <v>0</v>
      </c>
      <c r="CH29" s="348">
        <v>0</v>
      </c>
      <c r="CI29" s="348">
        <v>0</v>
      </c>
      <c r="CJ29" s="342">
        <f t="shared" si="80"/>
        <v>0</v>
      </c>
      <c r="CK29" s="347">
        <f t="shared" si="127"/>
        <v>0</v>
      </c>
      <c r="CL29" s="347">
        <v>-6672.63</v>
      </c>
      <c r="CM29" s="347">
        <v>-6672.63</v>
      </c>
      <c r="CN29" s="347">
        <v>-6672.63</v>
      </c>
      <c r="CO29" s="342">
        <f t="shared" si="81"/>
        <v>-20017.89</v>
      </c>
      <c r="CP29" s="347">
        <v>-6672.63</v>
      </c>
      <c r="CQ29" s="347">
        <v>-6672.63</v>
      </c>
      <c r="CR29" s="347">
        <v>-6672.63</v>
      </c>
      <c r="CS29" s="342">
        <f t="shared" si="82"/>
        <v>-20017.89</v>
      </c>
      <c r="CT29" s="347">
        <v>-6672.63</v>
      </c>
      <c r="CU29" s="347">
        <v>-6672.63</v>
      </c>
      <c r="CV29" s="347">
        <v>-6672.63</v>
      </c>
      <c r="CW29" s="342">
        <f t="shared" si="83"/>
        <v>-20017.89</v>
      </c>
      <c r="CX29" s="347">
        <v>0</v>
      </c>
      <c r="CY29" s="347">
        <v>0</v>
      </c>
      <c r="CZ29" s="347">
        <v>0</v>
      </c>
      <c r="DA29" s="342">
        <f t="shared" si="84"/>
        <v>0</v>
      </c>
      <c r="DB29" s="347">
        <f t="shared" si="128"/>
        <v>-60053.67</v>
      </c>
      <c r="DC29" s="347">
        <v>0</v>
      </c>
      <c r="DD29" s="347">
        <v>0</v>
      </c>
      <c r="DE29" s="347">
        <v>0</v>
      </c>
      <c r="DF29" s="342">
        <f t="shared" si="129"/>
        <v>0</v>
      </c>
      <c r="DG29" s="347">
        <v>0</v>
      </c>
      <c r="DH29" s="347">
        <v>0</v>
      </c>
      <c r="DI29" s="347">
        <v>0</v>
      </c>
      <c r="DJ29" s="342">
        <f t="shared" si="130"/>
        <v>0</v>
      </c>
      <c r="DK29" s="347">
        <v>0</v>
      </c>
      <c r="DL29" s="347">
        <v>0</v>
      </c>
      <c r="DM29" s="347">
        <v>0</v>
      </c>
      <c r="DN29" s="342">
        <f t="shared" si="131"/>
        <v>0</v>
      </c>
      <c r="DO29" s="347">
        <v>0</v>
      </c>
      <c r="DP29" s="347">
        <v>0</v>
      </c>
      <c r="DQ29" s="347">
        <v>0</v>
      </c>
      <c r="DR29" s="342">
        <f t="shared" si="132"/>
        <v>0</v>
      </c>
      <c r="DS29" s="347">
        <f t="shared" si="133"/>
        <v>0</v>
      </c>
      <c r="DT29" s="347">
        <v>0</v>
      </c>
      <c r="DU29" s="347">
        <v>0</v>
      </c>
      <c r="DV29" s="347">
        <v>0</v>
      </c>
      <c r="DW29" s="342">
        <f t="shared" si="89"/>
        <v>0</v>
      </c>
      <c r="DX29" s="347">
        <v>0</v>
      </c>
      <c r="DY29" s="347">
        <v>0</v>
      </c>
      <c r="DZ29" s="347">
        <v>0</v>
      </c>
      <c r="EA29" s="342">
        <f t="shared" si="137"/>
        <v>0</v>
      </c>
      <c r="EB29" s="347">
        <v>0</v>
      </c>
      <c r="EC29" s="347">
        <v>0</v>
      </c>
      <c r="ED29" s="347">
        <v>0</v>
      </c>
      <c r="EE29" s="342">
        <f t="shared" si="111"/>
        <v>0</v>
      </c>
      <c r="EF29" s="347">
        <v>0</v>
      </c>
      <c r="EG29" s="347">
        <v>0</v>
      </c>
      <c r="EH29" s="347">
        <v>0</v>
      </c>
      <c r="EI29" s="342">
        <f t="shared" si="112"/>
        <v>0</v>
      </c>
      <c r="EJ29" s="347">
        <f t="shared" si="134"/>
        <v>0</v>
      </c>
      <c r="EK29" s="347"/>
      <c r="EL29" s="347"/>
      <c r="EM29" s="347"/>
      <c r="EN29" s="342">
        <f t="shared" si="138"/>
        <v>0</v>
      </c>
      <c r="EO29" s="347"/>
      <c r="EP29" s="347"/>
      <c r="EQ29" s="347"/>
      <c r="ER29" s="342">
        <f t="shared" si="135"/>
        <v>0</v>
      </c>
      <c r="ES29" s="347"/>
      <c r="ET29" s="347"/>
      <c r="EU29" s="347"/>
      <c r="EV29" s="342">
        <f t="shared" si="117"/>
        <v>0</v>
      </c>
      <c r="EW29" s="347"/>
      <c r="EX29" s="347"/>
      <c r="EY29" s="347"/>
      <c r="EZ29" s="342">
        <f t="shared" si="118"/>
        <v>0</v>
      </c>
      <c r="FA29" s="347">
        <f t="shared" si="136"/>
        <v>0</v>
      </c>
      <c r="FB29" s="347">
        <f t="shared" si="139"/>
        <v>896068.52999999991</v>
      </c>
      <c r="FC29" s="336">
        <f t="shared" si="59"/>
        <v>0.74098484735721826</v>
      </c>
    </row>
    <row r="30" spans="1:159" s="6" customFormat="1" ht="18" outlineLevel="1">
      <c r="A30" s="343"/>
      <c r="B30" s="344" t="s">
        <v>520</v>
      </c>
      <c r="C30" s="349">
        <v>9200</v>
      </c>
      <c r="D30" s="350" t="s">
        <v>521</v>
      </c>
      <c r="E30" s="347">
        <v>450000</v>
      </c>
      <c r="F30" s="347">
        <v>450000</v>
      </c>
      <c r="G30" s="347">
        <v>450000</v>
      </c>
      <c r="H30" s="342">
        <f t="shared" si="119"/>
        <v>1350000</v>
      </c>
      <c r="I30" s="347">
        <v>450000</v>
      </c>
      <c r="J30" s="347">
        <v>450000</v>
      </c>
      <c r="K30" s="347">
        <v>450000</v>
      </c>
      <c r="L30" s="342">
        <f t="shared" si="120"/>
        <v>1350000</v>
      </c>
      <c r="M30" s="347">
        <v>450000</v>
      </c>
      <c r="N30" s="347">
        <v>450000</v>
      </c>
      <c r="O30" s="347">
        <v>450000</v>
      </c>
      <c r="P30" s="342">
        <f t="shared" si="121"/>
        <v>1350000</v>
      </c>
      <c r="Q30" s="347">
        <v>450000</v>
      </c>
      <c r="R30" s="347">
        <v>450000</v>
      </c>
      <c r="S30" s="347">
        <v>450000</v>
      </c>
      <c r="T30" s="342">
        <f t="shared" si="122"/>
        <v>1350000</v>
      </c>
      <c r="U30" s="347">
        <f t="shared" si="123"/>
        <v>5400000</v>
      </c>
      <c r="V30" s="347">
        <v>0</v>
      </c>
      <c r="W30" s="347">
        <v>0</v>
      </c>
      <c r="X30" s="347">
        <v>0</v>
      </c>
      <c r="Y30" s="342">
        <f t="shared" si="65"/>
        <v>0</v>
      </c>
      <c r="Z30" s="347">
        <v>0</v>
      </c>
      <c r="AA30" s="347">
        <v>0</v>
      </c>
      <c r="AB30" s="347">
        <v>0</v>
      </c>
      <c r="AC30" s="342">
        <f t="shared" si="101"/>
        <v>0</v>
      </c>
      <c r="AD30" s="347">
        <v>0</v>
      </c>
      <c r="AE30" s="347">
        <v>0</v>
      </c>
      <c r="AF30" s="347">
        <v>0</v>
      </c>
      <c r="AG30" s="342">
        <f t="shared" si="67"/>
        <v>0</v>
      </c>
      <c r="AH30" s="347">
        <v>0</v>
      </c>
      <c r="AI30" s="347">
        <v>0</v>
      </c>
      <c r="AJ30" s="347">
        <v>0</v>
      </c>
      <c r="AK30" s="342">
        <f t="shared" si="102"/>
        <v>0</v>
      </c>
      <c r="AL30" s="347">
        <f t="shared" si="124"/>
        <v>0</v>
      </c>
      <c r="AM30" s="348">
        <v>0</v>
      </c>
      <c r="AN30" s="348">
        <v>0</v>
      </c>
      <c r="AO30" s="348">
        <v>0</v>
      </c>
      <c r="AP30" s="342">
        <f t="shared" si="103"/>
        <v>0</v>
      </c>
      <c r="AQ30" s="348">
        <v>0</v>
      </c>
      <c r="AR30" s="348">
        <v>0</v>
      </c>
      <c r="AS30" s="348">
        <v>0</v>
      </c>
      <c r="AT30" s="342">
        <f t="shared" si="104"/>
        <v>0</v>
      </c>
      <c r="AU30" s="348">
        <v>0</v>
      </c>
      <c r="AV30" s="348">
        <v>0</v>
      </c>
      <c r="AW30" s="348">
        <v>0</v>
      </c>
      <c r="AX30" s="342">
        <f t="shared" si="105"/>
        <v>0</v>
      </c>
      <c r="AY30" s="348"/>
      <c r="AZ30" s="348"/>
      <c r="BA30" s="348"/>
      <c r="BB30" s="342">
        <f t="shared" si="106"/>
        <v>0</v>
      </c>
      <c r="BC30" s="347">
        <f t="shared" si="125"/>
        <v>0</v>
      </c>
      <c r="BD30" s="347">
        <v>-94209.78</v>
      </c>
      <c r="BE30" s="347">
        <v>-94209.78</v>
      </c>
      <c r="BF30" s="347">
        <v>-94209.78</v>
      </c>
      <c r="BG30" s="342">
        <f t="shared" si="73"/>
        <v>-282629.33999999997</v>
      </c>
      <c r="BH30" s="347">
        <v>-94209.78</v>
      </c>
      <c r="BI30" s="347">
        <v>-94209.78</v>
      </c>
      <c r="BJ30" s="347">
        <v>-94209.78</v>
      </c>
      <c r="BK30" s="342">
        <f t="shared" si="74"/>
        <v>-282629.33999999997</v>
      </c>
      <c r="BL30" s="347">
        <v>-94209.78</v>
      </c>
      <c r="BM30" s="347">
        <v>-94209.78</v>
      </c>
      <c r="BN30" s="347">
        <v>-94209.78</v>
      </c>
      <c r="BO30" s="342">
        <f t="shared" si="114"/>
        <v>-282629.33999999997</v>
      </c>
      <c r="BP30" s="347">
        <v>-94209.78</v>
      </c>
      <c r="BQ30" s="347">
        <v>-94209.78</v>
      </c>
      <c r="BR30" s="347">
        <v>-94209.78</v>
      </c>
      <c r="BS30" s="342">
        <f t="shared" si="76"/>
        <v>-282629.33999999997</v>
      </c>
      <c r="BT30" s="347">
        <f t="shared" si="126"/>
        <v>-1130517.3599999999</v>
      </c>
      <c r="BU30" s="348">
        <v>0</v>
      </c>
      <c r="BV30" s="348">
        <v>0</v>
      </c>
      <c r="BW30" s="348">
        <v>0</v>
      </c>
      <c r="BX30" s="342">
        <f t="shared" si="77"/>
        <v>0</v>
      </c>
      <c r="BY30" s="348">
        <v>0</v>
      </c>
      <c r="BZ30" s="348">
        <v>0</v>
      </c>
      <c r="CA30" s="348">
        <v>0</v>
      </c>
      <c r="CB30" s="342">
        <f t="shared" si="78"/>
        <v>0</v>
      </c>
      <c r="CC30" s="348">
        <v>0</v>
      </c>
      <c r="CD30" s="348">
        <v>0</v>
      </c>
      <c r="CE30" s="348">
        <v>0</v>
      </c>
      <c r="CF30" s="342">
        <f t="shared" si="79"/>
        <v>0</v>
      </c>
      <c r="CG30" s="348">
        <v>0</v>
      </c>
      <c r="CH30" s="348">
        <v>0</v>
      </c>
      <c r="CI30" s="348">
        <v>0</v>
      </c>
      <c r="CJ30" s="342">
        <f t="shared" si="80"/>
        <v>0</v>
      </c>
      <c r="CK30" s="347">
        <f t="shared" si="127"/>
        <v>0</v>
      </c>
      <c r="CL30" s="347">
        <v>-22347.040000000001</v>
      </c>
      <c r="CM30" s="347">
        <v>-22347.040000000001</v>
      </c>
      <c r="CN30" s="347">
        <v>-22347.040000000001</v>
      </c>
      <c r="CO30" s="342">
        <f t="shared" si="81"/>
        <v>-67041.119999999995</v>
      </c>
      <c r="CP30" s="347">
        <v>-22347.040000000001</v>
      </c>
      <c r="CQ30" s="347">
        <v>-22347.040000000001</v>
      </c>
      <c r="CR30" s="347">
        <v>-22347.040000000001</v>
      </c>
      <c r="CS30" s="342">
        <f t="shared" si="82"/>
        <v>-67041.119999999995</v>
      </c>
      <c r="CT30" s="347">
        <v>-22347.040000000001</v>
      </c>
      <c r="CU30" s="347">
        <v>-22347.040000000001</v>
      </c>
      <c r="CV30" s="347">
        <v>-22347.040000000001</v>
      </c>
      <c r="CW30" s="342">
        <f t="shared" si="83"/>
        <v>-67041.119999999995</v>
      </c>
      <c r="CX30" s="347">
        <v>-22347.040000000001</v>
      </c>
      <c r="CY30" s="347">
        <v>-22347.040000000001</v>
      </c>
      <c r="CZ30" s="347">
        <v>-22347.040000000001</v>
      </c>
      <c r="DA30" s="342">
        <f t="shared" si="84"/>
        <v>-67041.119999999995</v>
      </c>
      <c r="DB30" s="347">
        <f t="shared" si="128"/>
        <v>-268164.47999999998</v>
      </c>
      <c r="DC30" s="347">
        <v>0</v>
      </c>
      <c r="DD30" s="347">
        <v>0</v>
      </c>
      <c r="DE30" s="347">
        <v>0</v>
      </c>
      <c r="DF30" s="342">
        <f t="shared" si="129"/>
        <v>0</v>
      </c>
      <c r="DG30" s="347">
        <v>0</v>
      </c>
      <c r="DH30" s="347">
        <v>0</v>
      </c>
      <c r="DI30" s="347">
        <v>0</v>
      </c>
      <c r="DJ30" s="342">
        <f t="shared" si="130"/>
        <v>0</v>
      </c>
      <c r="DK30" s="347">
        <v>0</v>
      </c>
      <c r="DL30" s="347">
        <v>0</v>
      </c>
      <c r="DM30" s="347">
        <v>0</v>
      </c>
      <c r="DN30" s="342">
        <f t="shared" si="131"/>
        <v>0</v>
      </c>
      <c r="DO30" s="347">
        <v>0</v>
      </c>
      <c r="DP30" s="347">
        <v>0</v>
      </c>
      <c r="DQ30" s="347">
        <v>0</v>
      </c>
      <c r="DR30" s="342">
        <f t="shared" si="132"/>
        <v>0</v>
      </c>
      <c r="DS30" s="347">
        <f t="shared" si="133"/>
        <v>0</v>
      </c>
      <c r="DT30" s="347">
        <v>0</v>
      </c>
      <c r="DU30" s="347">
        <v>0</v>
      </c>
      <c r="DV30" s="347">
        <v>0</v>
      </c>
      <c r="DW30" s="342">
        <f t="shared" si="89"/>
        <v>0</v>
      </c>
      <c r="DX30" s="347">
        <v>0</v>
      </c>
      <c r="DY30" s="347">
        <v>0</v>
      </c>
      <c r="DZ30" s="347">
        <v>0</v>
      </c>
      <c r="EA30" s="342">
        <f t="shared" si="137"/>
        <v>0</v>
      </c>
      <c r="EB30" s="347">
        <v>0</v>
      </c>
      <c r="EC30" s="347">
        <v>0</v>
      </c>
      <c r="ED30" s="347">
        <v>0</v>
      </c>
      <c r="EE30" s="342">
        <f t="shared" si="111"/>
        <v>0</v>
      </c>
      <c r="EF30" s="347">
        <v>0</v>
      </c>
      <c r="EG30" s="347">
        <v>0</v>
      </c>
      <c r="EH30" s="347">
        <v>0</v>
      </c>
      <c r="EI30" s="342">
        <f t="shared" si="112"/>
        <v>0</v>
      </c>
      <c r="EJ30" s="347">
        <f t="shared" si="134"/>
        <v>0</v>
      </c>
      <c r="EK30" s="347"/>
      <c r="EL30" s="347"/>
      <c r="EM30" s="347"/>
      <c r="EN30" s="342">
        <f t="shared" si="138"/>
        <v>0</v>
      </c>
      <c r="EO30" s="347"/>
      <c r="EP30" s="347"/>
      <c r="EQ30" s="347"/>
      <c r="ER30" s="342">
        <f t="shared" si="135"/>
        <v>0</v>
      </c>
      <c r="ES30" s="347"/>
      <c r="ET30" s="347"/>
      <c r="EU30" s="347"/>
      <c r="EV30" s="342">
        <f t="shared" si="117"/>
        <v>0</v>
      </c>
      <c r="EW30" s="347"/>
      <c r="EX30" s="347"/>
      <c r="EY30" s="347"/>
      <c r="EZ30" s="342">
        <f t="shared" si="118"/>
        <v>0</v>
      </c>
      <c r="FA30" s="347">
        <f t="shared" si="136"/>
        <v>0</v>
      </c>
      <c r="FB30" s="347">
        <f t="shared" si="139"/>
        <v>4001318.1600000006</v>
      </c>
      <c r="FC30" s="336">
        <f t="shared" si="59"/>
        <v>0.74098484444444457</v>
      </c>
    </row>
    <row r="31" spans="1:159" s="6" customFormat="1" ht="18">
      <c r="A31" s="343"/>
      <c r="B31" s="344" t="s">
        <v>522</v>
      </c>
      <c r="C31" s="345" t="s">
        <v>511</v>
      </c>
      <c r="D31" s="346" t="s">
        <v>495</v>
      </c>
      <c r="E31" s="347">
        <f t="shared" ref="E31:X31" si="140">SUM(E32:E37)</f>
        <v>2033333.3266666669</v>
      </c>
      <c r="F31" s="347">
        <f t="shared" si="140"/>
        <v>2033333.3266666669</v>
      </c>
      <c r="G31" s="347">
        <f t="shared" si="140"/>
        <v>2033333.3266666669</v>
      </c>
      <c r="H31" s="342">
        <f t="shared" si="140"/>
        <v>6099999.9800000004</v>
      </c>
      <c r="I31" s="347">
        <f t="shared" si="140"/>
        <v>2033333.3266666669</v>
      </c>
      <c r="J31" s="347">
        <f t="shared" si="140"/>
        <v>2033333.3266666669</v>
      </c>
      <c r="K31" s="347">
        <f t="shared" si="140"/>
        <v>2033333.3266666669</v>
      </c>
      <c r="L31" s="342">
        <f t="shared" si="140"/>
        <v>6099999.9800000004</v>
      </c>
      <c r="M31" s="347">
        <f t="shared" si="140"/>
        <v>2033333.3266666669</v>
      </c>
      <c r="N31" s="347">
        <f t="shared" si="140"/>
        <v>2033333.3266666669</v>
      </c>
      <c r="O31" s="347">
        <f t="shared" si="140"/>
        <v>2033333.3266666669</v>
      </c>
      <c r="P31" s="342">
        <f t="shared" si="140"/>
        <v>6099999.9800000004</v>
      </c>
      <c r="Q31" s="347">
        <f t="shared" si="140"/>
        <v>2467699.3266666671</v>
      </c>
      <c r="R31" s="347">
        <f t="shared" si="140"/>
        <v>2467699.3266666671</v>
      </c>
      <c r="S31" s="347">
        <f t="shared" si="140"/>
        <v>2467699.3266666671</v>
      </c>
      <c r="T31" s="342">
        <f t="shared" si="140"/>
        <v>7403097.9800000014</v>
      </c>
      <c r="U31" s="358">
        <f t="shared" si="140"/>
        <v>25703097.920000002</v>
      </c>
      <c r="V31" s="347">
        <f t="shared" si="140"/>
        <v>0</v>
      </c>
      <c r="W31" s="347">
        <f t="shared" si="140"/>
        <v>0</v>
      </c>
      <c r="X31" s="347">
        <f t="shared" si="140"/>
        <v>0</v>
      </c>
      <c r="Y31" s="342">
        <f t="shared" si="65"/>
        <v>0</v>
      </c>
      <c r="Z31" s="347">
        <f>SUM(Z32:Z37)</f>
        <v>0</v>
      </c>
      <c r="AA31" s="347">
        <f>SUM(AA32:AA37)</f>
        <v>0</v>
      </c>
      <c r="AB31" s="347">
        <f>SUM(AB32:AB37)</f>
        <v>0</v>
      </c>
      <c r="AC31" s="342">
        <f t="shared" si="101"/>
        <v>0</v>
      </c>
      <c r="AD31" s="347">
        <f>SUM(AD32:AD37)</f>
        <v>0</v>
      </c>
      <c r="AE31" s="347">
        <f>SUM(AE32:AE37)</f>
        <v>0</v>
      </c>
      <c r="AF31" s="347">
        <f>SUM(AF32:AF37)</f>
        <v>0</v>
      </c>
      <c r="AG31" s="342">
        <f t="shared" si="67"/>
        <v>0</v>
      </c>
      <c r="AH31" s="347">
        <f>SUM(AH32:AH37)</f>
        <v>0</v>
      </c>
      <c r="AI31" s="347">
        <f>SUM(AI32:AI37)</f>
        <v>0</v>
      </c>
      <c r="AJ31" s="347">
        <f>SUM(AJ32:AJ37)</f>
        <v>0</v>
      </c>
      <c r="AK31" s="342">
        <f t="shared" si="102"/>
        <v>0</v>
      </c>
      <c r="AL31" s="347">
        <f>SUM(AL32:AL37)</f>
        <v>0</v>
      </c>
      <c r="AM31" s="348">
        <f>SUM(AM32:AM37)</f>
        <v>0</v>
      </c>
      <c r="AN31" s="348">
        <f>SUM(AN32:AN37)</f>
        <v>0</v>
      </c>
      <c r="AO31" s="348">
        <f>SUM(AO32:AO37)</f>
        <v>0</v>
      </c>
      <c r="AP31" s="342">
        <f t="shared" ref="AP31" si="141">SUM(AM31:AO31)</f>
        <v>0</v>
      </c>
      <c r="AQ31" s="348">
        <f>SUM(AQ32:AQ37)</f>
        <v>0</v>
      </c>
      <c r="AR31" s="348">
        <f>SUM(AR32:AR37)</f>
        <v>0</v>
      </c>
      <c r="AS31" s="348">
        <f>SUM(AS32:AS37)</f>
        <v>0</v>
      </c>
      <c r="AT31" s="342">
        <f t="shared" ref="AT31" si="142">SUM(AQ31:AS31)</f>
        <v>0</v>
      </c>
      <c r="AU31" s="348">
        <f>SUM(AU32:AU37)</f>
        <v>0</v>
      </c>
      <c r="AV31" s="348">
        <f>SUM(AV32:AV37)</f>
        <v>0</v>
      </c>
      <c r="AW31" s="348">
        <f>SUM(AW32:AW37)</f>
        <v>0</v>
      </c>
      <c r="AX31" s="342">
        <f t="shared" ref="AX31" si="143">SUM(AU31:AW31)</f>
        <v>0</v>
      </c>
      <c r="AY31" s="348">
        <f>SUM(AY32:AY37)</f>
        <v>0</v>
      </c>
      <c r="AZ31" s="348">
        <f>SUM(AZ32:AZ37)</f>
        <v>0</v>
      </c>
      <c r="BA31" s="348">
        <f>SUM(BA32:BA37)</f>
        <v>0</v>
      </c>
      <c r="BB31" s="342">
        <f t="shared" ref="BB31" si="144">SUM(AY31:BA31)</f>
        <v>0</v>
      </c>
      <c r="BC31" s="347">
        <f>SUM(BC32:BC37)</f>
        <v>0</v>
      </c>
      <c r="BD31" s="348">
        <f>SUM(BD32:BD37)</f>
        <v>-751226.09</v>
      </c>
      <c r="BE31" s="348">
        <f>SUM(BE32:BE37)</f>
        <v>-751226.09</v>
      </c>
      <c r="BF31" s="348">
        <f>SUM(BF32:BF37)</f>
        <v>-751226.09</v>
      </c>
      <c r="BG31" s="342">
        <f t="shared" si="73"/>
        <v>-2253678.27</v>
      </c>
      <c r="BH31" s="348">
        <f>SUM(BH32:BH37)</f>
        <v>-751226.09</v>
      </c>
      <c r="BI31" s="348">
        <f>SUM(BI32:BI37)</f>
        <v>-751226.09</v>
      </c>
      <c r="BJ31" s="348">
        <f>SUM(BJ32:BJ37)</f>
        <v>-751226.09</v>
      </c>
      <c r="BK31" s="342">
        <f t="shared" si="74"/>
        <v>-2253678.27</v>
      </c>
      <c r="BL31" s="348">
        <f>SUM(BL32:BL37)</f>
        <v>-751226.09</v>
      </c>
      <c r="BM31" s="348">
        <f>SUM(BM32:BM37)</f>
        <v>-751226.09</v>
      </c>
      <c r="BN31" s="347">
        <f>SUM(BN32:BN37)</f>
        <v>-751226.09</v>
      </c>
      <c r="BO31" s="342">
        <f t="shared" si="114"/>
        <v>-2253678.27</v>
      </c>
      <c r="BP31" s="348">
        <f>SUM(BP32:BP37)</f>
        <v>-842162.81</v>
      </c>
      <c r="BQ31" s="348">
        <f>SUM(BQ32:BQ37)</f>
        <v>-842162.81</v>
      </c>
      <c r="BR31" s="348">
        <f>SUM(BR32:BR37)</f>
        <v>-842162.81</v>
      </c>
      <c r="BS31" s="342">
        <f t="shared" si="76"/>
        <v>-2526488.4300000002</v>
      </c>
      <c r="BT31" s="347">
        <f>SUM(BT32:BT37)</f>
        <v>-9287523.2400000002</v>
      </c>
      <c r="BU31" s="348">
        <f>SUM(BU32:BU37)</f>
        <v>0</v>
      </c>
      <c r="BV31" s="348">
        <f>SUM(BV32:BV37)</f>
        <v>0</v>
      </c>
      <c r="BW31" s="348">
        <f>SUM(BW32:BW37)</f>
        <v>0</v>
      </c>
      <c r="BX31" s="342">
        <f t="shared" si="77"/>
        <v>0</v>
      </c>
      <c r="BY31" s="348">
        <f>SUM(BY32:BY37)</f>
        <v>0</v>
      </c>
      <c r="BZ31" s="348">
        <f>SUM(BZ32:BZ37)</f>
        <v>0</v>
      </c>
      <c r="CA31" s="348">
        <f>SUM(CA32:CA37)</f>
        <v>0</v>
      </c>
      <c r="CB31" s="342">
        <f t="shared" si="78"/>
        <v>0</v>
      </c>
      <c r="CC31" s="348">
        <f>SUM(CC32:CC37)</f>
        <v>0</v>
      </c>
      <c r="CD31" s="348">
        <f>SUM(CD32:CD37)</f>
        <v>0</v>
      </c>
      <c r="CE31" s="348">
        <f>SUM(CE32:CE37)</f>
        <v>0</v>
      </c>
      <c r="CF31" s="342">
        <f t="shared" si="79"/>
        <v>0</v>
      </c>
      <c r="CG31" s="348">
        <f>SUM(CG32:CG37)</f>
        <v>0</v>
      </c>
      <c r="CH31" s="348">
        <f>SUM(CH32:CH37)</f>
        <v>0</v>
      </c>
      <c r="CI31" s="348">
        <f>SUM(CI32:CI37)</f>
        <v>0</v>
      </c>
      <c r="CJ31" s="342">
        <f t="shared" si="80"/>
        <v>0</v>
      </c>
      <c r="CK31" s="347">
        <f t="shared" ref="CK31:DV31" si="145">SUM(CK32:CK37)</f>
        <v>0</v>
      </c>
      <c r="CL31" s="347">
        <f t="shared" si="145"/>
        <v>-184592.09999999998</v>
      </c>
      <c r="CM31" s="347">
        <f t="shared" si="145"/>
        <v>-184592.09999999998</v>
      </c>
      <c r="CN31" s="347">
        <f t="shared" si="145"/>
        <v>-184592.09999999998</v>
      </c>
      <c r="CO31" s="342">
        <f t="shared" si="145"/>
        <v>-553776.30000000005</v>
      </c>
      <c r="CP31" s="347">
        <f t="shared" si="145"/>
        <v>-184592.09999999998</v>
      </c>
      <c r="CQ31" s="347">
        <f t="shared" si="145"/>
        <v>-184592.09999999998</v>
      </c>
      <c r="CR31" s="347">
        <f t="shared" si="145"/>
        <v>-184592.09999999998</v>
      </c>
      <c r="CS31" s="342">
        <f t="shared" si="145"/>
        <v>-553776.30000000005</v>
      </c>
      <c r="CT31" s="347">
        <f t="shared" si="145"/>
        <v>-184592.09999999998</v>
      </c>
      <c r="CU31" s="347">
        <f t="shared" si="145"/>
        <v>-184592.09999999998</v>
      </c>
      <c r="CV31" s="347">
        <f t="shared" si="145"/>
        <v>-184592.09999999998</v>
      </c>
      <c r="CW31" s="342">
        <f t="shared" si="145"/>
        <v>-553776.30000000005</v>
      </c>
      <c r="CX31" s="347">
        <f t="shared" si="145"/>
        <v>-206162.75</v>
      </c>
      <c r="CY31" s="347">
        <f t="shared" si="145"/>
        <v>-206162.75</v>
      </c>
      <c r="CZ31" s="347">
        <f t="shared" si="145"/>
        <v>-206162.75</v>
      </c>
      <c r="DA31" s="342">
        <f t="shared" si="145"/>
        <v>-618488.25</v>
      </c>
      <c r="DB31" s="347">
        <f t="shared" si="145"/>
        <v>-2279817.1500000004</v>
      </c>
      <c r="DC31" s="347">
        <f t="shared" si="145"/>
        <v>0</v>
      </c>
      <c r="DD31" s="347">
        <f t="shared" si="145"/>
        <v>0</v>
      </c>
      <c r="DE31" s="347">
        <f t="shared" si="145"/>
        <v>0</v>
      </c>
      <c r="DF31" s="342">
        <f t="shared" si="145"/>
        <v>0</v>
      </c>
      <c r="DG31" s="347">
        <f t="shared" si="145"/>
        <v>0</v>
      </c>
      <c r="DH31" s="347">
        <f t="shared" si="145"/>
        <v>0</v>
      </c>
      <c r="DI31" s="347">
        <f t="shared" si="145"/>
        <v>0</v>
      </c>
      <c r="DJ31" s="342">
        <f t="shared" si="145"/>
        <v>0</v>
      </c>
      <c r="DK31" s="347">
        <f t="shared" si="145"/>
        <v>0</v>
      </c>
      <c r="DL31" s="347">
        <f t="shared" si="145"/>
        <v>0</v>
      </c>
      <c r="DM31" s="347">
        <f t="shared" si="145"/>
        <v>0</v>
      </c>
      <c r="DN31" s="342">
        <f t="shared" si="145"/>
        <v>0</v>
      </c>
      <c r="DO31" s="348">
        <f t="shared" si="145"/>
        <v>0</v>
      </c>
      <c r="DP31" s="348">
        <f t="shared" si="145"/>
        <v>0</v>
      </c>
      <c r="DQ31" s="348">
        <f t="shared" si="145"/>
        <v>0</v>
      </c>
      <c r="DR31" s="342">
        <f t="shared" si="145"/>
        <v>0</v>
      </c>
      <c r="DS31" s="347">
        <f t="shared" si="145"/>
        <v>0</v>
      </c>
      <c r="DT31" s="347">
        <f t="shared" si="145"/>
        <v>-30000</v>
      </c>
      <c r="DU31" s="347">
        <f t="shared" si="145"/>
        <v>-30000</v>
      </c>
      <c r="DV31" s="347">
        <f t="shared" si="145"/>
        <v>-30000</v>
      </c>
      <c r="DW31" s="342">
        <f t="shared" si="89"/>
        <v>-90000</v>
      </c>
      <c r="DX31" s="347">
        <f>SUM(DX32:DX37)</f>
        <v>-30000</v>
      </c>
      <c r="DY31" s="347">
        <f>SUM(DY32:DY37)</f>
        <v>-30000</v>
      </c>
      <c r="DZ31" s="347">
        <f>SUM(DZ32:DZ37)</f>
        <v>-30000</v>
      </c>
      <c r="EA31" s="342">
        <f t="shared" si="137"/>
        <v>-90000</v>
      </c>
      <c r="EB31" s="347">
        <f>SUM(EB32:EB37)</f>
        <v>-30000</v>
      </c>
      <c r="EC31" s="347">
        <f>SUM(EC32:EC37)</f>
        <v>-30000</v>
      </c>
      <c r="ED31" s="347">
        <f>SUM(ED32:ED37)</f>
        <v>-77549</v>
      </c>
      <c r="EE31" s="342">
        <f t="shared" ref="EE31:EE76" si="146">SUM(EB31:ED31)</f>
        <v>-137549</v>
      </c>
      <c r="EF31" s="347">
        <f>SUM(EF32:EF37)</f>
        <v>-30000</v>
      </c>
      <c r="EG31" s="347">
        <f>SUM(EG32:EG37)</f>
        <v>-30000</v>
      </c>
      <c r="EH31" s="347">
        <f>SUM(EH32:EH37)</f>
        <v>-77549</v>
      </c>
      <c r="EI31" s="342">
        <f t="shared" ref="EI31:EI76" si="147">SUM(EF31:EH31)</f>
        <v>-137549</v>
      </c>
      <c r="EJ31" s="347">
        <f t="shared" ref="EJ31:EU31" si="148">SUM(EJ32:EJ37)</f>
        <v>-455098</v>
      </c>
      <c r="EK31" s="347">
        <f t="shared" si="148"/>
        <v>0</v>
      </c>
      <c r="EL31" s="347">
        <f t="shared" si="148"/>
        <v>0</v>
      </c>
      <c r="EM31" s="347">
        <f t="shared" si="148"/>
        <v>0</v>
      </c>
      <c r="EN31" s="342">
        <f t="shared" si="148"/>
        <v>0</v>
      </c>
      <c r="EO31" s="347">
        <f t="shared" si="148"/>
        <v>0</v>
      </c>
      <c r="EP31" s="347">
        <f t="shared" si="148"/>
        <v>0</v>
      </c>
      <c r="EQ31" s="347">
        <f t="shared" si="148"/>
        <v>0</v>
      </c>
      <c r="ER31" s="342">
        <f t="shared" si="148"/>
        <v>0</v>
      </c>
      <c r="ES31" s="347">
        <f t="shared" si="148"/>
        <v>0</v>
      </c>
      <c r="ET31" s="347">
        <f t="shared" si="148"/>
        <v>0</v>
      </c>
      <c r="EU31" s="347">
        <f t="shared" si="148"/>
        <v>0</v>
      </c>
      <c r="EV31" s="342">
        <f t="shared" si="117"/>
        <v>0</v>
      </c>
      <c r="EW31" s="347">
        <f>SUM(EW32:EW37)</f>
        <v>0</v>
      </c>
      <c r="EX31" s="347">
        <f>SUM(EX32:EX37)</f>
        <v>0</v>
      </c>
      <c r="EY31" s="347">
        <f>SUM(EY32:EY37)</f>
        <v>0</v>
      </c>
      <c r="EZ31" s="342">
        <f t="shared" si="118"/>
        <v>0</v>
      </c>
      <c r="FA31" s="347">
        <f>SUM(FA32:FA37)</f>
        <v>0</v>
      </c>
      <c r="FB31" s="347">
        <f>SUM(FB32:FB37)</f>
        <v>13680659.530000003</v>
      </c>
      <c r="FC31" s="336">
        <f t="shared" si="59"/>
        <v>0.53225722333473502</v>
      </c>
    </row>
    <row r="32" spans="1:159" s="6" customFormat="1" ht="18" outlineLevel="1">
      <c r="A32" s="343"/>
      <c r="B32" s="344" t="s">
        <v>523</v>
      </c>
      <c r="C32" s="349"/>
      <c r="D32" s="350" t="s">
        <v>524</v>
      </c>
      <c r="E32" s="347">
        <v>833333.33</v>
      </c>
      <c r="F32" s="347">
        <v>833333.33</v>
      </c>
      <c r="G32" s="347">
        <v>833333.33</v>
      </c>
      <c r="H32" s="342">
        <f t="shared" ref="H32:H37" si="149">SUM(E32:G32)</f>
        <v>2499999.9899999998</v>
      </c>
      <c r="I32" s="347">
        <v>833333.33</v>
      </c>
      <c r="J32" s="347">
        <v>833333.33</v>
      </c>
      <c r="K32" s="347">
        <v>833333.33</v>
      </c>
      <c r="L32" s="342">
        <f t="shared" ref="L32:L37" si="150">SUM(I32:K32)</f>
        <v>2499999.9899999998</v>
      </c>
      <c r="M32" s="347">
        <v>833333.33</v>
      </c>
      <c r="N32" s="347">
        <v>833333.33</v>
      </c>
      <c r="O32" s="347">
        <v>833333.33</v>
      </c>
      <c r="P32" s="342">
        <f>SUM(M32:O32)</f>
        <v>2499999.9899999998</v>
      </c>
      <c r="Q32" s="347">
        <v>833333.33</v>
      </c>
      <c r="R32" s="347">
        <v>833333.33</v>
      </c>
      <c r="S32" s="347">
        <v>833333.33</v>
      </c>
      <c r="T32" s="342">
        <f>SUM(Q32:S32)</f>
        <v>2499999.9899999998</v>
      </c>
      <c r="U32" s="347">
        <f>SUM(T32,P32,L32,H32)</f>
        <v>9999999.959999999</v>
      </c>
      <c r="V32" s="347">
        <v>0</v>
      </c>
      <c r="W32" s="347">
        <v>0</v>
      </c>
      <c r="X32" s="347">
        <v>0</v>
      </c>
      <c r="Y32" s="342">
        <f>SUM(V32:X32)</f>
        <v>0</v>
      </c>
      <c r="Z32" s="347">
        <v>0</v>
      </c>
      <c r="AA32" s="347">
        <v>0</v>
      </c>
      <c r="AB32" s="347">
        <v>0</v>
      </c>
      <c r="AC32" s="342">
        <f t="shared" si="101"/>
        <v>0</v>
      </c>
      <c r="AD32" s="347">
        <v>0</v>
      </c>
      <c r="AE32" s="347">
        <v>0</v>
      </c>
      <c r="AF32" s="347">
        <v>0</v>
      </c>
      <c r="AG32" s="342">
        <f>SUM(AD32:AF32)</f>
        <v>0</v>
      </c>
      <c r="AH32" s="347">
        <v>0</v>
      </c>
      <c r="AI32" s="347">
        <v>0</v>
      </c>
      <c r="AJ32" s="347">
        <v>0</v>
      </c>
      <c r="AK32" s="342">
        <f t="shared" si="102"/>
        <v>0</v>
      </c>
      <c r="AL32" s="347">
        <f>SUM(AK32,AG32,AC32,Y32)</f>
        <v>0</v>
      </c>
      <c r="AM32" s="348">
        <v>0</v>
      </c>
      <c r="AN32" s="348">
        <v>0</v>
      </c>
      <c r="AO32" s="348">
        <v>0</v>
      </c>
      <c r="AP32" s="342">
        <f t="shared" si="103"/>
        <v>0</v>
      </c>
      <c r="AQ32" s="348">
        <v>0</v>
      </c>
      <c r="AR32" s="348">
        <v>0</v>
      </c>
      <c r="AS32" s="348">
        <v>0</v>
      </c>
      <c r="AT32" s="342">
        <f t="shared" si="104"/>
        <v>0</v>
      </c>
      <c r="AU32" s="348">
        <v>0</v>
      </c>
      <c r="AV32" s="348">
        <v>0</v>
      </c>
      <c r="AW32" s="348">
        <v>0</v>
      </c>
      <c r="AX32" s="342">
        <f t="shared" si="105"/>
        <v>0</v>
      </c>
      <c r="AY32" s="348"/>
      <c r="AZ32" s="348"/>
      <c r="BA32" s="348"/>
      <c r="BB32" s="342">
        <f t="shared" si="106"/>
        <v>0</v>
      </c>
      <c r="BC32" s="347">
        <f>SUM(BB32,AX32,AT32,AP32)</f>
        <v>0</v>
      </c>
      <c r="BD32" s="348">
        <v>-174462.56</v>
      </c>
      <c r="BE32" s="348">
        <v>-174462.56</v>
      </c>
      <c r="BF32" s="348">
        <v>-174462.56</v>
      </c>
      <c r="BG32" s="342">
        <f>SUM(BD32:BF32)</f>
        <v>-523387.68</v>
      </c>
      <c r="BH32" s="348">
        <v>-174462.56</v>
      </c>
      <c r="BI32" s="348">
        <v>-174462.56</v>
      </c>
      <c r="BJ32" s="348">
        <v>-174462.56</v>
      </c>
      <c r="BK32" s="342">
        <f t="shared" si="74"/>
        <v>-523387.68</v>
      </c>
      <c r="BL32" s="348">
        <v>-174462.56</v>
      </c>
      <c r="BM32" s="348">
        <v>-174462.56</v>
      </c>
      <c r="BN32" s="348">
        <v>-174462.56</v>
      </c>
      <c r="BO32" s="342">
        <f t="shared" si="114"/>
        <v>-523387.68</v>
      </c>
      <c r="BP32" s="348">
        <v>-174462.56</v>
      </c>
      <c r="BQ32" s="348">
        <v>-174462.56</v>
      </c>
      <c r="BR32" s="348">
        <v>-174462.56</v>
      </c>
      <c r="BS32" s="342">
        <f t="shared" si="76"/>
        <v>-523387.68</v>
      </c>
      <c r="BT32" s="347">
        <f>SUM(BS32,BO32,BK32,BG32)</f>
        <v>-2093550.72</v>
      </c>
      <c r="BU32" s="348">
        <v>0</v>
      </c>
      <c r="BV32" s="348">
        <v>0</v>
      </c>
      <c r="BW32" s="348">
        <v>0</v>
      </c>
      <c r="BX32" s="342">
        <f t="shared" si="77"/>
        <v>0</v>
      </c>
      <c r="BY32" s="348">
        <v>0</v>
      </c>
      <c r="BZ32" s="348">
        <v>0</v>
      </c>
      <c r="CA32" s="348">
        <v>0</v>
      </c>
      <c r="CB32" s="342">
        <f t="shared" si="78"/>
        <v>0</v>
      </c>
      <c r="CC32" s="348">
        <v>0</v>
      </c>
      <c r="CD32" s="348">
        <v>0</v>
      </c>
      <c r="CE32" s="348">
        <v>0</v>
      </c>
      <c r="CF32" s="342">
        <f t="shared" si="79"/>
        <v>0</v>
      </c>
      <c r="CG32" s="348">
        <v>0</v>
      </c>
      <c r="CH32" s="348">
        <v>0</v>
      </c>
      <c r="CI32" s="348">
        <v>0</v>
      </c>
      <c r="CJ32" s="342">
        <f t="shared" si="80"/>
        <v>0</v>
      </c>
      <c r="CK32" s="347">
        <f>SUM(CJ32,CF32,CB32,BX32)</f>
        <v>0</v>
      </c>
      <c r="CL32" s="347">
        <v>-41383.4</v>
      </c>
      <c r="CM32" s="347">
        <v>-41383.4</v>
      </c>
      <c r="CN32" s="347">
        <v>-41383.4</v>
      </c>
      <c r="CO32" s="342">
        <f t="shared" si="81"/>
        <v>-124150.20000000001</v>
      </c>
      <c r="CP32" s="347">
        <v>-41383.4</v>
      </c>
      <c r="CQ32" s="347">
        <v>-41383.4</v>
      </c>
      <c r="CR32" s="347">
        <v>-41383.4</v>
      </c>
      <c r="CS32" s="342">
        <f t="shared" si="82"/>
        <v>-124150.20000000001</v>
      </c>
      <c r="CT32" s="347">
        <v>-41383.4</v>
      </c>
      <c r="CU32" s="347">
        <v>-41383.4</v>
      </c>
      <c r="CV32" s="347">
        <v>-41383.4</v>
      </c>
      <c r="CW32" s="342">
        <f t="shared" si="83"/>
        <v>-124150.20000000001</v>
      </c>
      <c r="CX32" s="347">
        <v>-41383.4</v>
      </c>
      <c r="CY32" s="347">
        <v>-41383.4</v>
      </c>
      <c r="CZ32" s="347">
        <v>-41383.4</v>
      </c>
      <c r="DA32" s="342">
        <f t="shared" si="84"/>
        <v>-124150.20000000001</v>
      </c>
      <c r="DB32" s="347">
        <f>SUM(DA32,CW32,CS32,CO32)</f>
        <v>-496600.80000000005</v>
      </c>
      <c r="DC32" s="347">
        <v>0</v>
      </c>
      <c r="DD32" s="347">
        <v>0</v>
      </c>
      <c r="DE32" s="347">
        <v>0</v>
      </c>
      <c r="DF32" s="342">
        <f t="shared" si="129"/>
        <v>0</v>
      </c>
      <c r="DG32" s="347">
        <v>0</v>
      </c>
      <c r="DH32" s="347">
        <v>0</v>
      </c>
      <c r="DI32" s="347">
        <v>0</v>
      </c>
      <c r="DJ32" s="342">
        <f t="shared" ref="DJ32:DJ74" si="151">SUM(DG32:DI32)</f>
        <v>0</v>
      </c>
      <c r="DK32" s="347">
        <v>0</v>
      </c>
      <c r="DL32" s="347">
        <v>0</v>
      </c>
      <c r="DM32" s="347">
        <v>0</v>
      </c>
      <c r="DN32" s="342">
        <f t="shared" ref="DN32:DN74" si="152">SUM(DK32:DM32)</f>
        <v>0</v>
      </c>
      <c r="DO32" s="347">
        <v>0</v>
      </c>
      <c r="DP32" s="347">
        <v>0</v>
      </c>
      <c r="DQ32" s="347">
        <v>0</v>
      </c>
      <c r="DR32" s="342">
        <f t="shared" ref="DR32:DR74" si="153">SUM(DO32:DQ32)</f>
        <v>0</v>
      </c>
      <c r="DS32" s="347">
        <f>SUM(DR32,DN32,DJ32,DF32)</f>
        <v>0</v>
      </c>
      <c r="DT32" s="347">
        <v>-10000</v>
      </c>
      <c r="DU32" s="347">
        <v>-10000</v>
      </c>
      <c r="DV32" s="347">
        <v>-10000</v>
      </c>
      <c r="DW32" s="342">
        <f t="shared" si="89"/>
        <v>-30000</v>
      </c>
      <c r="DX32" s="347">
        <v>-10000</v>
      </c>
      <c r="DY32" s="347">
        <v>-10000</v>
      </c>
      <c r="DZ32" s="347">
        <v>-10000</v>
      </c>
      <c r="EA32" s="342">
        <f t="shared" si="137"/>
        <v>-30000</v>
      </c>
      <c r="EB32" s="347">
        <v>-10000</v>
      </c>
      <c r="EC32" s="347">
        <v>-10000</v>
      </c>
      <c r="ED32" s="347">
        <v>-10000</v>
      </c>
      <c r="EE32" s="342">
        <f t="shared" si="146"/>
        <v>-30000</v>
      </c>
      <c r="EF32" s="347">
        <v>-10000</v>
      </c>
      <c r="EG32" s="347">
        <v>-10000</v>
      </c>
      <c r="EH32" s="347">
        <v>-10000</v>
      </c>
      <c r="EI32" s="342">
        <f t="shared" si="147"/>
        <v>-30000</v>
      </c>
      <c r="EJ32" s="347">
        <f>SUM(EI32,EE32,EA32,DW32)</f>
        <v>-120000</v>
      </c>
      <c r="EK32" s="347"/>
      <c r="EL32" s="347"/>
      <c r="EM32" s="347"/>
      <c r="EN32" s="342">
        <f t="shared" ref="EN32:EN76" si="154">SUM(EK32:EM32)</f>
        <v>0</v>
      </c>
      <c r="EO32" s="347"/>
      <c r="EP32" s="347"/>
      <c r="EQ32" s="347"/>
      <c r="ER32" s="342">
        <f t="shared" si="135"/>
        <v>0</v>
      </c>
      <c r="ES32" s="347"/>
      <c r="ET32" s="347"/>
      <c r="EU32" s="347"/>
      <c r="EV32" s="342">
        <f t="shared" si="117"/>
        <v>0</v>
      </c>
      <c r="EW32" s="347"/>
      <c r="EX32" s="347"/>
      <c r="EY32" s="347"/>
      <c r="EZ32" s="342">
        <f t="shared" si="118"/>
        <v>0</v>
      </c>
      <c r="FA32" s="347">
        <f>SUM(EZ32,EV32,ER32,EN32)</f>
        <v>0</v>
      </c>
      <c r="FB32" s="347">
        <f t="shared" si="139"/>
        <v>7289848.4399999995</v>
      </c>
      <c r="FC32" s="351">
        <f t="shared" si="59"/>
        <v>0.72898484691593946</v>
      </c>
    </row>
    <row r="33" spans="1:159" s="6" customFormat="1" ht="18" outlineLevel="1">
      <c r="A33" s="343"/>
      <c r="B33" s="344" t="s">
        <v>525</v>
      </c>
      <c r="C33" s="349">
        <v>8181</v>
      </c>
      <c r="D33" s="350" t="s">
        <v>517</v>
      </c>
      <c r="E33" s="347"/>
      <c r="F33" s="347"/>
      <c r="G33" s="347"/>
      <c r="H33" s="342">
        <f t="shared" si="149"/>
        <v>0</v>
      </c>
      <c r="I33" s="347"/>
      <c r="J33" s="347"/>
      <c r="K33" s="347"/>
      <c r="L33" s="342">
        <f t="shared" si="150"/>
        <v>0</v>
      </c>
      <c r="M33" s="347"/>
      <c r="N33" s="347"/>
      <c r="O33" s="347"/>
      <c r="P33" s="342">
        <f>SUM(M33:O33)</f>
        <v>0</v>
      </c>
      <c r="Q33" s="347">
        <v>300000</v>
      </c>
      <c r="R33" s="347">
        <v>300000</v>
      </c>
      <c r="S33" s="347">
        <v>300000</v>
      </c>
      <c r="T33" s="342">
        <f>SUM(Q33:S33)</f>
        <v>900000</v>
      </c>
      <c r="U33" s="347">
        <f>SUM(T33,P33,L33,H33)</f>
        <v>900000</v>
      </c>
      <c r="V33" s="347">
        <v>0</v>
      </c>
      <c r="W33" s="347">
        <v>0</v>
      </c>
      <c r="X33" s="347">
        <v>0</v>
      </c>
      <c r="Y33" s="342">
        <f>SUM(V33:X33)</f>
        <v>0</v>
      </c>
      <c r="Z33" s="347">
        <v>0</v>
      </c>
      <c r="AA33" s="347">
        <v>0</v>
      </c>
      <c r="AB33" s="347">
        <v>0</v>
      </c>
      <c r="AC33" s="342">
        <f t="shared" si="101"/>
        <v>0</v>
      </c>
      <c r="AD33" s="347">
        <v>0</v>
      </c>
      <c r="AE33" s="347">
        <v>0</v>
      </c>
      <c r="AF33" s="347">
        <v>0</v>
      </c>
      <c r="AG33" s="342">
        <f>SUM(AD33:AF33)</f>
        <v>0</v>
      </c>
      <c r="AH33" s="347">
        <v>0</v>
      </c>
      <c r="AI33" s="347">
        <v>0</v>
      </c>
      <c r="AJ33" s="347">
        <v>0</v>
      </c>
      <c r="AK33" s="342">
        <f t="shared" si="102"/>
        <v>0</v>
      </c>
      <c r="AL33" s="347">
        <f>SUM(AK33,AG33,AC33,Y33)</f>
        <v>0</v>
      </c>
      <c r="AM33" s="348">
        <v>0</v>
      </c>
      <c r="AN33" s="348">
        <v>0</v>
      </c>
      <c r="AO33" s="348">
        <v>0</v>
      </c>
      <c r="AP33" s="342">
        <f t="shared" si="103"/>
        <v>0</v>
      </c>
      <c r="AQ33" s="348">
        <v>0</v>
      </c>
      <c r="AR33" s="348">
        <v>0</v>
      </c>
      <c r="AS33" s="348">
        <v>0</v>
      </c>
      <c r="AT33" s="342">
        <f t="shared" si="104"/>
        <v>0</v>
      </c>
      <c r="AU33" s="348">
        <v>0</v>
      </c>
      <c r="AV33" s="348">
        <v>0</v>
      </c>
      <c r="AW33" s="348">
        <v>0</v>
      </c>
      <c r="AX33" s="342">
        <f t="shared" si="105"/>
        <v>0</v>
      </c>
      <c r="AY33" s="348"/>
      <c r="AZ33" s="348"/>
      <c r="BA33" s="348"/>
      <c r="BB33" s="342">
        <f t="shared" si="106"/>
        <v>0</v>
      </c>
      <c r="BC33" s="347">
        <f>SUM(BB33,AX33,AT33,AP33)</f>
        <v>0</v>
      </c>
      <c r="BD33" s="348"/>
      <c r="BE33" s="348"/>
      <c r="BF33" s="348"/>
      <c r="BG33" s="342">
        <f>SUM(BD33:BF33)</f>
        <v>0</v>
      </c>
      <c r="BH33" s="348"/>
      <c r="BI33" s="348"/>
      <c r="BJ33" s="348"/>
      <c r="BK33" s="342">
        <f t="shared" si="74"/>
        <v>0</v>
      </c>
      <c r="BL33" s="348"/>
      <c r="BM33" s="348"/>
      <c r="BN33" s="348"/>
      <c r="BO33" s="342">
        <f t="shared" si="114"/>
        <v>0</v>
      </c>
      <c r="BP33" s="348">
        <v>-62806.52</v>
      </c>
      <c r="BQ33" s="348">
        <v>-62806.52</v>
      </c>
      <c r="BR33" s="348">
        <v>-62806.52</v>
      </c>
      <c r="BS33" s="342">
        <f t="shared" si="76"/>
        <v>-188419.56</v>
      </c>
      <c r="BT33" s="347">
        <f>SUM(BS33,BO33,BK33,BG33)</f>
        <v>-188419.56</v>
      </c>
      <c r="BU33" s="348">
        <v>0</v>
      </c>
      <c r="BV33" s="348">
        <v>0</v>
      </c>
      <c r="BW33" s="348">
        <v>0</v>
      </c>
      <c r="BX33" s="342">
        <f t="shared" si="77"/>
        <v>0</v>
      </c>
      <c r="BY33" s="348">
        <v>0</v>
      </c>
      <c r="BZ33" s="348">
        <v>0</v>
      </c>
      <c r="CA33" s="348">
        <v>0</v>
      </c>
      <c r="CB33" s="342">
        <f t="shared" si="78"/>
        <v>0</v>
      </c>
      <c r="CC33" s="348">
        <v>0</v>
      </c>
      <c r="CD33" s="348">
        <v>0</v>
      </c>
      <c r="CE33" s="348">
        <v>0</v>
      </c>
      <c r="CF33" s="342">
        <f t="shared" si="79"/>
        <v>0</v>
      </c>
      <c r="CG33" s="348">
        <v>0</v>
      </c>
      <c r="CH33" s="348">
        <v>0</v>
      </c>
      <c r="CI33" s="348">
        <v>0</v>
      </c>
      <c r="CJ33" s="342">
        <f t="shared" si="80"/>
        <v>0</v>
      </c>
      <c r="CK33" s="347">
        <f>SUM(CJ33,CF33,CB33,BX33)</f>
        <v>0</v>
      </c>
      <c r="CL33" s="347">
        <v>0</v>
      </c>
      <c r="CM33" s="347">
        <v>0</v>
      </c>
      <c r="CN33" s="347">
        <v>0</v>
      </c>
      <c r="CO33" s="342">
        <f t="shared" si="81"/>
        <v>0</v>
      </c>
      <c r="CP33" s="347">
        <v>0</v>
      </c>
      <c r="CQ33" s="347">
        <v>0</v>
      </c>
      <c r="CR33" s="347">
        <v>0</v>
      </c>
      <c r="CS33" s="342">
        <f t="shared" si="82"/>
        <v>0</v>
      </c>
      <c r="CT33" s="347">
        <v>0</v>
      </c>
      <c r="CU33" s="347">
        <v>0</v>
      </c>
      <c r="CV33" s="347">
        <v>0</v>
      </c>
      <c r="CW33" s="342">
        <f t="shared" si="83"/>
        <v>0</v>
      </c>
      <c r="CX33" s="347">
        <v>-14898.02</v>
      </c>
      <c r="CY33" s="347">
        <v>-14898.02</v>
      </c>
      <c r="CZ33" s="347">
        <v>-14898.02</v>
      </c>
      <c r="DA33" s="342">
        <f t="shared" si="84"/>
        <v>-44694.06</v>
      </c>
      <c r="DB33" s="347">
        <f>SUM(DA33,CW33,CS33,CO33)</f>
        <v>-44694.06</v>
      </c>
      <c r="DC33" s="347">
        <v>0</v>
      </c>
      <c r="DD33" s="347">
        <v>0</v>
      </c>
      <c r="DE33" s="347">
        <v>0</v>
      </c>
      <c r="DF33" s="342">
        <f t="shared" si="129"/>
        <v>0</v>
      </c>
      <c r="DG33" s="347">
        <v>0</v>
      </c>
      <c r="DH33" s="347">
        <v>0</v>
      </c>
      <c r="DI33" s="347">
        <v>0</v>
      </c>
      <c r="DJ33" s="342">
        <f t="shared" si="151"/>
        <v>0</v>
      </c>
      <c r="DK33" s="347">
        <v>0</v>
      </c>
      <c r="DL33" s="347">
        <v>0</v>
      </c>
      <c r="DM33" s="347">
        <v>0</v>
      </c>
      <c r="DN33" s="342">
        <f t="shared" si="152"/>
        <v>0</v>
      </c>
      <c r="DO33" s="347">
        <v>0</v>
      </c>
      <c r="DP33" s="347">
        <v>0</v>
      </c>
      <c r="DQ33" s="347">
        <v>0</v>
      </c>
      <c r="DR33" s="342">
        <f t="shared" si="153"/>
        <v>0</v>
      </c>
      <c r="DS33" s="347">
        <f>SUM(DR33,DN33,DJ33,DF33)</f>
        <v>0</v>
      </c>
      <c r="DT33" s="347">
        <v>0</v>
      </c>
      <c r="DU33" s="347">
        <v>0</v>
      </c>
      <c r="DV33" s="347">
        <v>0</v>
      </c>
      <c r="DW33" s="342">
        <f t="shared" si="89"/>
        <v>0</v>
      </c>
      <c r="DX33" s="347">
        <v>0</v>
      </c>
      <c r="DY33" s="347">
        <v>0</v>
      </c>
      <c r="DZ33" s="347">
        <v>0</v>
      </c>
      <c r="EA33" s="342">
        <f t="shared" si="137"/>
        <v>0</v>
      </c>
      <c r="EB33" s="347">
        <v>0</v>
      </c>
      <c r="EC33" s="347">
        <v>0</v>
      </c>
      <c r="ED33" s="347">
        <v>-47549</v>
      </c>
      <c r="EE33" s="342">
        <f t="shared" si="146"/>
        <v>-47549</v>
      </c>
      <c r="EF33" s="347">
        <v>0</v>
      </c>
      <c r="EG33" s="347">
        <v>0</v>
      </c>
      <c r="EH33" s="347">
        <v>-47549</v>
      </c>
      <c r="EI33" s="342">
        <f t="shared" si="147"/>
        <v>-47549</v>
      </c>
      <c r="EJ33" s="347">
        <f>SUM(EI33,EE33,EA33,DW33)</f>
        <v>-95098</v>
      </c>
      <c r="EK33" s="347"/>
      <c r="EL33" s="347"/>
      <c r="EM33" s="347"/>
      <c r="EN33" s="342">
        <f t="shared" si="154"/>
        <v>0</v>
      </c>
      <c r="EO33" s="347"/>
      <c r="EP33" s="347"/>
      <c r="EQ33" s="347"/>
      <c r="ER33" s="342">
        <f t="shared" si="135"/>
        <v>0</v>
      </c>
      <c r="ES33" s="347"/>
      <c r="ET33" s="347"/>
      <c r="EU33" s="347"/>
      <c r="EV33" s="342">
        <f t="shared" si="117"/>
        <v>0</v>
      </c>
      <c r="EW33" s="347"/>
      <c r="EX33" s="347"/>
      <c r="EY33" s="347"/>
      <c r="EZ33" s="342">
        <f t="shared" si="118"/>
        <v>0</v>
      </c>
      <c r="FA33" s="347">
        <f>SUM(EZ33,EV33,ER33,EN33)</f>
        <v>0</v>
      </c>
      <c r="FB33" s="347">
        <f t="shared" si="139"/>
        <v>571788.37999999989</v>
      </c>
      <c r="FC33" s="336">
        <f t="shared" si="59"/>
        <v>0.63532042222222207</v>
      </c>
    </row>
    <row r="34" spans="1:159" s="6" customFormat="1" ht="18" outlineLevel="1">
      <c r="A34" s="343"/>
      <c r="B34" s="344" t="s">
        <v>526</v>
      </c>
      <c r="C34" s="349">
        <v>8852</v>
      </c>
      <c r="D34" s="350" t="s">
        <v>519</v>
      </c>
      <c r="E34" s="347"/>
      <c r="F34" s="347"/>
      <c r="G34" s="347"/>
      <c r="H34" s="342">
        <f t="shared" si="149"/>
        <v>0</v>
      </c>
      <c r="I34" s="347"/>
      <c r="J34" s="347"/>
      <c r="K34" s="347"/>
      <c r="L34" s="342">
        <f t="shared" si="150"/>
        <v>0</v>
      </c>
      <c r="M34" s="347"/>
      <c r="N34" s="347"/>
      <c r="O34" s="347"/>
      <c r="P34" s="342">
        <f>SUM(M34:O34)</f>
        <v>0</v>
      </c>
      <c r="Q34" s="347">
        <v>134366</v>
      </c>
      <c r="R34" s="347">
        <v>134366</v>
      </c>
      <c r="S34" s="347">
        <v>134366</v>
      </c>
      <c r="T34" s="342">
        <f>SUM(Q34:S34)</f>
        <v>403098</v>
      </c>
      <c r="U34" s="347">
        <f t="shared" ref="U34:U37" si="155">H34+L34+P34+T34</f>
        <v>403098</v>
      </c>
      <c r="V34" s="347">
        <v>0</v>
      </c>
      <c r="W34" s="347">
        <v>0</v>
      </c>
      <c r="X34" s="347">
        <v>0</v>
      </c>
      <c r="Y34" s="342">
        <f>SUM(V34:X34)</f>
        <v>0</v>
      </c>
      <c r="Z34" s="347">
        <v>0</v>
      </c>
      <c r="AA34" s="347">
        <v>0</v>
      </c>
      <c r="AB34" s="347">
        <v>0</v>
      </c>
      <c r="AC34" s="342">
        <f t="shared" si="101"/>
        <v>0</v>
      </c>
      <c r="AD34" s="347">
        <v>0</v>
      </c>
      <c r="AE34" s="347">
        <v>0</v>
      </c>
      <c r="AF34" s="347">
        <v>0</v>
      </c>
      <c r="AG34" s="342">
        <f>SUM(AD34:AF34)</f>
        <v>0</v>
      </c>
      <c r="AH34" s="347">
        <v>0</v>
      </c>
      <c r="AI34" s="347">
        <v>0</v>
      </c>
      <c r="AJ34" s="347">
        <v>0</v>
      </c>
      <c r="AK34" s="342">
        <f t="shared" si="102"/>
        <v>0</v>
      </c>
      <c r="AL34" s="347">
        <f>Y34+AC34+AG34+AK34</f>
        <v>0</v>
      </c>
      <c r="AM34" s="348">
        <v>0</v>
      </c>
      <c r="AN34" s="348">
        <v>0</v>
      </c>
      <c r="AO34" s="348">
        <v>0</v>
      </c>
      <c r="AP34" s="342">
        <f t="shared" si="103"/>
        <v>0</v>
      </c>
      <c r="AQ34" s="348">
        <v>0</v>
      </c>
      <c r="AR34" s="348">
        <v>0</v>
      </c>
      <c r="AS34" s="348">
        <v>0</v>
      </c>
      <c r="AT34" s="342">
        <f t="shared" si="104"/>
        <v>0</v>
      </c>
      <c r="AU34" s="348">
        <v>0</v>
      </c>
      <c r="AV34" s="348">
        <v>0</v>
      </c>
      <c r="AW34" s="348">
        <v>0</v>
      </c>
      <c r="AX34" s="342">
        <f t="shared" si="105"/>
        <v>0</v>
      </c>
      <c r="AY34" s="348"/>
      <c r="AZ34" s="348"/>
      <c r="BA34" s="348"/>
      <c r="BB34" s="342">
        <f t="shared" si="106"/>
        <v>0</v>
      </c>
      <c r="BC34" s="347">
        <f>AP34+AT34+AX34+BB34</f>
        <v>0</v>
      </c>
      <c r="BD34" s="348"/>
      <c r="BE34" s="348"/>
      <c r="BF34" s="348"/>
      <c r="BG34" s="342">
        <f>SUM(BD34:BF34)</f>
        <v>0</v>
      </c>
      <c r="BH34" s="348"/>
      <c r="BI34" s="348"/>
      <c r="BJ34" s="348"/>
      <c r="BK34" s="342">
        <f t="shared" si="74"/>
        <v>0</v>
      </c>
      <c r="BL34" s="348"/>
      <c r="BM34" s="348"/>
      <c r="BN34" s="348"/>
      <c r="BO34" s="342">
        <f t="shared" si="114"/>
        <v>0</v>
      </c>
      <c r="BP34" s="348">
        <v>-28130.2</v>
      </c>
      <c r="BQ34" s="348">
        <v>-28130.2</v>
      </c>
      <c r="BR34" s="348">
        <v>-28130.2</v>
      </c>
      <c r="BS34" s="342">
        <f t="shared" si="76"/>
        <v>-84390.6</v>
      </c>
      <c r="BT34" s="347">
        <f>BG34+BK34+BO34+BS34</f>
        <v>-84390.6</v>
      </c>
      <c r="BU34" s="348">
        <v>0</v>
      </c>
      <c r="BV34" s="348">
        <v>0</v>
      </c>
      <c r="BW34" s="348">
        <v>0</v>
      </c>
      <c r="BX34" s="342">
        <f t="shared" si="77"/>
        <v>0</v>
      </c>
      <c r="BY34" s="348">
        <v>0</v>
      </c>
      <c r="BZ34" s="348">
        <v>0</v>
      </c>
      <c r="CA34" s="348">
        <v>0</v>
      </c>
      <c r="CB34" s="342">
        <f t="shared" si="78"/>
        <v>0</v>
      </c>
      <c r="CC34" s="348">
        <v>0</v>
      </c>
      <c r="CD34" s="348">
        <v>0</v>
      </c>
      <c r="CE34" s="348">
        <v>0</v>
      </c>
      <c r="CF34" s="342">
        <f t="shared" si="79"/>
        <v>0</v>
      </c>
      <c r="CG34" s="348">
        <v>0</v>
      </c>
      <c r="CH34" s="348">
        <v>0</v>
      </c>
      <c r="CI34" s="348">
        <v>0</v>
      </c>
      <c r="CJ34" s="342">
        <f t="shared" si="80"/>
        <v>0</v>
      </c>
      <c r="CK34" s="347">
        <f>BX34+CB34+CF34+CJ34</f>
        <v>0</v>
      </c>
      <c r="CL34" s="347">
        <v>0</v>
      </c>
      <c r="CM34" s="347">
        <v>0</v>
      </c>
      <c r="CN34" s="347">
        <v>0</v>
      </c>
      <c r="CO34" s="342">
        <f t="shared" si="81"/>
        <v>0</v>
      </c>
      <c r="CP34" s="347">
        <v>0</v>
      </c>
      <c r="CQ34" s="347">
        <v>0</v>
      </c>
      <c r="CR34" s="347">
        <v>0</v>
      </c>
      <c r="CS34" s="342">
        <f t="shared" si="82"/>
        <v>0</v>
      </c>
      <c r="CT34" s="347">
        <v>0</v>
      </c>
      <c r="CU34" s="347">
        <v>0</v>
      </c>
      <c r="CV34" s="347">
        <v>0</v>
      </c>
      <c r="CW34" s="342">
        <f t="shared" si="83"/>
        <v>0</v>
      </c>
      <c r="CX34" s="347">
        <v>-6672.63</v>
      </c>
      <c r="CY34" s="347">
        <v>-6672.63</v>
      </c>
      <c r="CZ34" s="347">
        <v>-6672.63</v>
      </c>
      <c r="DA34" s="342">
        <f t="shared" si="84"/>
        <v>-20017.89</v>
      </c>
      <c r="DB34" s="347">
        <f>CO34+CS34+CW34+DA34</f>
        <v>-20017.89</v>
      </c>
      <c r="DC34" s="347">
        <v>0</v>
      </c>
      <c r="DD34" s="347">
        <v>0</v>
      </c>
      <c r="DE34" s="347">
        <v>0</v>
      </c>
      <c r="DF34" s="342">
        <f t="shared" si="129"/>
        <v>0</v>
      </c>
      <c r="DG34" s="347">
        <v>0</v>
      </c>
      <c r="DH34" s="347">
        <v>0</v>
      </c>
      <c r="DI34" s="347">
        <v>0</v>
      </c>
      <c r="DJ34" s="342">
        <f t="shared" si="151"/>
        <v>0</v>
      </c>
      <c r="DK34" s="347">
        <v>0</v>
      </c>
      <c r="DL34" s="347">
        <v>0</v>
      </c>
      <c r="DM34" s="347">
        <v>0</v>
      </c>
      <c r="DN34" s="342">
        <f t="shared" si="152"/>
        <v>0</v>
      </c>
      <c r="DO34" s="347">
        <v>0</v>
      </c>
      <c r="DP34" s="347">
        <v>0</v>
      </c>
      <c r="DQ34" s="347">
        <v>0</v>
      </c>
      <c r="DR34" s="342">
        <f t="shared" si="153"/>
        <v>0</v>
      </c>
      <c r="DS34" s="347">
        <f>DF34+DJ34+DN34+DR34</f>
        <v>0</v>
      </c>
      <c r="DT34" s="347">
        <v>0</v>
      </c>
      <c r="DU34" s="347">
        <v>0</v>
      </c>
      <c r="DV34" s="347">
        <v>0</v>
      </c>
      <c r="DW34" s="342">
        <f t="shared" si="89"/>
        <v>0</v>
      </c>
      <c r="DX34" s="347">
        <v>0</v>
      </c>
      <c r="DY34" s="347">
        <v>0</v>
      </c>
      <c r="DZ34" s="347">
        <v>0</v>
      </c>
      <c r="EA34" s="342">
        <f t="shared" si="137"/>
        <v>0</v>
      </c>
      <c r="EB34" s="347">
        <v>0</v>
      </c>
      <c r="EC34" s="347">
        <v>0</v>
      </c>
      <c r="ED34" s="347">
        <v>0</v>
      </c>
      <c r="EE34" s="342">
        <f t="shared" si="146"/>
        <v>0</v>
      </c>
      <c r="EF34" s="347">
        <v>0</v>
      </c>
      <c r="EG34" s="347">
        <v>0</v>
      </c>
      <c r="EH34" s="347">
        <v>0</v>
      </c>
      <c r="EI34" s="342">
        <f t="shared" si="147"/>
        <v>0</v>
      </c>
      <c r="EJ34" s="347">
        <f>DW34+EA34+EE34+EI34</f>
        <v>0</v>
      </c>
      <c r="EK34" s="347"/>
      <c r="EL34" s="347"/>
      <c r="EM34" s="347"/>
      <c r="EN34" s="342">
        <f t="shared" si="154"/>
        <v>0</v>
      </c>
      <c r="EO34" s="347"/>
      <c r="EP34" s="347"/>
      <c r="EQ34" s="347"/>
      <c r="ER34" s="342">
        <f t="shared" si="135"/>
        <v>0</v>
      </c>
      <c r="ES34" s="347"/>
      <c r="ET34" s="347"/>
      <c r="EU34" s="347"/>
      <c r="EV34" s="342">
        <f t="shared" si="117"/>
        <v>0</v>
      </c>
      <c r="EW34" s="347"/>
      <c r="EX34" s="347"/>
      <c r="EY34" s="347"/>
      <c r="EZ34" s="342">
        <f t="shared" si="118"/>
        <v>0</v>
      </c>
      <c r="FA34" s="347">
        <f>EN34+ER34+EV34+EZ34</f>
        <v>0</v>
      </c>
      <c r="FB34" s="347">
        <f t="shared" si="139"/>
        <v>298689.51</v>
      </c>
      <c r="FC34" s="336">
        <f t="shared" si="59"/>
        <v>0.74098484735721837</v>
      </c>
    </row>
    <row r="35" spans="1:159" s="6" customFormat="1" ht="18" outlineLevel="1">
      <c r="A35" s="343"/>
      <c r="B35" s="344" t="s">
        <v>527</v>
      </c>
      <c r="C35" s="349"/>
      <c r="D35" s="350" t="s">
        <v>528</v>
      </c>
      <c r="E35" s="347">
        <v>200000</v>
      </c>
      <c r="F35" s="347">
        <v>200000</v>
      </c>
      <c r="G35" s="347">
        <v>200000</v>
      </c>
      <c r="H35" s="342">
        <f t="shared" si="149"/>
        <v>600000</v>
      </c>
      <c r="I35" s="347">
        <v>200000</v>
      </c>
      <c r="J35" s="347">
        <v>200000</v>
      </c>
      <c r="K35" s="347">
        <v>200000</v>
      </c>
      <c r="L35" s="342">
        <f t="shared" si="150"/>
        <v>600000</v>
      </c>
      <c r="M35" s="347">
        <v>200000</v>
      </c>
      <c r="N35" s="347">
        <v>200000</v>
      </c>
      <c r="O35" s="347">
        <v>200000</v>
      </c>
      <c r="P35" s="342">
        <f t="shared" ref="P35:P76" si="156">SUM(M35:O35)</f>
        <v>600000</v>
      </c>
      <c r="Q35" s="347">
        <v>200000</v>
      </c>
      <c r="R35" s="347">
        <v>200000</v>
      </c>
      <c r="S35" s="347">
        <v>200000</v>
      </c>
      <c r="T35" s="342">
        <f t="shared" ref="T35:T76" si="157">SUM(Q35:S35)</f>
        <v>600000</v>
      </c>
      <c r="U35" s="347">
        <f t="shared" si="155"/>
        <v>2400000</v>
      </c>
      <c r="V35" s="347">
        <v>0</v>
      </c>
      <c r="W35" s="347">
        <v>0</v>
      </c>
      <c r="X35" s="347">
        <v>0</v>
      </c>
      <c r="Y35" s="342">
        <f t="shared" ref="Y35:Y76" si="158">SUM(V35:X35)</f>
        <v>0</v>
      </c>
      <c r="Z35" s="347">
        <v>0</v>
      </c>
      <c r="AA35" s="347">
        <v>0</v>
      </c>
      <c r="AB35" s="347">
        <v>0</v>
      </c>
      <c r="AC35" s="342">
        <f t="shared" si="101"/>
        <v>0</v>
      </c>
      <c r="AD35" s="347">
        <v>0</v>
      </c>
      <c r="AE35" s="347">
        <v>0</v>
      </c>
      <c r="AF35" s="347">
        <v>0</v>
      </c>
      <c r="AG35" s="342">
        <f t="shared" ref="AG35:AG76" si="159">SUM(AD35:AF35)</f>
        <v>0</v>
      </c>
      <c r="AH35" s="347">
        <v>0</v>
      </c>
      <c r="AI35" s="347">
        <v>0</v>
      </c>
      <c r="AJ35" s="347">
        <v>0</v>
      </c>
      <c r="AK35" s="342">
        <f t="shared" si="102"/>
        <v>0</v>
      </c>
      <c r="AL35" s="347">
        <f t="shared" ref="AL35:AL45" si="160">Y35+AC35+AG35+AK35</f>
        <v>0</v>
      </c>
      <c r="AM35" s="348">
        <v>0</v>
      </c>
      <c r="AN35" s="348">
        <v>0</v>
      </c>
      <c r="AO35" s="348">
        <v>0</v>
      </c>
      <c r="AP35" s="342">
        <f t="shared" si="103"/>
        <v>0</v>
      </c>
      <c r="AQ35" s="348">
        <v>0</v>
      </c>
      <c r="AR35" s="348">
        <v>0</v>
      </c>
      <c r="AS35" s="348">
        <v>0</v>
      </c>
      <c r="AT35" s="342">
        <f t="shared" si="104"/>
        <v>0</v>
      </c>
      <c r="AU35" s="348">
        <v>0</v>
      </c>
      <c r="AV35" s="348">
        <v>0</v>
      </c>
      <c r="AW35" s="348">
        <v>0</v>
      </c>
      <c r="AX35" s="342">
        <f t="shared" si="105"/>
        <v>0</v>
      </c>
      <c r="AY35" s="348"/>
      <c r="AZ35" s="348"/>
      <c r="BA35" s="348"/>
      <c r="BB35" s="342">
        <f t="shared" si="106"/>
        <v>0</v>
      </c>
      <c r="BC35" s="347">
        <f t="shared" ref="BC35:BC45" si="161">AP35+AT35+AX35+BB35</f>
        <v>0</v>
      </c>
      <c r="BD35" s="347">
        <v>-41871.019999999997</v>
      </c>
      <c r="BE35" s="347">
        <v>-41871.019999999997</v>
      </c>
      <c r="BF35" s="347">
        <v>-41871.019999999997</v>
      </c>
      <c r="BG35" s="342">
        <f t="shared" ref="BG35:BG76" si="162">SUM(BD35:BF35)</f>
        <v>-125613.06</v>
      </c>
      <c r="BH35" s="347">
        <v>-41871.019999999997</v>
      </c>
      <c r="BI35" s="347">
        <v>-41871.019999999997</v>
      </c>
      <c r="BJ35" s="347">
        <v>-41871.019999999997</v>
      </c>
      <c r="BK35" s="342">
        <f t="shared" si="74"/>
        <v>-125613.06</v>
      </c>
      <c r="BL35" s="347">
        <v>-41871.019999999997</v>
      </c>
      <c r="BM35" s="347">
        <v>-41871.019999999997</v>
      </c>
      <c r="BN35" s="347">
        <v>-41871.019999999997</v>
      </c>
      <c r="BO35" s="342">
        <f t="shared" si="114"/>
        <v>-125613.06</v>
      </c>
      <c r="BP35" s="347">
        <v>-41871.019999999997</v>
      </c>
      <c r="BQ35" s="347">
        <v>-41871.019999999997</v>
      </c>
      <c r="BR35" s="347">
        <v>-41871.019999999997</v>
      </c>
      <c r="BS35" s="342">
        <f t="shared" si="76"/>
        <v>-125613.06</v>
      </c>
      <c r="BT35" s="347">
        <f t="shared" ref="BT35:BT45" si="163">BG35+BK35+BO35+BS35</f>
        <v>-502452.24</v>
      </c>
      <c r="BU35" s="348">
        <v>0</v>
      </c>
      <c r="BV35" s="348">
        <v>0</v>
      </c>
      <c r="BW35" s="348">
        <v>0</v>
      </c>
      <c r="BX35" s="342">
        <f t="shared" si="77"/>
        <v>0</v>
      </c>
      <c r="BY35" s="348">
        <v>0</v>
      </c>
      <c r="BZ35" s="348">
        <v>0</v>
      </c>
      <c r="CA35" s="348">
        <v>0</v>
      </c>
      <c r="CB35" s="342">
        <f t="shared" si="78"/>
        <v>0</v>
      </c>
      <c r="CC35" s="348">
        <v>0</v>
      </c>
      <c r="CD35" s="348">
        <v>0</v>
      </c>
      <c r="CE35" s="348">
        <v>0</v>
      </c>
      <c r="CF35" s="342">
        <f t="shared" si="79"/>
        <v>0</v>
      </c>
      <c r="CG35" s="348">
        <v>0</v>
      </c>
      <c r="CH35" s="348">
        <v>0</v>
      </c>
      <c r="CI35" s="348">
        <v>0</v>
      </c>
      <c r="CJ35" s="342">
        <f t="shared" si="80"/>
        <v>0</v>
      </c>
      <c r="CK35" s="347">
        <f t="shared" ref="CK35:CK45" si="164">BX35+CB35+CF35+CJ35</f>
        <v>0</v>
      </c>
      <c r="CL35" s="347">
        <v>-9932.02</v>
      </c>
      <c r="CM35" s="347">
        <v>-9932.02</v>
      </c>
      <c r="CN35" s="347">
        <v>-9932.02</v>
      </c>
      <c r="CO35" s="342">
        <f t="shared" si="81"/>
        <v>-29796.06</v>
      </c>
      <c r="CP35" s="347">
        <v>-9932.02</v>
      </c>
      <c r="CQ35" s="347">
        <v>-9932.02</v>
      </c>
      <c r="CR35" s="347">
        <v>-9932.02</v>
      </c>
      <c r="CS35" s="342">
        <f t="shared" si="82"/>
        <v>-29796.06</v>
      </c>
      <c r="CT35" s="347">
        <v>-9932.02</v>
      </c>
      <c r="CU35" s="347">
        <v>-9932.02</v>
      </c>
      <c r="CV35" s="347">
        <v>-9932.02</v>
      </c>
      <c r="CW35" s="342">
        <f t="shared" si="83"/>
        <v>-29796.06</v>
      </c>
      <c r="CX35" s="347">
        <v>-9932.02</v>
      </c>
      <c r="CY35" s="347">
        <v>-9932.02</v>
      </c>
      <c r="CZ35" s="347">
        <v>-9932.02</v>
      </c>
      <c r="DA35" s="342">
        <f t="shared" si="84"/>
        <v>-29796.06</v>
      </c>
      <c r="DB35" s="347">
        <f t="shared" ref="DB35:DB45" si="165">CO35+CS35+CW35+DA35</f>
        <v>-119184.24</v>
      </c>
      <c r="DC35" s="347">
        <v>0</v>
      </c>
      <c r="DD35" s="347">
        <v>0</v>
      </c>
      <c r="DE35" s="347">
        <v>0</v>
      </c>
      <c r="DF35" s="342">
        <f t="shared" si="129"/>
        <v>0</v>
      </c>
      <c r="DG35" s="347">
        <v>0</v>
      </c>
      <c r="DH35" s="347">
        <v>0</v>
      </c>
      <c r="DI35" s="347">
        <v>0</v>
      </c>
      <c r="DJ35" s="342">
        <f t="shared" si="151"/>
        <v>0</v>
      </c>
      <c r="DK35" s="347">
        <v>0</v>
      </c>
      <c r="DL35" s="347">
        <v>0</v>
      </c>
      <c r="DM35" s="347">
        <v>0</v>
      </c>
      <c r="DN35" s="342">
        <f t="shared" si="152"/>
        <v>0</v>
      </c>
      <c r="DO35" s="347">
        <v>0</v>
      </c>
      <c r="DP35" s="347">
        <v>0</v>
      </c>
      <c r="DQ35" s="347">
        <v>0</v>
      </c>
      <c r="DR35" s="342">
        <f t="shared" si="153"/>
        <v>0</v>
      </c>
      <c r="DS35" s="347">
        <f t="shared" ref="DS35:DS45" si="166">DF35+DJ35+DN35+DR35</f>
        <v>0</v>
      </c>
      <c r="DT35" s="347">
        <v>-10000</v>
      </c>
      <c r="DU35" s="347">
        <v>-10000</v>
      </c>
      <c r="DV35" s="347">
        <v>-10000</v>
      </c>
      <c r="DW35" s="342">
        <f t="shared" si="89"/>
        <v>-30000</v>
      </c>
      <c r="DX35" s="347">
        <v>-10000</v>
      </c>
      <c r="DY35" s="347">
        <v>-10000</v>
      </c>
      <c r="DZ35" s="347">
        <v>-10000</v>
      </c>
      <c r="EA35" s="342">
        <f t="shared" si="137"/>
        <v>-30000</v>
      </c>
      <c r="EB35" s="347">
        <v>-10000</v>
      </c>
      <c r="EC35" s="347">
        <v>-10000</v>
      </c>
      <c r="ED35" s="347">
        <v>-10000</v>
      </c>
      <c r="EE35" s="342">
        <f t="shared" si="146"/>
        <v>-30000</v>
      </c>
      <c r="EF35" s="347">
        <v>-10000</v>
      </c>
      <c r="EG35" s="347">
        <v>-10000</v>
      </c>
      <c r="EH35" s="347">
        <v>-10000</v>
      </c>
      <c r="EI35" s="342">
        <f t="shared" si="147"/>
        <v>-30000</v>
      </c>
      <c r="EJ35" s="347">
        <f t="shared" ref="EJ35:EJ45" si="167">DW35+EA35+EE35+EI35</f>
        <v>-120000</v>
      </c>
      <c r="EK35" s="347"/>
      <c r="EL35" s="347"/>
      <c r="EM35" s="347"/>
      <c r="EN35" s="342">
        <f t="shared" si="154"/>
        <v>0</v>
      </c>
      <c r="EO35" s="347"/>
      <c r="EP35" s="347"/>
      <c r="EQ35" s="347"/>
      <c r="ER35" s="342">
        <f t="shared" si="135"/>
        <v>0</v>
      </c>
      <c r="ES35" s="347"/>
      <c r="ET35" s="347"/>
      <c r="EU35" s="347"/>
      <c r="EV35" s="342">
        <f t="shared" si="117"/>
        <v>0</v>
      </c>
      <c r="EW35" s="347"/>
      <c r="EX35" s="347"/>
      <c r="EY35" s="347"/>
      <c r="EZ35" s="342">
        <f t="shared" si="118"/>
        <v>0</v>
      </c>
      <c r="FA35" s="347">
        <f t="shared" ref="FA35:FA45" si="168">EN35+ER35+EV35+EZ35</f>
        <v>0</v>
      </c>
      <c r="FB35" s="347">
        <f t="shared" si="139"/>
        <v>1658363.52</v>
      </c>
      <c r="FC35" s="336">
        <f t="shared" si="59"/>
        <v>0.69098479999999995</v>
      </c>
    </row>
    <row r="36" spans="1:159" s="6" customFormat="1" ht="18" outlineLevel="1">
      <c r="A36" s="343"/>
      <c r="B36" s="344"/>
      <c r="C36" s="349"/>
      <c r="D36" s="350" t="s">
        <v>529</v>
      </c>
      <c r="E36" s="347">
        <v>833333.33</v>
      </c>
      <c r="F36" s="347">
        <v>833333.33</v>
      </c>
      <c r="G36" s="347">
        <v>833333.33</v>
      </c>
      <c r="H36" s="342">
        <f t="shared" si="149"/>
        <v>2499999.9899999998</v>
      </c>
      <c r="I36" s="347">
        <v>833333.33</v>
      </c>
      <c r="J36" s="347">
        <v>833333.33</v>
      </c>
      <c r="K36" s="347">
        <v>833333.33</v>
      </c>
      <c r="L36" s="342">
        <f t="shared" si="150"/>
        <v>2499999.9899999998</v>
      </c>
      <c r="M36" s="347">
        <v>833333.33</v>
      </c>
      <c r="N36" s="347">
        <v>833333.33</v>
      </c>
      <c r="O36" s="347">
        <v>833333.33</v>
      </c>
      <c r="P36" s="342">
        <f t="shared" si="156"/>
        <v>2499999.9899999998</v>
      </c>
      <c r="Q36" s="347">
        <v>833333.33</v>
      </c>
      <c r="R36" s="347">
        <v>833333.33</v>
      </c>
      <c r="S36" s="347">
        <v>833333.33</v>
      </c>
      <c r="T36" s="342">
        <f t="shared" si="157"/>
        <v>2499999.9899999998</v>
      </c>
      <c r="U36" s="347">
        <f t="shared" si="155"/>
        <v>9999999.959999999</v>
      </c>
      <c r="V36" s="347"/>
      <c r="W36" s="347"/>
      <c r="X36" s="347"/>
      <c r="Y36" s="342">
        <f t="shared" si="158"/>
        <v>0</v>
      </c>
      <c r="Z36" s="347"/>
      <c r="AA36" s="347"/>
      <c r="AB36" s="347"/>
      <c r="AC36" s="342">
        <f t="shared" si="101"/>
        <v>0</v>
      </c>
      <c r="AD36" s="347"/>
      <c r="AE36" s="347"/>
      <c r="AF36" s="347"/>
      <c r="AG36" s="342">
        <f t="shared" si="159"/>
        <v>0</v>
      </c>
      <c r="AH36" s="347"/>
      <c r="AI36" s="347"/>
      <c r="AJ36" s="347"/>
      <c r="AK36" s="342">
        <f t="shared" si="102"/>
        <v>0</v>
      </c>
      <c r="AL36" s="347">
        <f t="shared" si="160"/>
        <v>0</v>
      </c>
      <c r="AM36" s="348">
        <v>0</v>
      </c>
      <c r="AN36" s="348">
        <v>0</v>
      </c>
      <c r="AO36" s="348">
        <v>0</v>
      </c>
      <c r="AP36" s="342">
        <f t="shared" si="103"/>
        <v>0</v>
      </c>
      <c r="AQ36" s="348">
        <v>0</v>
      </c>
      <c r="AR36" s="348"/>
      <c r="AS36" s="348"/>
      <c r="AT36" s="342">
        <f t="shared" si="104"/>
        <v>0</v>
      </c>
      <c r="AU36" s="348"/>
      <c r="AV36" s="348"/>
      <c r="AW36" s="348"/>
      <c r="AX36" s="342">
        <f t="shared" si="105"/>
        <v>0</v>
      </c>
      <c r="AY36" s="348"/>
      <c r="AZ36" s="348"/>
      <c r="BA36" s="348"/>
      <c r="BB36" s="342">
        <f t="shared" si="106"/>
        <v>0</v>
      </c>
      <c r="BC36" s="347">
        <f t="shared" si="161"/>
        <v>0</v>
      </c>
      <c r="BD36" s="347">
        <v>-500000</v>
      </c>
      <c r="BE36" s="347">
        <v>-500000</v>
      </c>
      <c r="BF36" s="347">
        <v>-500000</v>
      </c>
      <c r="BG36" s="342">
        <f t="shared" si="162"/>
        <v>-1500000</v>
      </c>
      <c r="BH36" s="347">
        <v>-500000</v>
      </c>
      <c r="BI36" s="347">
        <v>-500000</v>
      </c>
      <c r="BJ36" s="347">
        <v>-500000</v>
      </c>
      <c r="BK36" s="342">
        <f t="shared" si="74"/>
        <v>-1500000</v>
      </c>
      <c r="BL36" s="347">
        <v>-500000</v>
      </c>
      <c r="BM36" s="347">
        <v>-500000</v>
      </c>
      <c r="BN36" s="347">
        <v>-500000</v>
      </c>
      <c r="BO36" s="342">
        <f t="shared" si="114"/>
        <v>-1500000</v>
      </c>
      <c r="BP36" s="347">
        <v>-500000</v>
      </c>
      <c r="BQ36" s="347">
        <v>-500000</v>
      </c>
      <c r="BR36" s="347">
        <v>-500000</v>
      </c>
      <c r="BS36" s="342">
        <f>SUM(BP36:BR36)</f>
        <v>-1500000</v>
      </c>
      <c r="BT36" s="347">
        <f t="shared" si="163"/>
        <v>-6000000</v>
      </c>
      <c r="BU36" s="348">
        <v>0</v>
      </c>
      <c r="BV36" s="348"/>
      <c r="BW36" s="348"/>
      <c r="BX36" s="342">
        <f t="shared" si="77"/>
        <v>0</v>
      </c>
      <c r="BY36" s="348"/>
      <c r="BZ36" s="348"/>
      <c r="CA36" s="348"/>
      <c r="CB36" s="342">
        <f t="shared" si="78"/>
        <v>0</v>
      </c>
      <c r="CC36" s="348"/>
      <c r="CD36" s="348"/>
      <c r="CE36" s="348"/>
      <c r="CF36" s="342">
        <f t="shared" si="79"/>
        <v>0</v>
      </c>
      <c r="CG36" s="348"/>
      <c r="CH36" s="348"/>
      <c r="CI36" s="348"/>
      <c r="CJ36" s="342">
        <f t="shared" si="80"/>
        <v>0</v>
      </c>
      <c r="CK36" s="347">
        <f t="shared" si="164"/>
        <v>0</v>
      </c>
      <c r="CL36" s="347">
        <v>-125000</v>
      </c>
      <c r="CM36" s="347">
        <v>-125000</v>
      </c>
      <c r="CN36" s="347">
        <v>-125000</v>
      </c>
      <c r="CO36" s="342">
        <f t="shared" si="81"/>
        <v>-375000</v>
      </c>
      <c r="CP36" s="347">
        <v>-125000</v>
      </c>
      <c r="CQ36" s="347">
        <v>-125000</v>
      </c>
      <c r="CR36" s="347">
        <v>-125000</v>
      </c>
      <c r="CS36" s="342">
        <f t="shared" si="82"/>
        <v>-375000</v>
      </c>
      <c r="CT36" s="347">
        <v>-125000</v>
      </c>
      <c r="CU36" s="347">
        <v>-125000</v>
      </c>
      <c r="CV36" s="347">
        <v>-125000</v>
      </c>
      <c r="CW36" s="342">
        <f t="shared" si="83"/>
        <v>-375000</v>
      </c>
      <c r="CX36" s="347">
        <v>-125000</v>
      </c>
      <c r="CY36" s="347">
        <v>-125000</v>
      </c>
      <c r="CZ36" s="347">
        <v>-125000</v>
      </c>
      <c r="DA36" s="342">
        <f t="shared" si="84"/>
        <v>-375000</v>
      </c>
      <c r="DB36" s="347">
        <f t="shared" si="165"/>
        <v>-1500000</v>
      </c>
      <c r="DC36" s="347"/>
      <c r="DD36" s="347"/>
      <c r="DE36" s="347"/>
      <c r="DF36" s="342">
        <f t="shared" si="129"/>
        <v>0</v>
      </c>
      <c r="DG36" s="347"/>
      <c r="DH36" s="347"/>
      <c r="DI36" s="347"/>
      <c r="DJ36" s="342">
        <f t="shared" si="151"/>
        <v>0</v>
      </c>
      <c r="DK36" s="347"/>
      <c r="DL36" s="347"/>
      <c r="DM36" s="347"/>
      <c r="DN36" s="342">
        <f t="shared" si="152"/>
        <v>0</v>
      </c>
      <c r="DO36" s="347"/>
      <c r="DP36" s="347"/>
      <c r="DQ36" s="347"/>
      <c r="DR36" s="342">
        <f t="shared" si="153"/>
        <v>0</v>
      </c>
      <c r="DS36" s="347">
        <f t="shared" si="166"/>
        <v>0</v>
      </c>
      <c r="DT36" s="347"/>
      <c r="DU36" s="347"/>
      <c r="DV36" s="347"/>
      <c r="DW36" s="342">
        <f t="shared" si="89"/>
        <v>0</v>
      </c>
      <c r="DX36" s="347"/>
      <c r="DY36" s="347"/>
      <c r="DZ36" s="347"/>
      <c r="EA36" s="342">
        <f t="shared" si="137"/>
        <v>0</v>
      </c>
      <c r="EB36" s="347"/>
      <c r="EC36" s="347"/>
      <c r="ED36" s="347"/>
      <c r="EE36" s="342">
        <f t="shared" si="146"/>
        <v>0</v>
      </c>
      <c r="EF36" s="347"/>
      <c r="EG36" s="347"/>
      <c r="EH36" s="347"/>
      <c r="EI36" s="342">
        <f t="shared" si="147"/>
        <v>0</v>
      </c>
      <c r="EJ36" s="347">
        <f t="shared" si="167"/>
        <v>0</v>
      </c>
      <c r="EK36" s="347"/>
      <c r="EL36" s="347"/>
      <c r="EM36" s="347"/>
      <c r="EN36" s="342">
        <f t="shared" si="154"/>
        <v>0</v>
      </c>
      <c r="EO36" s="347"/>
      <c r="EP36" s="347"/>
      <c r="EQ36" s="347"/>
      <c r="ER36" s="342">
        <f t="shared" si="135"/>
        <v>0</v>
      </c>
      <c r="ES36" s="347"/>
      <c r="ET36" s="347"/>
      <c r="EU36" s="347"/>
      <c r="EV36" s="342">
        <f t="shared" si="117"/>
        <v>0</v>
      </c>
      <c r="EW36" s="347"/>
      <c r="EX36" s="347"/>
      <c r="EY36" s="347"/>
      <c r="EZ36" s="342">
        <f t="shared" si="118"/>
        <v>0</v>
      </c>
      <c r="FA36" s="347">
        <f t="shared" si="168"/>
        <v>0</v>
      </c>
      <c r="FB36" s="347">
        <f t="shared" si="139"/>
        <v>2499999.959999999</v>
      </c>
      <c r="FC36" s="336">
        <f t="shared" si="59"/>
        <v>0.24999999699999992</v>
      </c>
    </row>
    <row r="37" spans="1:159" s="6" customFormat="1" ht="18" outlineLevel="1">
      <c r="A37" s="343"/>
      <c r="B37" s="344" t="s">
        <v>530</v>
      </c>
      <c r="C37" s="349"/>
      <c r="D37" s="350" t="s">
        <v>531</v>
      </c>
      <c r="E37" s="347">
        <v>166666.66666666698</v>
      </c>
      <c r="F37" s="347">
        <v>166666.66666666698</v>
      </c>
      <c r="G37" s="347">
        <v>166666.66666666698</v>
      </c>
      <c r="H37" s="342">
        <f t="shared" si="149"/>
        <v>500000.00000000093</v>
      </c>
      <c r="I37" s="347">
        <v>166666.66666666698</v>
      </c>
      <c r="J37" s="347">
        <v>166666.66666666698</v>
      </c>
      <c r="K37" s="347">
        <v>166666.66666666698</v>
      </c>
      <c r="L37" s="342">
        <f t="shared" si="150"/>
        <v>500000.00000000093</v>
      </c>
      <c r="M37" s="347">
        <v>166666.66666666698</v>
      </c>
      <c r="N37" s="347">
        <v>166666.66666666698</v>
      </c>
      <c r="O37" s="347">
        <v>166666.66666666698</v>
      </c>
      <c r="P37" s="342">
        <f t="shared" si="156"/>
        <v>500000.00000000093</v>
      </c>
      <c r="Q37" s="347">
        <v>166666.66666666698</v>
      </c>
      <c r="R37" s="347">
        <v>166666.66666666698</v>
      </c>
      <c r="S37" s="347">
        <v>166666.66666666698</v>
      </c>
      <c r="T37" s="342">
        <f t="shared" si="157"/>
        <v>500000.00000000093</v>
      </c>
      <c r="U37" s="347">
        <f t="shared" si="155"/>
        <v>2000000.0000000037</v>
      </c>
      <c r="V37" s="347">
        <v>0</v>
      </c>
      <c r="W37" s="347">
        <v>0</v>
      </c>
      <c r="X37" s="347">
        <v>0</v>
      </c>
      <c r="Y37" s="342">
        <f t="shared" si="158"/>
        <v>0</v>
      </c>
      <c r="Z37" s="347">
        <v>0</v>
      </c>
      <c r="AA37" s="347">
        <v>0</v>
      </c>
      <c r="AB37" s="347">
        <v>0</v>
      </c>
      <c r="AC37" s="342">
        <f t="shared" si="101"/>
        <v>0</v>
      </c>
      <c r="AD37" s="347">
        <v>0</v>
      </c>
      <c r="AE37" s="347">
        <v>0</v>
      </c>
      <c r="AF37" s="347">
        <v>0</v>
      </c>
      <c r="AG37" s="342">
        <f t="shared" si="159"/>
        <v>0</v>
      </c>
      <c r="AH37" s="347">
        <v>0</v>
      </c>
      <c r="AI37" s="347">
        <v>0</v>
      </c>
      <c r="AJ37" s="347">
        <v>0</v>
      </c>
      <c r="AK37" s="342">
        <f t="shared" si="102"/>
        <v>0</v>
      </c>
      <c r="AL37" s="347">
        <f t="shared" si="160"/>
        <v>0</v>
      </c>
      <c r="AM37" s="348">
        <v>0</v>
      </c>
      <c r="AN37" s="348">
        <v>0</v>
      </c>
      <c r="AO37" s="348">
        <v>0</v>
      </c>
      <c r="AP37" s="342">
        <f t="shared" si="103"/>
        <v>0</v>
      </c>
      <c r="AQ37" s="348">
        <v>0</v>
      </c>
      <c r="AR37" s="348">
        <v>0</v>
      </c>
      <c r="AS37" s="348">
        <v>0</v>
      </c>
      <c r="AT37" s="342">
        <f t="shared" si="104"/>
        <v>0</v>
      </c>
      <c r="AU37" s="348">
        <v>0</v>
      </c>
      <c r="AV37" s="348">
        <v>0</v>
      </c>
      <c r="AW37" s="348">
        <v>0</v>
      </c>
      <c r="AX37" s="342">
        <f t="shared" si="105"/>
        <v>0</v>
      </c>
      <c r="AY37" s="348"/>
      <c r="AZ37" s="348"/>
      <c r="BA37" s="348"/>
      <c r="BB37" s="342">
        <f t="shared" si="106"/>
        <v>0</v>
      </c>
      <c r="BC37" s="347">
        <f t="shared" si="161"/>
        <v>0</v>
      </c>
      <c r="BD37" s="347">
        <v>-34892.51</v>
      </c>
      <c r="BE37" s="347">
        <v>-34892.51</v>
      </c>
      <c r="BF37" s="347">
        <v>-34892.51</v>
      </c>
      <c r="BG37" s="342">
        <f t="shared" si="162"/>
        <v>-104677.53</v>
      </c>
      <c r="BH37" s="347">
        <v>-34892.51</v>
      </c>
      <c r="BI37" s="347">
        <v>-34892.51</v>
      </c>
      <c r="BJ37" s="347">
        <v>-34892.51</v>
      </c>
      <c r="BK37" s="342">
        <f t="shared" si="74"/>
        <v>-104677.53</v>
      </c>
      <c r="BL37" s="347">
        <v>-34892.51</v>
      </c>
      <c r="BM37" s="347">
        <v>-34892.51</v>
      </c>
      <c r="BN37" s="347">
        <v>-34892.51</v>
      </c>
      <c r="BO37" s="342">
        <f t="shared" si="114"/>
        <v>-104677.53</v>
      </c>
      <c r="BP37" s="347">
        <v>-34892.51</v>
      </c>
      <c r="BQ37" s="347">
        <v>-34892.51</v>
      </c>
      <c r="BR37" s="347">
        <v>-34892.51</v>
      </c>
      <c r="BS37" s="342">
        <f t="shared" si="76"/>
        <v>-104677.53</v>
      </c>
      <c r="BT37" s="347">
        <f t="shared" si="163"/>
        <v>-418710.12</v>
      </c>
      <c r="BU37" s="348">
        <v>0</v>
      </c>
      <c r="BV37" s="348">
        <v>0</v>
      </c>
      <c r="BW37" s="348">
        <v>0</v>
      </c>
      <c r="BX37" s="342">
        <f t="shared" si="77"/>
        <v>0</v>
      </c>
      <c r="BY37" s="348">
        <v>0</v>
      </c>
      <c r="BZ37" s="348">
        <v>0</v>
      </c>
      <c r="CA37" s="348">
        <v>0</v>
      </c>
      <c r="CB37" s="342">
        <f t="shared" si="78"/>
        <v>0</v>
      </c>
      <c r="CC37" s="348">
        <v>0</v>
      </c>
      <c r="CD37" s="348">
        <v>0</v>
      </c>
      <c r="CE37" s="348">
        <v>0</v>
      </c>
      <c r="CF37" s="342">
        <f t="shared" si="79"/>
        <v>0</v>
      </c>
      <c r="CG37" s="348">
        <v>0</v>
      </c>
      <c r="CH37" s="348">
        <v>0</v>
      </c>
      <c r="CI37" s="348">
        <v>0</v>
      </c>
      <c r="CJ37" s="342">
        <f t="shared" si="80"/>
        <v>0</v>
      </c>
      <c r="CK37" s="347">
        <f t="shared" si="164"/>
        <v>0</v>
      </c>
      <c r="CL37" s="347">
        <v>-8276.68</v>
      </c>
      <c r="CM37" s="347">
        <v>-8276.68</v>
      </c>
      <c r="CN37" s="347">
        <v>-8276.68</v>
      </c>
      <c r="CO37" s="342">
        <f t="shared" si="81"/>
        <v>-24830.04</v>
      </c>
      <c r="CP37" s="347">
        <v>-8276.68</v>
      </c>
      <c r="CQ37" s="347">
        <v>-8276.68</v>
      </c>
      <c r="CR37" s="347">
        <v>-8276.68</v>
      </c>
      <c r="CS37" s="342">
        <f t="shared" si="82"/>
        <v>-24830.04</v>
      </c>
      <c r="CT37" s="347">
        <v>-8276.68</v>
      </c>
      <c r="CU37" s="347">
        <v>-8276.68</v>
      </c>
      <c r="CV37" s="347">
        <v>-8276.68</v>
      </c>
      <c r="CW37" s="342">
        <f t="shared" si="83"/>
        <v>-24830.04</v>
      </c>
      <c r="CX37" s="347">
        <v>-8276.68</v>
      </c>
      <c r="CY37" s="347">
        <v>-8276.68</v>
      </c>
      <c r="CZ37" s="347">
        <v>-8276.68</v>
      </c>
      <c r="DA37" s="342">
        <f t="shared" si="84"/>
        <v>-24830.04</v>
      </c>
      <c r="DB37" s="347">
        <f t="shared" si="165"/>
        <v>-99320.16</v>
      </c>
      <c r="DC37" s="347">
        <v>0</v>
      </c>
      <c r="DD37" s="347">
        <v>0</v>
      </c>
      <c r="DE37" s="347">
        <v>0</v>
      </c>
      <c r="DF37" s="342">
        <f t="shared" si="129"/>
        <v>0</v>
      </c>
      <c r="DG37" s="347">
        <v>0</v>
      </c>
      <c r="DH37" s="347">
        <v>0</v>
      </c>
      <c r="DI37" s="347">
        <v>0</v>
      </c>
      <c r="DJ37" s="342">
        <f t="shared" si="151"/>
        <v>0</v>
      </c>
      <c r="DK37" s="347">
        <v>0</v>
      </c>
      <c r="DL37" s="347">
        <v>0</v>
      </c>
      <c r="DM37" s="347">
        <v>0</v>
      </c>
      <c r="DN37" s="342">
        <f t="shared" si="152"/>
        <v>0</v>
      </c>
      <c r="DO37" s="347">
        <v>0</v>
      </c>
      <c r="DP37" s="347">
        <v>0</v>
      </c>
      <c r="DQ37" s="347">
        <v>0</v>
      </c>
      <c r="DR37" s="342">
        <f t="shared" si="153"/>
        <v>0</v>
      </c>
      <c r="DS37" s="347">
        <f t="shared" si="166"/>
        <v>0</v>
      </c>
      <c r="DT37" s="347">
        <v>-10000</v>
      </c>
      <c r="DU37" s="347">
        <v>-10000</v>
      </c>
      <c r="DV37" s="347">
        <v>-10000</v>
      </c>
      <c r="DW37" s="342">
        <f t="shared" si="89"/>
        <v>-30000</v>
      </c>
      <c r="DX37" s="347">
        <v>-10000</v>
      </c>
      <c r="DY37" s="347">
        <v>-10000</v>
      </c>
      <c r="DZ37" s="347">
        <v>-10000</v>
      </c>
      <c r="EA37" s="342">
        <f t="shared" si="137"/>
        <v>-30000</v>
      </c>
      <c r="EB37" s="347">
        <v>-10000</v>
      </c>
      <c r="EC37" s="347">
        <v>-10000</v>
      </c>
      <c r="ED37" s="347">
        <v>-10000</v>
      </c>
      <c r="EE37" s="342">
        <f t="shared" si="146"/>
        <v>-30000</v>
      </c>
      <c r="EF37" s="347">
        <v>-10000</v>
      </c>
      <c r="EG37" s="347">
        <v>-10000</v>
      </c>
      <c r="EH37" s="347">
        <v>-10000</v>
      </c>
      <c r="EI37" s="342">
        <f t="shared" si="147"/>
        <v>-30000</v>
      </c>
      <c r="EJ37" s="347">
        <f t="shared" si="167"/>
        <v>-120000</v>
      </c>
      <c r="EK37" s="347"/>
      <c r="EL37" s="347"/>
      <c r="EM37" s="347"/>
      <c r="EN37" s="342">
        <f t="shared" si="154"/>
        <v>0</v>
      </c>
      <c r="EO37" s="347"/>
      <c r="EP37" s="347"/>
      <c r="EQ37" s="347"/>
      <c r="ER37" s="342">
        <f t="shared" si="135"/>
        <v>0</v>
      </c>
      <c r="ES37" s="347"/>
      <c r="ET37" s="347"/>
      <c r="EU37" s="347"/>
      <c r="EV37" s="342">
        <f t="shared" si="117"/>
        <v>0</v>
      </c>
      <c r="EW37" s="347"/>
      <c r="EX37" s="347"/>
      <c r="EY37" s="347"/>
      <c r="EZ37" s="342">
        <f t="shared" si="118"/>
        <v>0</v>
      </c>
      <c r="FA37" s="347">
        <f t="shared" si="168"/>
        <v>0</v>
      </c>
      <c r="FB37" s="347">
        <f t="shared" si="139"/>
        <v>1361969.7200000037</v>
      </c>
      <c r="FC37" s="336">
        <f t="shared" si="59"/>
        <v>0.68098486000000058</v>
      </c>
    </row>
    <row r="38" spans="1:159" s="6" customFormat="1" ht="18" collapsed="1">
      <c r="A38" s="343"/>
      <c r="B38" s="344" t="s">
        <v>532</v>
      </c>
      <c r="C38" s="345" t="s">
        <v>533</v>
      </c>
      <c r="D38" s="346" t="s">
        <v>475</v>
      </c>
      <c r="E38" s="347">
        <f t="shared" ref="E38:X38" si="169">SUM(E39:E48)</f>
        <v>0</v>
      </c>
      <c r="F38" s="347">
        <f t="shared" si="169"/>
        <v>0</v>
      </c>
      <c r="G38" s="347">
        <f t="shared" si="169"/>
        <v>0</v>
      </c>
      <c r="H38" s="342">
        <f t="shared" si="169"/>
        <v>0</v>
      </c>
      <c r="I38" s="347">
        <f t="shared" si="169"/>
        <v>0</v>
      </c>
      <c r="J38" s="347">
        <f t="shared" si="169"/>
        <v>0</v>
      </c>
      <c r="K38" s="347">
        <f t="shared" si="169"/>
        <v>0</v>
      </c>
      <c r="L38" s="342">
        <f t="shared" si="169"/>
        <v>0</v>
      </c>
      <c r="M38" s="347">
        <f t="shared" si="169"/>
        <v>0</v>
      </c>
      <c r="N38" s="347">
        <f t="shared" si="169"/>
        <v>0</v>
      </c>
      <c r="O38" s="347">
        <f t="shared" si="169"/>
        <v>0</v>
      </c>
      <c r="P38" s="342">
        <f t="shared" si="169"/>
        <v>0</v>
      </c>
      <c r="Q38" s="347">
        <f t="shared" si="169"/>
        <v>0</v>
      </c>
      <c r="R38" s="347">
        <f t="shared" si="169"/>
        <v>0</v>
      </c>
      <c r="S38" s="347">
        <f t="shared" si="169"/>
        <v>0</v>
      </c>
      <c r="T38" s="342">
        <f t="shared" si="169"/>
        <v>0</v>
      </c>
      <c r="U38" s="358">
        <f t="shared" si="169"/>
        <v>0</v>
      </c>
      <c r="V38" s="347">
        <f t="shared" si="169"/>
        <v>0</v>
      </c>
      <c r="W38" s="347">
        <f t="shared" si="169"/>
        <v>0</v>
      </c>
      <c r="X38" s="347">
        <f t="shared" si="169"/>
        <v>0</v>
      </c>
      <c r="Y38" s="342">
        <f t="shared" si="158"/>
        <v>0</v>
      </c>
      <c r="Z38" s="347">
        <f>SUM(Z39:Z48)</f>
        <v>0</v>
      </c>
      <c r="AA38" s="347">
        <f>SUM(AA39:AA48)</f>
        <v>0</v>
      </c>
      <c r="AB38" s="347">
        <f>SUM(AB39:AB48)</f>
        <v>0</v>
      </c>
      <c r="AC38" s="342">
        <f t="shared" si="101"/>
        <v>0</v>
      </c>
      <c r="AD38" s="347">
        <f>SUM(AD39:AD48)</f>
        <v>0</v>
      </c>
      <c r="AE38" s="347">
        <f>SUM(AE39:AE48)</f>
        <v>0</v>
      </c>
      <c r="AF38" s="347">
        <f>SUM(AF39:AF48)</f>
        <v>0</v>
      </c>
      <c r="AG38" s="342">
        <f t="shared" si="159"/>
        <v>0</v>
      </c>
      <c r="AH38" s="347">
        <f>SUM(AH39:AH48)</f>
        <v>0</v>
      </c>
      <c r="AI38" s="347">
        <f>SUM(AI39:AI48)</f>
        <v>0</v>
      </c>
      <c r="AJ38" s="347">
        <f>SUM(AJ39:AJ48)</f>
        <v>0</v>
      </c>
      <c r="AK38" s="342">
        <f t="shared" si="102"/>
        <v>0</v>
      </c>
      <c r="AL38" s="347">
        <f>SUM(AL39:AL48)</f>
        <v>0</v>
      </c>
      <c r="AM38" s="348">
        <f>SUM(AM39:AM48)</f>
        <v>0</v>
      </c>
      <c r="AN38" s="348">
        <f>SUM(AN39:AN48)</f>
        <v>0</v>
      </c>
      <c r="AO38" s="348">
        <f>SUM(AO39:AO48)</f>
        <v>0</v>
      </c>
      <c r="AP38" s="342">
        <f t="shared" ref="AP38" si="170">SUM(AM38:AO38)</f>
        <v>0</v>
      </c>
      <c r="AQ38" s="348">
        <f>SUM(AQ39:AQ48)</f>
        <v>0</v>
      </c>
      <c r="AR38" s="348">
        <f>SUM(AR39:AR48)</f>
        <v>0</v>
      </c>
      <c r="AS38" s="348">
        <f>SUM(AS39:AS48)</f>
        <v>0</v>
      </c>
      <c r="AT38" s="342">
        <f t="shared" ref="AT38" si="171">SUM(AQ38:AS38)</f>
        <v>0</v>
      </c>
      <c r="AU38" s="348">
        <f>SUM(AU39:AU48)</f>
        <v>0</v>
      </c>
      <c r="AV38" s="348">
        <f>SUM(AV39:AV48)</f>
        <v>0</v>
      </c>
      <c r="AW38" s="348">
        <f>SUM(AW39:AW48)</f>
        <v>0</v>
      </c>
      <c r="AX38" s="342">
        <f t="shared" ref="AX38" si="172">SUM(AU38:AW38)</f>
        <v>0</v>
      </c>
      <c r="AY38" s="348">
        <f>SUM(AY39:AY48)</f>
        <v>0</v>
      </c>
      <c r="AZ38" s="348">
        <f>SUM(AZ39:AZ48)</f>
        <v>0</v>
      </c>
      <c r="BA38" s="348">
        <f>SUM(BA39:BA48)</f>
        <v>0</v>
      </c>
      <c r="BB38" s="342">
        <f t="shared" ref="BB38" si="173">SUM(AY38:BA38)</f>
        <v>0</v>
      </c>
      <c r="BC38" s="347">
        <f>SUM(BC39:BC48)</f>
        <v>0</v>
      </c>
      <c r="BD38" s="348">
        <f>SUM(BD39:BD48)</f>
        <v>0</v>
      </c>
      <c r="BE38" s="348">
        <f>SUM(BE39:BE48)</f>
        <v>0</v>
      </c>
      <c r="BF38" s="348">
        <f>SUM(BF39:BF48)</f>
        <v>0</v>
      </c>
      <c r="BG38" s="342">
        <f t="shared" si="162"/>
        <v>0</v>
      </c>
      <c r="BH38" s="348">
        <f>SUM(BH39:BH48)</f>
        <v>0</v>
      </c>
      <c r="BI38" s="348">
        <f>SUM(BI39:BI48)</f>
        <v>0</v>
      </c>
      <c r="BJ38" s="348">
        <f>SUM(BJ39:BJ48)</f>
        <v>0</v>
      </c>
      <c r="BK38" s="342">
        <f t="shared" si="74"/>
        <v>0</v>
      </c>
      <c r="BL38" s="348">
        <f>SUM(BL39:BL48)</f>
        <v>0</v>
      </c>
      <c r="BM38" s="348">
        <f>SUM(BM39:BM48)</f>
        <v>0</v>
      </c>
      <c r="BN38" s="347">
        <f>SUM(BN39:BN48)</f>
        <v>0</v>
      </c>
      <c r="BO38" s="342">
        <f t="shared" si="114"/>
        <v>0</v>
      </c>
      <c r="BP38" s="348">
        <f>SUM(BP39:BP48)</f>
        <v>0</v>
      </c>
      <c r="BQ38" s="348">
        <f>SUM(BQ39:BQ48)</f>
        <v>0</v>
      </c>
      <c r="BR38" s="348">
        <f>SUM(BR39:BR48)</f>
        <v>0</v>
      </c>
      <c r="BS38" s="342">
        <f t="shared" si="76"/>
        <v>0</v>
      </c>
      <c r="BT38" s="347">
        <f>SUM(BT39:BT48)</f>
        <v>0</v>
      </c>
      <c r="BU38" s="348">
        <f>SUM(BU39:BU48)</f>
        <v>0</v>
      </c>
      <c r="BV38" s="348">
        <f>SUM(BV39:BV48)</f>
        <v>0</v>
      </c>
      <c r="BW38" s="348">
        <f>SUM(BW39:BW48)</f>
        <v>0</v>
      </c>
      <c r="BX38" s="342">
        <f t="shared" si="77"/>
        <v>0</v>
      </c>
      <c r="BY38" s="348">
        <f>SUM(BY39:BY48)</f>
        <v>0</v>
      </c>
      <c r="BZ38" s="348">
        <f>SUM(BZ39:BZ48)</f>
        <v>0</v>
      </c>
      <c r="CA38" s="348">
        <f>SUM(CA39:CA48)</f>
        <v>0</v>
      </c>
      <c r="CB38" s="342">
        <f t="shared" si="78"/>
        <v>0</v>
      </c>
      <c r="CC38" s="348">
        <f>SUM(CC39:CC48)</f>
        <v>0</v>
      </c>
      <c r="CD38" s="348">
        <f>SUM(CD39:CD48)</f>
        <v>0</v>
      </c>
      <c r="CE38" s="348">
        <f>SUM(CE39:CE48)</f>
        <v>0</v>
      </c>
      <c r="CF38" s="342">
        <f t="shared" si="79"/>
        <v>0</v>
      </c>
      <c r="CG38" s="348">
        <f>SUM(CG39:CG48)</f>
        <v>0</v>
      </c>
      <c r="CH38" s="348">
        <f>SUM(CH39:CH48)</f>
        <v>0</v>
      </c>
      <c r="CI38" s="348">
        <f>SUM(CI39:CI48)</f>
        <v>0</v>
      </c>
      <c r="CJ38" s="342">
        <f t="shared" si="80"/>
        <v>0</v>
      </c>
      <c r="CK38" s="347">
        <f>SUM(CK39:CK48)</f>
        <v>0</v>
      </c>
      <c r="CL38" s="347">
        <f t="shared" ref="CL38:DA38" si="174">SUM(CL39:CL48)</f>
        <v>0</v>
      </c>
      <c r="CM38" s="347">
        <f t="shared" si="174"/>
        <v>0</v>
      </c>
      <c r="CN38" s="347">
        <f t="shared" si="174"/>
        <v>0</v>
      </c>
      <c r="CO38" s="342">
        <f t="shared" si="174"/>
        <v>0</v>
      </c>
      <c r="CP38" s="347">
        <f t="shared" si="174"/>
        <v>0</v>
      </c>
      <c r="CQ38" s="347">
        <f t="shared" si="174"/>
        <v>0</v>
      </c>
      <c r="CR38" s="347">
        <f t="shared" si="174"/>
        <v>0</v>
      </c>
      <c r="CS38" s="342">
        <f t="shared" si="174"/>
        <v>0</v>
      </c>
      <c r="CT38" s="347">
        <f t="shared" si="174"/>
        <v>0</v>
      </c>
      <c r="CU38" s="347">
        <f t="shared" si="174"/>
        <v>0</v>
      </c>
      <c r="CV38" s="347">
        <f t="shared" si="174"/>
        <v>0</v>
      </c>
      <c r="CW38" s="342">
        <f t="shared" si="174"/>
        <v>0</v>
      </c>
      <c r="CX38" s="347">
        <f t="shared" si="174"/>
        <v>0</v>
      </c>
      <c r="CY38" s="347">
        <f t="shared" si="174"/>
        <v>0</v>
      </c>
      <c r="CZ38" s="347">
        <f t="shared" si="174"/>
        <v>0</v>
      </c>
      <c r="DA38" s="342">
        <f t="shared" si="174"/>
        <v>0</v>
      </c>
      <c r="DB38" s="347">
        <f>SUM(DB39:DB48)</f>
        <v>0</v>
      </c>
      <c r="DC38" s="347">
        <f t="shared" ref="DC38:DR38" si="175">SUM(DC39:DC48)</f>
        <v>0</v>
      </c>
      <c r="DD38" s="347">
        <f t="shared" si="175"/>
        <v>0</v>
      </c>
      <c r="DE38" s="347">
        <f t="shared" si="175"/>
        <v>0</v>
      </c>
      <c r="DF38" s="342">
        <f t="shared" si="175"/>
        <v>0</v>
      </c>
      <c r="DG38" s="347">
        <f t="shared" si="175"/>
        <v>0</v>
      </c>
      <c r="DH38" s="347">
        <f t="shared" si="175"/>
        <v>0</v>
      </c>
      <c r="DI38" s="347">
        <f t="shared" si="175"/>
        <v>0</v>
      </c>
      <c r="DJ38" s="342">
        <f t="shared" si="175"/>
        <v>0</v>
      </c>
      <c r="DK38" s="347">
        <f t="shared" si="175"/>
        <v>0</v>
      </c>
      <c r="DL38" s="347">
        <f t="shared" si="175"/>
        <v>0</v>
      </c>
      <c r="DM38" s="347">
        <f t="shared" si="175"/>
        <v>0</v>
      </c>
      <c r="DN38" s="342">
        <f t="shared" si="175"/>
        <v>0</v>
      </c>
      <c r="DO38" s="348">
        <f t="shared" si="175"/>
        <v>0</v>
      </c>
      <c r="DP38" s="348">
        <f t="shared" si="175"/>
        <v>0</v>
      </c>
      <c r="DQ38" s="348">
        <f t="shared" si="175"/>
        <v>0</v>
      </c>
      <c r="DR38" s="342">
        <f t="shared" si="175"/>
        <v>0</v>
      </c>
      <c r="DS38" s="347">
        <f>SUM(DS39:DS48)</f>
        <v>0</v>
      </c>
      <c r="DT38" s="347">
        <f t="shared" ref="DT38:DV38" si="176">SUM(DT39:DT48)</f>
        <v>0</v>
      </c>
      <c r="DU38" s="347">
        <f t="shared" si="176"/>
        <v>0</v>
      </c>
      <c r="DV38" s="347">
        <f t="shared" si="176"/>
        <v>0</v>
      </c>
      <c r="DW38" s="342">
        <f t="shared" si="89"/>
        <v>0</v>
      </c>
      <c r="DX38" s="347">
        <f>SUM(DX39:DX48)</f>
        <v>0</v>
      </c>
      <c r="DY38" s="347">
        <f>SUM(DY39:DY48)</f>
        <v>0</v>
      </c>
      <c r="DZ38" s="347">
        <f>SUM(DZ39:DZ48)</f>
        <v>0</v>
      </c>
      <c r="EA38" s="342">
        <f t="shared" si="137"/>
        <v>0</v>
      </c>
      <c r="EB38" s="347">
        <f>SUM(EB39:EB48)</f>
        <v>0</v>
      </c>
      <c r="EC38" s="347">
        <f>SUM(EC39:EC48)</f>
        <v>0</v>
      </c>
      <c r="ED38" s="347">
        <f>SUM(ED39:ED48)</f>
        <v>0</v>
      </c>
      <c r="EE38" s="342">
        <f t="shared" si="146"/>
        <v>0</v>
      </c>
      <c r="EF38" s="347">
        <f>SUM(EF39:EF48)</f>
        <v>0</v>
      </c>
      <c r="EG38" s="347">
        <f>SUM(EG39:EG48)</f>
        <v>0</v>
      </c>
      <c r="EH38" s="347">
        <f>SUM(EH39:EH48)</f>
        <v>0</v>
      </c>
      <c r="EI38" s="342">
        <f t="shared" si="147"/>
        <v>0</v>
      </c>
      <c r="EJ38" s="347">
        <f>SUM(EJ39:EJ48)</f>
        <v>0</v>
      </c>
      <c r="EK38" s="347">
        <f t="shared" ref="EK38:EU38" si="177">SUM(EK39:EK48)</f>
        <v>0</v>
      </c>
      <c r="EL38" s="347">
        <f t="shared" si="177"/>
        <v>0</v>
      </c>
      <c r="EM38" s="347">
        <f t="shared" si="177"/>
        <v>0</v>
      </c>
      <c r="EN38" s="342">
        <f t="shared" si="177"/>
        <v>0</v>
      </c>
      <c r="EO38" s="347">
        <f t="shared" si="177"/>
        <v>0</v>
      </c>
      <c r="EP38" s="347">
        <f t="shared" si="177"/>
        <v>0</v>
      </c>
      <c r="EQ38" s="347">
        <f t="shared" si="177"/>
        <v>0</v>
      </c>
      <c r="ER38" s="342">
        <f t="shared" si="177"/>
        <v>0</v>
      </c>
      <c r="ES38" s="347">
        <f t="shared" si="177"/>
        <v>0</v>
      </c>
      <c r="ET38" s="347">
        <f t="shared" si="177"/>
        <v>0</v>
      </c>
      <c r="EU38" s="347">
        <f t="shared" si="177"/>
        <v>0</v>
      </c>
      <c r="EV38" s="342">
        <f t="shared" si="117"/>
        <v>0</v>
      </c>
      <c r="EW38" s="347">
        <f>SUM(EW39:EW48)</f>
        <v>0</v>
      </c>
      <c r="EX38" s="347">
        <f>SUM(EX39:EX48)</f>
        <v>0</v>
      </c>
      <c r="EY38" s="347">
        <f>SUM(EY39:EY48)</f>
        <v>0</v>
      </c>
      <c r="EZ38" s="342">
        <f t="shared" si="118"/>
        <v>0</v>
      </c>
      <c r="FA38" s="347">
        <f>SUM(FA39:FA48)</f>
        <v>0</v>
      </c>
      <c r="FB38" s="347">
        <f>SUM(FB39:FB48)</f>
        <v>0</v>
      </c>
      <c r="FC38" s="336" t="e">
        <f t="shared" si="59"/>
        <v>#DIV/0!</v>
      </c>
    </row>
    <row r="39" spans="1:159" s="6" customFormat="1" ht="18" hidden="1" outlineLevel="1">
      <c r="A39" s="343"/>
      <c r="B39" s="344" t="s">
        <v>534</v>
      </c>
      <c r="C39" s="349"/>
      <c r="D39" s="350"/>
      <c r="E39" s="347"/>
      <c r="F39" s="347"/>
      <c r="G39" s="347"/>
      <c r="H39" s="342">
        <f t="shared" ref="H39:H76" si="178">SUM(E39:G39)</f>
        <v>0</v>
      </c>
      <c r="I39" s="347"/>
      <c r="J39" s="347"/>
      <c r="K39" s="347"/>
      <c r="L39" s="342">
        <f t="shared" ref="L39:L76" si="179">SUM(I39:K39)</f>
        <v>0</v>
      </c>
      <c r="M39" s="347"/>
      <c r="N39" s="347"/>
      <c r="O39" s="347"/>
      <c r="P39" s="342">
        <f t="shared" si="156"/>
        <v>0</v>
      </c>
      <c r="Q39" s="347"/>
      <c r="R39" s="347"/>
      <c r="S39" s="347"/>
      <c r="T39" s="342">
        <f t="shared" si="157"/>
        <v>0</v>
      </c>
      <c r="U39" s="347">
        <f>H39+L39+P39+T39</f>
        <v>0</v>
      </c>
      <c r="V39" s="347"/>
      <c r="W39" s="347"/>
      <c r="X39" s="347"/>
      <c r="Y39" s="342">
        <f t="shared" si="158"/>
        <v>0</v>
      </c>
      <c r="Z39" s="347"/>
      <c r="AA39" s="347"/>
      <c r="AB39" s="347"/>
      <c r="AC39" s="342">
        <f t="shared" si="101"/>
        <v>0</v>
      </c>
      <c r="AD39" s="347"/>
      <c r="AE39" s="347"/>
      <c r="AF39" s="347"/>
      <c r="AG39" s="342">
        <f t="shared" si="159"/>
        <v>0</v>
      </c>
      <c r="AH39" s="347"/>
      <c r="AI39" s="347"/>
      <c r="AJ39" s="347"/>
      <c r="AK39" s="342">
        <f t="shared" si="102"/>
        <v>0</v>
      </c>
      <c r="AL39" s="347">
        <f t="shared" si="160"/>
        <v>0</v>
      </c>
      <c r="AM39" s="348">
        <v>0</v>
      </c>
      <c r="AN39" s="348">
        <v>0</v>
      </c>
      <c r="AO39" s="348">
        <v>0</v>
      </c>
      <c r="AP39" s="342">
        <f t="shared" si="103"/>
        <v>0</v>
      </c>
      <c r="AQ39" s="348">
        <v>0</v>
      </c>
      <c r="AR39" s="348">
        <v>0</v>
      </c>
      <c r="AS39" s="348">
        <v>0</v>
      </c>
      <c r="AT39" s="342">
        <f t="shared" si="104"/>
        <v>0</v>
      </c>
      <c r="AU39" s="348">
        <v>0</v>
      </c>
      <c r="AV39" s="348">
        <v>0</v>
      </c>
      <c r="AW39" s="348">
        <v>0</v>
      </c>
      <c r="AX39" s="342">
        <f t="shared" si="105"/>
        <v>0</v>
      </c>
      <c r="AY39" s="348"/>
      <c r="AZ39" s="348"/>
      <c r="BA39" s="348"/>
      <c r="BB39" s="342">
        <f t="shared" si="106"/>
        <v>0</v>
      </c>
      <c r="BC39" s="347">
        <f t="shared" si="161"/>
        <v>0</v>
      </c>
      <c r="BD39" s="348"/>
      <c r="BE39" s="348"/>
      <c r="BF39" s="348"/>
      <c r="BG39" s="342">
        <f t="shared" si="162"/>
        <v>0</v>
      </c>
      <c r="BH39" s="348"/>
      <c r="BI39" s="348"/>
      <c r="BJ39" s="348"/>
      <c r="BK39" s="342">
        <f t="shared" si="74"/>
        <v>0</v>
      </c>
      <c r="BL39" s="348"/>
      <c r="BM39" s="348"/>
      <c r="BN39" s="347"/>
      <c r="BO39" s="342">
        <f t="shared" si="114"/>
        <v>0</v>
      </c>
      <c r="BP39" s="348"/>
      <c r="BQ39" s="348"/>
      <c r="BR39" s="348"/>
      <c r="BS39" s="342">
        <f t="shared" si="76"/>
        <v>0</v>
      </c>
      <c r="BT39" s="347">
        <f t="shared" si="163"/>
        <v>0</v>
      </c>
      <c r="BU39" s="348"/>
      <c r="BV39" s="348"/>
      <c r="BW39" s="348"/>
      <c r="BX39" s="342">
        <f t="shared" si="77"/>
        <v>0</v>
      </c>
      <c r="BY39" s="348"/>
      <c r="BZ39" s="348"/>
      <c r="CA39" s="348"/>
      <c r="CB39" s="342">
        <f t="shared" si="78"/>
        <v>0</v>
      </c>
      <c r="CC39" s="348"/>
      <c r="CD39" s="348"/>
      <c r="CE39" s="348"/>
      <c r="CF39" s="342">
        <f t="shared" si="79"/>
        <v>0</v>
      </c>
      <c r="CG39" s="348"/>
      <c r="CH39" s="348"/>
      <c r="CI39" s="348"/>
      <c r="CJ39" s="342">
        <f t="shared" si="80"/>
        <v>0</v>
      </c>
      <c r="CK39" s="347">
        <f t="shared" si="164"/>
        <v>0</v>
      </c>
      <c r="CL39" s="347"/>
      <c r="CM39" s="347"/>
      <c r="CN39" s="347"/>
      <c r="CO39" s="342">
        <f t="shared" si="81"/>
        <v>0</v>
      </c>
      <c r="CP39" s="347"/>
      <c r="CQ39" s="347"/>
      <c r="CR39" s="347"/>
      <c r="CS39" s="342">
        <f t="shared" si="82"/>
        <v>0</v>
      </c>
      <c r="CT39" s="347"/>
      <c r="CU39" s="347"/>
      <c r="CV39" s="347"/>
      <c r="CW39" s="342">
        <f t="shared" si="83"/>
        <v>0</v>
      </c>
      <c r="CX39" s="347"/>
      <c r="CY39" s="347"/>
      <c r="CZ39" s="347"/>
      <c r="DA39" s="342">
        <f t="shared" si="84"/>
        <v>0</v>
      </c>
      <c r="DB39" s="347">
        <f t="shared" si="165"/>
        <v>0</v>
      </c>
      <c r="DC39" s="347">
        <v>0</v>
      </c>
      <c r="DD39" s="347">
        <v>0</v>
      </c>
      <c r="DE39" s="347">
        <v>0</v>
      </c>
      <c r="DF39" s="342">
        <f t="shared" si="129"/>
        <v>0</v>
      </c>
      <c r="DG39" s="347">
        <v>0</v>
      </c>
      <c r="DH39" s="347">
        <v>0</v>
      </c>
      <c r="DI39" s="347">
        <v>0</v>
      </c>
      <c r="DJ39" s="342">
        <f t="shared" si="151"/>
        <v>0</v>
      </c>
      <c r="DK39" s="347">
        <v>0</v>
      </c>
      <c r="DL39" s="347">
        <v>0</v>
      </c>
      <c r="DM39" s="347">
        <v>0</v>
      </c>
      <c r="DN39" s="342">
        <f t="shared" si="152"/>
        <v>0</v>
      </c>
      <c r="DO39" s="347">
        <v>0</v>
      </c>
      <c r="DP39" s="347">
        <v>0</v>
      </c>
      <c r="DQ39" s="347">
        <v>0</v>
      </c>
      <c r="DR39" s="342">
        <f t="shared" si="153"/>
        <v>0</v>
      </c>
      <c r="DS39" s="347">
        <f t="shared" si="166"/>
        <v>0</v>
      </c>
      <c r="DT39" s="347"/>
      <c r="DU39" s="347"/>
      <c r="DV39" s="347"/>
      <c r="DW39" s="342">
        <f t="shared" si="89"/>
        <v>0</v>
      </c>
      <c r="DX39" s="347"/>
      <c r="DY39" s="347"/>
      <c r="DZ39" s="347"/>
      <c r="EA39" s="342">
        <f t="shared" si="137"/>
        <v>0</v>
      </c>
      <c r="EB39" s="347"/>
      <c r="EC39" s="347"/>
      <c r="ED39" s="347"/>
      <c r="EE39" s="342">
        <f t="shared" si="146"/>
        <v>0</v>
      </c>
      <c r="EF39" s="347"/>
      <c r="EG39" s="347"/>
      <c r="EH39" s="347"/>
      <c r="EI39" s="342">
        <f t="shared" si="147"/>
        <v>0</v>
      </c>
      <c r="EJ39" s="347">
        <f t="shared" si="167"/>
        <v>0</v>
      </c>
      <c r="EK39" s="347"/>
      <c r="EL39" s="347"/>
      <c r="EM39" s="347"/>
      <c r="EN39" s="342">
        <f t="shared" si="154"/>
        <v>0</v>
      </c>
      <c r="EO39" s="347"/>
      <c r="EP39" s="347"/>
      <c r="EQ39" s="347"/>
      <c r="ER39" s="342">
        <f t="shared" si="135"/>
        <v>0</v>
      </c>
      <c r="ES39" s="347"/>
      <c r="ET39" s="347"/>
      <c r="EU39" s="347"/>
      <c r="EV39" s="342">
        <f t="shared" si="117"/>
        <v>0</v>
      </c>
      <c r="EW39" s="347"/>
      <c r="EX39" s="347"/>
      <c r="EY39" s="347"/>
      <c r="EZ39" s="342">
        <f t="shared" si="118"/>
        <v>0</v>
      </c>
      <c r="FA39" s="347">
        <f t="shared" si="168"/>
        <v>0</v>
      </c>
      <c r="FB39" s="347">
        <f t="shared" si="139"/>
        <v>0</v>
      </c>
      <c r="FC39" s="351" t="e">
        <f t="shared" si="59"/>
        <v>#DIV/0!</v>
      </c>
    </row>
    <row r="40" spans="1:159" s="6" customFormat="1" ht="18" hidden="1" outlineLevel="1">
      <c r="A40" s="343"/>
      <c r="B40" s="344" t="s">
        <v>535</v>
      </c>
      <c r="C40" s="349"/>
      <c r="D40" s="350"/>
      <c r="E40" s="347"/>
      <c r="F40" s="347"/>
      <c r="G40" s="347"/>
      <c r="H40" s="342">
        <f t="shared" si="178"/>
        <v>0</v>
      </c>
      <c r="I40" s="347"/>
      <c r="J40" s="347"/>
      <c r="K40" s="347"/>
      <c r="L40" s="342">
        <f t="shared" si="179"/>
        <v>0</v>
      </c>
      <c r="M40" s="347"/>
      <c r="N40" s="347"/>
      <c r="O40" s="347"/>
      <c r="P40" s="342">
        <f t="shared" si="156"/>
        <v>0</v>
      </c>
      <c r="Q40" s="347"/>
      <c r="R40" s="347"/>
      <c r="S40" s="347"/>
      <c r="T40" s="342">
        <f t="shared" si="157"/>
        <v>0</v>
      </c>
      <c r="U40" s="347">
        <f t="shared" ref="U40:U48" si="180">H40+L40+P40+T40</f>
        <v>0</v>
      </c>
      <c r="V40" s="347"/>
      <c r="W40" s="347"/>
      <c r="X40" s="347"/>
      <c r="Y40" s="342">
        <f t="shared" si="158"/>
        <v>0</v>
      </c>
      <c r="Z40" s="347"/>
      <c r="AA40" s="347"/>
      <c r="AB40" s="347"/>
      <c r="AC40" s="342">
        <f t="shared" si="101"/>
        <v>0</v>
      </c>
      <c r="AD40" s="347"/>
      <c r="AE40" s="347"/>
      <c r="AF40" s="347"/>
      <c r="AG40" s="342">
        <f t="shared" si="159"/>
        <v>0</v>
      </c>
      <c r="AH40" s="347"/>
      <c r="AI40" s="347"/>
      <c r="AJ40" s="347"/>
      <c r="AK40" s="342">
        <f t="shared" si="102"/>
        <v>0</v>
      </c>
      <c r="AL40" s="347">
        <f t="shared" si="160"/>
        <v>0</v>
      </c>
      <c r="AM40" s="348">
        <v>0</v>
      </c>
      <c r="AN40" s="348">
        <v>0</v>
      </c>
      <c r="AO40" s="348">
        <v>0</v>
      </c>
      <c r="AP40" s="342">
        <f t="shared" si="103"/>
        <v>0</v>
      </c>
      <c r="AQ40" s="348">
        <v>0</v>
      </c>
      <c r="AR40" s="348">
        <v>0</v>
      </c>
      <c r="AS40" s="348">
        <v>0</v>
      </c>
      <c r="AT40" s="342">
        <f t="shared" si="104"/>
        <v>0</v>
      </c>
      <c r="AU40" s="348">
        <v>0</v>
      </c>
      <c r="AV40" s="348">
        <v>0</v>
      </c>
      <c r="AW40" s="348">
        <v>0</v>
      </c>
      <c r="AX40" s="342">
        <f t="shared" si="105"/>
        <v>0</v>
      </c>
      <c r="AY40" s="348"/>
      <c r="AZ40" s="348"/>
      <c r="BA40" s="348"/>
      <c r="BB40" s="342">
        <f t="shared" si="106"/>
        <v>0</v>
      </c>
      <c r="BC40" s="347">
        <f t="shared" si="161"/>
        <v>0</v>
      </c>
      <c r="BD40" s="348"/>
      <c r="BE40" s="348"/>
      <c r="BF40" s="348"/>
      <c r="BG40" s="342">
        <f t="shared" si="162"/>
        <v>0</v>
      </c>
      <c r="BH40" s="348"/>
      <c r="BI40" s="348"/>
      <c r="BJ40" s="348"/>
      <c r="BK40" s="342">
        <f t="shared" si="74"/>
        <v>0</v>
      </c>
      <c r="BL40" s="348"/>
      <c r="BM40" s="348"/>
      <c r="BN40" s="347"/>
      <c r="BO40" s="342">
        <f t="shared" si="114"/>
        <v>0</v>
      </c>
      <c r="BP40" s="348"/>
      <c r="BQ40" s="348"/>
      <c r="BR40" s="348"/>
      <c r="BS40" s="342">
        <f t="shared" si="76"/>
        <v>0</v>
      </c>
      <c r="BT40" s="347">
        <f t="shared" si="163"/>
        <v>0</v>
      </c>
      <c r="BU40" s="348"/>
      <c r="BV40" s="348"/>
      <c r="BW40" s="348"/>
      <c r="BX40" s="342">
        <f t="shared" si="77"/>
        <v>0</v>
      </c>
      <c r="BY40" s="348"/>
      <c r="BZ40" s="348"/>
      <c r="CA40" s="348"/>
      <c r="CB40" s="342">
        <f t="shared" si="78"/>
        <v>0</v>
      </c>
      <c r="CC40" s="348"/>
      <c r="CD40" s="348"/>
      <c r="CE40" s="348"/>
      <c r="CF40" s="342">
        <f t="shared" si="79"/>
        <v>0</v>
      </c>
      <c r="CG40" s="348"/>
      <c r="CH40" s="348"/>
      <c r="CI40" s="348"/>
      <c r="CJ40" s="342">
        <f t="shared" si="80"/>
        <v>0</v>
      </c>
      <c r="CK40" s="347">
        <f t="shared" si="164"/>
        <v>0</v>
      </c>
      <c r="CL40" s="347"/>
      <c r="CM40" s="347"/>
      <c r="CN40" s="347"/>
      <c r="CO40" s="342">
        <f t="shared" si="81"/>
        <v>0</v>
      </c>
      <c r="CP40" s="347"/>
      <c r="CQ40" s="347"/>
      <c r="CR40" s="347"/>
      <c r="CS40" s="342">
        <f t="shared" si="82"/>
        <v>0</v>
      </c>
      <c r="CT40" s="347"/>
      <c r="CU40" s="347"/>
      <c r="CV40" s="347"/>
      <c r="CW40" s="342">
        <f t="shared" si="83"/>
        <v>0</v>
      </c>
      <c r="CX40" s="347"/>
      <c r="CY40" s="347"/>
      <c r="CZ40" s="347"/>
      <c r="DA40" s="342">
        <f t="shared" si="84"/>
        <v>0</v>
      </c>
      <c r="DB40" s="347">
        <f t="shared" si="165"/>
        <v>0</v>
      </c>
      <c r="DC40" s="347">
        <v>0</v>
      </c>
      <c r="DD40" s="347">
        <v>0</v>
      </c>
      <c r="DE40" s="347">
        <v>0</v>
      </c>
      <c r="DF40" s="342">
        <f t="shared" si="129"/>
        <v>0</v>
      </c>
      <c r="DG40" s="347">
        <v>0</v>
      </c>
      <c r="DH40" s="347">
        <v>0</v>
      </c>
      <c r="DI40" s="347">
        <v>0</v>
      </c>
      <c r="DJ40" s="342">
        <f t="shared" si="151"/>
        <v>0</v>
      </c>
      <c r="DK40" s="347">
        <v>0</v>
      </c>
      <c r="DL40" s="347">
        <v>0</v>
      </c>
      <c r="DM40" s="347">
        <v>0</v>
      </c>
      <c r="DN40" s="342">
        <f t="shared" si="152"/>
        <v>0</v>
      </c>
      <c r="DO40" s="347">
        <v>0</v>
      </c>
      <c r="DP40" s="347">
        <v>0</v>
      </c>
      <c r="DQ40" s="347">
        <v>0</v>
      </c>
      <c r="DR40" s="342">
        <f t="shared" si="153"/>
        <v>0</v>
      </c>
      <c r="DS40" s="347">
        <f t="shared" si="166"/>
        <v>0</v>
      </c>
      <c r="DT40" s="347"/>
      <c r="DU40" s="347"/>
      <c r="DV40" s="347"/>
      <c r="DW40" s="342">
        <f t="shared" si="89"/>
        <v>0</v>
      </c>
      <c r="DX40" s="347"/>
      <c r="DY40" s="347"/>
      <c r="DZ40" s="347"/>
      <c r="EA40" s="342">
        <f t="shared" si="137"/>
        <v>0</v>
      </c>
      <c r="EB40" s="347"/>
      <c r="EC40" s="347"/>
      <c r="ED40" s="347"/>
      <c r="EE40" s="342">
        <f t="shared" si="146"/>
        <v>0</v>
      </c>
      <c r="EF40" s="347"/>
      <c r="EG40" s="347"/>
      <c r="EH40" s="347"/>
      <c r="EI40" s="342">
        <f t="shared" si="147"/>
        <v>0</v>
      </c>
      <c r="EJ40" s="347">
        <f t="shared" si="167"/>
        <v>0</v>
      </c>
      <c r="EK40" s="347"/>
      <c r="EL40" s="347"/>
      <c r="EM40" s="347"/>
      <c r="EN40" s="342">
        <f t="shared" si="154"/>
        <v>0</v>
      </c>
      <c r="EO40" s="347"/>
      <c r="EP40" s="347"/>
      <c r="EQ40" s="347"/>
      <c r="ER40" s="342">
        <f t="shared" si="135"/>
        <v>0</v>
      </c>
      <c r="ES40" s="347"/>
      <c r="ET40" s="347"/>
      <c r="EU40" s="347"/>
      <c r="EV40" s="342">
        <f t="shared" si="117"/>
        <v>0</v>
      </c>
      <c r="EW40" s="347"/>
      <c r="EX40" s="347"/>
      <c r="EY40" s="347"/>
      <c r="EZ40" s="342">
        <f t="shared" si="118"/>
        <v>0</v>
      </c>
      <c r="FA40" s="347">
        <f t="shared" si="168"/>
        <v>0</v>
      </c>
      <c r="FB40" s="347">
        <f t="shared" si="139"/>
        <v>0</v>
      </c>
      <c r="FC40" s="336" t="e">
        <f t="shared" si="59"/>
        <v>#DIV/0!</v>
      </c>
    </row>
    <row r="41" spans="1:159" s="6" customFormat="1" ht="18" hidden="1" outlineLevel="1">
      <c r="A41" s="343"/>
      <c r="B41" s="344" t="s">
        <v>536</v>
      </c>
      <c r="C41" s="349"/>
      <c r="D41" s="350"/>
      <c r="E41" s="347"/>
      <c r="F41" s="347"/>
      <c r="G41" s="347"/>
      <c r="H41" s="342">
        <f t="shared" si="178"/>
        <v>0</v>
      </c>
      <c r="I41" s="347"/>
      <c r="J41" s="347"/>
      <c r="K41" s="347"/>
      <c r="L41" s="342">
        <f t="shared" si="179"/>
        <v>0</v>
      </c>
      <c r="M41" s="347"/>
      <c r="N41" s="347"/>
      <c r="O41" s="347"/>
      <c r="P41" s="342">
        <f t="shared" si="156"/>
        <v>0</v>
      </c>
      <c r="Q41" s="347"/>
      <c r="R41" s="347"/>
      <c r="S41" s="347"/>
      <c r="T41" s="342">
        <f t="shared" si="157"/>
        <v>0</v>
      </c>
      <c r="U41" s="347">
        <f t="shared" si="180"/>
        <v>0</v>
      </c>
      <c r="V41" s="347"/>
      <c r="W41" s="347"/>
      <c r="X41" s="347"/>
      <c r="Y41" s="342">
        <f t="shared" si="158"/>
        <v>0</v>
      </c>
      <c r="Z41" s="347"/>
      <c r="AA41" s="347"/>
      <c r="AB41" s="347"/>
      <c r="AC41" s="342">
        <f t="shared" si="101"/>
        <v>0</v>
      </c>
      <c r="AD41" s="347"/>
      <c r="AE41" s="347"/>
      <c r="AF41" s="347"/>
      <c r="AG41" s="342">
        <f t="shared" si="159"/>
        <v>0</v>
      </c>
      <c r="AH41" s="347"/>
      <c r="AI41" s="347"/>
      <c r="AJ41" s="347"/>
      <c r="AK41" s="342">
        <f t="shared" si="102"/>
        <v>0</v>
      </c>
      <c r="AL41" s="347">
        <f t="shared" si="160"/>
        <v>0</v>
      </c>
      <c r="AM41" s="348">
        <v>0</v>
      </c>
      <c r="AN41" s="348">
        <v>0</v>
      </c>
      <c r="AO41" s="348">
        <v>0</v>
      </c>
      <c r="AP41" s="342">
        <f t="shared" si="103"/>
        <v>0</v>
      </c>
      <c r="AQ41" s="348">
        <v>0</v>
      </c>
      <c r="AR41" s="348">
        <v>0</v>
      </c>
      <c r="AS41" s="348">
        <v>0</v>
      </c>
      <c r="AT41" s="342">
        <f t="shared" si="104"/>
        <v>0</v>
      </c>
      <c r="AU41" s="348">
        <v>0</v>
      </c>
      <c r="AV41" s="348">
        <v>0</v>
      </c>
      <c r="AW41" s="348">
        <v>0</v>
      </c>
      <c r="AX41" s="342">
        <f t="shared" si="105"/>
        <v>0</v>
      </c>
      <c r="AY41" s="348"/>
      <c r="AZ41" s="348"/>
      <c r="BA41" s="348"/>
      <c r="BB41" s="342">
        <f t="shared" si="106"/>
        <v>0</v>
      </c>
      <c r="BC41" s="347">
        <f t="shared" si="161"/>
        <v>0</v>
      </c>
      <c r="BD41" s="348"/>
      <c r="BE41" s="348"/>
      <c r="BF41" s="348"/>
      <c r="BG41" s="342">
        <f t="shared" si="162"/>
        <v>0</v>
      </c>
      <c r="BH41" s="348"/>
      <c r="BI41" s="348"/>
      <c r="BJ41" s="348"/>
      <c r="BK41" s="342">
        <f t="shared" si="74"/>
        <v>0</v>
      </c>
      <c r="BL41" s="348"/>
      <c r="BM41" s="348"/>
      <c r="BN41" s="347"/>
      <c r="BO41" s="342">
        <f t="shared" si="114"/>
        <v>0</v>
      </c>
      <c r="BP41" s="348"/>
      <c r="BQ41" s="348"/>
      <c r="BR41" s="348"/>
      <c r="BS41" s="342">
        <f t="shared" si="76"/>
        <v>0</v>
      </c>
      <c r="BT41" s="347">
        <f t="shared" si="163"/>
        <v>0</v>
      </c>
      <c r="BU41" s="348"/>
      <c r="BV41" s="348"/>
      <c r="BW41" s="348"/>
      <c r="BX41" s="342">
        <f t="shared" si="77"/>
        <v>0</v>
      </c>
      <c r="BY41" s="348"/>
      <c r="BZ41" s="348"/>
      <c r="CA41" s="348"/>
      <c r="CB41" s="342">
        <f t="shared" si="78"/>
        <v>0</v>
      </c>
      <c r="CC41" s="348"/>
      <c r="CD41" s="348"/>
      <c r="CE41" s="348"/>
      <c r="CF41" s="342">
        <f t="shared" si="79"/>
        <v>0</v>
      </c>
      <c r="CG41" s="348"/>
      <c r="CH41" s="348"/>
      <c r="CI41" s="348"/>
      <c r="CJ41" s="342">
        <f t="shared" si="80"/>
        <v>0</v>
      </c>
      <c r="CK41" s="347">
        <f t="shared" si="164"/>
        <v>0</v>
      </c>
      <c r="CL41" s="347"/>
      <c r="CM41" s="347"/>
      <c r="CN41" s="347"/>
      <c r="CO41" s="342">
        <f t="shared" si="81"/>
        <v>0</v>
      </c>
      <c r="CP41" s="347"/>
      <c r="CQ41" s="347"/>
      <c r="CR41" s="347"/>
      <c r="CS41" s="342">
        <f t="shared" si="82"/>
        <v>0</v>
      </c>
      <c r="CT41" s="347"/>
      <c r="CU41" s="347"/>
      <c r="CV41" s="347"/>
      <c r="CW41" s="342">
        <f t="shared" si="83"/>
        <v>0</v>
      </c>
      <c r="CX41" s="347"/>
      <c r="CY41" s="347"/>
      <c r="CZ41" s="347"/>
      <c r="DA41" s="342">
        <f t="shared" si="84"/>
        <v>0</v>
      </c>
      <c r="DB41" s="347">
        <f t="shared" si="165"/>
        <v>0</v>
      </c>
      <c r="DC41" s="347">
        <v>0</v>
      </c>
      <c r="DD41" s="347">
        <v>0</v>
      </c>
      <c r="DE41" s="347">
        <v>0</v>
      </c>
      <c r="DF41" s="342">
        <f t="shared" si="129"/>
        <v>0</v>
      </c>
      <c r="DG41" s="347">
        <v>0</v>
      </c>
      <c r="DH41" s="347">
        <v>0</v>
      </c>
      <c r="DI41" s="347">
        <v>0</v>
      </c>
      <c r="DJ41" s="342">
        <f t="shared" si="151"/>
        <v>0</v>
      </c>
      <c r="DK41" s="347">
        <v>0</v>
      </c>
      <c r="DL41" s="347">
        <v>0</v>
      </c>
      <c r="DM41" s="347">
        <v>0</v>
      </c>
      <c r="DN41" s="342">
        <f t="shared" si="152"/>
        <v>0</v>
      </c>
      <c r="DO41" s="347">
        <v>0</v>
      </c>
      <c r="DP41" s="347">
        <v>0</v>
      </c>
      <c r="DQ41" s="347">
        <v>0</v>
      </c>
      <c r="DR41" s="342">
        <f t="shared" si="153"/>
        <v>0</v>
      </c>
      <c r="DS41" s="347">
        <f t="shared" si="166"/>
        <v>0</v>
      </c>
      <c r="DT41" s="347"/>
      <c r="DU41" s="347"/>
      <c r="DV41" s="347"/>
      <c r="DW41" s="342">
        <f t="shared" si="89"/>
        <v>0</v>
      </c>
      <c r="DX41" s="347"/>
      <c r="DY41" s="347"/>
      <c r="DZ41" s="347"/>
      <c r="EA41" s="342">
        <f t="shared" si="137"/>
        <v>0</v>
      </c>
      <c r="EB41" s="347"/>
      <c r="EC41" s="347"/>
      <c r="ED41" s="347"/>
      <c r="EE41" s="342">
        <f t="shared" si="146"/>
        <v>0</v>
      </c>
      <c r="EF41" s="347"/>
      <c r="EG41" s="347"/>
      <c r="EH41" s="347"/>
      <c r="EI41" s="342">
        <f t="shared" si="147"/>
        <v>0</v>
      </c>
      <c r="EJ41" s="347">
        <f t="shared" si="167"/>
        <v>0</v>
      </c>
      <c r="EK41" s="347"/>
      <c r="EL41" s="347"/>
      <c r="EM41" s="347"/>
      <c r="EN41" s="342">
        <f t="shared" si="154"/>
        <v>0</v>
      </c>
      <c r="EO41" s="347"/>
      <c r="EP41" s="347"/>
      <c r="EQ41" s="347"/>
      <c r="ER41" s="342">
        <f t="shared" si="135"/>
        <v>0</v>
      </c>
      <c r="ES41" s="347"/>
      <c r="ET41" s="347"/>
      <c r="EU41" s="347"/>
      <c r="EV41" s="342">
        <f t="shared" si="117"/>
        <v>0</v>
      </c>
      <c r="EW41" s="347"/>
      <c r="EX41" s="347"/>
      <c r="EY41" s="347"/>
      <c r="EZ41" s="342">
        <f t="shared" si="118"/>
        <v>0</v>
      </c>
      <c r="FA41" s="347">
        <f t="shared" si="168"/>
        <v>0</v>
      </c>
      <c r="FB41" s="347">
        <f t="shared" si="139"/>
        <v>0</v>
      </c>
      <c r="FC41" s="336" t="e">
        <f t="shared" si="59"/>
        <v>#DIV/0!</v>
      </c>
    </row>
    <row r="42" spans="1:159" s="6" customFormat="1" ht="18" hidden="1" outlineLevel="1">
      <c r="A42" s="343"/>
      <c r="B42" s="344" t="s">
        <v>537</v>
      </c>
      <c r="C42" s="349"/>
      <c r="D42" s="350"/>
      <c r="E42" s="347"/>
      <c r="F42" s="347"/>
      <c r="G42" s="347"/>
      <c r="H42" s="342">
        <f t="shared" si="178"/>
        <v>0</v>
      </c>
      <c r="I42" s="347"/>
      <c r="J42" s="347"/>
      <c r="K42" s="347"/>
      <c r="L42" s="342">
        <f t="shared" si="179"/>
        <v>0</v>
      </c>
      <c r="M42" s="347"/>
      <c r="N42" s="347"/>
      <c r="O42" s="347"/>
      <c r="P42" s="342">
        <f t="shared" si="156"/>
        <v>0</v>
      </c>
      <c r="Q42" s="347"/>
      <c r="R42" s="347"/>
      <c r="S42" s="347"/>
      <c r="T42" s="342">
        <f t="shared" si="157"/>
        <v>0</v>
      </c>
      <c r="U42" s="347">
        <f t="shared" si="180"/>
        <v>0</v>
      </c>
      <c r="V42" s="347"/>
      <c r="W42" s="347"/>
      <c r="X42" s="347"/>
      <c r="Y42" s="342">
        <f t="shared" si="158"/>
        <v>0</v>
      </c>
      <c r="Z42" s="347"/>
      <c r="AA42" s="347"/>
      <c r="AB42" s="347"/>
      <c r="AC42" s="342">
        <f t="shared" si="101"/>
        <v>0</v>
      </c>
      <c r="AD42" s="347"/>
      <c r="AE42" s="347"/>
      <c r="AF42" s="347"/>
      <c r="AG42" s="342">
        <f t="shared" si="159"/>
        <v>0</v>
      </c>
      <c r="AH42" s="347"/>
      <c r="AI42" s="347"/>
      <c r="AJ42" s="347"/>
      <c r="AK42" s="342">
        <f t="shared" si="102"/>
        <v>0</v>
      </c>
      <c r="AL42" s="347">
        <f t="shared" si="160"/>
        <v>0</v>
      </c>
      <c r="AM42" s="348">
        <v>0</v>
      </c>
      <c r="AN42" s="348">
        <v>0</v>
      </c>
      <c r="AO42" s="348">
        <v>0</v>
      </c>
      <c r="AP42" s="342">
        <f t="shared" si="103"/>
        <v>0</v>
      </c>
      <c r="AQ42" s="348">
        <v>0</v>
      </c>
      <c r="AR42" s="348">
        <v>0</v>
      </c>
      <c r="AS42" s="348">
        <v>0</v>
      </c>
      <c r="AT42" s="342">
        <f t="shared" si="104"/>
        <v>0</v>
      </c>
      <c r="AU42" s="348">
        <v>0</v>
      </c>
      <c r="AV42" s="348">
        <v>0</v>
      </c>
      <c r="AW42" s="348">
        <v>0</v>
      </c>
      <c r="AX42" s="342">
        <f t="shared" si="105"/>
        <v>0</v>
      </c>
      <c r="AY42" s="348"/>
      <c r="AZ42" s="348"/>
      <c r="BA42" s="348"/>
      <c r="BB42" s="342">
        <f t="shared" si="106"/>
        <v>0</v>
      </c>
      <c r="BC42" s="347">
        <f t="shared" si="161"/>
        <v>0</v>
      </c>
      <c r="BD42" s="348"/>
      <c r="BE42" s="348"/>
      <c r="BF42" s="348"/>
      <c r="BG42" s="342">
        <f t="shared" si="162"/>
        <v>0</v>
      </c>
      <c r="BH42" s="348"/>
      <c r="BI42" s="348"/>
      <c r="BJ42" s="348"/>
      <c r="BK42" s="342">
        <f t="shared" si="74"/>
        <v>0</v>
      </c>
      <c r="BL42" s="348"/>
      <c r="BM42" s="348"/>
      <c r="BN42" s="347"/>
      <c r="BO42" s="342">
        <f t="shared" si="114"/>
        <v>0</v>
      </c>
      <c r="BP42" s="348"/>
      <c r="BQ42" s="348"/>
      <c r="BR42" s="348"/>
      <c r="BS42" s="342">
        <f t="shared" si="76"/>
        <v>0</v>
      </c>
      <c r="BT42" s="347">
        <f t="shared" si="163"/>
        <v>0</v>
      </c>
      <c r="BU42" s="348"/>
      <c r="BV42" s="348"/>
      <c r="BW42" s="348"/>
      <c r="BX42" s="342">
        <f t="shared" si="77"/>
        <v>0</v>
      </c>
      <c r="BY42" s="348"/>
      <c r="BZ42" s="348"/>
      <c r="CA42" s="348"/>
      <c r="CB42" s="342">
        <f t="shared" si="78"/>
        <v>0</v>
      </c>
      <c r="CC42" s="348"/>
      <c r="CD42" s="348"/>
      <c r="CE42" s="348"/>
      <c r="CF42" s="342">
        <f t="shared" si="79"/>
        <v>0</v>
      </c>
      <c r="CG42" s="348"/>
      <c r="CH42" s="348"/>
      <c r="CI42" s="348"/>
      <c r="CJ42" s="342">
        <f t="shared" si="80"/>
        <v>0</v>
      </c>
      <c r="CK42" s="347">
        <f t="shared" si="164"/>
        <v>0</v>
      </c>
      <c r="CL42" s="347"/>
      <c r="CM42" s="347"/>
      <c r="CN42" s="347"/>
      <c r="CO42" s="342">
        <f t="shared" si="81"/>
        <v>0</v>
      </c>
      <c r="CP42" s="347"/>
      <c r="CQ42" s="347"/>
      <c r="CR42" s="347"/>
      <c r="CS42" s="342">
        <f t="shared" si="82"/>
        <v>0</v>
      </c>
      <c r="CT42" s="347"/>
      <c r="CU42" s="347"/>
      <c r="CV42" s="347"/>
      <c r="CW42" s="342">
        <f t="shared" si="83"/>
        <v>0</v>
      </c>
      <c r="CX42" s="347"/>
      <c r="CY42" s="347"/>
      <c r="CZ42" s="347"/>
      <c r="DA42" s="342">
        <f t="shared" si="84"/>
        <v>0</v>
      </c>
      <c r="DB42" s="347">
        <f t="shared" si="165"/>
        <v>0</v>
      </c>
      <c r="DC42" s="347">
        <v>0</v>
      </c>
      <c r="DD42" s="347">
        <v>0</v>
      </c>
      <c r="DE42" s="347">
        <v>0</v>
      </c>
      <c r="DF42" s="342">
        <f t="shared" si="129"/>
        <v>0</v>
      </c>
      <c r="DG42" s="347">
        <v>0</v>
      </c>
      <c r="DH42" s="347">
        <v>0</v>
      </c>
      <c r="DI42" s="347">
        <v>0</v>
      </c>
      <c r="DJ42" s="342">
        <f t="shared" si="151"/>
        <v>0</v>
      </c>
      <c r="DK42" s="347">
        <v>0</v>
      </c>
      <c r="DL42" s="347">
        <v>0</v>
      </c>
      <c r="DM42" s="347">
        <v>0</v>
      </c>
      <c r="DN42" s="342">
        <f t="shared" si="152"/>
        <v>0</v>
      </c>
      <c r="DO42" s="347">
        <v>0</v>
      </c>
      <c r="DP42" s="347">
        <v>0</v>
      </c>
      <c r="DQ42" s="347">
        <v>0</v>
      </c>
      <c r="DR42" s="342">
        <f t="shared" si="153"/>
        <v>0</v>
      </c>
      <c r="DS42" s="347">
        <f t="shared" si="166"/>
        <v>0</v>
      </c>
      <c r="DT42" s="347"/>
      <c r="DU42" s="347"/>
      <c r="DV42" s="347"/>
      <c r="DW42" s="342">
        <f t="shared" si="89"/>
        <v>0</v>
      </c>
      <c r="DX42" s="347"/>
      <c r="DY42" s="347"/>
      <c r="DZ42" s="347"/>
      <c r="EA42" s="342">
        <f t="shared" si="137"/>
        <v>0</v>
      </c>
      <c r="EB42" s="347"/>
      <c r="EC42" s="347"/>
      <c r="ED42" s="347"/>
      <c r="EE42" s="342">
        <f t="shared" si="146"/>
        <v>0</v>
      </c>
      <c r="EF42" s="347"/>
      <c r="EG42" s="347"/>
      <c r="EH42" s="347"/>
      <c r="EI42" s="342">
        <f t="shared" si="147"/>
        <v>0</v>
      </c>
      <c r="EJ42" s="347">
        <f t="shared" si="167"/>
        <v>0</v>
      </c>
      <c r="EK42" s="347"/>
      <c r="EL42" s="347"/>
      <c r="EM42" s="347"/>
      <c r="EN42" s="342">
        <f t="shared" si="154"/>
        <v>0</v>
      </c>
      <c r="EO42" s="347"/>
      <c r="EP42" s="347"/>
      <c r="EQ42" s="347"/>
      <c r="ER42" s="342">
        <f t="shared" si="135"/>
        <v>0</v>
      </c>
      <c r="ES42" s="347"/>
      <c r="ET42" s="347"/>
      <c r="EU42" s="347"/>
      <c r="EV42" s="342">
        <f t="shared" si="117"/>
        <v>0</v>
      </c>
      <c r="EW42" s="347"/>
      <c r="EX42" s="347"/>
      <c r="EY42" s="347"/>
      <c r="EZ42" s="342">
        <f t="shared" si="118"/>
        <v>0</v>
      </c>
      <c r="FA42" s="347">
        <f t="shared" si="168"/>
        <v>0</v>
      </c>
      <c r="FB42" s="347">
        <f t="shared" si="139"/>
        <v>0</v>
      </c>
      <c r="FC42" s="336" t="e">
        <f t="shared" si="59"/>
        <v>#DIV/0!</v>
      </c>
    </row>
    <row r="43" spans="1:159" s="6" customFormat="1" ht="18" hidden="1" outlineLevel="1">
      <c r="A43" s="343"/>
      <c r="B43" s="344" t="s">
        <v>538</v>
      </c>
      <c r="C43" s="349"/>
      <c r="D43" s="350"/>
      <c r="E43" s="347"/>
      <c r="F43" s="347"/>
      <c r="G43" s="347"/>
      <c r="H43" s="342">
        <f t="shared" si="178"/>
        <v>0</v>
      </c>
      <c r="I43" s="347"/>
      <c r="J43" s="347"/>
      <c r="K43" s="347"/>
      <c r="L43" s="342">
        <f t="shared" si="179"/>
        <v>0</v>
      </c>
      <c r="M43" s="347"/>
      <c r="N43" s="347"/>
      <c r="O43" s="347"/>
      <c r="P43" s="342">
        <f t="shared" si="156"/>
        <v>0</v>
      </c>
      <c r="Q43" s="347"/>
      <c r="R43" s="347"/>
      <c r="S43" s="347"/>
      <c r="T43" s="342">
        <f t="shared" si="157"/>
        <v>0</v>
      </c>
      <c r="U43" s="347">
        <f t="shared" si="180"/>
        <v>0</v>
      </c>
      <c r="V43" s="347"/>
      <c r="W43" s="347"/>
      <c r="X43" s="347"/>
      <c r="Y43" s="342">
        <f t="shared" si="158"/>
        <v>0</v>
      </c>
      <c r="Z43" s="347"/>
      <c r="AA43" s="347"/>
      <c r="AB43" s="347"/>
      <c r="AC43" s="342">
        <f t="shared" si="101"/>
        <v>0</v>
      </c>
      <c r="AD43" s="347"/>
      <c r="AE43" s="347"/>
      <c r="AF43" s="347"/>
      <c r="AG43" s="342">
        <f t="shared" si="159"/>
        <v>0</v>
      </c>
      <c r="AH43" s="347"/>
      <c r="AI43" s="347"/>
      <c r="AJ43" s="347"/>
      <c r="AK43" s="342">
        <f t="shared" si="102"/>
        <v>0</v>
      </c>
      <c r="AL43" s="347">
        <f t="shared" si="160"/>
        <v>0</v>
      </c>
      <c r="AM43" s="348">
        <v>0</v>
      </c>
      <c r="AN43" s="348">
        <v>0</v>
      </c>
      <c r="AO43" s="348">
        <v>0</v>
      </c>
      <c r="AP43" s="342">
        <f t="shared" si="103"/>
        <v>0</v>
      </c>
      <c r="AQ43" s="348">
        <v>0</v>
      </c>
      <c r="AR43" s="348">
        <v>0</v>
      </c>
      <c r="AS43" s="348">
        <v>0</v>
      </c>
      <c r="AT43" s="342">
        <f t="shared" si="104"/>
        <v>0</v>
      </c>
      <c r="AU43" s="348">
        <v>0</v>
      </c>
      <c r="AV43" s="348">
        <v>0</v>
      </c>
      <c r="AW43" s="348">
        <v>0</v>
      </c>
      <c r="AX43" s="342">
        <f t="shared" si="105"/>
        <v>0</v>
      </c>
      <c r="AY43" s="348"/>
      <c r="AZ43" s="348"/>
      <c r="BA43" s="348"/>
      <c r="BB43" s="342">
        <f t="shared" si="106"/>
        <v>0</v>
      </c>
      <c r="BC43" s="347">
        <f t="shared" si="161"/>
        <v>0</v>
      </c>
      <c r="BD43" s="348"/>
      <c r="BE43" s="348"/>
      <c r="BF43" s="348"/>
      <c r="BG43" s="342">
        <f t="shared" si="162"/>
        <v>0</v>
      </c>
      <c r="BH43" s="348"/>
      <c r="BI43" s="348"/>
      <c r="BJ43" s="348"/>
      <c r="BK43" s="342">
        <f t="shared" si="74"/>
        <v>0</v>
      </c>
      <c r="BL43" s="348"/>
      <c r="BM43" s="348"/>
      <c r="BN43" s="347"/>
      <c r="BO43" s="342">
        <f t="shared" si="114"/>
        <v>0</v>
      </c>
      <c r="BP43" s="348"/>
      <c r="BQ43" s="348"/>
      <c r="BR43" s="348"/>
      <c r="BS43" s="342">
        <f t="shared" si="76"/>
        <v>0</v>
      </c>
      <c r="BT43" s="347">
        <f t="shared" si="163"/>
        <v>0</v>
      </c>
      <c r="BU43" s="348"/>
      <c r="BV43" s="348"/>
      <c r="BW43" s="348"/>
      <c r="BX43" s="342">
        <f t="shared" si="77"/>
        <v>0</v>
      </c>
      <c r="BY43" s="348"/>
      <c r="BZ43" s="348"/>
      <c r="CA43" s="348"/>
      <c r="CB43" s="342">
        <f t="shared" si="78"/>
        <v>0</v>
      </c>
      <c r="CC43" s="348"/>
      <c r="CD43" s="348"/>
      <c r="CE43" s="348"/>
      <c r="CF43" s="342">
        <f t="shared" si="79"/>
        <v>0</v>
      </c>
      <c r="CG43" s="348"/>
      <c r="CH43" s="348"/>
      <c r="CI43" s="348"/>
      <c r="CJ43" s="342">
        <f t="shared" si="80"/>
        <v>0</v>
      </c>
      <c r="CK43" s="347">
        <f t="shared" si="164"/>
        <v>0</v>
      </c>
      <c r="CL43" s="347"/>
      <c r="CM43" s="347"/>
      <c r="CN43" s="347"/>
      <c r="CO43" s="342">
        <f t="shared" si="81"/>
        <v>0</v>
      </c>
      <c r="CP43" s="347"/>
      <c r="CQ43" s="347"/>
      <c r="CR43" s="347"/>
      <c r="CS43" s="342">
        <f t="shared" si="82"/>
        <v>0</v>
      </c>
      <c r="CT43" s="347"/>
      <c r="CU43" s="347"/>
      <c r="CV43" s="347"/>
      <c r="CW43" s="342">
        <f t="shared" si="83"/>
        <v>0</v>
      </c>
      <c r="CX43" s="347"/>
      <c r="CY43" s="347"/>
      <c r="CZ43" s="347"/>
      <c r="DA43" s="342">
        <f t="shared" si="84"/>
        <v>0</v>
      </c>
      <c r="DB43" s="347">
        <f t="shared" si="165"/>
        <v>0</v>
      </c>
      <c r="DC43" s="347">
        <v>0</v>
      </c>
      <c r="DD43" s="347">
        <v>0</v>
      </c>
      <c r="DE43" s="347">
        <v>0</v>
      </c>
      <c r="DF43" s="342">
        <f t="shared" si="129"/>
        <v>0</v>
      </c>
      <c r="DG43" s="347">
        <v>0</v>
      </c>
      <c r="DH43" s="347">
        <v>0</v>
      </c>
      <c r="DI43" s="347">
        <v>0</v>
      </c>
      <c r="DJ43" s="342">
        <f t="shared" si="151"/>
        <v>0</v>
      </c>
      <c r="DK43" s="347">
        <v>0</v>
      </c>
      <c r="DL43" s="347">
        <v>0</v>
      </c>
      <c r="DM43" s="347">
        <v>0</v>
      </c>
      <c r="DN43" s="342">
        <f t="shared" si="152"/>
        <v>0</v>
      </c>
      <c r="DO43" s="347">
        <v>0</v>
      </c>
      <c r="DP43" s="347">
        <v>0</v>
      </c>
      <c r="DQ43" s="347">
        <v>0</v>
      </c>
      <c r="DR43" s="342">
        <f t="shared" si="153"/>
        <v>0</v>
      </c>
      <c r="DS43" s="347">
        <f t="shared" si="166"/>
        <v>0</v>
      </c>
      <c r="DT43" s="347"/>
      <c r="DU43" s="347"/>
      <c r="DV43" s="347"/>
      <c r="DW43" s="342">
        <f t="shared" si="89"/>
        <v>0</v>
      </c>
      <c r="DX43" s="347"/>
      <c r="DY43" s="347"/>
      <c r="DZ43" s="347"/>
      <c r="EA43" s="342">
        <f t="shared" si="137"/>
        <v>0</v>
      </c>
      <c r="EB43" s="347"/>
      <c r="EC43" s="347"/>
      <c r="ED43" s="347"/>
      <c r="EE43" s="342">
        <f t="shared" si="146"/>
        <v>0</v>
      </c>
      <c r="EF43" s="347"/>
      <c r="EG43" s="347"/>
      <c r="EH43" s="347"/>
      <c r="EI43" s="342">
        <f t="shared" si="147"/>
        <v>0</v>
      </c>
      <c r="EJ43" s="347">
        <f t="shared" si="167"/>
        <v>0</v>
      </c>
      <c r="EK43" s="347"/>
      <c r="EL43" s="347"/>
      <c r="EM43" s="347"/>
      <c r="EN43" s="342">
        <f t="shared" si="154"/>
        <v>0</v>
      </c>
      <c r="EO43" s="347"/>
      <c r="EP43" s="347"/>
      <c r="EQ43" s="347"/>
      <c r="ER43" s="342">
        <f t="shared" si="135"/>
        <v>0</v>
      </c>
      <c r="ES43" s="347"/>
      <c r="ET43" s="347"/>
      <c r="EU43" s="347"/>
      <c r="EV43" s="342">
        <f t="shared" si="117"/>
        <v>0</v>
      </c>
      <c r="EW43" s="347"/>
      <c r="EX43" s="347"/>
      <c r="EY43" s="347"/>
      <c r="EZ43" s="342">
        <f t="shared" si="118"/>
        <v>0</v>
      </c>
      <c r="FA43" s="347">
        <f t="shared" si="168"/>
        <v>0</v>
      </c>
      <c r="FB43" s="347">
        <f t="shared" si="139"/>
        <v>0</v>
      </c>
      <c r="FC43" s="336" t="e">
        <f t="shared" si="59"/>
        <v>#DIV/0!</v>
      </c>
    </row>
    <row r="44" spans="1:159" s="6" customFormat="1" ht="18" hidden="1" outlineLevel="1">
      <c r="A44" s="343"/>
      <c r="B44" s="344" t="s">
        <v>539</v>
      </c>
      <c r="C44" s="349"/>
      <c r="D44" s="350"/>
      <c r="E44" s="347"/>
      <c r="F44" s="347"/>
      <c r="G44" s="347"/>
      <c r="H44" s="342">
        <f t="shared" si="178"/>
        <v>0</v>
      </c>
      <c r="I44" s="347"/>
      <c r="J44" s="347"/>
      <c r="K44" s="347"/>
      <c r="L44" s="342">
        <f t="shared" si="179"/>
        <v>0</v>
      </c>
      <c r="M44" s="347"/>
      <c r="N44" s="347"/>
      <c r="O44" s="347"/>
      <c r="P44" s="342">
        <f t="shared" si="156"/>
        <v>0</v>
      </c>
      <c r="Q44" s="347"/>
      <c r="R44" s="347"/>
      <c r="S44" s="347"/>
      <c r="T44" s="342">
        <f t="shared" si="157"/>
        <v>0</v>
      </c>
      <c r="U44" s="347">
        <f t="shared" si="180"/>
        <v>0</v>
      </c>
      <c r="V44" s="347"/>
      <c r="W44" s="347"/>
      <c r="X44" s="347"/>
      <c r="Y44" s="342">
        <f t="shared" si="158"/>
        <v>0</v>
      </c>
      <c r="Z44" s="347"/>
      <c r="AA44" s="347"/>
      <c r="AB44" s="347"/>
      <c r="AC44" s="342">
        <f t="shared" si="101"/>
        <v>0</v>
      </c>
      <c r="AD44" s="347"/>
      <c r="AE44" s="347"/>
      <c r="AF44" s="347"/>
      <c r="AG44" s="342">
        <f t="shared" si="159"/>
        <v>0</v>
      </c>
      <c r="AH44" s="347"/>
      <c r="AI44" s="347"/>
      <c r="AJ44" s="347"/>
      <c r="AK44" s="342">
        <f t="shared" si="102"/>
        <v>0</v>
      </c>
      <c r="AL44" s="347">
        <f t="shared" si="160"/>
        <v>0</v>
      </c>
      <c r="AM44" s="348">
        <v>0</v>
      </c>
      <c r="AN44" s="348">
        <v>0</v>
      </c>
      <c r="AO44" s="348">
        <v>0</v>
      </c>
      <c r="AP44" s="342">
        <f t="shared" si="103"/>
        <v>0</v>
      </c>
      <c r="AQ44" s="348">
        <v>0</v>
      </c>
      <c r="AR44" s="348">
        <v>0</v>
      </c>
      <c r="AS44" s="348">
        <v>0</v>
      </c>
      <c r="AT44" s="342">
        <f t="shared" si="104"/>
        <v>0</v>
      </c>
      <c r="AU44" s="348">
        <v>0</v>
      </c>
      <c r="AV44" s="348">
        <v>0</v>
      </c>
      <c r="AW44" s="348">
        <v>0</v>
      </c>
      <c r="AX44" s="342">
        <f t="shared" si="105"/>
        <v>0</v>
      </c>
      <c r="AY44" s="348"/>
      <c r="AZ44" s="348"/>
      <c r="BA44" s="348"/>
      <c r="BB44" s="342">
        <f t="shared" si="106"/>
        <v>0</v>
      </c>
      <c r="BC44" s="347">
        <f t="shared" si="161"/>
        <v>0</v>
      </c>
      <c r="BD44" s="348"/>
      <c r="BE44" s="348"/>
      <c r="BF44" s="348"/>
      <c r="BG44" s="342">
        <f t="shared" si="162"/>
        <v>0</v>
      </c>
      <c r="BH44" s="348"/>
      <c r="BI44" s="348"/>
      <c r="BJ44" s="348"/>
      <c r="BK44" s="342">
        <f t="shared" si="74"/>
        <v>0</v>
      </c>
      <c r="BL44" s="348"/>
      <c r="BM44" s="348"/>
      <c r="BN44" s="347"/>
      <c r="BO44" s="342">
        <f t="shared" si="114"/>
        <v>0</v>
      </c>
      <c r="BP44" s="348"/>
      <c r="BQ44" s="348"/>
      <c r="BR44" s="348"/>
      <c r="BS44" s="342">
        <f t="shared" si="76"/>
        <v>0</v>
      </c>
      <c r="BT44" s="347">
        <f t="shared" si="163"/>
        <v>0</v>
      </c>
      <c r="BU44" s="348"/>
      <c r="BV44" s="348"/>
      <c r="BW44" s="348"/>
      <c r="BX44" s="342">
        <f t="shared" si="77"/>
        <v>0</v>
      </c>
      <c r="BY44" s="348"/>
      <c r="BZ44" s="348"/>
      <c r="CA44" s="348"/>
      <c r="CB44" s="342">
        <f t="shared" si="78"/>
        <v>0</v>
      </c>
      <c r="CC44" s="348"/>
      <c r="CD44" s="348"/>
      <c r="CE44" s="348"/>
      <c r="CF44" s="342">
        <f t="shared" si="79"/>
        <v>0</v>
      </c>
      <c r="CG44" s="348"/>
      <c r="CH44" s="348"/>
      <c r="CI44" s="348"/>
      <c r="CJ44" s="342">
        <f t="shared" si="80"/>
        <v>0</v>
      </c>
      <c r="CK44" s="347">
        <f t="shared" si="164"/>
        <v>0</v>
      </c>
      <c r="CL44" s="347"/>
      <c r="CM44" s="347"/>
      <c r="CN44" s="347"/>
      <c r="CO44" s="342">
        <f t="shared" si="81"/>
        <v>0</v>
      </c>
      <c r="CP44" s="347"/>
      <c r="CQ44" s="347"/>
      <c r="CR44" s="347"/>
      <c r="CS44" s="342">
        <f t="shared" si="82"/>
        <v>0</v>
      </c>
      <c r="CT44" s="347"/>
      <c r="CU44" s="347"/>
      <c r="CV44" s="347"/>
      <c r="CW44" s="342">
        <f t="shared" si="83"/>
        <v>0</v>
      </c>
      <c r="CX44" s="347"/>
      <c r="CY44" s="347"/>
      <c r="CZ44" s="347"/>
      <c r="DA44" s="342">
        <f t="shared" si="84"/>
        <v>0</v>
      </c>
      <c r="DB44" s="347">
        <f t="shared" si="165"/>
        <v>0</v>
      </c>
      <c r="DC44" s="347">
        <v>0</v>
      </c>
      <c r="DD44" s="347">
        <v>0</v>
      </c>
      <c r="DE44" s="347">
        <v>0</v>
      </c>
      <c r="DF44" s="342">
        <f t="shared" si="129"/>
        <v>0</v>
      </c>
      <c r="DG44" s="347">
        <v>0</v>
      </c>
      <c r="DH44" s="347">
        <v>0</v>
      </c>
      <c r="DI44" s="347">
        <v>0</v>
      </c>
      <c r="DJ44" s="342">
        <f t="shared" si="151"/>
        <v>0</v>
      </c>
      <c r="DK44" s="347">
        <v>0</v>
      </c>
      <c r="DL44" s="347">
        <v>0</v>
      </c>
      <c r="DM44" s="347">
        <v>0</v>
      </c>
      <c r="DN44" s="342">
        <f t="shared" si="152"/>
        <v>0</v>
      </c>
      <c r="DO44" s="347">
        <v>0</v>
      </c>
      <c r="DP44" s="347">
        <v>0</v>
      </c>
      <c r="DQ44" s="347">
        <v>0</v>
      </c>
      <c r="DR44" s="342">
        <f t="shared" si="153"/>
        <v>0</v>
      </c>
      <c r="DS44" s="347">
        <f t="shared" si="166"/>
        <v>0</v>
      </c>
      <c r="DT44" s="347"/>
      <c r="DU44" s="347"/>
      <c r="DV44" s="347"/>
      <c r="DW44" s="342">
        <f t="shared" si="89"/>
        <v>0</v>
      </c>
      <c r="DX44" s="347"/>
      <c r="DY44" s="347"/>
      <c r="DZ44" s="347"/>
      <c r="EA44" s="342">
        <f t="shared" si="137"/>
        <v>0</v>
      </c>
      <c r="EB44" s="347"/>
      <c r="EC44" s="347"/>
      <c r="ED44" s="347"/>
      <c r="EE44" s="342">
        <f t="shared" si="146"/>
        <v>0</v>
      </c>
      <c r="EF44" s="347"/>
      <c r="EG44" s="347"/>
      <c r="EH44" s="347"/>
      <c r="EI44" s="342">
        <f t="shared" si="147"/>
        <v>0</v>
      </c>
      <c r="EJ44" s="347">
        <f t="shared" si="167"/>
        <v>0</v>
      </c>
      <c r="EK44" s="347"/>
      <c r="EL44" s="347"/>
      <c r="EM44" s="347"/>
      <c r="EN44" s="342">
        <f t="shared" si="154"/>
        <v>0</v>
      </c>
      <c r="EO44" s="347"/>
      <c r="EP44" s="347"/>
      <c r="EQ44" s="347"/>
      <c r="ER44" s="342">
        <f t="shared" si="135"/>
        <v>0</v>
      </c>
      <c r="ES44" s="347"/>
      <c r="ET44" s="347"/>
      <c r="EU44" s="347"/>
      <c r="EV44" s="342">
        <f t="shared" si="117"/>
        <v>0</v>
      </c>
      <c r="EW44" s="347"/>
      <c r="EX44" s="347"/>
      <c r="EY44" s="347"/>
      <c r="EZ44" s="342">
        <f t="shared" si="118"/>
        <v>0</v>
      </c>
      <c r="FA44" s="347">
        <f t="shared" si="168"/>
        <v>0</v>
      </c>
      <c r="FB44" s="347">
        <f t="shared" si="139"/>
        <v>0</v>
      </c>
      <c r="FC44" s="336" t="e">
        <f t="shared" si="59"/>
        <v>#DIV/0!</v>
      </c>
    </row>
    <row r="45" spans="1:159" s="6" customFormat="1" ht="18" hidden="1" outlineLevel="1">
      <c r="A45" s="343"/>
      <c r="B45" s="344" t="s">
        <v>540</v>
      </c>
      <c r="C45" s="349"/>
      <c r="D45" s="350"/>
      <c r="E45" s="347"/>
      <c r="F45" s="347"/>
      <c r="G45" s="347"/>
      <c r="H45" s="342">
        <f t="shared" si="178"/>
        <v>0</v>
      </c>
      <c r="I45" s="347"/>
      <c r="J45" s="347"/>
      <c r="K45" s="347"/>
      <c r="L45" s="342">
        <f t="shared" si="179"/>
        <v>0</v>
      </c>
      <c r="M45" s="347"/>
      <c r="N45" s="347"/>
      <c r="O45" s="347"/>
      <c r="P45" s="342">
        <f t="shared" si="156"/>
        <v>0</v>
      </c>
      <c r="Q45" s="347"/>
      <c r="R45" s="347"/>
      <c r="S45" s="347"/>
      <c r="T45" s="342">
        <f t="shared" si="157"/>
        <v>0</v>
      </c>
      <c r="U45" s="347">
        <f t="shared" si="180"/>
        <v>0</v>
      </c>
      <c r="V45" s="347"/>
      <c r="W45" s="347"/>
      <c r="X45" s="347"/>
      <c r="Y45" s="342">
        <f t="shared" si="158"/>
        <v>0</v>
      </c>
      <c r="Z45" s="347"/>
      <c r="AA45" s="347"/>
      <c r="AB45" s="347"/>
      <c r="AC45" s="342">
        <f t="shared" si="101"/>
        <v>0</v>
      </c>
      <c r="AD45" s="347"/>
      <c r="AE45" s="347"/>
      <c r="AF45" s="347"/>
      <c r="AG45" s="342">
        <f t="shared" si="159"/>
        <v>0</v>
      </c>
      <c r="AH45" s="347"/>
      <c r="AI45" s="347"/>
      <c r="AJ45" s="347"/>
      <c r="AK45" s="342">
        <f t="shared" si="102"/>
        <v>0</v>
      </c>
      <c r="AL45" s="347">
        <f t="shared" si="160"/>
        <v>0</v>
      </c>
      <c r="AM45" s="348">
        <v>0</v>
      </c>
      <c r="AN45" s="348">
        <v>0</v>
      </c>
      <c r="AO45" s="348">
        <v>0</v>
      </c>
      <c r="AP45" s="342">
        <f t="shared" si="103"/>
        <v>0</v>
      </c>
      <c r="AQ45" s="348">
        <v>0</v>
      </c>
      <c r="AR45" s="348">
        <v>0</v>
      </c>
      <c r="AS45" s="348">
        <v>0</v>
      </c>
      <c r="AT45" s="342">
        <f t="shared" si="104"/>
        <v>0</v>
      </c>
      <c r="AU45" s="348">
        <v>0</v>
      </c>
      <c r="AV45" s="348">
        <v>0</v>
      </c>
      <c r="AW45" s="348">
        <v>0</v>
      </c>
      <c r="AX45" s="342">
        <f t="shared" si="105"/>
        <v>0</v>
      </c>
      <c r="AY45" s="348"/>
      <c r="AZ45" s="348"/>
      <c r="BA45" s="348"/>
      <c r="BB45" s="342">
        <f t="shared" si="106"/>
        <v>0</v>
      </c>
      <c r="BC45" s="347">
        <f t="shared" si="161"/>
        <v>0</v>
      </c>
      <c r="BD45" s="348"/>
      <c r="BE45" s="348"/>
      <c r="BF45" s="348"/>
      <c r="BG45" s="342">
        <f t="shared" si="162"/>
        <v>0</v>
      </c>
      <c r="BH45" s="348"/>
      <c r="BI45" s="348"/>
      <c r="BJ45" s="348"/>
      <c r="BK45" s="342">
        <f t="shared" si="74"/>
        <v>0</v>
      </c>
      <c r="BL45" s="348"/>
      <c r="BM45" s="348"/>
      <c r="BN45" s="347"/>
      <c r="BO45" s="342">
        <f t="shared" si="114"/>
        <v>0</v>
      </c>
      <c r="BP45" s="348"/>
      <c r="BQ45" s="348"/>
      <c r="BR45" s="348"/>
      <c r="BS45" s="342">
        <f t="shared" si="76"/>
        <v>0</v>
      </c>
      <c r="BT45" s="347">
        <f t="shared" si="163"/>
        <v>0</v>
      </c>
      <c r="BU45" s="348"/>
      <c r="BV45" s="348"/>
      <c r="BW45" s="348"/>
      <c r="BX45" s="342">
        <f t="shared" si="77"/>
        <v>0</v>
      </c>
      <c r="BY45" s="348"/>
      <c r="BZ45" s="348"/>
      <c r="CA45" s="348"/>
      <c r="CB45" s="342">
        <f t="shared" si="78"/>
        <v>0</v>
      </c>
      <c r="CC45" s="348"/>
      <c r="CD45" s="348"/>
      <c r="CE45" s="348"/>
      <c r="CF45" s="342">
        <f t="shared" si="79"/>
        <v>0</v>
      </c>
      <c r="CG45" s="348"/>
      <c r="CH45" s="348"/>
      <c r="CI45" s="348"/>
      <c r="CJ45" s="342">
        <f t="shared" si="80"/>
        <v>0</v>
      </c>
      <c r="CK45" s="347">
        <f t="shared" si="164"/>
        <v>0</v>
      </c>
      <c r="CL45" s="347"/>
      <c r="CM45" s="347"/>
      <c r="CN45" s="347"/>
      <c r="CO45" s="342">
        <f t="shared" si="81"/>
        <v>0</v>
      </c>
      <c r="CP45" s="347"/>
      <c r="CQ45" s="347"/>
      <c r="CR45" s="347"/>
      <c r="CS45" s="342">
        <f t="shared" si="82"/>
        <v>0</v>
      </c>
      <c r="CT45" s="347"/>
      <c r="CU45" s="347"/>
      <c r="CV45" s="347"/>
      <c r="CW45" s="342">
        <f t="shared" si="83"/>
        <v>0</v>
      </c>
      <c r="CX45" s="347"/>
      <c r="CY45" s="347"/>
      <c r="CZ45" s="347"/>
      <c r="DA45" s="342">
        <f t="shared" si="84"/>
        <v>0</v>
      </c>
      <c r="DB45" s="347">
        <f t="shared" si="165"/>
        <v>0</v>
      </c>
      <c r="DC45" s="347">
        <v>0</v>
      </c>
      <c r="DD45" s="347">
        <v>0</v>
      </c>
      <c r="DE45" s="347">
        <v>0</v>
      </c>
      <c r="DF45" s="342">
        <f t="shared" si="129"/>
        <v>0</v>
      </c>
      <c r="DG45" s="347">
        <v>0</v>
      </c>
      <c r="DH45" s="347">
        <v>0</v>
      </c>
      <c r="DI45" s="347">
        <v>0</v>
      </c>
      <c r="DJ45" s="342">
        <f t="shared" si="151"/>
        <v>0</v>
      </c>
      <c r="DK45" s="347">
        <v>0</v>
      </c>
      <c r="DL45" s="347">
        <v>0</v>
      </c>
      <c r="DM45" s="347">
        <v>0</v>
      </c>
      <c r="DN45" s="342">
        <f t="shared" si="152"/>
        <v>0</v>
      </c>
      <c r="DO45" s="347">
        <v>0</v>
      </c>
      <c r="DP45" s="347">
        <v>0</v>
      </c>
      <c r="DQ45" s="347">
        <v>0</v>
      </c>
      <c r="DR45" s="342">
        <f t="shared" si="153"/>
        <v>0</v>
      </c>
      <c r="DS45" s="347">
        <f t="shared" si="166"/>
        <v>0</v>
      </c>
      <c r="DT45" s="347"/>
      <c r="DU45" s="347"/>
      <c r="DV45" s="347"/>
      <c r="DW45" s="342">
        <f t="shared" si="89"/>
        <v>0</v>
      </c>
      <c r="DX45" s="347"/>
      <c r="DY45" s="347"/>
      <c r="DZ45" s="347"/>
      <c r="EA45" s="342">
        <f t="shared" si="137"/>
        <v>0</v>
      </c>
      <c r="EB45" s="347"/>
      <c r="EC45" s="347"/>
      <c r="ED45" s="347"/>
      <c r="EE45" s="342">
        <f t="shared" si="146"/>
        <v>0</v>
      </c>
      <c r="EF45" s="347"/>
      <c r="EG45" s="347"/>
      <c r="EH45" s="347"/>
      <c r="EI45" s="342">
        <f t="shared" si="147"/>
        <v>0</v>
      </c>
      <c r="EJ45" s="347">
        <f t="shared" si="167"/>
        <v>0</v>
      </c>
      <c r="EK45" s="347"/>
      <c r="EL45" s="347"/>
      <c r="EM45" s="347"/>
      <c r="EN45" s="342">
        <f t="shared" si="154"/>
        <v>0</v>
      </c>
      <c r="EO45" s="347"/>
      <c r="EP45" s="347"/>
      <c r="EQ45" s="347"/>
      <c r="ER45" s="342">
        <f t="shared" si="135"/>
        <v>0</v>
      </c>
      <c r="ES45" s="347"/>
      <c r="ET45" s="347"/>
      <c r="EU45" s="347"/>
      <c r="EV45" s="342">
        <f t="shared" si="117"/>
        <v>0</v>
      </c>
      <c r="EW45" s="347"/>
      <c r="EX45" s="347"/>
      <c r="EY45" s="347"/>
      <c r="EZ45" s="342">
        <f t="shared" si="118"/>
        <v>0</v>
      </c>
      <c r="FA45" s="347">
        <f t="shared" si="168"/>
        <v>0</v>
      </c>
      <c r="FB45" s="347">
        <f t="shared" si="139"/>
        <v>0</v>
      </c>
      <c r="FC45" s="336" t="e">
        <f t="shared" si="59"/>
        <v>#DIV/0!</v>
      </c>
    </row>
    <row r="46" spans="1:159" s="6" customFormat="1" ht="18" hidden="1" outlineLevel="1">
      <c r="A46" s="343"/>
      <c r="B46" s="344" t="s">
        <v>541</v>
      </c>
      <c r="C46" s="349"/>
      <c r="D46" s="350"/>
      <c r="E46" s="347"/>
      <c r="F46" s="347"/>
      <c r="G46" s="347"/>
      <c r="H46" s="342">
        <f t="shared" si="178"/>
        <v>0</v>
      </c>
      <c r="I46" s="347"/>
      <c r="J46" s="347"/>
      <c r="K46" s="347"/>
      <c r="L46" s="342">
        <f t="shared" si="179"/>
        <v>0</v>
      </c>
      <c r="M46" s="347"/>
      <c r="N46" s="347"/>
      <c r="O46" s="347"/>
      <c r="P46" s="342">
        <f t="shared" si="156"/>
        <v>0</v>
      </c>
      <c r="Q46" s="347"/>
      <c r="R46" s="347"/>
      <c r="S46" s="347"/>
      <c r="T46" s="342">
        <f t="shared" si="157"/>
        <v>0</v>
      </c>
      <c r="U46" s="347">
        <f t="shared" si="180"/>
        <v>0</v>
      </c>
      <c r="V46" s="347"/>
      <c r="W46" s="347"/>
      <c r="X46" s="347"/>
      <c r="Y46" s="342">
        <f t="shared" si="158"/>
        <v>0</v>
      </c>
      <c r="Z46" s="347"/>
      <c r="AA46" s="347"/>
      <c r="AB46" s="347"/>
      <c r="AC46" s="342">
        <f t="shared" si="101"/>
        <v>0</v>
      </c>
      <c r="AD46" s="347"/>
      <c r="AE46" s="347"/>
      <c r="AF46" s="347"/>
      <c r="AG46" s="342">
        <f t="shared" si="159"/>
        <v>0</v>
      </c>
      <c r="AH46" s="347"/>
      <c r="AI46" s="347"/>
      <c r="AJ46" s="347"/>
      <c r="AK46" s="342">
        <f t="shared" si="102"/>
        <v>0</v>
      </c>
      <c r="AL46" s="347">
        <f>Y46+AC46+AG46+AK46</f>
        <v>0</v>
      </c>
      <c r="AM46" s="348">
        <v>0</v>
      </c>
      <c r="AN46" s="348">
        <v>0</v>
      </c>
      <c r="AO46" s="348">
        <v>0</v>
      </c>
      <c r="AP46" s="342">
        <f t="shared" si="103"/>
        <v>0</v>
      </c>
      <c r="AQ46" s="348">
        <v>0</v>
      </c>
      <c r="AR46" s="348">
        <v>0</v>
      </c>
      <c r="AS46" s="348">
        <v>0</v>
      </c>
      <c r="AT46" s="342">
        <f t="shared" si="104"/>
        <v>0</v>
      </c>
      <c r="AU46" s="348">
        <v>0</v>
      </c>
      <c r="AV46" s="348">
        <v>0</v>
      </c>
      <c r="AW46" s="348">
        <v>0</v>
      </c>
      <c r="AX46" s="342">
        <f t="shared" si="105"/>
        <v>0</v>
      </c>
      <c r="AY46" s="348"/>
      <c r="AZ46" s="348"/>
      <c r="BA46" s="348"/>
      <c r="BB46" s="342">
        <f t="shared" si="106"/>
        <v>0</v>
      </c>
      <c r="BC46" s="347">
        <f>AP46+AT46+AX46+BB46</f>
        <v>0</v>
      </c>
      <c r="BD46" s="348"/>
      <c r="BE46" s="348"/>
      <c r="BF46" s="348"/>
      <c r="BG46" s="342">
        <f t="shared" si="162"/>
        <v>0</v>
      </c>
      <c r="BH46" s="348"/>
      <c r="BI46" s="348"/>
      <c r="BJ46" s="348"/>
      <c r="BK46" s="342">
        <f t="shared" si="74"/>
        <v>0</v>
      </c>
      <c r="BL46" s="348"/>
      <c r="BM46" s="348"/>
      <c r="BN46" s="347"/>
      <c r="BO46" s="342">
        <f t="shared" si="114"/>
        <v>0</v>
      </c>
      <c r="BP46" s="348"/>
      <c r="BQ46" s="348"/>
      <c r="BR46" s="348"/>
      <c r="BS46" s="342">
        <f t="shared" si="76"/>
        <v>0</v>
      </c>
      <c r="BT46" s="347">
        <f>BG46+BK46+BO46+BS46</f>
        <v>0</v>
      </c>
      <c r="BU46" s="348"/>
      <c r="BV46" s="348"/>
      <c r="BW46" s="348"/>
      <c r="BX46" s="342">
        <f t="shared" si="77"/>
        <v>0</v>
      </c>
      <c r="BY46" s="348"/>
      <c r="BZ46" s="348"/>
      <c r="CA46" s="348"/>
      <c r="CB46" s="342">
        <f t="shared" si="78"/>
        <v>0</v>
      </c>
      <c r="CC46" s="348"/>
      <c r="CD46" s="348"/>
      <c r="CE46" s="348"/>
      <c r="CF46" s="342">
        <f t="shared" si="79"/>
        <v>0</v>
      </c>
      <c r="CG46" s="348"/>
      <c r="CH46" s="348"/>
      <c r="CI46" s="348"/>
      <c r="CJ46" s="342">
        <f t="shared" si="80"/>
        <v>0</v>
      </c>
      <c r="CK46" s="347">
        <f>BX46+CB46+CF46+CJ46</f>
        <v>0</v>
      </c>
      <c r="CL46" s="347"/>
      <c r="CM46" s="347"/>
      <c r="CN46" s="347"/>
      <c r="CO46" s="342">
        <f t="shared" si="81"/>
        <v>0</v>
      </c>
      <c r="CP46" s="347"/>
      <c r="CQ46" s="347"/>
      <c r="CR46" s="347"/>
      <c r="CS46" s="342">
        <f t="shared" si="82"/>
        <v>0</v>
      </c>
      <c r="CT46" s="347"/>
      <c r="CU46" s="347"/>
      <c r="CV46" s="347"/>
      <c r="CW46" s="342">
        <f t="shared" si="83"/>
        <v>0</v>
      </c>
      <c r="CX46" s="347"/>
      <c r="CY46" s="347"/>
      <c r="CZ46" s="347"/>
      <c r="DA46" s="342">
        <f t="shared" si="84"/>
        <v>0</v>
      </c>
      <c r="DB46" s="347">
        <f>CO46+CS46+CW46+DA46</f>
        <v>0</v>
      </c>
      <c r="DC46" s="347">
        <v>0</v>
      </c>
      <c r="DD46" s="347">
        <v>0</v>
      </c>
      <c r="DE46" s="347">
        <v>0</v>
      </c>
      <c r="DF46" s="342">
        <f t="shared" si="129"/>
        <v>0</v>
      </c>
      <c r="DG46" s="347">
        <v>0</v>
      </c>
      <c r="DH46" s="347">
        <v>0</v>
      </c>
      <c r="DI46" s="347">
        <v>0</v>
      </c>
      <c r="DJ46" s="342">
        <f t="shared" si="151"/>
        <v>0</v>
      </c>
      <c r="DK46" s="347">
        <v>0</v>
      </c>
      <c r="DL46" s="347">
        <v>0</v>
      </c>
      <c r="DM46" s="347">
        <v>0</v>
      </c>
      <c r="DN46" s="342">
        <f t="shared" si="152"/>
        <v>0</v>
      </c>
      <c r="DO46" s="347">
        <v>0</v>
      </c>
      <c r="DP46" s="347">
        <v>0</v>
      </c>
      <c r="DQ46" s="347">
        <v>0</v>
      </c>
      <c r="DR46" s="342">
        <f t="shared" si="153"/>
        <v>0</v>
      </c>
      <c r="DS46" s="347">
        <f>DF46+DJ46+DN46+DR46</f>
        <v>0</v>
      </c>
      <c r="DT46" s="347"/>
      <c r="DU46" s="347"/>
      <c r="DV46" s="347"/>
      <c r="DW46" s="342">
        <f t="shared" si="89"/>
        <v>0</v>
      </c>
      <c r="DX46" s="347"/>
      <c r="DY46" s="347"/>
      <c r="DZ46" s="347"/>
      <c r="EA46" s="342">
        <f t="shared" si="137"/>
        <v>0</v>
      </c>
      <c r="EB46" s="347"/>
      <c r="EC46" s="347"/>
      <c r="ED46" s="347"/>
      <c r="EE46" s="342">
        <f t="shared" si="146"/>
        <v>0</v>
      </c>
      <c r="EF46" s="347"/>
      <c r="EG46" s="347"/>
      <c r="EH46" s="347"/>
      <c r="EI46" s="342">
        <f t="shared" si="147"/>
        <v>0</v>
      </c>
      <c r="EJ46" s="347">
        <f>DW46+EA46+EE46+EI46</f>
        <v>0</v>
      </c>
      <c r="EK46" s="347"/>
      <c r="EL46" s="347"/>
      <c r="EM46" s="347"/>
      <c r="EN46" s="342">
        <f t="shared" si="154"/>
        <v>0</v>
      </c>
      <c r="EO46" s="347"/>
      <c r="EP46" s="347"/>
      <c r="EQ46" s="347"/>
      <c r="ER46" s="342">
        <f t="shared" si="135"/>
        <v>0</v>
      </c>
      <c r="ES46" s="347"/>
      <c r="ET46" s="347"/>
      <c r="EU46" s="347"/>
      <c r="EV46" s="342">
        <f t="shared" si="117"/>
        <v>0</v>
      </c>
      <c r="EW46" s="347"/>
      <c r="EX46" s="347"/>
      <c r="EY46" s="347"/>
      <c r="EZ46" s="342">
        <f t="shared" si="118"/>
        <v>0</v>
      </c>
      <c r="FA46" s="347">
        <f>EN46+ER46+EV46+EZ46</f>
        <v>0</v>
      </c>
      <c r="FB46" s="347">
        <f t="shared" si="139"/>
        <v>0</v>
      </c>
      <c r="FC46" s="336" t="e">
        <f t="shared" si="59"/>
        <v>#DIV/0!</v>
      </c>
    </row>
    <row r="47" spans="1:159" s="6" customFormat="1" ht="18" hidden="1" outlineLevel="1">
      <c r="A47" s="343"/>
      <c r="B47" s="344" t="s">
        <v>542</v>
      </c>
      <c r="C47" s="349"/>
      <c r="D47" s="350"/>
      <c r="E47" s="347"/>
      <c r="F47" s="347"/>
      <c r="G47" s="347"/>
      <c r="H47" s="342">
        <f t="shared" si="178"/>
        <v>0</v>
      </c>
      <c r="I47" s="347"/>
      <c r="J47" s="347"/>
      <c r="K47" s="347"/>
      <c r="L47" s="342">
        <f t="shared" si="179"/>
        <v>0</v>
      </c>
      <c r="M47" s="347"/>
      <c r="N47" s="347"/>
      <c r="O47" s="347"/>
      <c r="P47" s="342">
        <f t="shared" si="156"/>
        <v>0</v>
      </c>
      <c r="Q47" s="347"/>
      <c r="R47" s="347"/>
      <c r="S47" s="347"/>
      <c r="T47" s="342">
        <f t="shared" si="157"/>
        <v>0</v>
      </c>
      <c r="U47" s="347">
        <f t="shared" si="180"/>
        <v>0</v>
      </c>
      <c r="V47" s="347"/>
      <c r="W47" s="347"/>
      <c r="X47" s="347"/>
      <c r="Y47" s="342">
        <f t="shared" si="158"/>
        <v>0</v>
      </c>
      <c r="Z47" s="347"/>
      <c r="AA47" s="347"/>
      <c r="AB47" s="347"/>
      <c r="AC47" s="342">
        <f t="shared" si="101"/>
        <v>0</v>
      </c>
      <c r="AD47" s="347"/>
      <c r="AE47" s="347"/>
      <c r="AF47" s="347"/>
      <c r="AG47" s="342">
        <f t="shared" si="159"/>
        <v>0</v>
      </c>
      <c r="AH47" s="347"/>
      <c r="AI47" s="347"/>
      <c r="AJ47" s="347"/>
      <c r="AK47" s="342">
        <f t="shared" si="102"/>
        <v>0</v>
      </c>
      <c r="AL47" s="347">
        <f t="shared" ref="AL47:AL76" si="181">Y47+AC47+AG47+AK47</f>
        <v>0</v>
      </c>
      <c r="AM47" s="348">
        <v>0</v>
      </c>
      <c r="AN47" s="348">
        <v>0</v>
      </c>
      <c r="AO47" s="348">
        <v>0</v>
      </c>
      <c r="AP47" s="342">
        <f t="shared" si="103"/>
        <v>0</v>
      </c>
      <c r="AQ47" s="348">
        <v>0</v>
      </c>
      <c r="AR47" s="348">
        <v>0</v>
      </c>
      <c r="AS47" s="348">
        <v>0</v>
      </c>
      <c r="AT47" s="342">
        <f t="shared" si="104"/>
        <v>0</v>
      </c>
      <c r="AU47" s="348">
        <v>0</v>
      </c>
      <c r="AV47" s="348">
        <v>0</v>
      </c>
      <c r="AW47" s="348">
        <v>0</v>
      </c>
      <c r="AX47" s="342">
        <f t="shared" si="105"/>
        <v>0</v>
      </c>
      <c r="AY47" s="348"/>
      <c r="AZ47" s="348"/>
      <c r="BA47" s="348"/>
      <c r="BB47" s="342">
        <f t="shared" si="106"/>
        <v>0</v>
      </c>
      <c r="BC47" s="347">
        <f t="shared" ref="BC47:BC74" si="182">AP47+AT47+AX47+BB47</f>
        <v>0</v>
      </c>
      <c r="BD47" s="348"/>
      <c r="BE47" s="348"/>
      <c r="BF47" s="348"/>
      <c r="BG47" s="342">
        <f t="shared" si="162"/>
        <v>0</v>
      </c>
      <c r="BH47" s="348"/>
      <c r="BI47" s="348"/>
      <c r="BJ47" s="348"/>
      <c r="BK47" s="342">
        <f t="shared" si="74"/>
        <v>0</v>
      </c>
      <c r="BL47" s="348"/>
      <c r="BM47" s="348"/>
      <c r="BN47" s="347"/>
      <c r="BO47" s="342">
        <f t="shared" si="114"/>
        <v>0</v>
      </c>
      <c r="BP47" s="348"/>
      <c r="BQ47" s="348"/>
      <c r="BR47" s="348"/>
      <c r="BS47" s="342">
        <f t="shared" si="76"/>
        <v>0</v>
      </c>
      <c r="BT47" s="347">
        <f t="shared" ref="BT47:BT74" si="183">BG47+BK47+BO47+BS47</f>
        <v>0</v>
      </c>
      <c r="BU47" s="348"/>
      <c r="BV47" s="348"/>
      <c r="BW47" s="348"/>
      <c r="BX47" s="342">
        <f t="shared" si="77"/>
        <v>0</v>
      </c>
      <c r="BY47" s="348"/>
      <c r="BZ47" s="348"/>
      <c r="CA47" s="348"/>
      <c r="CB47" s="342">
        <f t="shared" si="78"/>
        <v>0</v>
      </c>
      <c r="CC47" s="348"/>
      <c r="CD47" s="348"/>
      <c r="CE47" s="348"/>
      <c r="CF47" s="342">
        <f t="shared" si="79"/>
        <v>0</v>
      </c>
      <c r="CG47" s="348"/>
      <c r="CH47" s="348"/>
      <c r="CI47" s="348"/>
      <c r="CJ47" s="342">
        <f t="shared" si="80"/>
        <v>0</v>
      </c>
      <c r="CK47" s="347">
        <f t="shared" ref="CK47:CK74" si="184">BX47+CB47+CF47+CJ47</f>
        <v>0</v>
      </c>
      <c r="CL47" s="347"/>
      <c r="CM47" s="347"/>
      <c r="CN47" s="347"/>
      <c r="CO47" s="342">
        <f t="shared" si="81"/>
        <v>0</v>
      </c>
      <c r="CP47" s="347"/>
      <c r="CQ47" s="347"/>
      <c r="CR47" s="347"/>
      <c r="CS47" s="342">
        <f t="shared" si="82"/>
        <v>0</v>
      </c>
      <c r="CT47" s="347"/>
      <c r="CU47" s="347"/>
      <c r="CV47" s="347"/>
      <c r="CW47" s="342">
        <f t="shared" si="83"/>
        <v>0</v>
      </c>
      <c r="CX47" s="347"/>
      <c r="CY47" s="347"/>
      <c r="CZ47" s="347"/>
      <c r="DA47" s="342">
        <f t="shared" si="84"/>
        <v>0</v>
      </c>
      <c r="DB47" s="347">
        <f t="shared" ref="DB47:DB74" si="185">CO47+CS47+CW47+DA47</f>
        <v>0</v>
      </c>
      <c r="DC47" s="347">
        <v>0</v>
      </c>
      <c r="DD47" s="347">
        <v>0</v>
      </c>
      <c r="DE47" s="347">
        <v>0</v>
      </c>
      <c r="DF47" s="342">
        <f t="shared" si="129"/>
        <v>0</v>
      </c>
      <c r="DG47" s="347">
        <v>0</v>
      </c>
      <c r="DH47" s="347">
        <v>0</v>
      </c>
      <c r="DI47" s="347">
        <v>0</v>
      </c>
      <c r="DJ47" s="342">
        <f t="shared" si="151"/>
        <v>0</v>
      </c>
      <c r="DK47" s="347">
        <v>0</v>
      </c>
      <c r="DL47" s="347">
        <v>0</v>
      </c>
      <c r="DM47" s="347">
        <v>0</v>
      </c>
      <c r="DN47" s="342">
        <f t="shared" si="152"/>
        <v>0</v>
      </c>
      <c r="DO47" s="347">
        <v>0</v>
      </c>
      <c r="DP47" s="347">
        <v>0</v>
      </c>
      <c r="DQ47" s="347">
        <v>0</v>
      </c>
      <c r="DR47" s="342">
        <f t="shared" si="153"/>
        <v>0</v>
      </c>
      <c r="DS47" s="347">
        <f t="shared" ref="DS47:DS74" si="186">DF47+DJ47+DN47+DR47</f>
        <v>0</v>
      </c>
      <c r="DT47" s="347"/>
      <c r="DU47" s="347"/>
      <c r="DV47" s="347"/>
      <c r="DW47" s="342">
        <f t="shared" si="89"/>
        <v>0</v>
      </c>
      <c r="DX47" s="347"/>
      <c r="DY47" s="347"/>
      <c r="DZ47" s="347"/>
      <c r="EA47" s="342">
        <f t="shared" si="137"/>
        <v>0</v>
      </c>
      <c r="EB47" s="347"/>
      <c r="EC47" s="347"/>
      <c r="ED47" s="347"/>
      <c r="EE47" s="342">
        <f t="shared" si="146"/>
        <v>0</v>
      </c>
      <c r="EF47" s="347"/>
      <c r="EG47" s="347"/>
      <c r="EH47" s="347"/>
      <c r="EI47" s="342">
        <f t="shared" si="147"/>
        <v>0</v>
      </c>
      <c r="EJ47" s="347">
        <f t="shared" ref="EJ47:EJ74" si="187">DW47+EA47+EE47+EI47</f>
        <v>0</v>
      </c>
      <c r="EK47" s="347"/>
      <c r="EL47" s="347"/>
      <c r="EM47" s="347"/>
      <c r="EN47" s="342">
        <f t="shared" si="154"/>
        <v>0</v>
      </c>
      <c r="EO47" s="347"/>
      <c r="EP47" s="347"/>
      <c r="EQ47" s="347"/>
      <c r="ER47" s="342">
        <f t="shared" si="135"/>
        <v>0</v>
      </c>
      <c r="ES47" s="347"/>
      <c r="ET47" s="347"/>
      <c r="EU47" s="347"/>
      <c r="EV47" s="342">
        <f t="shared" si="117"/>
        <v>0</v>
      </c>
      <c r="EW47" s="347"/>
      <c r="EX47" s="347"/>
      <c r="EY47" s="347"/>
      <c r="EZ47" s="342">
        <f t="shared" si="118"/>
        <v>0</v>
      </c>
      <c r="FA47" s="347">
        <f t="shared" ref="FA47:FA74" si="188">EN47+ER47+EV47+EZ47</f>
        <v>0</v>
      </c>
      <c r="FB47" s="347">
        <f t="shared" si="139"/>
        <v>0</v>
      </c>
      <c r="FC47" s="336" t="e">
        <f t="shared" si="59"/>
        <v>#DIV/0!</v>
      </c>
    </row>
    <row r="48" spans="1:159" s="6" customFormat="1" ht="18" hidden="1" outlineLevel="1">
      <c r="A48" s="343"/>
      <c r="B48" s="344" t="s">
        <v>543</v>
      </c>
      <c r="C48" s="349"/>
      <c r="D48" s="350"/>
      <c r="E48" s="347"/>
      <c r="F48" s="347"/>
      <c r="G48" s="347"/>
      <c r="H48" s="342">
        <f t="shared" si="178"/>
        <v>0</v>
      </c>
      <c r="I48" s="347"/>
      <c r="J48" s="347"/>
      <c r="K48" s="347"/>
      <c r="L48" s="342">
        <f t="shared" si="179"/>
        <v>0</v>
      </c>
      <c r="M48" s="347"/>
      <c r="N48" s="347"/>
      <c r="O48" s="347"/>
      <c r="P48" s="342">
        <f t="shared" si="156"/>
        <v>0</v>
      </c>
      <c r="Q48" s="347"/>
      <c r="R48" s="347"/>
      <c r="S48" s="347"/>
      <c r="T48" s="342">
        <f t="shared" si="157"/>
        <v>0</v>
      </c>
      <c r="U48" s="347">
        <f t="shared" si="180"/>
        <v>0</v>
      </c>
      <c r="V48" s="347"/>
      <c r="W48" s="347"/>
      <c r="X48" s="347"/>
      <c r="Y48" s="342">
        <f t="shared" si="158"/>
        <v>0</v>
      </c>
      <c r="Z48" s="347"/>
      <c r="AA48" s="347"/>
      <c r="AB48" s="347"/>
      <c r="AC48" s="342">
        <f t="shared" si="101"/>
        <v>0</v>
      </c>
      <c r="AD48" s="347"/>
      <c r="AE48" s="347"/>
      <c r="AF48" s="347"/>
      <c r="AG48" s="342">
        <f t="shared" si="159"/>
        <v>0</v>
      </c>
      <c r="AH48" s="347"/>
      <c r="AI48" s="347"/>
      <c r="AJ48" s="347"/>
      <c r="AK48" s="342">
        <f t="shared" si="102"/>
        <v>0</v>
      </c>
      <c r="AL48" s="347">
        <f t="shared" si="181"/>
        <v>0</v>
      </c>
      <c r="AM48" s="348">
        <v>0</v>
      </c>
      <c r="AN48" s="348">
        <v>0</v>
      </c>
      <c r="AO48" s="348">
        <v>0</v>
      </c>
      <c r="AP48" s="342">
        <f t="shared" si="103"/>
        <v>0</v>
      </c>
      <c r="AQ48" s="348">
        <v>0</v>
      </c>
      <c r="AR48" s="348">
        <v>0</v>
      </c>
      <c r="AS48" s="348">
        <v>0</v>
      </c>
      <c r="AT48" s="342">
        <f t="shared" si="104"/>
        <v>0</v>
      </c>
      <c r="AU48" s="348">
        <v>0</v>
      </c>
      <c r="AV48" s="348">
        <v>0</v>
      </c>
      <c r="AW48" s="348">
        <v>0</v>
      </c>
      <c r="AX48" s="342">
        <f t="shared" si="105"/>
        <v>0</v>
      </c>
      <c r="AY48" s="348"/>
      <c r="AZ48" s="348"/>
      <c r="BA48" s="348"/>
      <c r="BB48" s="342">
        <f t="shared" si="106"/>
        <v>0</v>
      </c>
      <c r="BC48" s="347">
        <f t="shared" si="182"/>
        <v>0</v>
      </c>
      <c r="BD48" s="348"/>
      <c r="BE48" s="348"/>
      <c r="BF48" s="348"/>
      <c r="BG48" s="342">
        <f t="shared" si="162"/>
        <v>0</v>
      </c>
      <c r="BH48" s="348"/>
      <c r="BI48" s="348"/>
      <c r="BJ48" s="348"/>
      <c r="BK48" s="342">
        <f t="shared" si="74"/>
        <v>0</v>
      </c>
      <c r="BL48" s="348"/>
      <c r="BM48" s="348"/>
      <c r="BN48" s="347"/>
      <c r="BO48" s="342">
        <f t="shared" si="114"/>
        <v>0</v>
      </c>
      <c r="BP48" s="348"/>
      <c r="BQ48" s="348"/>
      <c r="BR48" s="348"/>
      <c r="BS48" s="342">
        <f t="shared" si="76"/>
        <v>0</v>
      </c>
      <c r="BT48" s="347">
        <f t="shared" si="183"/>
        <v>0</v>
      </c>
      <c r="BU48" s="348"/>
      <c r="BV48" s="348"/>
      <c r="BW48" s="348"/>
      <c r="BX48" s="342">
        <f t="shared" si="77"/>
        <v>0</v>
      </c>
      <c r="BY48" s="348"/>
      <c r="BZ48" s="348"/>
      <c r="CA48" s="348"/>
      <c r="CB48" s="342">
        <f t="shared" si="78"/>
        <v>0</v>
      </c>
      <c r="CC48" s="348"/>
      <c r="CD48" s="348"/>
      <c r="CE48" s="348"/>
      <c r="CF48" s="342">
        <f t="shared" si="79"/>
        <v>0</v>
      </c>
      <c r="CG48" s="348"/>
      <c r="CH48" s="348"/>
      <c r="CI48" s="348"/>
      <c r="CJ48" s="342">
        <f t="shared" si="80"/>
        <v>0</v>
      </c>
      <c r="CK48" s="347">
        <f t="shared" si="184"/>
        <v>0</v>
      </c>
      <c r="CL48" s="347"/>
      <c r="CM48" s="347"/>
      <c r="CN48" s="347"/>
      <c r="CO48" s="342">
        <f t="shared" si="81"/>
        <v>0</v>
      </c>
      <c r="CP48" s="347"/>
      <c r="CQ48" s="347"/>
      <c r="CR48" s="347"/>
      <c r="CS48" s="342">
        <f t="shared" si="82"/>
        <v>0</v>
      </c>
      <c r="CT48" s="347"/>
      <c r="CU48" s="347"/>
      <c r="CV48" s="347"/>
      <c r="CW48" s="342">
        <f t="shared" si="83"/>
        <v>0</v>
      </c>
      <c r="CX48" s="347"/>
      <c r="CY48" s="347"/>
      <c r="CZ48" s="347"/>
      <c r="DA48" s="342">
        <f t="shared" si="84"/>
        <v>0</v>
      </c>
      <c r="DB48" s="347">
        <f t="shared" si="185"/>
        <v>0</v>
      </c>
      <c r="DC48" s="347">
        <v>0</v>
      </c>
      <c r="DD48" s="347">
        <v>0</v>
      </c>
      <c r="DE48" s="347">
        <v>0</v>
      </c>
      <c r="DF48" s="342">
        <f t="shared" si="129"/>
        <v>0</v>
      </c>
      <c r="DG48" s="347">
        <v>0</v>
      </c>
      <c r="DH48" s="347">
        <v>0</v>
      </c>
      <c r="DI48" s="347">
        <v>0</v>
      </c>
      <c r="DJ48" s="342">
        <f t="shared" si="151"/>
        <v>0</v>
      </c>
      <c r="DK48" s="347">
        <v>0</v>
      </c>
      <c r="DL48" s="347">
        <v>0</v>
      </c>
      <c r="DM48" s="347">
        <v>0</v>
      </c>
      <c r="DN48" s="342">
        <f t="shared" si="152"/>
        <v>0</v>
      </c>
      <c r="DO48" s="347">
        <v>0</v>
      </c>
      <c r="DP48" s="347">
        <v>0</v>
      </c>
      <c r="DQ48" s="347">
        <v>0</v>
      </c>
      <c r="DR48" s="342">
        <f t="shared" si="153"/>
        <v>0</v>
      </c>
      <c r="DS48" s="347">
        <f t="shared" si="186"/>
        <v>0</v>
      </c>
      <c r="DT48" s="347"/>
      <c r="DU48" s="347"/>
      <c r="DV48" s="347"/>
      <c r="DW48" s="342">
        <f t="shared" si="89"/>
        <v>0</v>
      </c>
      <c r="DX48" s="347"/>
      <c r="DY48" s="347"/>
      <c r="DZ48" s="347"/>
      <c r="EA48" s="342">
        <f t="shared" si="137"/>
        <v>0</v>
      </c>
      <c r="EB48" s="347"/>
      <c r="EC48" s="347"/>
      <c r="ED48" s="347"/>
      <c r="EE48" s="342">
        <f t="shared" si="146"/>
        <v>0</v>
      </c>
      <c r="EF48" s="347"/>
      <c r="EG48" s="347"/>
      <c r="EH48" s="347"/>
      <c r="EI48" s="342">
        <f t="shared" si="147"/>
        <v>0</v>
      </c>
      <c r="EJ48" s="347">
        <f t="shared" si="187"/>
        <v>0</v>
      </c>
      <c r="EK48" s="347"/>
      <c r="EL48" s="347"/>
      <c r="EM48" s="347"/>
      <c r="EN48" s="342">
        <f t="shared" si="154"/>
        <v>0</v>
      </c>
      <c r="EO48" s="347"/>
      <c r="EP48" s="347"/>
      <c r="EQ48" s="347"/>
      <c r="ER48" s="342">
        <f t="shared" si="135"/>
        <v>0</v>
      </c>
      <c r="ES48" s="347"/>
      <c r="ET48" s="347"/>
      <c r="EU48" s="347"/>
      <c r="EV48" s="342">
        <f t="shared" si="117"/>
        <v>0</v>
      </c>
      <c r="EW48" s="347"/>
      <c r="EX48" s="347"/>
      <c r="EY48" s="347"/>
      <c r="EZ48" s="342">
        <f t="shared" si="118"/>
        <v>0</v>
      </c>
      <c r="FA48" s="347">
        <f t="shared" si="188"/>
        <v>0</v>
      </c>
      <c r="FB48" s="347">
        <f t="shared" si="139"/>
        <v>0</v>
      </c>
      <c r="FC48" s="336" t="e">
        <f t="shared" si="59"/>
        <v>#DIV/0!</v>
      </c>
    </row>
    <row r="49" spans="1:159" s="6" customFormat="1" ht="18" collapsed="1">
      <c r="A49" s="343"/>
      <c r="B49" s="344" t="s">
        <v>544</v>
      </c>
      <c r="C49" s="345" t="s">
        <v>533</v>
      </c>
      <c r="D49" s="346" t="s">
        <v>495</v>
      </c>
      <c r="E49" s="347">
        <f>SUM(E50:E50)</f>
        <v>500000</v>
      </c>
      <c r="F49" s="347">
        <f>SUM(F50:F50)</f>
        <v>500000</v>
      </c>
      <c r="G49" s="347">
        <f>SUM(G50:G50)</f>
        <v>500000</v>
      </c>
      <c r="H49" s="342">
        <f>SUM(E49:G49)</f>
        <v>1500000</v>
      </c>
      <c r="I49" s="347">
        <f>SUM(I50:I50)</f>
        <v>500000</v>
      </c>
      <c r="J49" s="347">
        <f>SUM(J50:J50)</f>
        <v>500000</v>
      </c>
      <c r="K49" s="347">
        <f>SUM(K50:K50)</f>
        <v>500000</v>
      </c>
      <c r="L49" s="342">
        <f t="shared" si="179"/>
        <v>1500000</v>
      </c>
      <c r="M49" s="347">
        <f>SUM(M50:M50)</f>
        <v>500000</v>
      </c>
      <c r="N49" s="347">
        <f>SUM(N50:N50)</f>
        <v>500000</v>
      </c>
      <c r="O49" s="347">
        <f>SUM(O50:O50)</f>
        <v>500000</v>
      </c>
      <c r="P49" s="342">
        <f t="shared" si="156"/>
        <v>1500000</v>
      </c>
      <c r="Q49" s="347">
        <f>SUM(Q50:Q50)</f>
        <v>500000</v>
      </c>
      <c r="R49" s="347">
        <f>SUM(R50:R50)</f>
        <v>500000</v>
      </c>
      <c r="S49" s="347">
        <f>SUM(S50:S50)</f>
        <v>500000</v>
      </c>
      <c r="T49" s="342">
        <f t="shared" si="157"/>
        <v>1500000</v>
      </c>
      <c r="U49" s="358">
        <f>SUM(U50:U50)</f>
        <v>6000000</v>
      </c>
      <c r="V49" s="347">
        <f>SUM(V50:V50)</f>
        <v>-112500</v>
      </c>
      <c r="W49" s="347">
        <f>SUM(W50:W50)</f>
        <v>-112500</v>
      </c>
      <c r="X49" s="347">
        <f>SUM(X50:X50)</f>
        <v>-112500</v>
      </c>
      <c r="Y49" s="342">
        <f t="shared" si="158"/>
        <v>-337500</v>
      </c>
      <c r="Z49" s="347">
        <f>SUM(Z50:Z50)</f>
        <v>-112500</v>
      </c>
      <c r="AA49" s="347">
        <f>SUM(AA50:AA50)</f>
        <v>-112500</v>
      </c>
      <c r="AB49" s="347">
        <f>SUM(AB50:AB50)</f>
        <v>-112500</v>
      </c>
      <c r="AC49" s="342">
        <f t="shared" si="101"/>
        <v>-337500</v>
      </c>
      <c r="AD49" s="347">
        <f>SUM(AD50:AD50)</f>
        <v>-112500</v>
      </c>
      <c r="AE49" s="347">
        <f>SUM(AE50:AE50)</f>
        <v>-112500</v>
      </c>
      <c r="AF49" s="347">
        <f>SUM(AF50:AF50)</f>
        <v>-112500</v>
      </c>
      <c r="AG49" s="342">
        <f t="shared" si="159"/>
        <v>-337500</v>
      </c>
      <c r="AH49" s="347">
        <f>SUM(AH50:AH50)</f>
        <v>-112500</v>
      </c>
      <c r="AI49" s="347">
        <f>SUM(AI50:AI50)</f>
        <v>-112500</v>
      </c>
      <c r="AJ49" s="347">
        <f>SUM(AJ50:AJ50)</f>
        <v>-112500</v>
      </c>
      <c r="AK49" s="342">
        <f t="shared" si="102"/>
        <v>-337500</v>
      </c>
      <c r="AL49" s="347">
        <f>SUM(AL50:AL50)</f>
        <v>-1350000</v>
      </c>
      <c r="AM49" s="348">
        <f>SUM(AM50:AM50)</f>
        <v>0</v>
      </c>
      <c r="AN49" s="348">
        <f>SUM(AN50:AN50)</f>
        <v>0</v>
      </c>
      <c r="AO49" s="348">
        <f>SUM(AO50:AO50)</f>
        <v>0</v>
      </c>
      <c r="AP49" s="342">
        <f t="shared" ref="AP49" si="189">SUM(AM49:AO49)</f>
        <v>0</v>
      </c>
      <c r="AQ49" s="348">
        <f>SUM(AQ50:AQ50)</f>
        <v>0</v>
      </c>
      <c r="AR49" s="348">
        <f>SUM(AR50:AR50)</f>
        <v>0</v>
      </c>
      <c r="AS49" s="348">
        <f>SUM(AS50:AS50)</f>
        <v>0</v>
      </c>
      <c r="AT49" s="342">
        <f t="shared" ref="AT49" si="190">SUM(AQ49:AS49)</f>
        <v>0</v>
      </c>
      <c r="AU49" s="348">
        <f>SUM(AU50:AU50)</f>
        <v>0</v>
      </c>
      <c r="AV49" s="348">
        <f>SUM(AV50:AV50)</f>
        <v>0</v>
      </c>
      <c r="AW49" s="348">
        <f>SUM(AW50:AW50)</f>
        <v>0</v>
      </c>
      <c r="AX49" s="342">
        <f t="shared" ref="AX49" si="191">SUM(AU49:AW49)</f>
        <v>0</v>
      </c>
      <c r="AY49" s="348">
        <f>SUM(AY50:AY50)</f>
        <v>0</v>
      </c>
      <c r="AZ49" s="348">
        <f>SUM(AZ50:AZ50)</f>
        <v>0</v>
      </c>
      <c r="BA49" s="348">
        <f>SUM(BA50:BA50)</f>
        <v>0</v>
      </c>
      <c r="BB49" s="342">
        <f t="shared" ref="BB49" si="192">SUM(AY49:BA49)</f>
        <v>0</v>
      </c>
      <c r="BC49" s="347">
        <f>SUM(BC50:BC50)</f>
        <v>0</v>
      </c>
      <c r="BD49" s="348">
        <f>SUM(BD50:BD50)</f>
        <v>-87231.28</v>
      </c>
      <c r="BE49" s="348">
        <f>SUM(BE50:BE50)</f>
        <v>-87231.28</v>
      </c>
      <c r="BF49" s="348">
        <f>SUM(BF50:BF50)</f>
        <v>-87231.28</v>
      </c>
      <c r="BG49" s="342">
        <f t="shared" si="162"/>
        <v>-261693.84</v>
      </c>
      <c r="BH49" s="348">
        <f>SUM(BH50:BH50)</f>
        <v>-87231.28</v>
      </c>
      <c r="BI49" s="348">
        <f>SUM(BI50:BI50)</f>
        <v>-87231.28</v>
      </c>
      <c r="BJ49" s="348">
        <f>SUM(BJ50:BJ50)</f>
        <v>-87231.28</v>
      </c>
      <c r="BK49" s="342">
        <f t="shared" si="74"/>
        <v>-261693.84</v>
      </c>
      <c r="BL49" s="348">
        <f>SUM(BL50:BL50)</f>
        <v>-87231.28</v>
      </c>
      <c r="BM49" s="348">
        <f>SUM(BM50:BM50)</f>
        <v>-87231.28</v>
      </c>
      <c r="BN49" s="347">
        <f>SUM(BN50:BN50)</f>
        <v>-87231.28</v>
      </c>
      <c r="BO49" s="342">
        <f t="shared" si="114"/>
        <v>-261693.84</v>
      </c>
      <c r="BP49" s="348">
        <f>SUM(BP50:BP50)</f>
        <v>-87231.28</v>
      </c>
      <c r="BQ49" s="348">
        <f>SUM(BQ50:BQ50)</f>
        <v>-87231.28</v>
      </c>
      <c r="BR49" s="348">
        <f>SUM(BR50:BR50)</f>
        <v>-87231.28</v>
      </c>
      <c r="BS49" s="342">
        <f t="shared" si="76"/>
        <v>-261693.84</v>
      </c>
      <c r="BT49" s="347">
        <f>SUM(BT50:BT50)</f>
        <v>-1046775.36</v>
      </c>
      <c r="BU49" s="348">
        <f>SUM(BU50:BU50)</f>
        <v>0</v>
      </c>
      <c r="BV49" s="348">
        <f>SUM(BV50:BV50)</f>
        <v>0</v>
      </c>
      <c r="BW49" s="348">
        <f>SUM(BW50:BW50)</f>
        <v>0</v>
      </c>
      <c r="BX49" s="342">
        <f t="shared" si="77"/>
        <v>0</v>
      </c>
      <c r="BY49" s="348">
        <f>SUM(BY50:BY50)</f>
        <v>0</v>
      </c>
      <c r="BZ49" s="348">
        <f>SUM(BZ50:BZ50)</f>
        <v>0</v>
      </c>
      <c r="CA49" s="348">
        <f>SUM(CA50:CA50)</f>
        <v>0</v>
      </c>
      <c r="CB49" s="342">
        <f t="shared" si="78"/>
        <v>0</v>
      </c>
      <c r="CC49" s="348">
        <f>SUM(CC50:CC50)</f>
        <v>0</v>
      </c>
      <c r="CD49" s="348">
        <f>SUM(CD50:CD50)</f>
        <v>0</v>
      </c>
      <c r="CE49" s="348">
        <f>SUM(CE50:CE50)</f>
        <v>0</v>
      </c>
      <c r="CF49" s="342">
        <f t="shared" si="79"/>
        <v>0</v>
      </c>
      <c r="CG49" s="348">
        <f>SUM(CG50:CG50)</f>
        <v>0</v>
      </c>
      <c r="CH49" s="348">
        <f>SUM(CH50:CH50)</f>
        <v>0</v>
      </c>
      <c r="CI49" s="348">
        <f>SUM(CI50:CI50)</f>
        <v>0</v>
      </c>
      <c r="CJ49" s="342">
        <f t="shared" si="80"/>
        <v>0</v>
      </c>
      <c r="CK49" s="347">
        <f t="shared" ref="CK49:DV49" si="193">SUM(CK50:CK50)</f>
        <v>0</v>
      </c>
      <c r="CL49" s="347">
        <f t="shared" si="193"/>
        <v>-20691.7</v>
      </c>
      <c r="CM49" s="347">
        <f t="shared" si="193"/>
        <v>-20691.7</v>
      </c>
      <c r="CN49" s="347">
        <f t="shared" si="193"/>
        <v>-20691.7</v>
      </c>
      <c r="CO49" s="342">
        <f t="shared" si="193"/>
        <v>-62075.100000000006</v>
      </c>
      <c r="CP49" s="347">
        <f t="shared" si="193"/>
        <v>-20691.7</v>
      </c>
      <c r="CQ49" s="347">
        <f t="shared" si="193"/>
        <v>-20691.7</v>
      </c>
      <c r="CR49" s="347">
        <f t="shared" si="193"/>
        <v>-20691.7</v>
      </c>
      <c r="CS49" s="342">
        <f t="shared" si="193"/>
        <v>-62075.100000000006</v>
      </c>
      <c r="CT49" s="347">
        <f t="shared" si="193"/>
        <v>-20691.7</v>
      </c>
      <c r="CU49" s="347">
        <f t="shared" si="193"/>
        <v>-20691.7</v>
      </c>
      <c r="CV49" s="347">
        <f t="shared" si="193"/>
        <v>-20691.7</v>
      </c>
      <c r="CW49" s="342">
        <f t="shared" si="193"/>
        <v>-62075.100000000006</v>
      </c>
      <c r="CX49" s="347">
        <f t="shared" si="193"/>
        <v>-20691.7</v>
      </c>
      <c r="CY49" s="347">
        <f t="shared" si="193"/>
        <v>-20691.7</v>
      </c>
      <c r="CZ49" s="347">
        <f t="shared" si="193"/>
        <v>-20691.7</v>
      </c>
      <c r="DA49" s="342">
        <f t="shared" si="193"/>
        <v>-62075.100000000006</v>
      </c>
      <c r="DB49" s="347">
        <f t="shared" si="193"/>
        <v>-248300.40000000002</v>
      </c>
      <c r="DC49" s="347">
        <f t="shared" si="193"/>
        <v>0</v>
      </c>
      <c r="DD49" s="347">
        <f t="shared" si="193"/>
        <v>0</v>
      </c>
      <c r="DE49" s="347">
        <f t="shared" si="193"/>
        <v>0</v>
      </c>
      <c r="DF49" s="342">
        <f t="shared" si="193"/>
        <v>0</v>
      </c>
      <c r="DG49" s="347">
        <f t="shared" si="193"/>
        <v>0</v>
      </c>
      <c r="DH49" s="347">
        <f t="shared" si="193"/>
        <v>0</v>
      </c>
      <c r="DI49" s="347">
        <f t="shared" si="193"/>
        <v>0</v>
      </c>
      <c r="DJ49" s="342">
        <f t="shared" si="193"/>
        <v>0</v>
      </c>
      <c r="DK49" s="347">
        <f t="shared" si="193"/>
        <v>0</v>
      </c>
      <c r="DL49" s="347">
        <f t="shared" si="193"/>
        <v>0</v>
      </c>
      <c r="DM49" s="347">
        <f t="shared" si="193"/>
        <v>0</v>
      </c>
      <c r="DN49" s="342">
        <f t="shared" si="193"/>
        <v>0</v>
      </c>
      <c r="DO49" s="348">
        <f t="shared" si="193"/>
        <v>0</v>
      </c>
      <c r="DP49" s="348">
        <f t="shared" si="193"/>
        <v>0</v>
      </c>
      <c r="DQ49" s="348">
        <f t="shared" si="193"/>
        <v>0</v>
      </c>
      <c r="DR49" s="342">
        <f t="shared" si="193"/>
        <v>0</v>
      </c>
      <c r="DS49" s="347">
        <f t="shared" si="193"/>
        <v>0</v>
      </c>
      <c r="DT49" s="347">
        <f t="shared" si="193"/>
        <v>0</v>
      </c>
      <c r="DU49" s="347">
        <f t="shared" si="193"/>
        <v>0</v>
      </c>
      <c r="DV49" s="347">
        <f t="shared" si="193"/>
        <v>0</v>
      </c>
      <c r="DW49" s="342">
        <f t="shared" si="89"/>
        <v>0</v>
      </c>
      <c r="DX49" s="347">
        <f>SUM(DX50:DX50)</f>
        <v>0</v>
      </c>
      <c r="DY49" s="347">
        <f>SUM(DY50:DY50)</f>
        <v>0</v>
      </c>
      <c r="DZ49" s="347">
        <f>SUM(DZ50:DZ50)</f>
        <v>0</v>
      </c>
      <c r="EA49" s="342">
        <f t="shared" si="137"/>
        <v>0</v>
      </c>
      <c r="EB49" s="347">
        <f>SUM(EB50:EB50)</f>
        <v>0</v>
      </c>
      <c r="EC49" s="347">
        <f>SUM(EC50:EC50)</f>
        <v>0</v>
      </c>
      <c r="ED49" s="347">
        <f>SUM(ED50:ED50)</f>
        <v>0</v>
      </c>
      <c r="EE49" s="342">
        <f t="shared" si="146"/>
        <v>0</v>
      </c>
      <c r="EF49" s="347">
        <f>SUM(EF50:EF50)</f>
        <v>0</v>
      </c>
      <c r="EG49" s="347">
        <f>SUM(EG50:EG50)</f>
        <v>0</v>
      </c>
      <c r="EH49" s="347">
        <f>SUM(EH50:EH50)</f>
        <v>0</v>
      </c>
      <c r="EI49" s="342">
        <f t="shared" si="147"/>
        <v>0</v>
      </c>
      <c r="EJ49" s="347">
        <f t="shared" ref="EJ49:EU49" si="194">SUM(EJ50:EJ50)</f>
        <v>0</v>
      </c>
      <c r="EK49" s="347">
        <f t="shared" si="194"/>
        <v>0</v>
      </c>
      <c r="EL49" s="347">
        <f t="shared" si="194"/>
        <v>0</v>
      </c>
      <c r="EM49" s="347">
        <f t="shared" si="194"/>
        <v>0</v>
      </c>
      <c r="EN49" s="342">
        <f t="shared" si="194"/>
        <v>0</v>
      </c>
      <c r="EO49" s="347">
        <f t="shared" si="194"/>
        <v>0</v>
      </c>
      <c r="EP49" s="347">
        <f t="shared" si="194"/>
        <v>0</v>
      </c>
      <c r="EQ49" s="347">
        <f t="shared" si="194"/>
        <v>0</v>
      </c>
      <c r="ER49" s="342">
        <f t="shared" si="194"/>
        <v>0</v>
      </c>
      <c r="ES49" s="347">
        <f t="shared" si="194"/>
        <v>0</v>
      </c>
      <c r="ET49" s="347">
        <f t="shared" si="194"/>
        <v>0</v>
      </c>
      <c r="EU49" s="347">
        <f t="shared" si="194"/>
        <v>0</v>
      </c>
      <c r="EV49" s="342">
        <f t="shared" si="117"/>
        <v>0</v>
      </c>
      <c r="EW49" s="347">
        <f>SUM(EW50:EW50)</f>
        <v>0</v>
      </c>
      <c r="EX49" s="347">
        <f>SUM(EX50:EX50)</f>
        <v>0</v>
      </c>
      <c r="EY49" s="347">
        <f>SUM(EY50:EY50)</f>
        <v>0</v>
      </c>
      <c r="EZ49" s="342">
        <f t="shared" si="118"/>
        <v>0</v>
      </c>
      <c r="FA49" s="347">
        <f>SUM(FA50:FA50)</f>
        <v>0</v>
      </c>
      <c r="FB49" s="347">
        <f>SUM(FB50:FB50)</f>
        <v>3354924.24</v>
      </c>
      <c r="FC49" s="336">
        <f t="shared" si="59"/>
        <v>0.55915404000000002</v>
      </c>
    </row>
    <row r="50" spans="1:159" s="6" customFormat="1" ht="18" hidden="1" outlineLevel="1">
      <c r="A50" s="343"/>
      <c r="B50" s="344" t="s">
        <v>545</v>
      </c>
      <c r="C50" s="349"/>
      <c r="D50" s="350" t="s">
        <v>533</v>
      </c>
      <c r="E50" s="347">
        <v>500000</v>
      </c>
      <c r="F50" s="347">
        <v>500000</v>
      </c>
      <c r="G50" s="347">
        <v>500000</v>
      </c>
      <c r="H50" s="342">
        <f>SUM(E50:G50)</f>
        <v>1500000</v>
      </c>
      <c r="I50" s="347">
        <v>500000</v>
      </c>
      <c r="J50" s="347">
        <v>500000</v>
      </c>
      <c r="K50" s="347">
        <v>500000</v>
      </c>
      <c r="L50" s="342">
        <f t="shared" si="179"/>
        <v>1500000</v>
      </c>
      <c r="M50" s="347">
        <v>500000</v>
      </c>
      <c r="N50" s="347">
        <v>500000</v>
      </c>
      <c r="O50" s="347">
        <v>500000</v>
      </c>
      <c r="P50" s="342">
        <f t="shared" si="156"/>
        <v>1500000</v>
      </c>
      <c r="Q50" s="347">
        <v>500000</v>
      </c>
      <c r="R50" s="347">
        <v>500000</v>
      </c>
      <c r="S50" s="347">
        <v>500000</v>
      </c>
      <c r="T50" s="342">
        <f t="shared" si="157"/>
        <v>1500000</v>
      </c>
      <c r="U50" s="347">
        <f t="shared" ref="U50" si="195">H50+L50+P50+T50</f>
        <v>6000000</v>
      </c>
      <c r="V50" s="347">
        <v>-112500</v>
      </c>
      <c r="W50" s="347">
        <v>-112500</v>
      </c>
      <c r="X50" s="347">
        <v>-112500</v>
      </c>
      <c r="Y50" s="342">
        <f t="shared" si="158"/>
        <v>-337500</v>
      </c>
      <c r="Z50" s="347">
        <v>-112500</v>
      </c>
      <c r="AA50" s="347">
        <v>-112500</v>
      </c>
      <c r="AB50" s="347">
        <v>-112500</v>
      </c>
      <c r="AC50" s="342">
        <f t="shared" si="101"/>
        <v>-337500</v>
      </c>
      <c r="AD50" s="347">
        <v>-112500</v>
      </c>
      <c r="AE50" s="347">
        <v>-112500</v>
      </c>
      <c r="AF50" s="347">
        <v>-112500</v>
      </c>
      <c r="AG50" s="342">
        <f t="shared" si="159"/>
        <v>-337500</v>
      </c>
      <c r="AH50" s="347">
        <v>-112500</v>
      </c>
      <c r="AI50" s="347">
        <v>-112500</v>
      </c>
      <c r="AJ50" s="347">
        <v>-112500</v>
      </c>
      <c r="AK50" s="342">
        <f t="shared" si="102"/>
        <v>-337500</v>
      </c>
      <c r="AL50" s="347">
        <f t="shared" si="181"/>
        <v>-1350000</v>
      </c>
      <c r="AM50" s="348">
        <v>0</v>
      </c>
      <c r="AN50" s="348">
        <v>0</v>
      </c>
      <c r="AO50" s="348">
        <v>0</v>
      </c>
      <c r="AP50" s="342">
        <f t="shared" si="103"/>
        <v>0</v>
      </c>
      <c r="AQ50" s="348">
        <v>0</v>
      </c>
      <c r="AR50" s="348">
        <v>0</v>
      </c>
      <c r="AS50" s="348">
        <v>0</v>
      </c>
      <c r="AT50" s="342">
        <f t="shared" si="104"/>
        <v>0</v>
      </c>
      <c r="AU50" s="348">
        <v>0</v>
      </c>
      <c r="AV50" s="348">
        <v>0</v>
      </c>
      <c r="AW50" s="348">
        <v>0</v>
      </c>
      <c r="AX50" s="342">
        <f t="shared" si="105"/>
        <v>0</v>
      </c>
      <c r="AY50" s="348"/>
      <c r="AZ50" s="348"/>
      <c r="BA50" s="348"/>
      <c r="BB50" s="342">
        <f t="shared" si="106"/>
        <v>0</v>
      </c>
      <c r="BC50" s="347">
        <f t="shared" si="182"/>
        <v>0</v>
      </c>
      <c r="BD50" s="347">
        <v>-87231.28</v>
      </c>
      <c r="BE50" s="347">
        <v>-87231.28</v>
      </c>
      <c r="BF50" s="347">
        <v>-87231.28</v>
      </c>
      <c r="BG50" s="342">
        <f t="shared" si="162"/>
        <v>-261693.84</v>
      </c>
      <c r="BH50" s="347">
        <v>-87231.28</v>
      </c>
      <c r="BI50" s="347">
        <v>-87231.28</v>
      </c>
      <c r="BJ50" s="347">
        <v>-87231.28</v>
      </c>
      <c r="BK50" s="342">
        <f t="shared" si="74"/>
        <v>-261693.84</v>
      </c>
      <c r="BL50" s="347">
        <v>-87231.28</v>
      </c>
      <c r="BM50" s="347">
        <v>-87231.28</v>
      </c>
      <c r="BN50" s="347">
        <v>-87231.28</v>
      </c>
      <c r="BO50" s="342">
        <f t="shared" si="114"/>
        <v>-261693.84</v>
      </c>
      <c r="BP50" s="347">
        <v>-87231.28</v>
      </c>
      <c r="BQ50" s="347">
        <v>-87231.28</v>
      </c>
      <c r="BR50" s="347">
        <v>-87231.28</v>
      </c>
      <c r="BS50" s="342">
        <f t="shared" si="76"/>
        <v>-261693.84</v>
      </c>
      <c r="BT50" s="347">
        <f t="shared" si="183"/>
        <v>-1046775.36</v>
      </c>
      <c r="BU50" s="348">
        <v>0</v>
      </c>
      <c r="BV50" s="348">
        <v>0</v>
      </c>
      <c r="BW50" s="348">
        <v>0</v>
      </c>
      <c r="BX50" s="342">
        <f t="shared" si="77"/>
        <v>0</v>
      </c>
      <c r="BY50" s="348">
        <v>0</v>
      </c>
      <c r="BZ50" s="348">
        <v>0</v>
      </c>
      <c r="CA50" s="348">
        <v>0</v>
      </c>
      <c r="CB50" s="342">
        <f t="shared" si="78"/>
        <v>0</v>
      </c>
      <c r="CC50" s="348">
        <v>0</v>
      </c>
      <c r="CD50" s="348">
        <v>0</v>
      </c>
      <c r="CE50" s="348">
        <v>0</v>
      </c>
      <c r="CF50" s="342">
        <f t="shared" si="79"/>
        <v>0</v>
      </c>
      <c r="CG50" s="348">
        <v>0</v>
      </c>
      <c r="CH50" s="348">
        <v>0</v>
      </c>
      <c r="CI50" s="348">
        <v>0</v>
      </c>
      <c r="CJ50" s="342">
        <f t="shared" si="80"/>
        <v>0</v>
      </c>
      <c r="CK50" s="347">
        <f t="shared" si="184"/>
        <v>0</v>
      </c>
      <c r="CL50" s="347">
        <v>-20691.7</v>
      </c>
      <c r="CM50" s="347">
        <v>-20691.7</v>
      </c>
      <c r="CN50" s="347">
        <v>-20691.7</v>
      </c>
      <c r="CO50" s="342">
        <f t="shared" si="81"/>
        <v>-62075.100000000006</v>
      </c>
      <c r="CP50" s="347">
        <v>-20691.7</v>
      </c>
      <c r="CQ50" s="347">
        <v>-20691.7</v>
      </c>
      <c r="CR50" s="347">
        <v>-20691.7</v>
      </c>
      <c r="CS50" s="342">
        <f t="shared" si="82"/>
        <v>-62075.100000000006</v>
      </c>
      <c r="CT50" s="347">
        <v>-20691.7</v>
      </c>
      <c r="CU50" s="347">
        <v>-20691.7</v>
      </c>
      <c r="CV50" s="347">
        <v>-20691.7</v>
      </c>
      <c r="CW50" s="342">
        <f t="shared" si="83"/>
        <v>-62075.100000000006</v>
      </c>
      <c r="CX50" s="347">
        <v>-20691.7</v>
      </c>
      <c r="CY50" s="347">
        <v>-20691.7</v>
      </c>
      <c r="CZ50" s="347">
        <v>-20691.7</v>
      </c>
      <c r="DA50" s="342">
        <f t="shared" si="84"/>
        <v>-62075.100000000006</v>
      </c>
      <c r="DB50" s="347">
        <f t="shared" si="185"/>
        <v>-248300.40000000002</v>
      </c>
      <c r="DC50" s="347"/>
      <c r="DD50" s="347"/>
      <c r="DE50" s="347"/>
      <c r="DF50" s="342">
        <f t="shared" si="129"/>
        <v>0</v>
      </c>
      <c r="DG50" s="347"/>
      <c r="DH50" s="347"/>
      <c r="DI50" s="347"/>
      <c r="DJ50" s="342">
        <f t="shared" si="151"/>
        <v>0</v>
      </c>
      <c r="DK50" s="347"/>
      <c r="DL50" s="347"/>
      <c r="DM50" s="347"/>
      <c r="DN50" s="342">
        <f t="shared" si="152"/>
        <v>0</v>
      </c>
      <c r="DO50" s="347"/>
      <c r="DP50" s="347"/>
      <c r="DQ50" s="347"/>
      <c r="DR50" s="342">
        <f t="shared" si="153"/>
        <v>0</v>
      </c>
      <c r="DS50" s="347">
        <f t="shared" si="186"/>
        <v>0</v>
      </c>
      <c r="DT50" s="347"/>
      <c r="DU50" s="347"/>
      <c r="DV50" s="347"/>
      <c r="DW50" s="342">
        <f t="shared" si="89"/>
        <v>0</v>
      </c>
      <c r="DX50" s="347"/>
      <c r="DY50" s="347"/>
      <c r="DZ50" s="347"/>
      <c r="EA50" s="342">
        <f t="shared" si="137"/>
        <v>0</v>
      </c>
      <c r="EB50" s="347"/>
      <c r="EC50" s="347"/>
      <c r="ED50" s="347"/>
      <c r="EE50" s="342">
        <f t="shared" si="146"/>
        <v>0</v>
      </c>
      <c r="EF50" s="347"/>
      <c r="EG50" s="347"/>
      <c r="EH50" s="347"/>
      <c r="EI50" s="342">
        <f t="shared" si="147"/>
        <v>0</v>
      </c>
      <c r="EJ50" s="347">
        <f t="shared" si="187"/>
        <v>0</v>
      </c>
      <c r="EK50" s="347"/>
      <c r="EL50" s="347"/>
      <c r="EM50" s="347"/>
      <c r="EN50" s="342">
        <f t="shared" si="154"/>
        <v>0</v>
      </c>
      <c r="EO50" s="347"/>
      <c r="EP50" s="347"/>
      <c r="EQ50" s="347"/>
      <c r="ER50" s="342">
        <f t="shared" si="135"/>
        <v>0</v>
      </c>
      <c r="ES50" s="347"/>
      <c r="ET50" s="347"/>
      <c r="EU50" s="347"/>
      <c r="EV50" s="342">
        <f t="shared" si="117"/>
        <v>0</v>
      </c>
      <c r="EW50" s="347"/>
      <c r="EX50" s="347"/>
      <c r="EY50" s="347"/>
      <c r="EZ50" s="342">
        <f t="shared" si="118"/>
        <v>0</v>
      </c>
      <c r="FA50" s="347">
        <f t="shared" si="188"/>
        <v>0</v>
      </c>
      <c r="FB50" s="347">
        <f t="shared" si="139"/>
        <v>3354924.24</v>
      </c>
      <c r="FC50" s="351">
        <f t="shared" si="59"/>
        <v>0.55915404000000002</v>
      </c>
    </row>
    <row r="51" spans="1:159" s="6" customFormat="1" ht="18" collapsed="1">
      <c r="A51" s="343"/>
      <c r="B51" s="344" t="s">
        <v>546</v>
      </c>
      <c r="C51" s="345" t="s">
        <v>299</v>
      </c>
      <c r="D51" s="346" t="s">
        <v>475</v>
      </c>
      <c r="E51" s="347">
        <f>SUM(E52:E61)</f>
        <v>0</v>
      </c>
      <c r="F51" s="347">
        <f>SUM(F52:F61)</f>
        <v>0</v>
      </c>
      <c r="G51" s="347">
        <f>SUM(G52:G61)</f>
        <v>0</v>
      </c>
      <c r="H51" s="342">
        <f>SUM(E51:G51)</f>
        <v>0</v>
      </c>
      <c r="I51" s="347">
        <f>SUM(I52:I61)</f>
        <v>0</v>
      </c>
      <c r="J51" s="347">
        <f>SUM(J52:J61)</f>
        <v>0</v>
      </c>
      <c r="K51" s="347">
        <f>SUM(K52:K61)</f>
        <v>0</v>
      </c>
      <c r="L51" s="342">
        <f t="shared" si="179"/>
        <v>0</v>
      </c>
      <c r="M51" s="347">
        <f>SUM(M52:M61)</f>
        <v>0</v>
      </c>
      <c r="N51" s="347">
        <f>SUM(N52:N61)</f>
        <v>0</v>
      </c>
      <c r="O51" s="347">
        <f>SUM(O52:O61)</f>
        <v>0</v>
      </c>
      <c r="P51" s="342">
        <f t="shared" si="156"/>
        <v>0</v>
      </c>
      <c r="Q51" s="347">
        <f>SUM(Q52:Q61)</f>
        <v>0</v>
      </c>
      <c r="R51" s="347">
        <f>SUM(R52:R61)</f>
        <v>0</v>
      </c>
      <c r="S51" s="347">
        <f>SUM(S52:S61)</f>
        <v>0</v>
      </c>
      <c r="T51" s="342">
        <f t="shared" si="157"/>
        <v>0</v>
      </c>
      <c r="U51" s="358">
        <f>SUM(U52:U61)</f>
        <v>0</v>
      </c>
      <c r="V51" s="347">
        <f t="shared" ref="V51:X51" si="196">SUM(V52:V61)</f>
        <v>0</v>
      </c>
      <c r="W51" s="347">
        <f t="shared" si="196"/>
        <v>0</v>
      </c>
      <c r="X51" s="347">
        <f t="shared" si="196"/>
        <v>0</v>
      </c>
      <c r="Y51" s="342">
        <f t="shared" si="158"/>
        <v>0</v>
      </c>
      <c r="Z51" s="347">
        <f>SUM(Z52:Z61)</f>
        <v>0</v>
      </c>
      <c r="AA51" s="347">
        <f>SUM(AA52:AA61)</f>
        <v>0</v>
      </c>
      <c r="AB51" s="347">
        <f>SUM(AB52:AB61)</f>
        <v>0</v>
      </c>
      <c r="AC51" s="342">
        <f t="shared" si="101"/>
        <v>0</v>
      </c>
      <c r="AD51" s="347">
        <f>SUM(AD52:AD61)</f>
        <v>0</v>
      </c>
      <c r="AE51" s="347">
        <f>SUM(AE52:AE61)</f>
        <v>0</v>
      </c>
      <c r="AF51" s="347">
        <f>SUM(AF52:AF61)</f>
        <v>0</v>
      </c>
      <c r="AG51" s="342">
        <f t="shared" si="159"/>
        <v>0</v>
      </c>
      <c r="AH51" s="347">
        <f>SUM(AH52:AH61)</f>
        <v>0</v>
      </c>
      <c r="AI51" s="347">
        <f>SUM(AI52:AI61)</f>
        <v>0</v>
      </c>
      <c r="AJ51" s="347">
        <f>SUM(AJ52:AJ61)</f>
        <v>0</v>
      </c>
      <c r="AK51" s="342">
        <f t="shared" si="102"/>
        <v>0</v>
      </c>
      <c r="AL51" s="347">
        <f>SUM(AL52:AL61)</f>
        <v>0</v>
      </c>
      <c r="AM51" s="348">
        <f>SUM(AM52:AM61)</f>
        <v>0</v>
      </c>
      <c r="AN51" s="348">
        <f>SUM(AN52:AN61)</f>
        <v>0</v>
      </c>
      <c r="AO51" s="348">
        <f>SUM(AO52:AO61)</f>
        <v>0</v>
      </c>
      <c r="AP51" s="342">
        <f t="shared" ref="AP51" si="197">SUM(AM51:AO51)</f>
        <v>0</v>
      </c>
      <c r="AQ51" s="348">
        <f>SUM(AQ52:AQ61)</f>
        <v>0</v>
      </c>
      <c r="AR51" s="348">
        <f>SUM(AR52:AR61)</f>
        <v>0</v>
      </c>
      <c r="AS51" s="348">
        <f>SUM(AS52:AS61)</f>
        <v>0</v>
      </c>
      <c r="AT51" s="342">
        <f t="shared" ref="AT51" si="198">SUM(AQ51:AS51)</f>
        <v>0</v>
      </c>
      <c r="AU51" s="348">
        <f>SUM(AU52:AU61)</f>
        <v>0</v>
      </c>
      <c r="AV51" s="348">
        <f>SUM(AV52:AV61)</f>
        <v>0</v>
      </c>
      <c r="AW51" s="348">
        <f>SUM(AW52:AW61)</f>
        <v>0</v>
      </c>
      <c r="AX51" s="342">
        <f t="shared" ref="AX51" si="199">SUM(AU51:AW51)</f>
        <v>0</v>
      </c>
      <c r="AY51" s="348">
        <f>SUM(AY52:AY61)</f>
        <v>0</v>
      </c>
      <c r="AZ51" s="348">
        <f>SUM(AZ52:AZ61)</f>
        <v>0</v>
      </c>
      <c r="BA51" s="348">
        <f>SUM(BA52:BA61)</f>
        <v>0</v>
      </c>
      <c r="BB51" s="342">
        <f t="shared" ref="BB51" si="200">SUM(AY51:BA51)</f>
        <v>0</v>
      </c>
      <c r="BC51" s="347">
        <f>SUM(BC52:BC61)</f>
        <v>0</v>
      </c>
      <c r="BD51" s="348">
        <f>SUM(BD52:BD61)</f>
        <v>0</v>
      </c>
      <c r="BE51" s="348">
        <f>SUM(BE52:BE61)</f>
        <v>0</v>
      </c>
      <c r="BF51" s="348">
        <f>SUM(BF52:BF61)</f>
        <v>0</v>
      </c>
      <c r="BG51" s="342">
        <f t="shared" si="162"/>
        <v>0</v>
      </c>
      <c r="BH51" s="348">
        <f>SUM(BH52:BH61)</f>
        <v>0</v>
      </c>
      <c r="BI51" s="348">
        <f>SUM(BI52:BI61)</f>
        <v>0</v>
      </c>
      <c r="BJ51" s="348">
        <f>SUM(BJ52:BJ61)</f>
        <v>0</v>
      </c>
      <c r="BK51" s="342">
        <f t="shared" si="74"/>
        <v>0</v>
      </c>
      <c r="BL51" s="348">
        <f>SUM(BL52:BL61)</f>
        <v>0</v>
      </c>
      <c r="BM51" s="348">
        <f>SUM(BM52:BM61)</f>
        <v>0</v>
      </c>
      <c r="BN51" s="347">
        <f>SUM(BN52:BN61)</f>
        <v>0</v>
      </c>
      <c r="BO51" s="342">
        <f t="shared" si="114"/>
        <v>0</v>
      </c>
      <c r="BP51" s="348">
        <f>SUM(BP52:BP61)</f>
        <v>0</v>
      </c>
      <c r="BQ51" s="348">
        <f>SUM(BQ52:BQ61)</f>
        <v>0</v>
      </c>
      <c r="BR51" s="348">
        <f>SUM(BR52:BR61)</f>
        <v>0</v>
      </c>
      <c r="BS51" s="342">
        <f t="shared" si="76"/>
        <v>0</v>
      </c>
      <c r="BT51" s="347">
        <f>SUM(BT52:BT61)</f>
        <v>0</v>
      </c>
      <c r="BU51" s="348">
        <f>SUM(BU52:BU61)</f>
        <v>0</v>
      </c>
      <c r="BV51" s="348">
        <f>SUM(BV52:BV61)</f>
        <v>0</v>
      </c>
      <c r="BW51" s="348">
        <f>SUM(BW52:BW61)</f>
        <v>0</v>
      </c>
      <c r="BX51" s="342">
        <f t="shared" si="77"/>
        <v>0</v>
      </c>
      <c r="BY51" s="348">
        <f>SUM(BY52:BY61)</f>
        <v>0</v>
      </c>
      <c r="BZ51" s="348">
        <f>SUM(BZ52:BZ61)</f>
        <v>0</v>
      </c>
      <c r="CA51" s="348">
        <f>SUM(CA52:CA61)</f>
        <v>0</v>
      </c>
      <c r="CB51" s="342">
        <f t="shared" si="78"/>
        <v>0</v>
      </c>
      <c r="CC51" s="348">
        <f>SUM(CC52:CC61)</f>
        <v>0</v>
      </c>
      <c r="CD51" s="348">
        <f>SUM(CD52:CD61)</f>
        <v>0</v>
      </c>
      <c r="CE51" s="348">
        <f>SUM(CE52:CE61)</f>
        <v>0</v>
      </c>
      <c r="CF51" s="342">
        <f t="shared" si="79"/>
        <v>0</v>
      </c>
      <c r="CG51" s="348">
        <f>SUM(CG52:CG61)</f>
        <v>0</v>
      </c>
      <c r="CH51" s="348">
        <f>SUM(CH52:CH61)</f>
        <v>0</v>
      </c>
      <c r="CI51" s="348">
        <f>SUM(CI52:CI61)</f>
        <v>0</v>
      </c>
      <c r="CJ51" s="342">
        <f t="shared" si="80"/>
        <v>0</v>
      </c>
      <c r="CK51" s="347">
        <f>SUM(CK52:CK61)</f>
        <v>0</v>
      </c>
      <c r="CL51" s="347">
        <f t="shared" ref="CL51:DA51" si="201">SUM(CL52:CL61)</f>
        <v>0</v>
      </c>
      <c r="CM51" s="347">
        <f t="shared" si="201"/>
        <v>0</v>
      </c>
      <c r="CN51" s="347">
        <f t="shared" si="201"/>
        <v>0</v>
      </c>
      <c r="CO51" s="342">
        <f t="shared" si="201"/>
        <v>0</v>
      </c>
      <c r="CP51" s="347">
        <f t="shared" si="201"/>
        <v>0</v>
      </c>
      <c r="CQ51" s="347">
        <f t="shared" si="201"/>
        <v>0</v>
      </c>
      <c r="CR51" s="347">
        <f t="shared" si="201"/>
        <v>0</v>
      </c>
      <c r="CS51" s="342">
        <f t="shared" si="201"/>
        <v>0</v>
      </c>
      <c r="CT51" s="347">
        <f t="shared" si="201"/>
        <v>0</v>
      </c>
      <c r="CU51" s="347">
        <f t="shared" si="201"/>
        <v>0</v>
      </c>
      <c r="CV51" s="347">
        <f t="shared" si="201"/>
        <v>0</v>
      </c>
      <c r="CW51" s="342">
        <f t="shared" si="201"/>
        <v>0</v>
      </c>
      <c r="CX51" s="347">
        <f t="shared" si="201"/>
        <v>0</v>
      </c>
      <c r="CY51" s="347">
        <f t="shared" si="201"/>
        <v>0</v>
      </c>
      <c r="CZ51" s="347">
        <f t="shared" si="201"/>
        <v>0</v>
      </c>
      <c r="DA51" s="342">
        <f t="shared" si="201"/>
        <v>0</v>
      </c>
      <c r="DB51" s="347">
        <f>SUM(DB52:DB61)</f>
        <v>0</v>
      </c>
      <c r="DC51" s="347">
        <f t="shared" ref="DC51:DR51" si="202">SUM(DC52:DC61)</f>
        <v>0</v>
      </c>
      <c r="DD51" s="347">
        <f t="shared" si="202"/>
        <v>0</v>
      </c>
      <c r="DE51" s="347">
        <f t="shared" si="202"/>
        <v>0</v>
      </c>
      <c r="DF51" s="342">
        <f t="shared" si="202"/>
        <v>0</v>
      </c>
      <c r="DG51" s="347">
        <f t="shared" si="202"/>
        <v>0</v>
      </c>
      <c r="DH51" s="347">
        <f t="shared" si="202"/>
        <v>0</v>
      </c>
      <c r="DI51" s="347">
        <f t="shared" si="202"/>
        <v>0</v>
      </c>
      <c r="DJ51" s="342">
        <f t="shared" si="202"/>
        <v>0</v>
      </c>
      <c r="DK51" s="347">
        <f t="shared" si="202"/>
        <v>0</v>
      </c>
      <c r="DL51" s="347">
        <f t="shared" si="202"/>
        <v>0</v>
      </c>
      <c r="DM51" s="347">
        <f t="shared" si="202"/>
        <v>0</v>
      </c>
      <c r="DN51" s="342">
        <f t="shared" si="202"/>
        <v>0</v>
      </c>
      <c r="DO51" s="348">
        <f t="shared" si="202"/>
        <v>0</v>
      </c>
      <c r="DP51" s="348">
        <f t="shared" si="202"/>
        <v>0</v>
      </c>
      <c r="DQ51" s="348">
        <f t="shared" si="202"/>
        <v>0</v>
      </c>
      <c r="DR51" s="342">
        <f t="shared" si="202"/>
        <v>0</v>
      </c>
      <c r="DS51" s="347">
        <f>SUM(DS52:DS61)</f>
        <v>0</v>
      </c>
      <c r="DT51" s="347">
        <f t="shared" ref="DT51:DV51" si="203">SUM(DT52:DT61)</f>
        <v>0</v>
      </c>
      <c r="DU51" s="347">
        <f t="shared" si="203"/>
        <v>0</v>
      </c>
      <c r="DV51" s="347">
        <f t="shared" si="203"/>
        <v>0</v>
      </c>
      <c r="DW51" s="342">
        <f t="shared" si="89"/>
        <v>0</v>
      </c>
      <c r="DX51" s="347">
        <f>SUM(DX52:DX61)</f>
        <v>0</v>
      </c>
      <c r="DY51" s="347">
        <f>SUM(DY52:DY61)</f>
        <v>0</v>
      </c>
      <c r="DZ51" s="347">
        <f>SUM(DZ52:DZ61)</f>
        <v>0</v>
      </c>
      <c r="EA51" s="342">
        <f t="shared" si="137"/>
        <v>0</v>
      </c>
      <c r="EB51" s="347">
        <f>SUM(EB52:EB61)</f>
        <v>0</v>
      </c>
      <c r="EC51" s="347">
        <f>SUM(EC52:EC61)</f>
        <v>0</v>
      </c>
      <c r="ED51" s="347">
        <f>SUM(ED52:ED61)</f>
        <v>0</v>
      </c>
      <c r="EE51" s="342">
        <f t="shared" si="146"/>
        <v>0</v>
      </c>
      <c r="EF51" s="347">
        <f>SUM(EF52:EF61)</f>
        <v>0</v>
      </c>
      <c r="EG51" s="347">
        <f>SUM(EG52:EG61)</f>
        <v>0</v>
      </c>
      <c r="EH51" s="347">
        <f>SUM(EH52:EH61)</f>
        <v>0</v>
      </c>
      <c r="EI51" s="342">
        <f t="shared" si="147"/>
        <v>0</v>
      </c>
      <c r="EJ51" s="347">
        <f>SUM(EJ52:EJ61)</f>
        <v>0</v>
      </c>
      <c r="EK51" s="347">
        <f t="shared" ref="EK51:EU51" si="204">SUM(EK52:EK61)</f>
        <v>0</v>
      </c>
      <c r="EL51" s="347">
        <f t="shared" si="204"/>
        <v>0</v>
      </c>
      <c r="EM51" s="347">
        <f t="shared" si="204"/>
        <v>0</v>
      </c>
      <c r="EN51" s="342">
        <f t="shared" si="204"/>
        <v>0</v>
      </c>
      <c r="EO51" s="347">
        <f t="shared" si="204"/>
        <v>0</v>
      </c>
      <c r="EP51" s="347">
        <f t="shared" si="204"/>
        <v>0</v>
      </c>
      <c r="EQ51" s="347">
        <f t="shared" si="204"/>
        <v>0</v>
      </c>
      <c r="ER51" s="342">
        <f t="shared" si="204"/>
        <v>0</v>
      </c>
      <c r="ES51" s="347">
        <f t="shared" si="204"/>
        <v>0</v>
      </c>
      <c r="ET51" s="347">
        <f t="shared" si="204"/>
        <v>0</v>
      </c>
      <c r="EU51" s="347">
        <f t="shared" si="204"/>
        <v>0</v>
      </c>
      <c r="EV51" s="342">
        <f t="shared" si="117"/>
        <v>0</v>
      </c>
      <c r="EW51" s="347">
        <f>SUM(EW52:EW61)</f>
        <v>0</v>
      </c>
      <c r="EX51" s="347">
        <f>SUM(EX52:EX61)</f>
        <v>0</v>
      </c>
      <c r="EY51" s="347">
        <f>SUM(EY52:EY61)</f>
        <v>0</v>
      </c>
      <c r="EZ51" s="342">
        <f t="shared" si="118"/>
        <v>0</v>
      </c>
      <c r="FA51" s="347">
        <f>SUM(FA52:FA61)</f>
        <v>0</v>
      </c>
      <c r="FB51" s="347">
        <f>SUM(FB52:FB61)</f>
        <v>0</v>
      </c>
      <c r="FC51" s="336" t="e">
        <f t="shared" si="59"/>
        <v>#DIV/0!</v>
      </c>
    </row>
    <row r="52" spans="1:159" s="6" customFormat="1" ht="18" hidden="1" outlineLevel="1">
      <c r="A52" s="343"/>
      <c r="B52" s="344" t="s">
        <v>547</v>
      </c>
      <c r="C52" s="349"/>
      <c r="D52" s="350"/>
      <c r="E52" s="347"/>
      <c r="F52" s="347"/>
      <c r="G52" s="347"/>
      <c r="H52" s="342">
        <f t="shared" si="178"/>
        <v>0</v>
      </c>
      <c r="I52" s="347"/>
      <c r="J52" s="347"/>
      <c r="K52" s="347"/>
      <c r="L52" s="342">
        <f t="shared" si="179"/>
        <v>0</v>
      </c>
      <c r="M52" s="347"/>
      <c r="N52" s="347"/>
      <c r="O52" s="347"/>
      <c r="P52" s="342">
        <f t="shared" si="156"/>
        <v>0</v>
      </c>
      <c r="Q52" s="347"/>
      <c r="R52" s="347"/>
      <c r="S52" s="347"/>
      <c r="T52" s="342">
        <f t="shared" si="157"/>
        <v>0</v>
      </c>
      <c r="U52" s="347">
        <f t="shared" ref="U52:U61" si="205">H52+L52+P52+T52</f>
        <v>0</v>
      </c>
      <c r="V52" s="347"/>
      <c r="W52" s="347"/>
      <c r="X52" s="347"/>
      <c r="Y52" s="342">
        <f t="shared" si="158"/>
        <v>0</v>
      </c>
      <c r="Z52" s="347"/>
      <c r="AA52" s="347"/>
      <c r="AB52" s="347"/>
      <c r="AC52" s="342">
        <f t="shared" si="101"/>
        <v>0</v>
      </c>
      <c r="AD52" s="347"/>
      <c r="AE52" s="347"/>
      <c r="AF52" s="347"/>
      <c r="AG52" s="342">
        <f t="shared" si="159"/>
        <v>0</v>
      </c>
      <c r="AH52" s="347"/>
      <c r="AI52" s="347"/>
      <c r="AJ52" s="347"/>
      <c r="AK52" s="342">
        <f t="shared" si="102"/>
        <v>0</v>
      </c>
      <c r="AL52" s="347">
        <f t="shared" si="181"/>
        <v>0</v>
      </c>
      <c r="AM52" s="348">
        <v>0</v>
      </c>
      <c r="AN52" s="348">
        <v>0</v>
      </c>
      <c r="AO52" s="348">
        <v>0</v>
      </c>
      <c r="AP52" s="342">
        <f t="shared" si="103"/>
        <v>0</v>
      </c>
      <c r="AQ52" s="348">
        <v>0</v>
      </c>
      <c r="AR52" s="348">
        <v>0</v>
      </c>
      <c r="AS52" s="348">
        <v>0</v>
      </c>
      <c r="AT52" s="342">
        <f t="shared" si="104"/>
        <v>0</v>
      </c>
      <c r="AU52" s="348">
        <v>0</v>
      </c>
      <c r="AV52" s="348">
        <v>0</v>
      </c>
      <c r="AW52" s="348">
        <v>0</v>
      </c>
      <c r="AX52" s="342">
        <f t="shared" si="105"/>
        <v>0</v>
      </c>
      <c r="AY52" s="348"/>
      <c r="AZ52" s="348"/>
      <c r="BA52" s="348"/>
      <c r="BB52" s="342">
        <f t="shared" si="106"/>
        <v>0</v>
      </c>
      <c r="BC52" s="347">
        <f t="shared" si="182"/>
        <v>0</v>
      </c>
      <c r="BD52" s="348"/>
      <c r="BE52" s="348"/>
      <c r="BF52" s="348"/>
      <c r="BG52" s="342">
        <f t="shared" si="162"/>
        <v>0</v>
      </c>
      <c r="BH52" s="348"/>
      <c r="BI52" s="348"/>
      <c r="BJ52" s="348"/>
      <c r="BK52" s="342">
        <f t="shared" si="74"/>
        <v>0</v>
      </c>
      <c r="BL52" s="348"/>
      <c r="BM52" s="348"/>
      <c r="BN52" s="347"/>
      <c r="BO52" s="342">
        <f t="shared" si="114"/>
        <v>0</v>
      </c>
      <c r="BP52" s="348"/>
      <c r="BQ52" s="348"/>
      <c r="BR52" s="348"/>
      <c r="BS52" s="342">
        <f t="shared" si="76"/>
        <v>0</v>
      </c>
      <c r="BT52" s="347">
        <f t="shared" si="183"/>
        <v>0</v>
      </c>
      <c r="BU52" s="348"/>
      <c r="BV52" s="348"/>
      <c r="BW52" s="348"/>
      <c r="BX52" s="342">
        <f t="shared" si="77"/>
        <v>0</v>
      </c>
      <c r="BY52" s="348"/>
      <c r="BZ52" s="348"/>
      <c r="CA52" s="348"/>
      <c r="CB52" s="342">
        <f t="shared" si="78"/>
        <v>0</v>
      </c>
      <c r="CC52" s="348"/>
      <c r="CD52" s="348"/>
      <c r="CE52" s="348"/>
      <c r="CF52" s="342">
        <f t="shared" si="79"/>
        <v>0</v>
      </c>
      <c r="CG52" s="348"/>
      <c r="CH52" s="348"/>
      <c r="CI52" s="348"/>
      <c r="CJ52" s="342">
        <f t="shared" si="80"/>
        <v>0</v>
      </c>
      <c r="CK52" s="347">
        <f t="shared" si="184"/>
        <v>0</v>
      </c>
      <c r="CL52" s="347"/>
      <c r="CM52" s="347"/>
      <c r="CN52" s="347"/>
      <c r="CO52" s="342">
        <f t="shared" si="81"/>
        <v>0</v>
      </c>
      <c r="CP52" s="347"/>
      <c r="CQ52" s="347"/>
      <c r="CR52" s="347"/>
      <c r="CS52" s="342">
        <f t="shared" si="82"/>
        <v>0</v>
      </c>
      <c r="CT52" s="347"/>
      <c r="CU52" s="347"/>
      <c r="CV52" s="347"/>
      <c r="CW52" s="342">
        <f t="shared" si="83"/>
        <v>0</v>
      </c>
      <c r="CX52" s="347"/>
      <c r="CY52" s="347"/>
      <c r="CZ52" s="347"/>
      <c r="DA52" s="342">
        <f t="shared" si="84"/>
        <v>0</v>
      </c>
      <c r="DB52" s="347">
        <f t="shared" si="185"/>
        <v>0</v>
      </c>
      <c r="DC52" s="347">
        <v>0</v>
      </c>
      <c r="DD52" s="347">
        <v>0</v>
      </c>
      <c r="DE52" s="347">
        <v>0</v>
      </c>
      <c r="DF52" s="342">
        <f t="shared" si="129"/>
        <v>0</v>
      </c>
      <c r="DG52" s="347">
        <v>0</v>
      </c>
      <c r="DH52" s="347">
        <v>0</v>
      </c>
      <c r="DI52" s="347">
        <v>0</v>
      </c>
      <c r="DJ52" s="342">
        <f t="shared" si="151"/>
        <v>0</v>
      </c>
      <c r="DK52" s="347">
        <v>0</v>
      </c>
      <c r="DL52" s="347">
        <v>0</v>
      </c>
      <c r="DM52" s="347">
        <v>0</v>
      </c>
      <c r="DN52" s="342">
        <f t="shared" si="152"/>
        <v>0</v>
      </c>
      <c r="DO52" s="347">
        <v>0</v>
      </c>
      <c r="DP52" s="347">
        <v>0</v>
      </c>
      <c r="DQ52" s="347">
        <v>0</v>
      </c>
      <c r="DR52" s="342">
        <f t="shared" si="153"/>
        <v>0</v>
      </c>
      <c r="DS52" s="347">
        <f t="shared" si="186"/>
        <v>0</v>
      </c>
      <c r="DT52" s="347"/>
      <c r="DU52" s="347"/>
      <c r="DV52" s="347"/>
      <c r="DW52" s="342">
        <f t="shared" si="89"/>
        <v>0</v>
      </c>
      <c r="DX52" s="347"/>
      <c r="DY52" s="347"/>
      <c r="DZ52" s="347"/>
      <c r="EA52" s="342">
        <f t="shared" si="137"/>
        <v>0</v>
      </c>
      <c r="EB52" s="347"/>
      <c r="EC52" s="347"/>
      <c r="ED52" s="347"/>
      <c r="EE52" s="342">
        <f t="shared" si="146"/>
        <v>0</v>
      </c>
      <c r="EF52" s="347"/>
      <c r="EG52" s="347"/>
      <c r="EH52" s="347"/>
      <c r="EI52" s="342">
        <f t="shared" si="147"/>
        <v>0</v>
      </c>
      <c r="EJ52" s="347">
        <f t="shared" si="187"/>
        <v>0</v>
      </c>
      <c r="EK52" s="347"/>
      <c r="EL52" s="347"/>
      <c r="EM52" s="347"/>
      <c r="EN52" s="342">
        <f t="shared" si="154"/>
        <v>0</v>
      </c>
      <c r="EO52" s="347"/>
      <c r="EP52" s="347"/>
      <c r="EQ52" s="347"/>
      <c r="ER52" s="342">
        <f t="shared" si="135"/>
        <v>0</v>
      </c>
      <c r="ES52" s="347"/>
      <c r="ET52" s="347"/>
      <c r="EU52" s="347"/>
      <c r="EV52" s="342">
        <f t="shared" si="117"/>
        <v>0</v>
      </c>
      <c r="EW52" s="347"/>
      <c r="EX52" s="347"/>
      <c r="EY52" s="347"/>
      <c r="EZ52" s="342">
        <f t="shared" si="118"/>
        <v>0</v>
      </c>
      <c r="FA52" s="347">
        <f t="shared" si="188"/>
        <v>0</v>
      </c>
      <c r="FB52" s="347">
        <f t="shared" si="139"/>
        <v>0</v>
      </c>
      <c r="FC52" s="351" t="e">
        <f t="shared" si="59"/>
        <v>#DIV/0!</v>
      </c>
    </row>
    <row r="53" spans="1:159" s="6" customFormat="1" ht="18" hidden="1" outlineLevel="1">
      <c r="A53" s="343"/>
      <c r="B53" s="344" t="s">
        <v>548</v>
      </c>
      <c r="C53" s="349"/>
      <c r="D53" s="350"/>
      <c r="E53" s="347"/>
      <c r="F53" s="347"/>
      <c r="G53" s="347"/>
      <c r="H53" s="342">
        <f t="shared" si="178"/>
        <v>0</v>
      </c>
      <c r="I53" s="347"/>
      <c r="J53" s="347"/>
      <c r="K53" s="347"/>
      <c r="L53" s="342">
        <f t="shared" si="179"/>
        <v>0</v>
      </c>
      <c r="M53" s="347"/>
      <c r="N53" s="347"/>
      <c r="O53" s="347"/>
      <c r="P53" s="342">
        <f t="shared" si="156"/>
        <v>0</v>
      </c>
      <c r="Q53" s="347"/>
      <c r="R53" s="347"/>
      <c r="S53" s="347"/>
      <c r="T53" s="342">
        <f t="shared" si="157"/>
        <v>0</v>
      </c>
      <c r="U53" s="347">
        <f t="shared" si="205"/>
        <v>0</v>
      </c>
      <c r="V53" s="347"/>
      <c r="W53" s="347"/>
      <c r="X53" s="347"/>
      <c r="Y53" s="342">
        <f t="shared" si="158"/>
        <v>0</v>
      </c>
      <c r="Z53" s="347"/>
      <c r="AA53" s="347"/>
      <c r="AB53" s="347"/>
      <c r="AC53" s="342">
        <f t="shared" si="101"/>
        <v>0</v>
      </c>
      <c r="AD53" s="347"/>
      <c r="AE53" s="347"/>
      <c r="AF53" s="347"/>
      <c r="AG53" s="342">
        <f t="shared" si="159"/>
        <v>0</v>
      </c>
      <c r="AH53" s="347"/>
      <c r="AI53" s="347"/>
      <c r="AJ53" s="347"/>
      <c r="AK53" s="342">
        <f t="shared" si="102"/>
        <v>0</v>
      </c>
      <c r="AL53" s="347">
        <f t="shared" si="181"/>
        <v>0</v>
      </c>
      <c r="AM53" s="348">
        <v>0</v>
      </c>
      <c r="AN53" s="348">
        <v>0</v>
      </c>
      <c r="AO53" s="348">
        <v>0</v>
      </c>
      <c r="AP53" s="342">
        <f t="shared" si="103"/>
        <v>0</v>
      </c>
      <c r="AQ53" s="348">
        <v>0</v>
      </c>
      <c r="AR53" s="348">
        <v>0</v>
      </c>
      <c r="AS53" s="348">
        <v>0</v>
      </c>
      <c r="AT53" s="342">
        <f t="shared" si="104"/>
        <v>0</v>
      </c>
      <c r="AU53" s="348">
        <v>0</v>
      </c>
      <c r="AV53" s="348">
        <v>0</v>
      </c>
      <c r="AW53" s="348">
        <v>0</v>
      </c>
      <c r="AX53" s="342">
        <f t="shared" si="105"/>
        <v>0</v>
      </c>
      <c r="AY53" s="348"/>
      <c r="AZ53" s="348"/>
      <c r="BA53" s="348"/>
      <c r="BB53" s="342">
        <f t="shared" si="106"/>
        <v>0</v>
      </c>
      <c r="BC53" s="347">
        <f t="shared" si="182"/>
        <v>0</v>
      </c>
      <c r="BD53" s="348"/>
      <c r="BE53" s="348"/>
      <c r="BF53" s="348"/>
      <c r="BG53" s="342">
        <f t="shared" si="162"/>
        <v>0</v>
      </c>
      <c r="BH53" s="348"/>
      <c r="BI53" s="348"/>
      <c r="BJ53" s="348"/>
      <c r="BK53" s="342">
        <f t="shared" si="74"/>
        <v>0</v>
      </c>
      <c r="BL53" s="348"/>
      <c r="BM53" s="348"/>
      <c r="BN53" s="347"/>
      <c r="BO53" s="342">
        <f t="shared" si="114"/>
        <v>0</v>
      </c>
      <c r="BP53" s="348"/>
      <c r="BQ53" s="348"/>
      <c r="BR53" s="348"/>
      <c r="BS53" s="342">
        <f t="shared" si="76"/>
        <v>0</v>
      </c>
      <c r="BT53" s="347">
        <f t="shared" si="183"/>
        <v>0</v>
      </c>
      <c r="BU53" s="348"/>
      <c r="BV53" s="348"/>
      <c r="BW53" s="348"/>
      <c r="BX53" s="342">
        <f t="shared" si="77"/>
        <v>0</v>
      </c>
      <c r="BY53" s="348"/>
      <c r="BZ53" s="348"/>
      <c r="CA53" s="348"/>
      <c r="CB53" s="342">
        <f t="shared" si="78"/>
        <v>0</v>
      </c>
      <c r="CC53" s="348"/>
      <c r="CD53" s="348"/>
      <c r="CE53" s="348"/>
      <c r="CF53" s="342">
        <f t="shared" si="79"/>
        <v>0</v>
      </c>
      <c r="CG53" s="348"/>
      <c r="CH53" s="348"/>
      <c r="CI53" s="348"/>
      <c r="CJ53" s="342">
        <f t="shared" si="80"/>
        <v>0</v>
      </c>
      <c r="CK53" s="347">
        <f t="shared" si="184"/>
        <v>0</v>
      </c>
      <c r="CL53" s="347"/>
      <c r="CM53" s="347"/>
      <c r="CN53" s="347"/>
      <c r="CO53" s="342">
        <f t="shared" si="81"/>
        <v>0</v>
      </c>
      <c r="CP53" s="347"/>
      <c r="CQ53" s="347"/>
      <c r="CR53" s="347"/>
      <c r="CS53" s="342">
        <f t="shared" si="82"/>
        <v>0</v>
      </c>
      <c r="CT53" s="347"/>
      <c r="CU53" s="347"/>
      <c r="CV53" s="347"/>
      <c r="CW53" s="342">
        <f t="shared" si="83"/>
        <v>0</v>
      </c>
      <c r="CX53" s="347"/>
      <c r="CY53" s="347"/>
      <c r="CZ53" s="347"/>
      <c r="DA53" s="342">
        <f t="shared" si="84"/>
        <v>0</v>
      </c>
      <c r="DB53" s="347">
        <f t="shared" si="185"/>
        <v>0</v>
      </c>
      <c r="DC53" s="347">
        <v>0</v>
      </c>
      <c r="DD53" s="347">
        <v>0</v>
      </c>
      <c r="DE53" s="347">
        <v>0</v>
      </c>
      <c r="DF53" s="342">
        <f t="shared" si="129"/>
        <v>0</v>
      </c>
      <c r="DG53" s="347">
        <v>0</v>
      </c>
      <c r="DH53" s="347">
        <v>0</v>
      </c>
      <c r="DI53" s="347">
        <v>0</v>
      </c>
      <c r="DJ53" s="342">
        <f t="shared" si="151"/>
        <v>0</v>
      </c>
      <c r="DK53" s="347">
        <v>0</v>
      </c>
      <c r="DL53" s="347">
        <v>0</v>
      </c>
      <c r="DM53" s="347">
        <v>0</v>
      </c>
      <c r="DN53" s="342">
        <f t="shared" si="152"/>
        <v>0</v>
      </c>
      <c r="DO53" s="347">
        <v>0</v>
      </c>
      <c r="DP53" s="347">
        <v>0</v>
      </c>
      <c r="DQ53" s="347">
        <v>0</v>
      </c>
      <c r="DR53" s="342">
        <f t="shared" si="153"/>
        <v>0</v>
      </c>
      <c r="DS53" s="347">
        <f t="shared" si="186"/>
        <v>0</v>
      </c>
      <c r="DT53" s="347"/>
      <c r="DU53" s="347"/>
      <c r="DV53" s="347"/>
      <c r="DW53" s="342">
        <f t="shared" si="89"/>
        <v>0</v>
      </c>
      <c r="DX53" s="347"/>
      <c r="DY53" s="347"/>
      <c r="DZ53" s="347"/>
      <c r="EA53" s="342">
        <f t="shared" si="137"/>
        <v>0</v>
      </c>
      <c r="EB53" s="347"/>
      <c r="EC53" s="347"/>
      <c r="ED53" s="347"/>
      <c r="EE53" s="342">
        <f t="shared" si="146"/>
        <v>0</v>
      </c>
      <c r="EF53" s="347"/>
      <c r="EG53" s="347"/>
      <c r="EH53" s="347"/>
      <c r="EI53" s="342">
        <f t="shared" si="147"/>
        <v>0</v>
      </c>
      <c r="EJ53" s="347">
        <f t="shared" si="187"/>
        <v>0</v>
      </c>
      <c r="EK53" s="347"/>
      <c r="EL53" s="347"/>
      <c r="EM53" s="347"/>
      <c r="EN53" s="342">
        <f t="shared" si="154"/>
        <v>0</v>
      </c>
      <c r="EO53" s="347"/>
      <c r="EP53" s="347"/>
      <c r="EQ53" s="347"/>
      <c r="ER53" s="342">
        <f t="shared" si="135"/>
        <v>0</v>
      </c>
      <c r="ES53" s="347"/>
      <c r="ET53" s="347"/>
      <c r="EU53" s="347"/>
      <c r="EV53" s="342">
        <f t="shared" si="117"/>
        <v>0</v>
      </c>
      <c r="EW53" s="347"/>
      <c r="EX53" s="347"/>
      <c r="EY53" s="347"/>
      <c r="EZ53" s="342">
        <f t="shared" si="118"/>
        <v>0</v>
      </c>
      <c r="FA53" s="347">
        <f t="shared" si="188"/>
        <v>0</v>
      </c>
      <c r="FB53" s="347">
        <f t="shared" si="139"/>
        <v>0</v>
      </c>
      <c r="FC53" s="336" t="e">
        <f t="shared" si="59"/>
        <v>#DIV/0!</v>
      </c>
    </row>
    <row r="54" spans="1:159" s="6" customFormat="1" ht="18" hidden="1" outlineLevel="1">
      <c r="A54" s="343"/>
      <c r="B54" s="344" t="s">
        <v>549</v>
      </c>
      <c r="C54" s="349"/>
      <c r="D54" s="350"/>
      <c r="E54" s="347"/>
      <c r="F54" s="347"/>
      <c r="G54" s="347"/>
      <c r="H54" s="342">
        <f t="shared" si="178"/>
        <v>0</v>
      </c>
      <c r="I54" s="347"/>
      <c r="J54" s="347"/>
      <c r="K54" s="347"/>
      <c r="L54" s="342">
        <f t="shared" si="179"/>
        <v>0</v>
      </c>
      <c r="M54" s="347"/>
      <c r="N54" s="347"/>
      <c r="O54" s="347"/>
      <c r="P54" s="342">
        <f t="shared" si="156"/>
        <v>0</v>
      </c>
      <c r="Q54" s="347"/>
      <c r="R54" s="347"/>
      <c r="S54" s="347"/>
      <c r="T54" s="342">
        <f t="shared" si="157"/>
        <v>0</v>
      </c>
      <c r="U54" s="347">
        <f t="shared" si="205"/>
        <v>0</v>
      </c>
      <c r="V54" s="347"/>
      <c r="W54" s="347"/>
      <c r="X54" s="347"/>
      <c r="Y54" s="342">
        <f t="shared" si="158"/>
        <v>0</v>
      </c>
      <c r="Z54" s="347"/>
      <c r="AA54" s="347"/>
      <c r="AB54" s="347"/>
      <c r="AC54" s="342">
        <f t="shared" si="101"/>
        <v>0</v>
      </c>
      <c r="AD54" s="347"/>
      <c r="AE54" s="347"/>
      <c r="AF54" s="347"/>
      <c r="AG54" s="342">
        <f t="shared" si="159"/>
        <v>0</v>
      </c>
      <c r="AH54" s="347"/>
      <c r="AI54" s="347"/>
      <c r="AJ54" s="347"/>
      <c r="AK54" s="342">
        <f t="shared" si="102"/>
        <v>0</v>
      </c>
      <c r="AL54" s="347">
        <f t="shared" si="181"/>
        <v>0</v>
      </c>
      <c r="AM54" s="348"/>
      <c r="AN54" s="348"/>
      <c r="AO54" s="348"/>
      <c r="AP54" s="342">
        <f t="shared" si="103"/>
        <v>0</v>
      </c>
      <c r="AQ54" s="348">
        <v>0</v>
      </c>
      <c r="AR54" s="348">
        <v>0</v>
      </c>
      <c r="AS54" s="348">
        <v>0</v>
      </c>
      <c r="AT54" s="342">
        <f t="shared" si="104"/>
        <v>0</v>
      </c>
      <c r="AU54" s="348">
        <v>0</v>
      </c>
      <c r="AV54" s="348">
        <v>0</v>
      </c>
      <c r="AW54" s="348">
        <v>0</v>
      </c>
      <c r="AX54" s="342">
        <f t="shared" si="105"/>
        <v>0</v>
      </c>
      <c r="AY54" s="348"/>
      <c r="AZ54" s="348"/>
      <c r="BA54" s="348"/>
      <c r="BB54" s="342">
        <f t="shared" si="106"/>
        <v>0</v>
      </c>
      <c r="BC54" s="347">
        <f t="shared" si="182"/>
        <v>0</v>
      </c>
      <c r="BD54" s="348"/>
      <c r="BE54" s="348"/>
      <c r="BF54" s="348"/>
      <c r="BG54" s="342">
        <f t="shared" si="162"/>
        <v>0</v>
      </c>
      <c r="BH54" s="348"/>
      <c r="BI54" s="348"/>
      <c r="BJ54" s="348"/>
      <c r="BK54" s="342">
        <f t="shared" si="74"/>
        <v>0</v>
      </c>
      <c r="BL54" s="348"/>
      <c r="BM54" s="348"/>
      <c r="BN54" s="347"/>
      <c r="BO54" s="342">
        <f t="shared" si="114"/>
        <v>0</v>
      </c>
      <c r="BP54" s="348"/>
      <c r="BQ54" s="348"/>
      <c r="BR54" s="348"/>
      <c r="BS54" s="342">
        <f t="shared" si="76"/>
        <v>0</v>
      </c>
      <c r="BT54" s="347">
        <f t="shared" si="183"/>
        <v>0</v>
      </c>
      <c r="BU54" s="348"/>
      <c r="BV54" s="348"/>
      <c r="BW54" s="348"/>
      <c r="BX54" s="342">
        <f t="shared" si="77"/>
        <v>0</v>
      </c>
      <c r="BY54" s="348"/>
      <c r="BZ54" s="348"/>
      <c r="CA54" s="348"/>
      <c r="CB54" s="342">
        <f t="shared" si="78"/>
        <v>0</v>
      </c>
      <c r="CC54" s="348"/>
      <c r="CD54" s="348"/>
      <c r="CE54" s="348"/>
      <c r="CF54" s="342">
        <f t="shared" si="79"/>
        <v>0</v>
      </c>
      <c r="CG54" s="348"/>
      <c r="CH54" s="348"/>
      <c r="CI54" s="348"/>
      <c r="CJ54" s="342">
        <f t="shared" si="80"/>
        <v>0</v>
      </c>
      <c r="CK54" s="347">
        <f t="shared" si="184"/>
        <v>0</v>
      </c>
      <c r="CL54" s="347"/>
      <c r="CM54" s="347"/>
      <c r="CN54" s="347"/>
      <c r="CO54" s="342">
        <f t="shared" si="81"/>
        <v>0</v>
      </c>
      <c r="CP54" s="347"/>
      <c r="CQ54" s="347"/>
      <c r="CR54" s="347"/>
      <c r="CS54" s="342">
        <f t="shared" si="82"/>
        <v>0</v>
      </c>
      <c r="CT54" s="347"/>
      <c r="CU54" s="347"/>
      <c r="CV54" s="347"/>
      <c r="CW54" s="342">
        <f t="shared" si="83"/>
        <v>0</v>
      </c>
      <c r="CX54" s="347"/>
      <c r="CY54" s="347"/>
      <c r="CZ54" s="347"/>
      <c r="DA54" s="342">
        <f t="shared" si="84"/>
        <v>0</v>
      </c>
      <c r="DB54" s="347">
        <f t="shared" si="185"/>
        <v>0</v>
      </c>
      <c r="DC54" s="347">
        <v>0</v>
      </c>
      <c r="DD54" s="347">
        <v>0</v>
      </c>
      <c r="DE54" s="347">
        <v>0</v>
      </c>
      <c r="DF54" s="342">
        <f t="shared" si="129"/>
        <v>0</v>
      </c>
      <c r="DG54" s="347">
        <v>0</v>
      </c>
      <c r="DH54" s="347">
        <v>0</v>
      </c>
      <c r="DI54" s="347">
        <v>0</v>
      </c>
      <c r="DJ54" s="342">
        <f t="shared" si="151"/>
        <v>0</v>
      </c>
      <c r="DK54" s="347">
        <v>0</v>
      </c>
      <c r="DL54" s="347">
        <v>0</v>
      </c>
      <c r="DM54" s="347">
        <v>0</v>
      </c>
      <c r="DN54" s="342">
        <f t="shared" si="152"/>
        <v>0</v>
      </c>
      <c r="DO54" s="347">
        <v>0</v>
      </c>
      <c r="DP54" s="347">
        <v>0</v>
      </c>
      <c r="DQ54" s="347">
        <v>0</v>
      </c>
      <c r="DR54" s="342">
        <f t="shared" si="153"/>
        <v>0</v>
      </c>
      <c r="DS54" s="347">
        <f t="shared" si="186"/>
        <v>0</v>
      </c>
      <c r="DT54" s="347"/>
      <c r="DU54" s="347"/>
      <c r="DV54" s="347"/>
      <c r="DW54" s="342">
        <f t="shared" si="89"/>
        <v>0</v>
      </c>
      <c r="DX54" s="347"/>
      <c r="DY54" s="347"/>
      <c r="DZ54" s="347"/>
      <c r="EA54" s="342">
        <f t="shared" si="137"/>
        <v>0</v>
      </c>
      <c r="EB54" s="347"/>
      <c r="EC54" s="347"/>
      <c r="ED54" s="347"/>
      <c r="EE54" s="342">
        <f t="shared" si="146"/>
        <v>0</v>
      </c>
      <c r="EF54" s="347"/>
      <c r="EG54" s="347"/>
      <c r="EH54" s="347"/>
      <c r="EI54" s="342">
        <f t="shared" si="147"/>
        <v>0</v>
      </c>
      <c r="EJ54" s="347">
        <f t="shared" si="187"/>
        <v>0</v>
      </c>
      <c r="EK54" s="347"/>
      <c r="EL54" s="347"/>
      <c r="EM54" s="347"/>
      <c r="EN54" s="342">
        <f t="shared" si="154"/>
        <v>0</v>
      </c>
      <c r="EO54" s="347"/>
      <c r="EP54" s="347"/>
      <c r="EQ54" s="347"/>
      <c r="ER54" s="342">
        <f t="shared" si="135"/>
        <v>0</v>
      </c>
      <c r="ES54" s="347"/>
      <c r="ET54" s="347"/>
      <c r="EU54" s="347"/>
      <c r="EV54" s="342">
        <f t="shared" si="117"/>
        <v>0</v>
      </c>
      <c r="EW54" s="347"/>
      <c r="EX54" s="347"/>
      <c r="EY54" s="347"/>
      <c r="EZ54" s="342">
        <f t="shared" si="118"/>
        <v>0</v>
      </c>
      <c r="FA54" s="347">
        <f t="shared" si="188"/>
        <v>0</v>
      </c>
      <c r="FB54" s="347">
        <f t="shared" si="139"/>
        <v>0</v>
      </c>
      <c r="FC54" s="336" t="e">
        <f t="shared" si="59"/>
        <v>#DIV/0!</v>
      </c>
    </row>
    <row r="55" spans="1:159" s="6" customFormat="1" ht="18" hidden="1" outlineLevel="1">
      <c r="A55" s="343"/>
      <c r="B55" s="344" t="s">
        <v>550</v>
      </c>
      <c r="C55" s="349"/>
      <c r="D55" s="350"/>
      <c r="E55" s="347"/>
      <c r="F55" s="347"/>
      <c r="G55" s="347"/>
      <c r="H55" s="342">
        <f t="shared" si="178"/>
        <v>0</v>
      </c>
      <c r="I55" s="347"/>
      <c r="J55" s="347"/>
      <c r="K55" s="347"/>
      <c r="L55" s="342">
        <f t="shared" si="179"/>
        <v>0</v>
      </c>
      <c r="M55" s="347"/>
      <c r="N55" s="347"/>
      <c r="O55" s="347"/>
      <c r="P55" s="342">
        <f t="shared" si="156"/>
        <v>0</v>
      </c>
      <c r="Q55" s="347"/>
      <c r="R55" s="347"/>
      <c r="S55" s="347"/>
      <c r="T55" s="342">
        <f t="shared" si="157"/>
        <v>0</v>
      </c>
      <c r="U55" s="347">
        <f t="shared" si="205"/>
        <v>0</v>
      </c>
      <c r="V55" s="347"/>
      <c r="W55" s="347"/>
      <c r="X55" s="347"/>
      <c r="Y55" s="342">
        <f t="shared" si="158"/>
        <v>0</v>
      </c>
      <c r="Z55" s="347"/>
      <c r="AA55" s="347"/>
      <c r="AB55" s="347"/>
      <c r="AC55" s="342">
        <f t="shared" si="101"/>
        <v>0</v>
      </c>
      <c r="AD55" s="347"/>
      <c r="AE55" s="347"/>
      <c r="AF55" s="347"/>
      <c r="AG55" s="342">
        <f t="shared" si="159"/>
        <v>0</v>
      </c>
      <c r="AH55" s="347"/>
      <c r="AI55" s="347"/>
      <c r="AJ55" s="347"/>
      <c r="AK55" s="342">
        <f t="shared" si="102"/>
        <v>0</v>
      </c>
      <c r="AL55" s="347">
        <f t="shared" si="181"/>
        <v>0</v>
      </c>
      <c r="AM55" s="348"/>
      <c r="AN55" s="348"/>
      <c r="AO55" s="348"/>
      <c r="AP55" s="342">
        <f t="shared" si="103"/>
        <v>0</v>
      </c>
      <c r="AQ55" s="348">
        <v>0</v>
      </c>
      <c r="AR55" s="348">
        <v>0</v>
      </c>
      <c r="AS55" s="348">
        <v>0</v>
      </c>
      <c r="AT55" s="342">
        <f t="shared" si="104"/>
        <v>0</v>
      </c>
      <c r="AU55" s="348">
        <v>0</v>
      </c>
      <c r="AV55" s="348">
        <v>0</v>
      </c>
      <c r="AW55" s="348">
        <v>0</v>
      </c>
      <c r="AX55" s="342">
        <f t="shared" si="105"/>
        <v>0</v>
      </c>
      <c r="AY55" s="348"/>
      <c r="AZ55" s="348"/>
      <c r="BA55" s="348"/>
      <c r="BB55" s="342">
        <f t="shared" si="106"/>
        <v>0</v>
      </c>
      <c r="BC55" s="347">
        <f t="shared" si="182"/>
        <v>0</v>
      </c>
      <c r="BD55" s="348"/>
      <c r="BE55" s="348"/>
      <c r="BF55" s="348"/>
      <c r="BG55" s="342">
        <f t="shared" si="162"/>
        <v>0</v>
      </c>
      <c r="BH55" s="348"/>
      <c r="BI55" s="348"/>
      <c r="BJ55" s="348"/>
      <c r="BK55" s="342">
        <f t="shared" si="74"/>
        <v>0</v>
      </c>
      <c r="BL55" s="348"/>
      <c r="BM55" s="348"/>
      <c r="BN55" s="347"/>
      <c r="BO55" s="342">
        <f t="shared" si="114"/>
        <v>0</v>
      </c>
      <c r="BP55" s="348"/>
      <c r="BQ55" s="348"/>
      <c r="BR55" s="348"/>
      <c r="BS55" s="342">
        <f t="shared" si="76"/>
        <v>0</v>
      </c>
      <c r="BT55" s="347">
        <f t="shared" si="183"/>
        <v>0</v>
      </c>
      <c r="BU55" s="348"/>
      <c r="BV55" s="348"/>
      <c r="BW55" s="348"/>
      <c r="BX55" s="342">
        <f t="shared" si="77"/>
        <v>0</v>
      </c>
      <c r="BY55" s="348"/>
      <c r="BZ55" s="348"/>
      <c r="CA55" s="348"/>
      <c r="CB55" s="342">
        <f t="shared" si="78"/>
        <v>0</v>
      </c>
      <c r="CC55" s="348"/>
      <c r="CD55" s="348"/>
      <c r="CE55" s="348"/>
      <c r="CF55" s="342">
        <f t="shared" si="79"/>
        <v>0</v>
      </c>
      <c r="CG55" s="348"/>
      <c r="CH55" s="348"/>
      <c r="CI55" s="348"/>
      <c r="CJ55" s="342">
        <f t="shared" si="80"/>
        <v>0</v>
      </c>
      <c r="CK55" s="347">
        <f t="shared" si="184"/>
        <v>0</v>
      </c>
      <c r="CL55" s="347"/>
      <c r="CM55" s="347"/>
      <c r="CN55" s="347"/>
      <c r="CO55" s="342">
        <f t="shared" si="81"/>
        <v>0</v>
      </c>
      <c r="CP55" s="347"/>
      <c r="CQ55" s="347"/>
      <c r="CR55" s="347"/>
      <c r="CS55" s="342">
        <f t="shared" si="82"/>
        <v>0</v>
      </c>
      <c r="CT55" s="347"/>
      <c r="CU55" s="347"/>
      <c r="CV55" s="347"/>
      <c r="CW55" s="342">
        <f t="shared" si="83"/>
        <v>0</v>
      </c>
      <c r="CX55" s="347"/>
      <c r="CY55" s="347"/>
      <c r="CZ55" s="347"/>
      <c r="DA55" s="342">
        <f t="shared" si="84"/>
        <v>0</v>
      </c>
      <c r="DB55" s="347">
        <f t="shared" si="185"/>
        <v>0</v>
      </c>
      <c r="DC55" s="347">
        <v>0</v>
      </c>
      <c r="DD55" s="347">
        <v>0</v>
      </c>
      <c r="DE55" s="347">
        <v>0</v>
      </c>
      <c r="DF55" s="342">
        <f t="shared" si="129"/>
        <v>0</v>
      </c>
      <c r="DG55" s="347">
        <v>0</v>
      </c>
      <c r="DH55" s="347">
        <v>0</v>
      </c>
      <c r="DI55" s="347">
        <v>0</v>
      </c>
      <c r="DJ55" s="342">
        <f t="shared" si="151"/>
        <v>0</v>
      </c>
      <c r="DK55" s="347">
        <v>0</v>
      </c>
      <c r="DL55" s="347">
        <v>0</v>
      </c>
      <c r="DM55" s="347">
        <v>0</v>
      </c>
      <c r="DN55" s="342">
        <f t="shared" si="152"/>
        <v>0</v>
      </c>
      <c r="DO55" s="347">
        <v>0</v>
      </c>
      <c r="DP55" s="347">
        <v>0</v>
      </c>
      <c r="DQ55" s="347">
        <v>0</v>
      </c>
      <c r="DR55" s="342">
        <f t="shared" si="153"/>
        <v>0</v>
      </c>
      <c r="DS55" s="347">
        <f t="shared" si="186"/>
        <v>0</v>
      </c>
      <c r="DT55" s="347"/>
      <c r="DU55" s="347"/>
      <c r="DV55" s="347"/>
      <c r="DW55" s="342">
        <f t="shared" si="89"/>
        <v>0</v>
      </c>
      <c r="DX55" s="347"/>
      <c r="DY55" s="347"/>
      <c r="DZ55" s="347"/>
      <c r="EA55" s="342">
        <f t="shared" si="137"/>
        <v>0</v>
      </c>
      <c r="EB55" s="347"/>
      <c r="EC55" s="347"/>
      <c r="ED55" s="347"/>
      <c r="EE55" s="342">
        <f t="shared" si="146"/>
        <v>0</v>
      </c>
      <c r="EF55" s="347"/>
      <c r="EG55" s="347"/>
      <c r="EH55" s="347"/>
      <c r="EI55" s="342">
        <f t="shared" si="147"/>
        <v>0</v>
      </c>
      <c r="EJ55" s="347">
        <f t="shared" si="187"/>
        <v>0</v>
      </c>
      <c r="EK55" s="347"/>
      <c r="EL55" s="347"/>
      <c r="EM55" s="347"/>
      <c r="EN55" s="342">
        <f t="shared" si="154"/>
        <v>0</v>
      </c>
      <c r="EO55" s="347"/>
      <c r="EP55" s="347"/>
      <c r="EQ55" s="347"/>
      <c r="ER55" s="342">
        <f t="shared" si="135"/>
        <v>0</v>
      </c>
      <c r="ES55" s="347"/>
      <c r="ET55" s="347"/>
      <c r="EU55" s="347"/>
      <c r="EV55" s="342">
        <f t="shared" si="117"/>
        <v>0</v>
      </c>
      <c r="EW55" s="347"/>
      <c r="EX55" s="347"/>
      <c r="EY55" s="347"/>
      <c r="EZ55" s="342">
        <f t="shared" si="118"/>
        <v>0</v>
      </c>
      <c r="FA55" s="347">
        <f t="shared" si="188"/>
        <v>0</v>
      </c>
      <c r="FB55" s="347">
        <f t="shared" si="139"/>
        <v>0</v>
      </c>
      <c r="FC55" s="336" t="e">
        <f t="shared" si="59"/>
        <v>#DIV/0!</v>
      </c>
    </row>
    <row r="56" spans="1:159" s="6" customFormat="1" ht="18" hidden="1" outlineLevel="1">
      <c r="A56" s="343"/>
      <c r="B56" s="344" t="s">
        <v>551</v>
      </c>
      <c r="C56" s="349"/>
      <c r="D56" s="350"/>
      <c r="E56" s="347"/>
      <c r="F56" s="347"/>
      <c r="G56" s="347"/>
      <c r="H56" s="342">
        <f t="shared" si="178"/>
        <v>0</v>
      </c>
      <c r="I56" s="347"/>
      <c r="J56" s="347"/>
      <c r="K56" s="347"/>
      <c r="L56" s="342">
        <f t="shared" si="179"/>
        <v>0</v>
      </c>
      <c r="M56" s="347"/>
      <c r="N56" s="347"/>
      <c r="O56" s="347"/>
      <c r="P56" s="342">
        <f t="shared" si="156"/>
        <v>0</v>
      </c>
      <c r="Q56" s="347"/>
      <c r="R56" s="347"/>
      <c r="S56" s="347"/>
      <c r="T56" s="342">
        <f t="shared" si="157"/>
        <v>0</v>
      </c>
      <c r="U56" s="347">
        <f t="shared" si="205"/>
        <v>0</v>
      </c>
      <c r="V56" s="347"/>
      <c r="W56" s="347"/>
      <c r="X56" s="347"/>
      <c r="Y56" s="342">
        <f t="shared" si="158"/>
        <v>0</v>
      </c>
      <c r="Z56" s="347"/>
      <c r="AA56" s="347"/>
      <c r="AB56" s="347"/>
      <c r="AC56" s="342">
        <f t="shared" si="101"/>
        <v>0</v>
      </c>
      <c r="AD56" s="347"/>
      <c r="AE56" s="347"/>
      <c r="AF56" s="347"/>
      <c r="AG56" s="342">
        <f t="shared" si="159"/>
        <v>0</v>
      </c>
      <c r="AH56" s="347"/>
      <c r="AI56" s="347"/>
      <c r="AJ56" s="347"/>
      <c r="AK56" s="342">
        <f t="shared" si="102"/>
        <v>0</v>
      </c>
      <c r="AL56" s="347">
        <f t="shared" si="181"/>
        <v>0</v>
      </c>
      <c r="AM56" s="348"/>
      <c r="AN56" s="348"/>
      <c r="AO56" s="348"/>
      <c r="AP56" s="342">
        <f t="shared" si="103"/>
        <v>0</v>
      </c>
      <c r="AQ56" s="348">
        <v>0</v>
      </c>
      <c r="AR56" s="348">
        <v>0</v>
      </c>
      <c r="AS56" s="348">
        <v>0</v>
      </c>
      <c r="AT56" s="342">
        <f t="shared" si="104"/>
        <v>0</v>
      </c>
      <c r="AU56" s="348">
        <v>0</v>
      </c>
      <c r="AV56" s="348">
        <v>0</v>
      </c>
      <c r="AW56" s="348">
        <v>0</v>
      </c>
      <c r="AX56" s="342">
        <f t="shared" si="105"/>
        <v>0</v>
      </c>
      <c r="AY56" s="348"/>
      <c r="AZ56" s="348"/>
      <c r="BA56" s="348"/>
      <c r="BB56" s="342">
        <f t="shared" si="106"/>
        <v>0</v>
      </c>
      <c r="BC56" s="347">
        <f t="shared" si="182"/>
        <v>0</v>
      </c>
      <c r="BD56" s="348"/>
      <c r="BE56" s="348"/>
      <c r="BF56" s="348"/>
      <c r="BG56" s="342">
        <f t="shared" si="162"/>
        <v>0</v>
      </c>
      <c r="BH56" s="348"/>
      <c r="BI56" s="348"/>
      <c r="BJ56" s="348"/>
      <c r="BK56" s="342">
        <f t="shared" si="74"/>
        <v>0</v>
      </c>
      <c r="BL56" s="348"/>
      <c r="BM56" s="348"/>
      <c r="BN56" s="347"/>
      <c r="BO56" s="342">
        <f t="shared" si="114"/>
        <v>0</v>
      </c>
      <c r="BP56" s="348"/>
      <c r="BQ56" s="348"/>
      <c r="BR56" s="348"/>
      <c r="BS56" s="342">
        <f t="shared" si="76"/>
        <v>0</v>
      </c>
      <c r="BT56" s="347">
        <f t="shared" si="183"/>
        <v>0</v>
      </c>
      <c r="BU56" s="348"/>
      <c r="BV56" s="348"/>
      <c r="BW56" s="348"/>
      <c r="BX56" s="342">
        <f t="shared" si="77"/>
        <v>0</v>
      </c>
      <c r="BY56" s="348"/>
      <c r="BZ56" s="348"/>
      <c r="CA56" s="348"/>
      <c r="CB56" s="342">
        <f t="shared" si="78"/>
        <v>0</v>
      </c>
      <c r="CC56" s="348"/>
      <c r="CD56" s="348"/>
      <c r="CE56" s="348"/>
      <c r="CF56" s="342">
        <f t="shared" si="79"/>
        <v>0</v>
      </c>
      <c r="CG56" s="348"/>
      <c r="CH56" s="348"/>
      <c r="CI56" s="348"/>
      <c r="CJ56" s="342">
        <f t="shared" si="80"/>
        <v>0</v>
      </c>
      <c r="CK56" s="347">
        <f t="shared" si="184"/>
        <v>0</v>
      </c>
      <c r="CL56" s="347"/>
      <c r="CM56" s="347"/>
      <c r="CN56" s="347"/>
      <c r="CO56" s="342">
        <f t="shared" si="81"/>
        <v>0</v>
      </c>
      <c r="CP56" s="347"/>
      <c r="CQ56" s="347"/>
      <c r="CR56" s="347"/>
      <c r="CS56" s="342">
        <f t="shared" si="82"/>
        <v>0</v>
      </c>
      <c r="CT56" s="347"/>
      <c r="CU56" s="347"/>
      <c r="CV56" s="347"/>
      <c r="CW56" s="342">
        <f t="shared" si="83"/>
        <v>0</v>
      </c>
      <c r="CX56" s="347"/>
      <c r="CY56" s="347"/>
      <c r="CZ56" s="347"/>
      <c r="DA56" s="342">
        <f t="shared" si="84"/>
        <v>0</v>
      </c>
      <c r="DB56" s="347">
        <f t="shared" si="185"/>
        <v>0</v>
      </c>
      <c r="DC56" s="347">
        <v>0</v>
      </c>
      <c r="DD56" s="347">
        <v>0</v>
      </c>
      <c r="DE56" s="347">
        <v>0</v>
      </c>
      <c r="DF56" s="342">
        <f t="shared" si="129"/>
        <v>0</v>
      </c>
      <c r="DG56" s="347">
        <v>0</v>
      </c>
      <c r="DH56" s="347">
        <v>0</v>
      </c>
      <c r="DI56" s="347">
        <v>0</v>
      </c>
      <c r="DJ56" s="342">
        <f t="shared" si="151"/>
        <v>0</v>
      </c>
      <c r="DK56" s="347">
        <v>0</v>
      </c>
      <c r="DL56" s="347">
        <v>0</v>
      </c>
      <c r="DM56" s="347">
        <v>0</v>
      </c>
      <c r="DN56" s="342">
        <f t="shared" si="152"/>
        <v>0</v>
      </c>
      <c r="DO56" s="347">
        <v>0</v>
      </c>
      <c r="DP56" s="347">
        <v>0</v>
      </c>
      <c r="DQ56" s="347">
        <v>0</v>
      </c>
      <c r="DR56" s="342">
        <f t="shared" si="153"/>
        <v>0</v>
      </c>
      <c r="DS56" s="347">
        <f t="shared" si="186"/>
        <v>0</v>
      </c>
      <c r="DT56" s="347"/>
      <c r="DU56" s="347"/>
      <c r="DV56" s="347"/>
      <c r="DW56" s="342">
        <f t="shared" si="89"/>
        <v>0</v>
      </c>
      <c r="DX56" s="347"/>
      <c r="DY56" s="347"/>
      <c r="DZ56" s="347"/>
      <c r="EA56" s="342">
        <f t="shared" si="137"/>
        <v>0</v>
      </c>
      <c r="EB56" s="347"/>
      <c r="EC56" s="347"/>
      <c r="ED56" s="347"/>
      <c r="EE56" s="342">
        <f t="shared" si="146"/>
        <v>0</v>
      </c>
      <c r="EF56" s="347"/>
      <c r="EG56" s="347"/>
      <c r="EH56" s="347"/>
      <c r="EI56" s="342">
        <f t="shared" si="147"/>
        <v>0</v>
      </c>
      <c r="EJ56" s="347">
        <f t="shared" si="187"/>
        <v>0</v>
      </c>
      <c r="EK56" s="347"/>
      <c r="EL56" s="347"/>
      <c r="EM56" s="347"/>
      <c r="EN56" s="342">
        <f t="shared" si="154"/>
        <v>0</v>
      </c>
      <c r="EO56" s="347"/>
      <c r="EP56" s="347"/>
      <c r="EQ56" s="347"/>
      <c r="ER56" s="342">
        <f t="shared" si="135"/>
        <v>0</v>
      </c>
      <c r="ES56" s="347"/>
      <c r="ET56" s="347"/>
      <c r="EU56" s="347"/>
      <c r="EV56" s="342">
        <f t="shared" si="117"/>
        <v>0</v>
      </c>
      <c r="EW56" s="347"/>
      <c r="EX56" s="347"/>
      <c r="EY56" s="347"/>
      <c r="EZ56" s="342">
        <f t="shared" si="118"/>
        <v>0</v>
      </c>
      <c r="FA56" s="347">
        <f t="shared" si="188"/>
        <v>0</v>
      </c>
      <c r="FB56" s="347">
        <f t="shared" si="139"/>
        <v>0</v>
      </c>
      <c r="FC56" s="336" t="e">
        <f t="shared" si="59"/>
        <v>#DIV/0!</v>
      </c>
    </row>
    <row r="57" spans="1:159" s="6" customFormat="1" ht="18" hidden="1" outlineLevel="1">
      <c r="A57" s="343"/>
      <c r="B57" s="344" t="s">
        <v>552</v>
      </c>
      <c r="C57" s="349"/>
      <c r="D57" s="350"/>
      <c r="E57" s="347"/>
      <c r="F57" s="347"/>
      <c r="G57" s="347"/>
      <c r="H57" s="342">
        <f t="shared" si="178"/>
        <v>0</v>
      </c>
      <c r="I57" s="347"/>
      <c r="J57" s="347"/>
      <c r="K57" s="347"/>
      <c r="L57" s="342">
        <f t="shared" si="179"/>
        <v>0</v>
      </c>
      <c r="M57" s="347"/>
      <c r="N57" s="347"/>
      <c r="O57" s="347"/>
      <c r="P57" s="342">
        <f t="shared" si="156"/>
        <v>0</v>
      </c>
      <c r="Q57" s="347"/>
      <c r="R57" s="347"/>
      <c r="S57" s="347"/>
      <c r="T57" s="342">
        <f t="shared" si="157"/>
        <v>0</v>
      </c>
      <c r="U57" s="347">
        <f t="shared" si="205"/>
        <v>0</v>
      </c>
      <c r="V57" s="347"/>
      <c r="W57" s="347"/>
      <c r="X57" s="347"/>
      <c r="Y57" s="342">
        <f t="shared" si="158"/>
        <v>0</v>
      </c>
      <c r="Z57" s="347"/>
      <c r="AA57" s="347"/>
      <c r="AB57" s="347"/>
      <c r="AC57" s="342">
        <f t="shared" si="101"/>
        <v>0</v>
      </c>
      <c r="AD57" s="347"/>
      <c r="AE57" s="347"/>
      <c r="AF57" s="347"/>
      <c r="AG57" s="342">
        <f t="shared" si="159"/>
        <v>0</v>
      </c>
      <c r="AH57" s="347"/>
      <c r="AI57" s="347"/>
      <c r="AJ57" s="347"/>
      <c r="AK57" s="342">
        <f t="shared" si="102"/>
        <v>0</v>
      </c>
      <c r="AL57" s="347">
        <f t="shared" si="181"/>
        <v>0</v>
      </c>
      <c r="AM57" s="348"/>
      <c r="AN57" s="348"/>
      <c r="AO57" s="348"/>
      <c r="AP57" s="342">
        <f t="shared" si="103"/>
        <v>0</v>
      </c>
      <c r="AQ57" s="348">
        <v>0</v>
      </c>
      <c r="AR57" s="348">
        <v>0</v>
      </c>
      <c r="AS57" s="348">
        <v>0</v>
      </c>
      <c r="AT57" s="342">
        <f t="shared" si="104"/>
        <v>0</v>
      </c>
      <c r="AU57" s="348">
        <v>0</v>
      </c>
      <c r="AV57" s="348">
        <v>0</v>
      </c>
      <c r="AW57" s="348">
        <v>0</v>
      </c>
      <c r="AX57" s="342">
        <f t="shared" si="105"/>
        <v>0</v>
      </c>
      <c r="AY57" s="348"/>
      <c r="AZ57" s="348"/>
      <c r="BA57" s="348"/>
      <c r="BB57" s="342">
        <f t="shared" si="106"/>
        <v>0</v>
      </c>
      <c r="BC57" s="347">
        <f t="shared" si="182"/>
        <v>0</v>
      </c>
      <c r="BD57" s="348"/>
      <c r="BE57" s="348"/>
      <c r="BF57" s="348"/>
      <c r="BG57" s="342">
        <f t="shared" si="162"/>
        <v>0</v>
      </c>
      <c r="BH57" s="348"/>
      <c r="BI57" s="348"/>
      <c r="BJ57" s="348"/>
      <c r="BK57" s="342">
        <f t="shared" si="74"/>
        <v>0</v>
      </c>
      <c r="BL57" s="348"/>
      <c r="BM57" s="348"/>
      <c r="BN57" s="347"/>
      <c r="BO57" s="342">
        <f t="shared" si="114"/>
        <v>0</v>
      </c>
      <c r="BP57" s="348"/>
      <c r="BQ57" s="348"/>
      <c r="BR57" s="348"/>
      <c r="BS57" s="342">
        <f t="shared" si="76"/>
        <v>0</v>
      </c>
      <c r="BT57" s="347">
        <f t="shared" si="183"/>
        <v>0</v>
      </c>
      <c r="BU57" s="348"/>
      <c r="BV57" s="348"/>
      <c r="BW57" s="348"/>
      <c r="BX57" s="342">
        <f t="shared" si="77"/>
        <v>0</v>
      </c>
      <c r="BY57" s="348"/>
      <c r="BZ57" s="348"/>
      <c r="CA57" s="348"/>
      <c r="CB57" s="342">
        <f t="shared" si="78"/>
        <v>0</v>
      </c>
      <c r="CC57" s="348"/>
      <c r="CD57" s="348"/>
      <c r="CE57" s="348"/>
      <c r="CF57" s="342">
        <f t="shared" si="79"/>
        <v>0</v>
      </c>
      <c r="CG57" s="348"/>
      <c r="CH57" s="348"/>
      <c r="CI57" s="348"/>
      <c r="CJ57" s="342">
        <f t="shared" si="80"/>
        <v>0</v>
      </c>
      <c r="CK57" s="347">
        <f t="shared" si="184"/>
        <v>0</v>
      </c>
      <c r="CL57" s="347"/>
      <c r="CM57" s="347"/>
      <c r="CN57" s="347"/>
      <c r="CO57" s="342">
        <f t="shared" si="81"/>
        <v>0</v>
      </c>
      <c r="CP57" s="347"/>
      <c r="CQ57" s="347"/>
      <c r="CR57" s="347"/>
      <c r="CS57" s="342">
        <f t="shared" si="82"/>
        <v>0</v>
      </c>
      <c r="CT57" s="347"/>
      <c r="CU57" s="347"/>
      <c r="CV57" s="347"/>
      <c r="CW57" s="342">
        <f t="shared" si="83"/>
        <v>0</v>
      </c>
      <c r="CX57" s="347"/>
      <c r="CY57" s="347"/>
      <c r="CZ57" s="347"/>
      <c r="DA57" s="342">
        <f t="shared" si="84"/>
        <v>0</v>
      </c>
      <c r="DB57" s="347">
        <f t="shared" si="185"/>
        <v>0</v>
      </c>
      <c r="DC57" s="347">
        <v>0</v>
      </c>
      <c r="DD57" s="347">
        <v>0</v>
      </c>
      <c r="DE57" s="347">
        <v>0</v>
      </c>
      <c r="DF57" s="342">
        <f t="shared" si="129"/>
        <v>0</v>
      </c>
      <c r="DG57" s="347">
        <v>0</v>
      </c>
      <c r="DH57" s="347">
        <v>0</v>
      </c>
      <c r="DI57" s="347">
        <v>0</v>
      </c>
      <c r="DJ57" s="342">
        <f t="shared" si="151"/>
        <v>0</v>
      </c>
      <c r="DK57" s="347">
        <v>0</v>
      </c>
      <c r="DL57" s="347">
        <v>0</v>
      </c>
      <c r="DM57" s="347">
        <v>0</v>
      </c>
      <c r="DN57" s="342">
        <f t="shared" si="152"/>
        <v>0</v>
      </c>
      <c r="DO57" s="347">
        <v>0</v>
      </c>
      <c r="DP57" s="347">
        <v>0</v>
      </c>
      <c r="DQ57" s="347">
        <v>0</v>
      </c>
      <c r="DR57" s="342">
        <f t="shared" si="153"/>
        <v>0</v>
      </c>
      <c r="DS57" s="347">
        <f t="shared" si="186"/>
        <v>0</v>
      </c>
      <c r="DT57" s="347"/>
      <c r="DU57" s="347"/>
      <c r="DV57" s="347"/>
      <c r="DW57" s="342">
        <f t="shared" si="89"/>
        <v>0</v>
      </c>
      <c r="DX57" s="347"/>
      <c r="DY57" s="347"/>
      <c r="DZ57" s="347"/>
      <c r="EA57" s="342">
        <f t="shared" si="137"/>
        <v>0</v>
      </c>
      <c r="EB57" s="347"/>
      <c r="EC57" s="347"/>
      <c r="ED57" s="347"/>
      <c r="EE57" s="342">
        <f t="shared" si="146"/>
        <v>0</v>
      </c>
      <c r="EF57" s="347"/>
      <c r="EG57" s="347"/>
      <c r="EH57" s="347"/>
      <c r="EI57" s="342">
        <f t="shared" si="147"/>
        <v>0</v>
      </c>
      <c r="EJ57" s="347">
        <f t="shared" si="187"/>
        <v>0</v>
      </c>
      <c r="EK57" s="347"/>
      <c r="EL57" s="347"/>
      <c r="EM57" s="347"/>
      <c r="EN57" s="342">
        <f t="shared" si="154"/>
        <v>0</v>
      </c>
      <c r="EO57" s="347"/>
      <c r="EP57" s="347"/>
      <c r="EQ57" s="347"/>
      <c r="ER57" s="342">
        <f t="shared" si="135"/>
        <v>0</v>
      </c>
      <c r="ES57" s="347"/>
      <c r="ET57" s="347"/>
      <c r="EU57" s="347"/>
      <c r="EV57" s="342">
        <f t="shared" si="117"/>
        <v>0</v>
      </c>
      <c r="EW57" s="347"/>
      <c r="EX57" s="347"/>
      <c r="EY57" s="347"/>
      <c r="EZ57" s="342">
        <f t="shared" si="118"/>
        <v>0</v>
      </c>
      <c r="FA57" s="347">
        <f t="shared" si="188"/>
        <v>0</v>
      </c>
      <c r="FB57" s="347">
        <f t="shared" si="139"/>
        <v>0</v>
      </c>
      <c r="FC57" s="336" t="e">
        <f t="shared" si="59"/>
        <v>#DIV/0!</v>
      </c>
    </row>
    <row r="58" spans="1:159" s="6" customFormat="1" ht="18" hidden="1" outlineLevel="1">
      <c r="A58" s="343"/>
      <c r="B58" s="344" t="s">
        <v>553</v>
      </c>
      <c r="C58" s="349"/>
      <c r="D58" s="350"/>
      <c r="E58" s="347"/>
      <c r="F58" s="347"/>
      <c r="G58" s="347"/>
      <c r="H58" s="342">
        <f t="shared" si="178"/>
        <v>0</v>
      </c>
      <c r="I58" s="347"/>
      <c r="J58" s="347"/>
      <c r="K58" s="347"/>
      <c r="L58" s="342">
        <f t="shared" si="179"/>
        <v>0</v>
      </c>
      <c r="M58" s="347"/>
      <c r="N58" s="347"/>
      <c r="O58" s="347"/>
      <c r="P58" s="342">
        <f t="shared" si="156"/>
        <v>0</v>
      </c>
      <c r="Q58" s="347"/>
      <c r="R58" s="347"/>
      <c r="S58" s="347"/>
      <c r="T58" s="342">
        <f t="shared" si="157"/>
        <v>0</v>
      </c>
      <c r="U58" s="347">
        <f t="shared" si="205"/>
        <v>0</v>
      </c>
      <c r="V58" s="347"/>
      <c r="W58" s="347"/>
      <c r="X58" s="347"/>
      <c r="Y58" s="342">
        <f t="shared" si="158"/>
        <v>0</v>
      </c>
      <c r="Z58" s="347"/>
      <c r="AA58" s="347"/>
      <c r="AB58" s="347"/>
      <c r="AC58" s="342">
        <f t="shared" si="101"/>
        <v>0</v>
      </c>
      <c r="AD58" s="347"/>
      <c r="AE58" s="347"/>
      <c r="AF58" s="347"/>
      <c r="AG58" s="342">
        <f t="shared" si="159"/>
        <v>0</v>
      </c>
      <c r="AH58" s="347"/>
      <c r="AI58" s="347"/>
      <c r="AJ58" s="347"/>
      <c r="AK58" s="342">
        <f t="shared" si="102"/>
        <v>0</v>
      </c>
      <c r="AL58" s="347">
        <f t="shared" si="181"/>
        <v>0</v>
      </c>
      <c r="AM58" s="348"/>
      <c r="AN58" s="348"/>
      <c r="AO58" s="348"/>
      <c r="AP58" s="342">
        <f t="shared" si="103"/>
        <v>0</v>
      </c>
      <c r="AQ58" s="348">
        <v>0</v>
      </c>
      <c r="AR58" s="348">
        <v>0</v>
      </c>
      <c r="AS58" s="348">
        <v>0</v>
      </c>
      <c r="AT58" s="342">
        <f t="shared" si="104"/>
        <v>0</v>
      </c>
      <c r="AU58" s="348">
        <v>0</v>
      </c>
      <c r="AV58" s="348">
        <v>0</v>
      </c>
      <c r="AW58" s="348">
        <v>0</v>
      </c>
      <c r="AX58" s="342">
        <f t="shared" si="105"/>
        <v>0</v>
      </c>
      <c r="AY58" s="348"/>
      <c r="AZ58" s="348"/>
      <c r="BA58" s="348"/>
      <c r="BB58" s="342">
        <f t="shared" si="106"/>
        <v>0</v>
      </c>
      <c r="BC58" s="347">
        <f t="shared" si="182"/>
        <v>0</v>
      </c>
      <c r="BD58" s="348"/>
      <c r="BE58" s="348"/>
      <c r="BF58" s="348"/>
      <c r="BG58" s="342">
        <f t="shared" si="162"/>
        <v>0</v>
      </c>
      <c r="BH58" s="348"/>
      <c r="BI58" s="348"/>
      <c r="BJ58" s="348"/>
      <c r="BK58" s="342">
        <f t="shared" si="74"/>
        <v>0</v>
      </c>
      <c r="BL58" s="348"/>
      <c r="BM58" s="348"/>
      <c r="BN58" s="347"/>
      <c r="BO58" s="342">
        <f t="shared" si="114"/>
        <v>0</v>
      </c>
      <c r="BP58" s="348"/>
      <c r="BQ58" s="348"/>
      <c r="BR58" s="348"/>
      <c r="BS58" s="342">
        <f t="shared" si="76"/>
        <v>0</v>
      </c>
      <c r="BT58" s="347">
        <f t="shared" si="183"/>
        <v>0</v>
      </c>
      <c r="BU58" s="348"/>
      <c r="BV58" s="348"/>
      <c r="BW58" s="348"/>
      <c r="BX58" s="342">
        <f t="shared" si="77"/>
        <v>0</v>
      </c>
      <c r="BY58" s="348"/>
      <c r="BZ58" s="348"/>
      <c r="CA58" s="348"/>
      <c r="CB58" s="342">
        <f t="shared" si="78"/>
        <v>0</v>
      </c>
      <c r="CC58" s="348"/>
      <c r="CD58" s="348"/>
      <c r="CE58" s="348"/>
      <c r="CF58" s="342">
        <f t="shared" si="79"/>
        <v>0</v>
      </c>
      <c r="CG58" s="348"/>
      <c r="CH58" s="348"/>
      <c r="CI58" s="348"/>
      <c r="CJ58" s="342">
        <f t="shared" si="80"/>
        <v>0</v>
      </c>
      <c r="CK58" s="347">
        <f t="shared" si="184"/>
        <v>0</v>
      </c>
      <c r="CL58" s="347"/>
      <c r="CM58" s="347"/>
      <c r="CN58" s="347"/>
      <c r="CO58" s="342">
        <f t="shared" si="81"/>
        <v>0</v>
      </c>
      <c r="CP58" s="347"/>
      <c r="CQ58" s="347"/>
      <c r="CR58" s="347"/>
      <c r="CS58" s="342">
        <f t="shared" si="82"/>
        <v>0</v>
      </c>
      <c r="CT58" s="347"/>
      <c r="CU58" s="347"/>
      <c r="CV58" s="347"/>
      <c r="CW58" s="342">
        <f t="shared" si="83"/>
        <v>0</v>
      </c>
      <c r="CX58" s="347"/>
      <c r="CY58" s="347"/>
      <c r="CZ58" s="347"/>
      <c r="DA58" s="342">
        <f t="shared" si="84"/>
        <v>0</v>
      </c>
      <c r="DB58" s="347">
        <f t="shared" si="185"/>
        <v>0</v>
      </c>
      <c r="DC58" s="347">
        <v>0</v>
      </c>
      <c r="DD58" s="347">
        <v>0</v>
      </c>
      <c r="DE58" s="347">
        <v>0</v>
      </c>
      <c r="DF58" s="342">
        <f t="shared" si="129"/>
        <v>0</v>
      </c>
      <c r="DG58" s="347">
        <v>0</v>
      </c>
      <c r="DH58" s="347">
        <v>0</v>
      </c>
      <c r="DI58" s="347">
        <v>0</v>
      </c>
      <c r="DJ58" s="342">
        <f t="shared" si="151"/>
        <v>0</v>
      </c>
      <c r="DK58" s="347">
        <v>0</v>
      </c>
      <c r="DL58" s="347">
        <v>0</v>
      </c>
      <c r="DM58" s="347">
        <v>0</v>
      </c>
      <c r="DN58" s="342">
        <f t="shared" si="152"/>
        <v>0</v>
      </c>
      <c r="DO58" s="347">
        <v>0</v>
      </c>
      <c r="DP58" s="347">
        <v>0</v>
      </c>
      <c r="DQ58" s="347">
        <v>0</v>
      </c>
      <c r="DR58" s="342">
        <f t="shared" si="153"/>
        <v>0</v>
      </c>
      <c r="DS58" s="347">
        <f t="shared" si="186"/>
        <v>0</v>
      </c>
      <c r="DT58" s="347"/>
      <c r="DU58" s="347"/>
      <c r="DV58" s="347"/>
      <c r="DW58" s="342">
        <f t="shared" si="89"/>
        <v>0</v>
      </c>
      <c r="DX58" s="347"/>
      <c r="DY58" s="347"/>
      <c r="DZ58" s="347"/>
      <c r="EA58" s="342">
        <f t="shared" si="137"/>
        <v>0</v>
      </c>
      <c r="EB58" s="347"/>
      <c r="EC58" s="347"/>
      <c r="ED58" s="347"/>
      <c r="EE58" s="342">
        <f t="shared" si="146"/>
        <v>0</v>
      </c>
      <c r="EF58" s="347"/>
      <c r="EG58" s="347"/>
      <c r="EH58" s="347"/>
      <c r="EI58" s="342">
        <f t="shared" si="147"/>
        <v>0</v>
      </c>
      <c r="EJ58" s="347">
        <f t="shared" si="187"/>
        <v>0</v>
      </c>
      <c r="EK58" s="347"/>
      <c r="EL58" s="347"/>
      <c r="EM58" s="347"/>
      <c r="EN58" s="342">
        <f t="shared" si="154"/>
        <v>0</v>
      </c>
      <c r="EO58" s="347"/>
      <c r="EP58" s="347"/>
      <c r="EQ58" s="347"/>
      <c r="ER58" s="342">
        <f t="shared" si="135"/>
        <v>0</v>
      </c>
      <c r="ES58" s="347"/>
      <c r="ET58" s="347"/>
      <c r="EU58" s="347"/>
      <c r="EV58" s="342">
        <f t="shared" si="117"/>
        <v>0</v>
      </c>
      <c r="EW58" s="347"/>
      <c r="EX58" s="347"/>
      <c r="EY58" s="347"/>
      <c r="EZ58" s="342">
        <f t="shared" si="118"/>
        <v>0</v>
      </c>
      <c r="FA58" s="347">
        <f t="shared" si="188"/>
        <v>0</v>
      </c>
      <c r="FB58" s="347">
        <f t="shared" si="139"/>
        <v>0</v>
      </c>
      <c r="FC58" s="336" t="e">
        <f t="shared" si="59"/>
        <v>#DIV/0!</v>
      </c>
    </row>
    <row r="59" spans="1:159" s="6" customFormat="1" ht="18" hidden="1" outlineLevel="1">
      <c r="A59" s="343"/>
      <c r="B59" s="344" t="s">
        <v>554</v>
      </c>
      <c r="C59" s="349"/>
      <c r="D59" s="350"/>
      <c r="E59" s="347"/>
      <c r="F59" s="347"/>
      <c r="G59" s="347"/>
      <c r="H59" s="342">
        <f t="shared" si="178"/>
        <v>0</v>
      </c>
      <c r="I59" s="347"/>
      <c r="J59" s="347"/>
      <c r="K59" s="347"/>
      <c r="L59" s="342">
        <f t="shared" si="179"/>
        <v>0</v>
      </c>
      <c r="M59" s="347"/>
      <c r="N59" s="347"/>
      <c r="O59" s="347"/>
      <c r="P59" s="342">
        <f t="shared" si="156"/>
        <v>0</v>
      </c>
      <c r="Q59" s="347"/>
      <c r="R59" s="347"/>
      <c r="S59" s="347"/>
      <c r="T59" s="342">
        <f t="shared" si="157"/>
        <v>0</v>
      </c>
      <c r="U59" s="347">
        <f t="shared" si="205"/>
        <v>0</v>
      </c>
      <c r="V59" s="347"/>
      <c r="W59" s="347"/>
      <c r="X59" s="347"/>
      <c r="Y59" s="342">
        <f t="shared" si="158"/>
        <v>0</v>
      </c>
      <c r="Z59" s="347"/>
      <c r="AA59" s="347"/>
      <c r="AB59" s="347"/>
      <c r="AC59" s="342">
        <f t="shared" si="101"/>
        <v>0</v>
      </c>
      <c r="AD59" s="347"/>
      <c r="AE59" s="347"/>
      <c r="AF59" s="347"/>
      <c r="AG59" s="342">
        <f t="shared" si="159"/>
        <v>0</v>
      </c>
      <c r="AH59" s="347"/>
      <c r="AI59" s="347"/>
      <c r="AJ59" s="347"/>
      <c r="AK59" s="342">
        <f t="shared" si="102"/>
        <v>0</v>
      </c>
      <c r="AL59" s="347">
        <f t="shared" si="181"/>
        <v>0</v>
      </c>
      <c r="AM59" s="348"/>
      <c r="AN59" s="348"/>
      <c r="AO59" s="348"/>
      <c r="AP59" s="342">
        <f t="shared" si="103"/>
        <v>0</v>
      </c>
      <c r="AQ59" s="348">
        <v>0</v>
      </c>
      <c r="AR59" s="348">
        <v>0</v>
      </c>
      <c r="AS59" s="348">
        <v>0</v>
      </c>
      <c r="AT59" s="342">
        <f t="shared" si="104"/>
        <v>0</v>
      </c>
      <c r="AU59" s="348">
        <v>0</v>
      </c>
      <c r="AV59" s="348">
        <v>0</v>
      </c>
      <c r="AW59" s="348">
        <v>0</v>
      </c>
      <c r="AX59" s="342">
        <f t="shared" si="105"/>
        <v>0</v>
      </c>
      <c r="AY59" s="348"/>
      <c r="AZ59" s="348"/>
      <c r="BA59" s="348"/>
      <c r="BB59" s="342">
        <f t="shared" si="106"/>
        <v>0</v>
      </c>
      <c r="BC59" s="347">
        <f t="shared" si="182"/>
        <v>0</v>
      </c>
      <c r="BD59" s="348"/>
      <c r="BE59" s="348"/>
      <c r="BF59" s="348"/>
      <c r="BG59" s="342">
        <f t="shared" si="162"/>
        <v>0</v>
      </c>
      <c r="BH59" s="348"/>
      <c r="BI59" s="348"/>
      <c r="BJ59" s="348"/>
      <c r="BK59" s="342">
        <f t="shared" si="74"/>
        <v>0</v>
      </c>
      <c r="BL59" s="348"/>
      <c r="BM59" s="348"/>
      <c r="BN59" s="347"/>
      <c r="BO59" s="342">
        <f t="shared" si="114"/>
        <v>0</v>
      </c>
      <c r="BP59" s="348"/>
      <c r="BQ59" s="348"/>
      <c r="BR59" s="348"/>
      <c r="BS59" s="342">
        <f t="shared" si="76"/>
        <v>0</v>
      </c>
      <c r="BT59" s="347">
        <f t="shared" si="183"/>
        <v>0</v>
      </c>
      <c r="BU59" s="348"/>
      <c r="BV59" s="348"/>
      <c r="BW59" s="348"/>
      <c r="BX59" s="342">
        <f t="shared" si="77"/>
        <v>0</v>
      </c>
      <c r="BY59" s="348"/>
      <c r="BZ59" s="348"/>
      <c r="CA59" s="348"/>
      <c r="CB59" s="342">
        <f t="shared" si="78"/>
        <v>0</v>
      </c>
      <c r="CC59" s="348"/>
      <c r="CD59" s="348"/>
      <c r="CE59" s="348"/>
      <c r="CF59" s="342">
        <f t="shared" si="79"/>
        <v>0</v>
      </c>
      <c r="CG59" s="348"/>
      <c r="CH59" s="348"/>
      <c r="CI59" s="348"/>
      <c r="CJ59" s="342">
        <f t="shared" si="80"/>
        <v>0</v>
      </c>
      <c r="CK59" s="347">
        <f t="shared" si="184"/>
        <v>0</v>
      </c>
      <c r="CL59" s="347"/>
      <c r="CM59" s="347"/>
      <c r="CN59" s="347"/>
      <c r="CO59" s="342">
        <f t="shared" si="81"/>
        <v>0</v>
      </c>
      <c r="CP59" s="347"/>
      <c r="CQ59" s="347"/>
      <c r="CR59" s="347"/>
      <c r="CS59" s="342">
        <f t="shared" si="82"/>
        <v>0</v>
      </c>
      <c r="CT59" s="347"/>
      <c r="CU59" s="347"/>
      <c r="CV59" s="347"/>
      <c r="CW59" s="342">
        <f t="shared" si="83"/>
        <v>0</v>
      </c>
      <c r="CX59" s="347"/>
      <c r="CY59" s="347"/>
      <c r="CZ59" s="347"/>
      <c r="DA59" s="342">
        <f t="shared" si="84"/>
        <v>0</v>
      </c>
      <c r="DB59" s="347">
        <f t="shared" si="185"/>
        <v>0</v>
      </c>
      <c r="DC59" s="347">
        <v>0</v>
      </c>
      <c r="DD59" s="347">
        <v>0</v>
      </c>
      <c r="DE59" s="347">
        <v>0</v>
      </c>
      <c r="DF59" s="342">
        <f t="shared" si="129"/>
        <v>0</v>
      </c>
      <c r="DG59" s="347">
        <v>0</v>
      </c>
      <c r="DH59" s="347">
        <v>0</v>
      </c>
      <c r="DI59" s="347">
        <v>0</v>
      </c>
      <c r="DJ59" s="342">
        <f t="shared" si="151"/>
        <v>0</v>
      </c>
      <c r="DK59" s="347">
        <v>0</v>
      </c>
      <c r="DL59" s="347">
        <v>0</v>
      </c>
      <c r="DM59" s="347">
        <v>0</v>
      </c>
      <c r="DN59" s="342">
        <f t="shared" si="152"/>
        <v>0</v>
      </c>
      <c r="DO59" s="347">
        <v>0</v>
      </c>
      <c r="DP59" s="347">
        <v>0</v>
      </c>
      <c r="DQ59" s="347">
        <v>0</v>
      </c>
      <c r="DR59" s="342">
        <f t="shared" si="153"/>
        <v>0</v>
      </c>
      <c r="DS59" s="347">
        <f t="shared" si="186"/>
        <v>0</v>
      </c>
      <c r="DT59" s="347"/>
      <c r="DU59" s="347"/>
      <c r="DV59" s="347"/>
      <c r="DW59" s="342">
        <f t="shared" si="89"/>
        <v>0</v>
      </c>
      <c r="DX59" s="347"/>
      <c r="DY59" s="347"/>
      <c r="DZ59" s="347"/>
      <c r="EA59" s="342">
        <f t="shared" si="137"/>
        <v>0</v>
      </c>
      <c r="EB59" s="347"/>
      <c r="EC59" s="347"/>
      <c r="ED59" s="347"/>
      <c r="EE59" s="342">
        <f t="shared" si="146"/>
        <v>0</v>
      </c>
      <c r="EF59" s="347"/>
      <c r="EG59" s="347"/>
      <c r="EH59" s="347"/>
      <c r="EI59" s="342">
        <f t="shared" si="147"/>
        <v>0</v>
      </c>
      <c r="EJ59" s="347">
        <f t="shared" si="187"/>
        <v>0</v>
      </c>
      <c r="EK59" s="347"/>
      <c r="EL59" s="347"/>
      <c r="EM59" s="347"/>
      <c r="EN59" s="342">
        <f t="shared" si="154"/>
        <v>0</v>
      </c>
      <c r="EO59" s="347"/>
      <c r="EP59" s="347"/>
      <c r="EQ59" s="347"/>
      <c r="ER59" s="342">
        <f t="shared" si="135"/>
        <v>0</v>
      </c>
      <c r="ES59" s="347"/>
      <c r="ET59" s="347"/>
      <c r="EU59" s="347"/>
      <c r="EV59" s="342">
        <f t="shared" si="117"/>
        <v>0</v>
      </c>
      <c r="EW59" s="347"/>
      <c r="EX59" s="347"/>
      <c r="EY59" s="347"/>
      <c r="EZ59" s="342">
        <f t="shared" si="118"/>
        <v>0</v>
      </c>
      <c r="FA59" s="347">
        <f t="shared" si="188"/>
        <v>0</v>
      </c>
      <c r="FB59" s="347">
        <f t="shared" si="139"/>
        <v>0</v>
      </c>
      <c r="FC59" s="336" t="e">
        <f t="shared" si="59"/>
        <v>#DIV/0!</v>
      </c>
    </row>
    <row r="60" spans="1:159" s="6" customFormat="1" ht="18" hidden="1" outlineLevel="1">
      <c r="A60" s="343"/>
      <c r="B60" s="344" t="s">
        <v>555</v>
      </c>
      <c r="C60" s="349"/>
      <c r="D60" s="350"/>
      <c r="E60" s="347"/>
      <c r="F60" s="347"/>
      <c r="G60" s="347"/>
      <c r="H60" s="342">
        <f t="shared" si="178"/>
        <v>0</v>
      </c>
      <c r="I60" s="347"/>
      <c r="J60" s="347"/>
      <c r="K60" s="347"/>
      <c r="L60" s="342">
        <f t="shared" si="179"/>
        <v>0</v>
      </c>
      <c r="M60" s="347"/>
      <c r="N60" s="347"/>
      <c r="O60" s="347"/>
      <c r="P60" s="342">
        <f t="shared" si="156"/>
        <v>0</v>
      </c>
      <c r="Q60" s="347"/>
      <c r="R60" s="347"/>
      <c r="S60" s="347"/>
      <c r="T60" s="342">
        <f t="shared" si="157"/>
        <v>0</v>
      </c>
      <c r="U60" s="347">
        <f t="shared" si="205"/>
        <v>0</v>
      </c>
      <c r="V60" s="347"/>
      <c r="W60" s="347"/>
      <c r="X60" s="347"/>
      <c r="Y60" s="342">
        <f t="shared" si="158"/>
        <v>0</v>
      </c>
      <c r="Z60" s="347"/>
      <c r="AA60" s="347"/>
      <c r="AB60" s="347"/>
      <c r="AC60" s="342">
        <f t="shared" si="101"/>
        <v>0</v>
      </c>
      <c r="AD60" s="347"/>
      <c r="AE60" s="347"/>
      <c r="AF60" s="347"/>
      <c r="AG60" s="342">
        <f t="shared" si="159"/>
        <v>0</v>
      </c>
      <c r="AH60" s="347"/>
      <c r="AI60" s="347"/>
      <c r="AJ60" s="347"/>
      <c r="AK60" s="342">
        <f t="shared" si="102"/>
        <v>0</v>
      </c>
      <c r="AL60" s="347">
        <f t="shared" si="181"/>
        <v>0</v>
      </c>
      <c r="AM60" s="348"/>
      <c r="AN60" s="348"/>
      <c r="AO60" s="348"/>
      <c r="AP60" s="342">
        <f t="shared" si="103"/>
        <v>0</v>
      </c>
      <c r="AQ60" s="348">
        <v>0</v>
      </c>
      <c r="AR60" s="348">
        <v>0</v>
      </c>
      <c r="AS60" s="348">
        <v>0</v>
      </c>
      <c r="AT60" s="342">
        <f t="shared" si="104"/>
        <v>0</v>
      </c>
      <c r="AU60" s="348">
        <v>0</v>
      </c>
      <c r="AV60" s="348">
        <v>0</v>
      </c>
      <c r="AW60" s="348">
        <v>0</v>
      </c>
      <c r="AX60" s="342">
        <f t="shared" si="105"/>
        <v>0</v>
      </c>
      <c r="AY60" s="348"/>
      <c r="AZ60" s="348"/>
      <c r="BA60" s="348"/>
      <c r="BB60" s="342">
        <f t="shared" si="106"/>
        <v>0</v>
      </c>
      <c r="BC60" s="347">
        <f t="shared" si="182"/>
        <v>0</v>
      </c>
      <c r="BD60" s="348"/>
      <c r="BE60" s="348"/>
      <c r="BF60" s="348"/>
      <c r="BG60" s="342">
        <f t="shared" si="162"/>
        <v>0</v>
      </c>
      <c r="BH60" s="348"/>
      <c r="BI60" s="348"/>
      <c r="BJ60" s="348"/>
      <c r="BK60" s="342">
        <f t="shared" si="74"/>
        <v>0</v>
      </c>
      <c r="BL60" s="348"/>
      <c r="BM60" s="348"/>
      <c r="BN60" s="347"/>
      <c r="BO60" s="342">
        <f t="shared" si="114"/>
        <v>0</v>
      </c>
      <c r="BP60" s="348"/>
      <c r="BQ60" s="348"/>
      <c r="BR60" s="348"/>
      <c r="BS60" s="342">
        <f t="shared" si="76"/>
        <v>0</v>
      </c>
      <c r="BT60" s="347">
        <f t="shared" si="183"/>
        <v>0</v>
      </c>
      <c r="BU60" s="348"/>
      <c r="BV60" s="348"/>
      <c r="BW60" s="348"/>
      <c r="BX60" s="342">
        <f t="shared" si="77"/>
        <v>0</v>
      </c>
      <c r="BY60" s="348"/>
      <c r="BZ60" s="348"/>
      <c r="CA60" s="348"/>
      <c r="CB60" s="342">
        <f t="shared" si="78"/>
        <v>0</v>
      </c>
      <c r="CC60" s="348"/>
      <c r="CD60" s="348"/>
      <c r="CE60" s="348"/>
      <c r="CF60" s="342">
        <f t="shared" si="79"/>
        <v>0</v>
      </c>
      <c r="CG60" s="348"/>
      <c r="CH60" s="348"/>
      <c r="CI60" s="348"/>
      <c r="CJ60" s="342">
        <f t="shared" si="80"/>
        <v>0</v>
      </c>
      <c r="CK60" s="347">
        <f t="shared" si="184"/>
        <v>0</v>
      </c>
      <c r="CL60" s="347"/>
      <c r="CM60" s="347"/>
      <c r="CN60" s="347"/>
      <c r="CO60" s="342">
        <f t="shared" si="81"/>
        <v>0</v>
      </c>
      <c r="CP60" s="347"/>
      <c r="CQ60" s="347"/>
      <c r="CR60" s="347"/>
      <c r="CS60" s="342">
        <f t="shared" si="82"/>
        <v>0</v>
      </c>
      <c r="CT60" s="347"/>
      <c r="CU60" s="347"/>
      <c r="CV60" s="347"/>
      <c r="CW60" s="342">
        <f t="shared" si="83"/>
        <v>0</v>
      </c>
      <c r="CX60" s="347"/>
      <c r="CY60" s="347"/>
      <c r="CZ60" s="347"/>
      <c r="DA60" s="342">
        <f t="shared" si="84"/>
        <v>0</v>
      </c>
      <c r="DB60" s="347">
        <f t="shared" si="185"/>
        <v>0</v>
      </c>
      <c r="DC60" s="347">
        <v>0</v>
      </c>
      <c r="DD60" s="347">
        <v>0</v>
      </c>
      <c r="DE60" s="347">
        <v>0</v>
      </c>
      <c r="DF60" s="342">
        <f t="shared" si="129"/>
        <v>0</v>
      </c>
      <c r="DG60" s="347">
        <v>0</v>
      </c>
      <c r="DH60" s="347">
        <v>0</v>
      </c>
      <c r="DI60" s="347">
        <v>0</v>
      </c>
      <c r="DJ60" s="342">
        <f t="shared" si="151"/>
        <v>0</v>
      </c>
      <c r="DK60" s="347">
        <v>0</v>
      </c>
      <c r="DL60" s="347">
        <v>0</v>
      </c>
      <c r="DM60" s="347">
        <v>0</v>
      </c>
      <c r="DN60" s="342">
        <f t="shared" si="152"/>
        <v>0</v>
      </c>
      <c r="DO60" s="347">
        <v>0</v>
      </c>
      <c r="DP60" s="347">
        <v>0</v>
      </c>
      <c r="DQ60" s="347">
        <v>0</v>
      </c>
      <c r="DR60" s="342">
        <f t="shared" si="153"/>
        <v>0</v>
      </c>
      <c r="DS60" s="347">
        <f t="shared" si="186"/>
        <v>0</v>
      </c>
      <c r="DT60" s="347"/>
      <c r="DU60" s="347"/>
      <c r="DV60" s="347"/>
      <c r="DW60" s="342">
        <f t="shared" si="89"/>
        <v>0</v>
      </c>
      <c r="DX60" s="347"/>
      <c r="DY60" s="347"/>
      <c r="DZ60" s="347"/>
      <c r="EA60" s="342">
        <f t="shared" si="137"/>
        <v>0</v>
      </c>
      <c r="EB60" s="347"/>
      <c r="EC60" s="347"/>
      <c r="ED60" s="347"/>
      <c r="EE60" s="342">
        <f t="shared" si="146"/>
        <v>0</v>
      </c>
      <c r="EF60" s="347"/>
      <c r="EG60" s="347"/>
      <c r="EH60" s="347"/>
      <c r="EI60" s="342">
        <f t="shared" si="147"/>
        <v>0</v>
      </c>
      <c r="EJ60" s="347">
        <f t="shared" si="187"/>
        <v>0</v>
      </c>
      <c r="EK60" s="347"/>
      <c r="EL60" s="347"/>
      <c r="EM60" s="347"/>
      <c r="EN60" s="342">
        <f t="shared" si="154"/>
        <v>0</v>
      </c>
      <c r="EO60" s="347"/>
      <c r="EP60" s="347"/>
      <c r="EQ60" s="347"/>
      <c r="ER60" s="342">
        <f t="shared" si="135"/>
        <v>0</v>
      </c>
      <c r="ES60" s="347"/>
      <c r="ET60" s="347"/>
      <c r="EU60" s="347"/>
      <c r="EV60" s="342">
        <f t="shared" si="117"/>
        <v>0</v>
      </c>
      <c r="EW60" s="347"/>
      <c r="EX60" s="347"/>
      <c r="EY60" s="347"/>
      <c r="EZ60" s="342">
        <f t="shared" si="118"/>
        <v>0</v>
      </c>
      <c r="FA60" s="347">
        <f t="shared" si="188"/>
        <v>0</v>
      </c>
      <c r="FB60" s="347">
        <f t="shared" si="139"/>
        <v>0</v>
      </c>
      <c r="FC60" s="336" t="e">
        <f t="shared" si="59"/>
        <v>#DIV/0!</v>
      </c>
    </row>
    <row r="61" spans="1:159" s="6" customFormat="1" ht="18" hidden="1" outlineLevel="1">
      <c r="A61" s="343"/>
      <c r="B61" s="344" t="s">
        <v>556</v>
      </c>
      <c r="C61" s="349"/>
      <c r="D61" s="350"/>
      <c r="E61" s="347"/>
      <c r="F61" s="347"/>
      <c r="G61" s="347"/>
      <c r="H61" s="342">
        <f t="shared" si="178"/>
        <v>0</v>
      </c>
      <c r="I61" s="347"/>
      <c r="J61" s="347"/>
      <c r="K61" s="347"/>
      <c r="L61" s="342">
        <f t="shared" si="179"/>
        <v>0</v>
      </c>
      <c r="M61" s="347"/>
      <c r="N61" s="347"/>
      <c r="O61" s="347"/>
      <c r="P61" s="342">
        <f t="shared" si="156"/>
        <v>0</v>
      </c>
      <c r="Q61" s="347"/>
      <c r="R61" s="347"/>
      <c r="S61" s="347"/>
      <c r="T61" s="342">
        <f t="shared" si="157"/>
        <v>0</v>
      </c>
      <c r="U61" s="347">
        <f t="shared" si="205"/>
        <v>0</v>
      </c>
      <c r="V61" s="347"/>
      <c r="W61" s="347"/>
      <c r="X61" s="347"/>
      <c r="Y61" s="342">
        <f t="shared" si="158"/>
        <v>0</v>
      </c>
      <c r="Z61" s="347"/>
      <c r="AA61" s="347"/>
      <c r="AB61" s="347"/>
      <c r="AC61" s="342">
        <f t="shared" si="101"/>
        <v>0</v>
      </c>
      <c r="AD61" s="347"/>
      <c r="AE61" s="347"/>
      <c r="AF61" s="347"/>
      <c r="AG61" s="342">
        <f t="shared" si="159"/>
        <v>0</v>
      </c>
      <c r="AH61" s="347"/>
      <c r="AI61" s="347"/>
      <c r="AJ61" s="347"/>
      <c r="AK61" s="342">
        <f t="shared" si="102"/>
        <v>0</v>
      </c>
      <c r="AL61" s="347">
        <f t="shared" si="181"/>
        <v>0</v>
      </c>
      <c r="AM61" s="348"/>
      <c r="AN61" s="348"/>
      <c r="AO61" s="348"/>
      <c r="AP61" s="342">
        <f t="shared" si="103"/>
        <v>0</v>
      </c>
      <c r="AQ61" s="348">
        <v>0</v>
      </c>
      <c r="AR61" s="348">
        <v>0</v>
      </c>
      <c r="AS61" s="348">
        <v>0</v>
      </c>
      <c r="AT61" s="342">
        <f t="shared" si="104"/>
        <v>0</v>
      </c>
      <c r="AU61" s="348">
        <v>0</v>
      </c>
      <c r="AV61" s="348">
        <v>0</v>
      </c>
      <c r="AW61" s="348">
        <v>0</v>
      </c>
      <c r="AX61" s="342">
        <f t="shared" si="105"/>
        <v>0</v>
      </c>
      <c r="AY61" s="348"/>
      <c r="AZ61" s="348"/>
      <c r="BA61" s="348"/>
      <c r="BB61" s="342">
        <f t="shared" si="106"/>
        <v>0</v>
      </c>
      <c r="BC61" s="347">
        <f t="shared" si="182"/>
        <v>0</v>
      </c>
      <c r="BD61" s="348"/>
      <c r="BE61" s="348"/>
      <c r="BF61" s="348"/>
      <c r="BG61" s="342">
        <f t="shared" si="162"/>
        <v>0</v>
      </c>
      <c r="BH61" s="348"/>
      <c r="BI61" s="348"/>
      <c r="BJ61" s="348"/>
      <c r="BK61" s="342">
        <f t="shared" si="74"/>
        <v>0</v>
      </c>
      <c r="BL61" s="348"/>
      <c r="BM61" s="348"/>
      <c r="BN61" s="347"/>
      <c r="BO61" s="342">
        <f t="shared" si="114"/>
        <v>0</v>
      </c>
      <c r="BP61" s="348"/>
      <c r="BQ61" s="348"/>
      <c r="BR61" s="348"/>
      <c r="BS61" s="342">
        <f t="shared" si="76"/>
        <v>0</v>
      </c>
      <c r="BT61" s="347">
        <f t="shared" si="183"/>
        <v>0</v>
      </c>
      <c r="BU61" s="348"/>
      <c r="BV61" s="348"/>
      <c r="BW61" s="348"/>
      <c r="BX61" s="342">
        <f t="shared" si="77"/>
        <v>0</v>
      </c>
      <c r="BY61" s="348"/>
      <c r="BZ61" s="348"/>
      <c r="CA61" s="348"/>
      <c r="CB61" s="342">
        <f t="shared" si="78"/>
        <v>0</v>
      </c>
      <c r="CC61" s="348"/>
      <c r="CD61" s="348"/>
      <c r="CE61" s="348"/>
      <c r="CF61" s="342">
        <f t="shared" si="79"/>
        <v>0</v>
      </c>
      <c r="CG61" s="348"/>
      <c r="CH61" s="348"/>
      <c r="CI61" s="348"/>
      <c r="CJ61" s="342">
        <f t="shared" si="80"/>
        <v>0</v>
      </c>
      <c r="CK61" s="347">
        <f t="shared" si="184"/>
        <v>0</v>
      </c>
      <c r="CL61" s="347"/>
      <c r="CM61" s="347"/>
      <c r="CN61" s="347"/>
      <c r="CO61" s="342">
        <f t="shared" si="81"/>
        <v>0</v>
      </c>
      <c r="CP61" s="347"/>
      <c r="CQ61" s="347"/>
      <c r="CR61" s="347"/>
      <c r="CS61" s="342">
        <f t="shared" si="82"/>
        <v>0</v>
      </c>
      <c r="CT61" s="347"/>
      <c r="CU61" s="347"/>
      <c r="CV61" s="347"/>
      <c r="CW61" s="342">
        <f t="shared" si="83"/>
        <v>0</v>
      </c>
      <c r="CX61" s="347"/>
      <c r="CY61" s="347"/>
      <c r="CZ61" s="347"/>
      <c r="DA61" s="342">
        <f t="shared" si="84"/>
        <v>0</v>
      </c>
      <c r="DB61" s="347">
        <f t="shared" si="185"/>
        <v>0</v>
      </c>
      <c r="DC61" s="347">
        <v>0</v>
      </c>
      <c r="DD61" s="347">
        <v>0</v>
      </c>
      <c r="DE61" s="347">
        <v>0</v>
      </c>
      <c r="DF61" s="342">
        <f t="shared" si="129"/>
        <v>0</v>
      </c>
      <c r="DG61" s="347">
        <v>0</v>
      </c>
      <c r="DH61" s="347">
        <v>0</v>
      </c>
      <c r="DI61" s="347">
        <v>0</v>
      </c>
      <c r="DJ61" s="342">
        <f t="shared" si="151"/>
        <v>0</v>
      </c>
      <c r="DK61" s="347">
        <v>0</v>
      </c>
      <c r="DL61" s="347">
        <v>0</v>
      </c>
      <c r="DM61" s="347">
        <v>0</v>
      </c>
      <c r="DN61" s="342">
        <f t="shared" si="152"/>
        <v>0</v>
      </c>
      <c r="DO61" s="347">
        <v>0</v>
      </c>
      <c r="DP61" s="347">
        <v>0</v>
      </c>
      <c r="DQ61" s="347">
        <v>0</v>
      </c>
      <c r="DR61" s="342">
        <f t="shared" si="153"/>
        <v>0</v>
      </c>
      <c r="DS61" s="347">
        <f t="shared" si="186"/>
        <v>0</v>
      </c>
      <c r="DT61" s="347"/>
      <c r="DU61" s="347"/>
      <c r="DV61" s="347"/>
      <c r="DW61" s="342">
        <f t="shared" si="89"/>
        <v>0</v>
      </c>
      <c r="DX61" s="347"/>
      <c r="DY61" s="347"/>
      <c r="DZ61" s="347"/>
      <c r="EA61" s="342">
        <f t="shared" si="137"/>
        <v>0</v>
      </c>
      <c r="EB61" s="347"/>
      <c r="EC61" s="347"/>
      <c r="ED61" s="347"/>
      <c r="EE61" s="342">
        <f t="shared" si="146"/>
        <v>0</v>
      </c>
      <c r="EF61" s="347"/>
      <c r="EG61" s="347"/>
      <c r="EH61" s="347"/>
      <c r="EI61" s="342">
        <f t="shared" si="147"/>
        <v>0</v>
      </c>
      <c r="EJ61" s="347">
        <f t="shared" si="187"/>
        <v>0</v>
      </c>
      <c r="EK61" s="347"/>
      <c r="EL61" s="347"/>
      <c r="EM61" s="347"/>
      <c r="EN61" s="342">
        <f t="shared" si="154"/>
        <v>0</v>
      </c>
      <c r="EO61" s="347"/>
      <c r="EP61" s="347"/>
      <c r="EQ61" s="347"/>
      <c r="ER61" s="342">
        <f t="shared" si="135"/>
        <v>0</v>
      </c>
      <c r="ES61" s="347"/>
      <c r="ET61" s="347"/>
      <c r="EU61" s="347"/>
      <c r="EV61" s="342">
        <f t="shared" si="117"/>
        <v>0</v>
      </c>
      <c r="EW61" s="347"/>
      <c r="EX61" s="347"/>
      <c r="EY61" s="347"/>
      <c r="EZ61" s="342">
        <f t="shared" si="118"/>
        <v>0</v>
      </c>
      <c r="FA61" s="347">
        <f t="shared" si="188"/>
        <v>0</v>
      </c>
      <c r="FB61" s="347">
        <f t="shared" si="139"/>
        <v>0</v>
      </c>
      <c r="FC61" s="336" t="e">
        <f t="shared" si="59"/>
        <v>#DIV/0!</v>
      </c>
    </row>
    <row r="62" spans="1:159" s="6" customFormat="1" ht="18" collapsed="1">
      <c r="A62" s="343"/>
      <c r="B62" s="344" t="s">
        <v>557</v>
      </c>
      <c r="C62" s="345" t="s">
        <v>299</v>
      </c>
      <c r="D62" s="346" t="s">
        <v>495</v>
      </c>
      <c r="E62" s="347">
        <f>SUM(E63:E63)</f>
        <v>416666.67</v>
      </c>
      <c r="F62" s="347">
        <f>SUM(F63:F63)</f>
        <v>416666.67</v>
      </c>
      <c r="G62" s="347">
        <f>SUM(G63:G63)</f>
        <v>416666.67</v>
      </c>
      <c r="H62" s="342">
        <f t="shared" si="178"/>
        <v>1250000.01</v>
      </c>
      <c r="I62" s="347">
        <f>SUM(I63:I63)</f>
        <v>416666.67</v>
      </c>
      <c r="J62" s="347">
        <f>SUM(J63:J63)</f>
        <v>416666.67</v>
      </c>
      <c r="K62" s="347">
        <f>SUM(K63:K63)</f>
        <v>416666.67</v>
      </c>
      <c r="L62" s="342">
        <f t="shared" si="179"/>
        <v>1250000.01</v>
      </c>
      <c r="M62" s="347">
        <f>SUM(M63:M63)</f>
        <v>416666.67</v>
      </c>
      <c r="N62" s="347">
        <f>SUM(N63:N63)</f>
        <v>416666.67</v>
      </c>
      <c r="O62" s="347">
        <f>SUM(O63:O63)</f>
        <v>416666.67</v>
      </c>
      <c r="P62" s="342">
        <f t="shared" si="156"/>
        <v>1250000.01</v>
      </c>
      <c r="Q62" s="347">
        <f>SUM(Q63:Q63)</f>
        <v>416666.67</v>
      </c>
      <c r="R62" s="347">
        <f>SUM(R63:R63)</f>
        <v>416666.67</v>
      </c>
      <c r="S62" s="347">
        <f>SUM(S63:S63)</f>
        <v>416666.67</v>
      </c>
      <c r="T62" s="342">
        <f t="shared" si="157"/>
        <v>1250000.01</v>
      </c>
      <c r="U62" s="358">
        <f>SUM(U63:U63)</f>
        <v>5000000.04</v>
      </c>
      <c r="V62" s="347">
        <f>SUM(V63:V63)</f>
        <v>-83333.33</v>
      </c>
      <c r="W62" s="347">
        <f>SUM(W63:W63)</f>
        <v>-83333.33</v>
      </c>
      <c r="X62" s="347">
        <f>SUM(X63:X63)</f>
        <v>-83333.33</v>
      </c>
      <c r="Y62" s="342">
        <f t="shared" si="158"/>
        <v>-249999.99</v>
      </c>
      <c r="Z62" s="347">
        <f>SUM(Z63:Z63)</f>
        <v>-83333.33</v>
      </c>
      <c r="AA62" s="347">
        <f>SUM(AA63:AA63)</f>
        <v>-83333.33</v>
      </c>
      <c r="AB62" s="347">
        <f>SUM(AB63:AB63)</f>
        <v>-83333.33</v>
      </c>
      <c r="AC62" s="342">
        <f t="shared" si="101"/>
        <v>-249999.99</v>
      </c>
      <c r="AD62" s="347">
        <f>SUM(AD63:AD63)</f>
        <v>-83333.33</v>
      </c>
      <c r="AE62" s="347">
        <f>SUM(AE63:AE63)</f>
        <v>-83333.33</v>
      </c>
      <c r="AF62" s="347">
        <f>SUM(AF63:AF63)</f>
        <v>-83333.33</v>
      </c>
      <c r="AG62" s="342">
        <f t="shared" si="159"/>
        <v>-249999.99</v>
      </c>
      <c r="AH62" s="347">
        <f>SUM(AH63:AH63)</f>
        <v>-83333.33</v>
      </c>
      <c r="AI62" s="347">
        <f>SUM(AI63:AI63)</f>
        <v>-83333.33</v>
      </c>
      <c r="AJ62" s="347">
        <f>SUM(AJ63:AJ63)</f>
        <v>-83333.33</v>
      </c>
      <c r="AK62" s="342">
        <f t="shared" si="102"/>
        <v>-249999.99</v>
      </c>
      <c r="AL62" s="347">
        <f>SUM(AL63:AL63)</f>
        <v>-999999.96</v>
      </c>
      <c r="AM62" s="348">
        <f>SUM(AM63:AM63)</f>
        <v>-5000</v>
      </c>
      <c r="AN62" s="348">
        <f>SUM(AN63:AN63)</f>
        <v>-5000</v>
      </c>
      <c r="AO62" s="348">
        <f>SUM(AO63:AO63)</f>
        <v>-5000</v>
      </c>
      <c r="AP62" s="342">
        <f t="shared" ref="AP62" si="206">SUM(AM62:AO62)</f>
        <v>-15000</v>
      </c>
      <c r="AQ62" s="348">
        <f>SUM(AQ63:AQ63)</f>
        <v>-5000</v>
      </c>
      <c r="AR62" s="348">
        <f>SUM(AR63:AR63)</f>
        <v>-5000</v>
      </c>
      <c r="AS62" s="348">
        <f>SUM(AS63:AS63)</f>
        <v>-5000</v>
      </c>
      <c r="AT62" s="342">
        <f t="shared" ref="AT62" si="207">SUM(AQ62:AS62)</f>
        <v>-15000</v>
      </c>
      <c r="AU62" s="348">
        <f>SUM(AU63:AU63)</f>
        <v>-5000</v>
      </c>
      <c r="AV62" s="348">
        <f>SUM(AV63:AV63)</f>
        <v>-5000</v>
      </c>
      <c r="AW62" s="348">
        <f>SUM(AW63:AW63)</f>
        <v>-5000</v>
      </c>
      <c r="AX62" s="342">
        <f t="shared" ref="AX62" si="208">SUM(AU62:AW62)</f>
        <v>-15000</v>
      </c>
      <c r="AY62" s="348">
        <f>SUM(AY63:AY63)</f>
        <v>-5000</v>
      </c>
      <c r="AZ62" s="348">
        <f>SUM(AZ63:AZ63)</f>
        <v>-5000</v>
      </c>
      <c r="BA62" s="348">
        <f>SUM(BA63:BA63)</f>
        <v>-5000</v>
      </c>
      <c r="BB62" s="342">
        <f t="shared" ref="BB62" si="209">SUM(AY62:BA62)</f>
        <v>-15000</v>
      </c>
      <c r="BC62" s="347">
        <f>SUM(BC63:BC63)</f>
        <v>-60000</v>
      </c>
      <c r="BD62" s="348">
        <f>SUM(BD63:BD63)</f>
        <v>-87231.28</v>
      </c>
      <c r="BE62" s="348">
        <f>SUM(BE63:BE63)</f>
        <v>-87231.28</v>
      </c>
      <c r="BF62" s="348">
        <f>SUM(BF63:BF63)</f>
        <v>-87231.28</v>
      </c>
      <c r="BG62" s="342">
        <f t="shared" si="162"/>
        <v>-261693.84</v>
      </c>
      <c r="BH62" s="348">
        <f>SUM(BH63:BH63)</f>
        <v>-87231.28</v>
      </c>
      <c r="BI62" s="348">
        <f>SUM(BI63:BI63)</f>
        <v>-87231.28</v>
      </c>
      <c r="BJ62" s="348">
        <f>SUM(BJ63:BJ63)</f>
        <v>-87231.28</v>
      </c>
      <c r="BK62" s="342">
        <f t="shared" si="74"/>
        <v>-261693.84</v>
      </c>
      <c r="BL62" s="348">
        <f>SUM(BL63:BL63)</f>
        <v>-87231.28</v>
      </c>
      <c r="BM62" s="348">
        <f>SUM(BM63:BM63)</f>
        <v>-87231.28</v>
      </c>
      <c r="BN62" s="347">
        <f>SUM(BN63:BN63)</f>
        <v>-87231.28</v>
      </c>
      <c r="BO62" s="342">
        <f t="shared" si="114"/>
        <v>-261693.84</v>
      </c>
      <c r="BP62" s="348">
        <f>SUM(BP63:BP63)</f>
        <v>-87231.28</v>
      </c>
      <c r="BQ62" s="348">
        <f>SUM(BQ63:BQ63)</f>
        <v>-87231.28</v>
      </c>
      <c r="BR62" s="348">
        <f>SUM(BR63:BR63)</f>
        <v>-87231.28</v>
      </c>
      <c r="BS62" s="342">
        <f t="shared" si="76"/>
        <v>-261693.84</v>
      </c>
      <c r="BT62" s="347">
        <f>SUM(BT63:BT63)</f>
        <v>-1046775.36</v>
      </c>
      <c r="BU62" s="348">
        <f>SUM(BU63:BU63)</f>
        <v>0</v>
      </c>
      <c r="BV62" s="348">
        <f>SUM(BV63:BV63)</f>
        <v>0</v>
      </c>
      <c r="BW62" s="348">
        <f>SUM(BW63:BW63)</f>
        <v>0</v>
      </c>
      <c r="BX62" s="342">
        <f t="shared" si="77"/>
        <v>0</v>
      </c>
      <c r="BY62" s="348">
        <f>SUM(BY63:BY63)</f>
        <v>0</v>
      </c>
      <c r="BZ62" s="348">
        <f>SUM(BZ63:BZ63)</f>
        <v>0</v>
      </c>
      <c r="CA62" s="348">
        <f>SUM(CA63:CA63)</f>
        <v>0</v>
      </c>
      <c r="CB62" s="342">
        <f t="shared" si="78"/>
        <v>0</v>
      </c>
      <c r="CC62" s="348">
        <f>SUM(CC63:CC63)</f>
        <v>0</v>
      </c>
      <c r="CD62" s="348">
        <f>SUM(CD63:CD63)</f>
        <v>0</v>
      </c>
      <c r="CE62" s="348">
        <f>SUM(CE63:CE63)</f>
        <v>0</v>
      </c>
      <c r="CF62" s="342">
        <f t="shared" si="79"/>
        <v>0</v>
      </c>
      <c r="CG62" s="348">
        <f>SUM(CG63:CG63)</f>
        <v>0</v>
      </c>
      <c r="CH62" s="348">
        <f>SUM(CH63:CH63)</f>
        <v>0</v>
      </c>
      <c r="CI62" s="348">
        <f>SUM(CI63:CI63)</f>
        <v>0</v>
      </c>
      <c r="CJ62" s="342">
        <f t="shared" si="80"/>
        <v>0</v>
      </c>
      <c r="CK62" s="347">
        <f t="shared" ref="CK62:DV62" si="210">SUM(CK63:CK63)</f>
        <v>0</v>
      </c>
      <c r="CL62" s="347">
        <f t="shared" si="210"/>
        <v>-20691.7</v>
      </c>
      <c r="CM62" s="347">
        <f t="shared" si="210"/>
        <v>-20691.7</v>
      </c>
      <c r="CN62" s="347">
        <f t="shared" si="210"/>
        <v>-20691.7</v>
      </c>
      <c r="CO62" s="342">
        <f t="shared" si="210"/>
        <v>-62075.100000000006</v>
      </c>
      <c r="CP62" s="347">
        <f t="shared" si="210"/>
        <v>-20691.7</v>
      </c>
      <c r="CQ62" s="347">
        <f t="shared" si="210"/>
        <v>-20691.7</v>
      </c>
      <c r="CR62" s="347">
        <f t="shared" si="210"/>
        <v>-20691.7</v>
      </c>
      <c r="CS62" s="342">
        <f t="shared" si="210"/>
        <v>-62075.100000000006</v>
      </c>
      <c r="CT62" s="347">
        <f t="shared" si="210"/>
        <v>-20691.7</v>
      </c>
      <c r="CU62" s="347">
        <f t="shared" si="210"/>
        <v>-20691.7</v>
      </c>
      <c r="CV62" s="347">
        <f t="shared" si="210"/>
        <v>-20691.7</v>
      </c>
      <c r="CW62" s="342">
        <f t="shared" si="210"/>
        <v>-62075.100000000006</v>
      </c>
      <c r="CX62" s="347">
        <f t="shared" si="210"/>
        <v>-20691.7</v>
      </c>
      <c r="CY62" s="347">
        <f t="shared" si="210"/>
        <v>-20691.7</v>
      </c>
      <c r="CZ62" s="347">
        <f t="shared" si="210"/>
        <v>-20691.7</v>
      </c>
      <c r="DA62" s="342">
        <f t="shared" si="210"/>
        <v>-62075.100000000006</v>
      </c>
      <c r="DB62" s="347">
        <f t="shared" si="210"/>
        <v>-248300.40000000002</v>
      </c>
      <c r="DC62" s="347">
        <f t="shared" si="210"/>
        <v>0</v>
      </c>
      <c r="DD62" s="347">
        <f t="shared" si="210"/>
        <v>0</v>
      </c>
      <c r="DE62" s="347">
        <f t="shared" si="210"/>
        <v>0</v>
      </c>
      <c r="DF62" s="342">
        <f t="shared" si="210"/>
        <v>0</v>
      </c>
      <c r="DG62" s="347">
        <f t="shared" si="210"/>
        <v>0</v>
      </c>
      <c r="DH62" s="347">
        <f t="shared" si="210"/>
        <v>0</v>
      </c>
      <c r="DI62" s="347">
        <f t="shared" si="210"/>
        <v>0</v>
      </c>
      <c r="DJ62" s="342">
        <f t="shared" si="210"/>
        <v>0</v>
      </c>
      <c r="DK62" s="347">
        <f t="shared" si="210"/>
        <v>0</v>
      </c>
      <c r="DL62" s="347">
        <f t="shared" si="210"/>
        <v>0</v>
      </c>
      <c r="DM62" s="347">
        <f t="shared" si="210"/>
        <v>0</v>
      </c>
      <c r="DN62" s="342">
        <f t="shared" si="210"/>
        <v>0</v>
      </c>
      <c r="DO62" s="348">
        <f t="shared" si="210"/>
        <v>0</v>
      </c>
      <c r="DP62" s="348">
        <f t="shared" si="210"/>
        <v>0</v>
      </c>
      <c r="DQ62" s="348">
        <f t="shared" si="210"/>
        <v>0</v>
      </c>
      <c r="DR62" s="342">
        <f t="shared" si="210"/>
        <v>0</v>
      </c>
      <c r="DS62" s="347">
        <f t="shared" si="210"/>
        <v>0</v>
      </c>
      <c r="DT62" s="347">
        <f t="shared" si="210"/>
        <v>-25125</v>
      </c>
      <c r="DU62" s="347">
        <f t="shared" si="210"/>
        <v>-25125</v>
      </c>
      <c r="DV62" s="347">
        <f t="shared" si="210"/>
        <v>-25125</v>
      </c>
      <c r="DW62" s="342">
        <f t="shared" si="89"/>
        <v>-75375</v>
      </c>
      <c r="DX62" s="347">
        <f>SUM(DX63:DX63)</f>
        <v>-25125</v>
      </c>
      <c r="DY62" s="347">
        <f>SUM(DY63:DY63)</f>
        <v>-25125</v>
      </c>
      <c r="DZ62" s="347">
        <f>SUM(DZ63:DZ63)</f>
        <v>-25125</v>
      </c>
      <c r="EA62" s="342">
        <f t="shared" si="137"/>
        <v>-75375</v>
      </c>
      <c r="EB62" s="347">
        <f>SUM(EB63:EB63)</f>
        <v>-25125</v>
      </c>
      <c r="EC62" s="347">
        <f>SUM(EC63:EC63)</f>
        <v>-25125</v>
      </c>
      <c r="ED62" s="347">
        <f>SUM(ED63:ED63)</f>
        <v>-25125</v>
      </c>
      <c r="EE62" s="342">
        <f t="shared" si="146"/>
        <v>-75375</v>
      </c>
      <c r="EF62" s="347">
        <f>SUM(EF63:EF63)</f>
        <v>-25125</v>
      </c>
      <c r="EG62" s="347">
        <f>SUM(EG63:EG63)</f>
        <v>-25125</v>
      </c>
      <c r="EH62" s="347">
        <f>SUM(EH63:EH63)</f>
        <v>-25125</v>
      </c>
      <c r="EI62" s="342">
        <f t="shared" si="147"/>
        <v>-75375</v>
      </c>
      <c r="EJ62" s="347">
        <f t="shared" ref="EJ62:EU62" si="211">SUM(EJ63:EJ63)</f>
        <v>-301500</v>
      </c>
      <c r="EK62" s="347">
        <f t="shared" si="211"/>
        <v>0</v>
      </c>
      <c r="EL62" s="347">
        <f t="shared" si="211"/>
        <v>0</v>
      </c>
      <c r="EM62" s="347">
        <f t="shared" si="211"/>
        <v>0</v>
      </c>
      <c r="EN62" s="342">
        <f t="shared" si="211"/>
        <v>0</v>
      </c>
      <c r="EO62" s="347">
        <f t="shared" si="211"/>
        <v>0</v>
      </c>
      <c r="EP62" s="347">
        <f t="shared" si="211"/>
        <v>0</v>
      </c>
      <c r="EQ62" s="347">
        <f t="shared" si="211"/>
        <v>0</v>
      </c>
      <c r="ER62" s="342">
        <f t="shared" si="211"/>
        <v>0</v>
      </c>
      <c r="ES62" s="347">
        <f t="shared" si="211"/>
        <v>0</v>
      </c>
      <c r="ET62" s="347">
        <f t="shared" si="211"/>
        <v>0</v>
      </c>
      <c r="EU62" s="347">
        <f t="shared" si="211"/>
        <v>0</v>
      </c>
      <c r="EV62" s="342">
        <f t="shared" si="117"/>
        <v>0</v>
      </c>
      <c r="EW62" s="347">
        <f>SUM(EW63:EW63)</f>
        <v>0</v>
      </c>
      <c r="EX62" s="347">
        <f>SUM(EX63:EX63)</f>
        <v>0</v>
      </c>
      <c r="EY62" s="347">
        <f>SUM(EY63:EY63)</f>
        <v>0</v>
      </c>
      <c r="EZ62" s="342">
        <f t="shared" si="118"/>
        <v>0</v>
      </c>
      <c r="FA62" s="347">
        <f>SUM(FA63:FA63)</f>
        <v>0</v>
      </c>
      <c r="FB62" s="347">
        <f>SUM(FB63:FB63)</f>
        <v>2343424.3200000003</v>
      </c>
      <c r="FC62" s="336">
        <f t="shared" si="59"/>
        <v>0.4686848602505212</v>
      </c>
    </row>
    <row r="63" spans="1:159" s="6" customFormat="1" ht="18" hidden="1" outlineLevel="1">
      <c r="A63" s="343"/>
      <c r="B63" s="344" t="s">
        <v>558</v>
      </c>
      <c r="C63" s="349"/>
      <c r="D63" s="350" t="s">
        <v>299</v>
      </c>
      <c r="E63" s="347">
        <v>416666.67</v>
      </c>
      <c r="F63" s="347">
        <v>416666.67</v>
      </c>
      <c r="G63" s="347">
        <v>416666.67</v>
      </c>
      <c r="H63" s="342">
        <f t="shared" si="178"/>
        <v>1250000.01</v>
      </c>
      <c r="I63" s="347">
        <v>416666.67</v>
      </c>
      <c r="J63" s="347">
        <v>416666.67</v>
      </c>
      <c r="K63" s="347">
        <v>416666.67</v>
      </c>
      <c r="L63" s="342">
        <f t="shared" si="179"/>
        <v>1250000.01</v>
      </c>
      <c r="M63" s="347">
        <v>416666.67</v>
      </c>
      <c r="N63" s="347">
        <v>416666.67</v>
      </c>
      <c r="O63" s="347">
        <v>416666.67</v>
      </c>
      <c r="P63" s="342">
        <f t="shared" si="156"/>
        <v>1250000.01</v>
      </c>
      <c r="Q63" s="347">
        <v>416666.67</v>
      </c>
      <c r="R63" s="347">
        <v>416666.67</v>
      </c>
      <c r="S63" s="347">
        <v>416666.67</v>
      </c>
      <c r="T63" s="342">
        <f t="shared" si="157"/>
        <v>1250000.01</v>
      </c>
      <c r="U63" s="347">
        <f t="shared" ref="U63" si="212">H63+L63+P63+T63</f>
        <v>5000000.04</v>
      </c>
      <c r="V63" s="347">
        <v>-83333.33</v>
      </c>
      <c r="W63" s="347">
        <v>-83333.33</v>
      </c>
      <c r="X63" s="347">
        <v>-83333.33</v>
      </c>
      <c r="Y63" s="342">
        <f t="shared" si="158"/>
        <v>-249999.99</v>
      </c>
      <c r="Z63" s="347">
        <v>-83333.33</v>
      </c>
      <c r="AA63" s="347">
        <v>-83333.33</v>
      </c>
      <c r="AB63" s="347">
        <v>-83333.33</v>
      </c>
      <c r="AC63" s="342">
        <f t="shared" si="101"/>
        <v>-249999.99</v>
      </c>
      <c r="AD63" s="347">
        <v>-83333.33</v>
      </c>
      <c r="AE63" s="347">
        <v>-83333.33</v>
      </c>
      <c r="AF63" s="347">
        <v>-83333.33</v>
      </c>
      <c r="AG63" s="342">
        <f t="shared" si="159"/>
        <v>-249999.99</v>
      </c>
      <c r="AH63" s="347">
        <v>-83333.33</v>
      </c>
      <c r="AI63" s="347">
        <v>-83333.33</v>
      </c>
      <c r="AJ63" s="347">
        <v>-83333.33</v>
      </c>
      <c r="AK63" s="342">
        <f t="shared" si="102"/>
        <v>-249999.99</v>
      </c>
      <c r="AL63" s="347">
        <f t="shared" si="181"/>
        <v>-999999.96</v>
      </c>
      <c r="AM63" s="348">
        <v>-5000</v>
      </c>
      <c r="AN63" s="348">
        <v>-5000</v>
      </c>
      <c r="AO63" s="348">
        <v>-5000</v>
      </c>
      <c r="AP63" s="342">
        <f t="shared" si="103"/>
        <v>-15000</v>
      </c>
      <c r="AQ63" s="348">
        <v>-5000</v>
      </c>
      <c r="AR63" s="348">
        <v>-5000</v>
      </c>
      <c r="AS63" s="348">
        <v>-5000</v>
      </c>
      <c r="AT63" s="342">
        <f t="shared" si="104"/>
        <v>-15000</v>
      </c>
      <c r="AU63" s="348">
        <v>-5000</v>
      </c>
      <c r="AV63" s="348">
        <v>-5000</v>
      </c>
      <c r="AW63" s="348">
        <v>-5000</v>
      </c>
      <c r="AX63" s="342">
        <f t="shared" si="105"/>
        <v>-15000</v>
      </c>
      <c r="AY63" s="348">
        <v>-5000</v>
      </c>
      <c r="AZ63" s="348">
        <v>-5000</v>
      </c>
      <c r="BA63" s="348">
        <v>-5000</v>
      </c>
      <c r="BB63" s="342">
        <f t="shared" si="106"/>
        <v>-15000</v>
      </c>
      <c r="BC63" s="347">
        <f t="shared" si="182"/>
        <v>-60000</v>
      </c>
      <c r="BD63" s="347">
        <v>-87231.28</v>
      </c>
      <c r="BE63" s="347">
        <v>-87231.28</v>
      </c>
      <c r="BF63" s="347">
        <v>-87231.28</v>
      </c>
      <c r="BG63" s="342">
        <f t="shared" si="162"/>
        <v>-261693.84</v>
      </c>
      <c r="BH63" s="347">
        <v>-87231.28</v>
      </c>
      <c r="BI63" s="347">
        <v>-87231.28</v>
      </c>
      <c r="BJ63" s="347">
        <v>-87231.28</v>
      </c>
      <c r="BK63" s="342">
        <f t="shared" si="74"/>
        <v>-261693.84</v>
      </c>
      <c r="BL63" s="347">
        <v>-87231.28</v>
      </c>
      <c r="BM63" s="347">
        <v>-87231.28</v>
      </c>
      <c r="BN63" s="347">
        <v>-87231.28</v>
      </c>
      <c r="BO63" s="342">
        <f t="shared" si="114"/>
        <v>-261693.84</v>
      </c>
      <c r="BP63" s="347">
        <v>-87231.28</v>
      </c>
      <c r="BQ63" s="347">
        <v>-87231.28</v>
      </c>
      <c r="BR63" s="347">
        <v>-87231.28</v>
      </c>
      <c r="BS63" s="342">
        <f t="shared" si="76"/>
        <v>-261693.84</v>
      </c>
      <c r="BT63" s="347">
        <f t="shared" si="183"/>
        <v>-1046775.36</v>
      </c>
      <c r="BU63" s="348">
        <v>0</v>
      </c>
      <c r="BV63" s="348">
        <v>0</v>
      </c>
      <c r="BW63" s="348">
        <v>0</v>
      </c>
      <c r="BX63" s="342">
        <f t="shared" si="77"/>
        <v>0</v>
      </c>
      <c r="BY63" s="348">
        <v>0</v>
      </c>
      <c r="BZ63" s="348">
        <v>0</v>
      </c>
      <c r="CA63" s="348">
        <v>0</v>
      </c>
      <c r="CB63" s="342">
        <f t="shared" si="78"/>
        <v>0</v>
      </c>
      <c r="CC63" s="348">
        <v>0</v>
      </c>
      <c r="CD63" s="348">
        <v>0</v>
      </c>
      <c r="CE63" s="348">
        <v>0</v>
      </c>
      <c r="CF63" s="342">
        <f t="shared" si="79"/>
        <v>0</v>
      </c>
      <c r="CG63" s="348">
        <v>0</v>
      </c>
      <c r="CH63" s="348">
        <v>0</v>
      </c>
      <c r="CI63" s="348">
        <v>0</v>
      </c>
      <c r="CJ63" s="342">
        <f t="shared" si="80"/>
        <v>0</v>
      </c>
      <c r="CK63" s="347">
        <f t="shared" si="184"/>
        <v>0</v>
      </c>
      <c r="CL63" s="347">
        <v>-20691.7</v>
      </c>
      <c r="CM63" s="347">
        <v>-20691.7</v>
      </c>
      <c r="CN63" s="347">
        <v>-20691.7</v>
      </c>
      <c r="CO63" s="342">
        <f t="shared" si="81"/>
        <v>-62075.100000000006</v>
      </c>
      <c r="CP63" s="347">
        <v>-20691.7</v>
      </c>
      <c r="CQ63" s="347">
        <v>-20691.7</v>
      </c>
      <c r="CR63" s="347">
        <v>-20691.7</v>
      </c>
      <c r="CS63" s="342">
        <f t="shared" si="82"/>
        <v>-62075.100000000006</v>
      </c>
      <c r="CT63" s="347">
        <v>-20691.7</v>
      </c>
      <c r="CU63" s="347">
        <v>-20691.7</v>
      </c>
      <c r="CV63" s="347">
        <v>-20691.7</v>
      </c>
      <c r="CW63" s="342">
        <f t="shared" si="83"/>
        <v>-62075.100000000006</v>
      </c>
      <c r="CX63" s="347">
        <v>-20691.7</v>
      </c>
      <c r="CY63" s="347">
        <v>-20691.7</v>
      </c>
      <c r="CZ63" s="347">
        <v>-20691.7</v>
      </c>
      <c r="DA63" s="342">
        <f t="shared" si="84"/>
        <v>-62075.100000000006</v>
      </c>
      <c r="DB63" s="347">
        <f t="shared" si="185"/>
        <v>-248300.40000000002</v>
      </c>
      <c r="DC63" s="347">
        <v>0</v>
      </c>
      <c r="DD63" s="347">
        <v>0</v>
      </c>
      <c r="DE63" s="347">
        <v>0</v>
      </c>
      <c r="DF63" s="342">
        <f t="shared" si="129"/>
        <v>0</v>
      </c>
      <c r="DG63" s="347">
        <v>0</v>
      </c>
      <c r="DH63" s="347">
        <v>0</v>
      </c>
      <c r="DI63" s="347">
        <v>0</v>
      </c>
      <c r="DJ63" s="342">
        <f t="shared" si="151"/>
        <v>0</v>
      </c>
      <c r="DK63" s="347">
        <v>0</v>
      </c>
      <c r="DL63" s="347">
        <v>0</v>
      </c>
      <c r="DM63" s="347">
        <v>0</v>
      </c>
      <c r="DN63" s="342">
        <f t="shared" si="152"/>
        <v>0</v>
      </c>
      <c r="DO63" s="347">
        <v>0</v>
      </c>
      <c r="DP63" s="347">
        <v>0</v>
      </c>
      <c r="DQ63" s="347">
        <v>0</v>
      </c>
      <c r="DR63" s="342">
        <f t="shared" si="153"/>
        <v>0</v>
      </c>
      <c r="DS63" s="347">
        <f t="shared" si="186"/>
        <v>0</v>
      </c>
      <c r="DT63" s="347">
        <v>-25125</v>
      </c>
      <c r="DU63" s="347">
        <v>-25125</v>
      </c>
      <c r="DV63" s="347">
        <v>-25125</v>
      </c>
      <c r="DW63" s="342">
        <f t="shared" si="89"/>
        <v>-75375</v>
      </c>
      <c r="DX63" s="347">
        <v>-25125</v>
      </c>
      <c r="DY63" s="347">
        <v>-25125</v>
      </c>
      <c r="DZ63" s="347">
        <v>-25125</v>
      </c>
      <c r="EA63" s="342">
        <f t="shared" si="137"/>
        <v>-75375</v>
      </c>
      <c r="EB63" s="347">
        <v>-25125</v>
      </c>
      <c r="EC63" s="347">
        <v>-25125</v>
      </c>
      <c r="ED63" s="347">
        <v>-25125</v>
      </c>
      <c r="EE63" s="342">
        <f t="shared" si="146"/>
        <v>-75375</v>
      </c>
      <c r="EF63" s="347">
        <v>-25125</v>
      </c>
      <c r="EG63" s="347">
        <v>-25125</v>
      </c>
      <c r="EH63" s="347">
        <v>-25125</v>
      </c>
      <c r="EI63" s="342">
        <f t="shared" si="147"/>
        <v>-75375</v>
      </c>
      <c r="EJ63" s="347">
        <f t="shared" si="187"/>
        <v>-301500</v>
      </c>
      <c r="EK63" s="347"/>
      <c r="EL63" s="347"/>
      <c r="EM63" s="347"/>
      <c r="EN63" s="342">
        <f t="shared" si="154"/>
        <v>0</v>
      </c>
      <c r="EO63" s="347"/>
      <c r="EP63" s="347"/>
      <c r="EQ63" s="347"/>
      <c r="ER63" s="342">
        <f t="shared" si="135"/>
        <v>0</v>
      </c>
      <c r="ES63" s="347"/>
      <c r="ET63" s="347"/>
      <c r="EU63" s="347"/>
      <c r="EV63" s="342">
        <f t="shared" si="117"/>
        <v>0</v>
      </c>
      <c r="EW63" s="347"/>
      <c r="EX63" s="347"/>
      <c r="EY63" s="347"/>
      <c r="EZ63" s="342">
        <f t="shared" si="118"/>
        <v>0</v>
      </c>
      <c r="FA63" s="347">
        <f t="shared" si="188"/>
        <v>0</v>
      </c>
      <c r="FB63" s="347">
        <f t="shared" si="139"/>
        <v>2343424.3200000003</v>
      </c>
      <c r="FC63" s="351">
        <f t="shared" si="59"/>
        <v>0.4686848602505212</v>
      </c>
    </row>
    <row r="64" spans="1:159" s="6" customFormat="1" ht="18" collapsed="1">
      <c r="A64" s="343"/>
      <c r="B64" s="344" t="s">
        <v>559</v>
      </c>
      <c r="C64" s="345" t="s">
        <v>560</v>
      </c>
      <c r="D64" s="346" t="s">
        <v>475</v>
      </c>
      <c r="E64" s="347">
        <f>SUM(E65:E74)</f>
        <v>0</v>
      </c>
      <c r="F64" s="347">
        <f>SUM(F65:F74)</f>
        <v>0</v>
      </c>
      <c r="G64" s="347">
        <f>SUM(G65:G74)</f>
        <v>0</v>
      </c>
      <c r="H64" s="342">
        <f t="shared" si="178"/>
        <v>0</v>
      </c>
      <c r="I64" s="347">
        <f>SUM(I65:I74)</f>
        <v>0</v>
      </c>
      <c r="J64" s="347">
        <f>SUM(J65:J74)</f>
        <v>0</v>
      </c>
      <c r="K64" s="347">
        <f>SUM(K65:K74)</f>
        <v>0</v>
      </c>
      <c r="L64" s="342">
        <f t="shared" si="179"/>
        <v>0</v>
      </c>
      <c r="M64" s="347">
        <f>SUM(M65:M74)</f>
        <v>0</v>
      </c>
      <c r="N64" s="347">
        <f>SUM(N65:N74)</f>
        <v>0</v>
      </c>
      <c r="O64" s="347">
        <f>SUM(O65:O74)</f>
        <v>0</v>
      </c>
      <c r="P64" s="342">
        <f t="shared" si="156"/>
        <v>0</v>
      </c>
      <c r="Q64" s="347">
        <f>SUM(Q65:Q74)</f>
        <v>0</v>
      </c>
      <c r="R64" s="347">
        <f>SUM(R65:R74)</f>
        <v>0</v>
      </c>
      <c r="S64" s="347">
        <f>SUM(S65:S74)</f>
        <v>0</v>
      </c>
      <c r="T64" s="342">
        <f t="shared" si="157"/>
        <v>0</v>
      </c>
      <c r="U64" s="358">
        <f>SUM(U65:U74)</f>
        <v>0</v>
      </c>
      <c r="V64" s="347">
        <f t="shared" ref="V64:X64" si="213">SUM(V65:V74)</f>
        <v>0</v>
      </c>
      <c r="W64" s="347">
        <f t="shared" si="213"/>
        <v>0</v>
      </c>
      <c r="X64" s="347">
        <f t="shared" si="213"/>
        <v>0</v>
      </c>
      <c r="Y64" s="342">
        <f t="shared" si="158"/>
        <v>0</v>
      </c>
      <c r="Z64" s="347">
        <f>SUM(Z65:Z74)</f>
        <v>0</v>
      </c>
      <c r="AA64" s="347">
        <f>SUM(AA65:AA74)</f>
        <v>0</v>
      </c>
      <c r="AB64" s="347">
        <f>SUM(AB65:AB74)</f>
        <v>0</v>
      </c>
      <c r="AC64" s="342">
        <f t="shared" si="101"/>
        <v>0</v>
      </c>
      <c r="AD64" s="347">
        <f>SUM(AD65:AD74)</f>
        <v>0</v>
      </c>
      <c r="AE64" s="347">
        <f>SUM(AE65:AE74)</f>
        <v>0</v>
      </c>
      <c r="AF64" s="347">
        <f>SUM(AF65:AF74)</f>
        <v>0</v>
      </c>
      <c r="AG64" s="342">
        <f t="shared" si="159"/>
        <v>0</v>
      </c>
      <c r="AH64" s="347">
        <f>SUM(AH65:AH74)</f>
        <v>0</v>
      </c>
      <c r="AI64" s="347">
        <f>SUM(AI65:AI74)</f>
        <v>0</v>
      </c>
      <c r="AJ64" s="347">
        <f>SUM(AJ65:AJ74)</f>
        <v>0</v>
      </c>
      <c r="AK64" s="342">
        <f t="shared" si="102"/>
        <v>0</v>
      </c>
      <c r="AL64" s="347">
        <f>SUM(AL65:AL74)</f>
        <v>0</v>
      </c>
      <c r="AM64" s="348">
        <f>SUM(AM65:AM74)</f>
        <v>0</v>
      </c>
      <c r="AN64" s="348">
        <f>SUM(AN65:AN74)</f>
        <v>0</v>
      </c>
      <c r="AO64" s="348">
        <f>SUM(AO65:AO74)</f>
        <v>0</v>
      </c>
      <c r="AP64" s="342">
        <f t="shared" ref="AP64:AP76" si="214">SUM(AM64:AO64)</f>
        <v>0</v>
      </c>
      <c r="AQ64" s="348">
        <f>SUM(AQ65:AQ74)</f>
        <v>0</v>
      </c>
      <c r="AR64" s="348">
        <f>SUM(AR65:AR74)</f>
        <v>0</v>
      </c>
      <c r="AS64" s="348">
        <f>SUM(AS65:AS74)</f>
        <v>0</v>
      </c>
      <c r="AT64" s="342">
        <f t="shared" ref="AT64:AT76" si="215">SUM(AQ64:AS64)</f>
        <v>0</v>
      </c>
      <c r="AU64" s="348">
        <f>SUM(AU65:AU74)</f>
        <v>0</v>
      </c>
      <c r="AV64" s="348">
        <f>SUM(AV65:AV74)</f>
        <v>0</v>
      </c>
      <c r="AW64" s="348">
        <f>SUM(AW65:AW74)</f>
        <v>0</v>
      </c>
      <c r="AX64" s="342">
        <f t="shared" ref="AX64:AX76" si="216">SUM(AU64:AW64)</f>
        <v>0</v>
      </c>
      <c r="AY64" s="348">
        <f>SUM(AY65:AY74)</f>
        <v>0</v>
      </c>
      <c r="AZ64" s="348">
        <f>SUM(AZ65:AZ74)</f>
        <v>0</v>
      </c>
      <c r="BA64" s="348">
        <f>SUM(BA65:BA74)</f>
        <v>0</v>
      </c>
      <c r="BB64" s="342">
        <f t="shared" ref="BB64:BB76" si="217">SUM(AY64:BA64)</f>
        <v>0</v>
      </c>
      <c r="BC64" s="347">
        <f>SUM(BC65:BC74)</f>
        <v>0</v>
      </c>
      <c r="BD64" s="348">
        <f>SUM(BD65:BD74)</f>
        <v>0</v>
      </c>
      <c r="BE64" s="348">
        <f>SUM(BE65:BE74)</f>
        <v>0</v>
      </c>
      <c r="BF64" s="348">
        <f>SUM(BF65:BF74)</f>
        <v>0</v>
      </c>
      <c r="BG64" s="342">
        <f t="shared" si="162"/>
        <v>0</v>
      </c>
      <c r="BH64" s="348">
        <f>SUM(BH65:BH74)</f>
        <v>0</v>
      </c>
      <c r="BI64" s="348">
        <f>SUM(BI65:BI74)</f>
        <v>0</v>
      </c>
      <c r="BJ64" s="348">
        <f>SUM(BJ65:BJ74)</f>
        <v>0</v>
      </c>
      <c r="BK64" s="342">
        <f t="shared" si="74"/>
        <v>0</v>
      </c>
      <c r="BL64" s="348">
        <f>SUM(BL65:BL74)</f>
        <v>0</v>
      </c>
      <c r="BM64" s="348">
        <f>SUM(BM65:BM74)</f>
        <v>0</v>
      </c>
      <c r="BN64" s="347">
        <f>SUM(BN65:BN74)</f>
        <v>0</v>
      </c>
      <c r="BO64" s="342">
        <f t="shared" si="114"/>
        <v>0</v>
      </c>
      <c r="BP64" s="348">
        <f>SUM(BP65:BP74)</f>
        <v>0</v>
      </c>
      <c r="BQ64" s="348">
        <f>SUM(BQ65:BQ74)</f>
        <v>0</v>
      </c>
      <c r="BR64" s="348">
        <f>SUM(BR65:BR74)</f>
        <v>0</v>
      </c>
      <c r="BS64" s="342">
        <f t="shared" si="76"/>
        <v>0</v>
      </c>
      <c r="BT64" s="347">
        <f>SUM(BT65:BT74)</f>
        <v>0</v>
      </c>
      <c r="BU64" s="348">
        <f>SUM(BU65:BU74)</f>
        <v>0</v>
      </c>
      <c r="BV64" s="348">
        <f>SUM(BV65:BV74)</f>
        <v>0</v>
      </c>
      <c r="BW64" s="348">
        <f>SUM(BW65:BW74)</f>
        <v>0</v>
      </c>
      <c r="BX64" s="342">
        <f t="shared" si="77"/>
        <v>0</v>
      </c>
      <c r="BY64" s="348">
        <f>SUM(BY65:BY74)</f>
        <v>0</v>
      </c>
      <c r="BZ64" s="348">
        <f>SUM(BZ65:BZ74)</f>
        <v>0</v>
      </c>
      <c r="CA64" s="348">
        <f>SUM(CA65:CA74)</f>
        <v>0</v>
      </c>
      <c r="CB64" s="342">
        <f t="shared" si="78"/>
        <v>0</v>
      </c>
      <c r="CC64" s="348">
        <f>SUM(CC65:CC74)</f>
        <v>0</v>
      </c>
      <c r="CD64" s="348">
        <f>SUM(CD65:CD74)</f>
        <v>0</v>
      </c>
      <c r="CE64" s="348">
        <f>SUM(CE65:CE74)</f>
        <v>0</v>
      </c>
      <c r="CF64" s="342">
        <f t="shared" si="79"/>
        <v>0</v>
      </c>
      <c r="CG64" s="348">
        <f>SUM(CG65:CG74)</f>
        <v>0</v>
      </c>
      <c r="CH64" s="348">
        <f>SUM(CH65:CH74)</f>
        <v>0</v>
      </c>
      <c r="CI64" s="348">
        <f>SUM(CI65:CI74)</f>
        <v>0</v>
      </c>
      <c r="CJ64" s="342">
        <f t="shared" si="80"/>
        <v>0</v>
      </c>
      <c r="CK64" s="347">
        <f>SUM(CK65:CK74)</f>
        <v>0</v>
      </c>
      <c r="CL64" s="347">
        <f t="shared" ref="CL64:DA64" si="218">SUM(CL65:CL74)</f>
        <v>0</v>
      </c>
      <c r="CM64" s="347">
        <f t="shared" si="218"/>
        <v>0</v>
      </c>
      <c r="CN64" s="347">
        <f t="shared" si="218"/>
        <v>0</v>
      </c>
      <c r="CO64" s="342">
        <f t="shared" si="218"/>
        <v>0</v>
      </c>
      <c r="CP64" s="347">
        <f t="shared" si="218"/>
        <v>0</v>
      </c>
      <c r="CQ64" s="347">
        <f t="shared" si="218"/>
        <v>0</v>
      </c>
      <c r="CR64" s="347">
        <f t="shared" si="218"/>
        <v>0</v>
      </c>
      <c r="CS64" s="342">
        <f t="shared" si="218"/>
        <v>0</v>
      </c>
      <c r="CT64" s="347">
        <f t="shared" si="218"/>
        <v>0</v>
      </c>
      <c r="CU64" s="347">
        <f t="shared" si="218"/>
        <v>0</v>
      </c>
      <c r="CV64" s="347">
        <f t="shared" si="218"/>
        <v>0</v>
      </c>
      <c r="CW64" s="342">
        <f t="shared" si="218"/>
        <v>0</v>
      </c>
      <c r="CX64" s="347">
        <f t="shared" si="218"/>
        <v>0</v>
      </c>
      <c r="CY64" s="347">
        <f t="shared" si="218"/>
        <v>0</v>
      </c>
      <c r="CZ64" s="347">
        <f t="shared" si="218"/>
        <v>0</v>
      </c>
      <c r="DA64" s="342">
        <f t="shared" si="218"/>
        <v>0</v>
      </c>
      <c r="DB64" s="347">
        <f>SUM(DB65:DB74)</f>
        <v>0</v>
      </c>
      <c r="DC64" s="347">
        <f t="shared" ref="DC64:DR64" si="219">SUM(DC65:DC74)</f>
        <v>0</v>
      </c>
      <c r="DD64" s="347">
        <f t="shared" si="219"/>
        <v>0</v>
      </c>
      <c r="DE64" s="347">
        <f t="shared" si="219"/>
        <v>0</v>
      </c>
      <c r="DF64" s="342">
        <f t="shared" si="219"/>
        <v>0</v>
      </c>
      <c r="DG64" s="347">
        <f t="shared" si="219"/>
        <v>0</v>
      </c>
      <c r="DH64" s="347">
        <f t="shared" si="219"/>
        <v>0</v>
      </c>
      <c r="DI64" s="347">
        <f t="shared" si="219"/>
        <v>0</v>
      </c>
      <c r="DJ64" s="342">
        <f t="shared" si="219"/>
        <v>0</v>
      </c>
      <c r="DK64" s="347">
        <f t="shared" si="219"/>
        <v>0</v>
      </c>
      <c r="DL64" s="347">
        <f t="shared" si="219"/>
        <v>0</v>
      </c>
      <c r="DM64" s="347">
        <f t="shared" si="219"/>
        <v>0</v>
      </c>
      <c r="DN64" s="342">
        <f t="shared" si="219"/>
        <v>0</v>
      </c>
      <c r="DO64" s="348">
        <f t="shared" si="219"/>
        <v>0</v>
      </c>
      <c r="DP64" s="348">
        <f t="shared" si="219"/>
        <v>0</v>
      </c>
      <c r="DQ64" s="348">
        <f t="shared" si="219"/>
        <v>0</v>
      </c>
      <c r="DR64" s="342">
        <f t="shared" si="219"/>
        <v>0</v>
      </c>
      <c r="DS64" s="347">
        <f>SUM(DS65:DS74)</f>
        <v>0</v>
      </c>
      <c r="DT64" s="347">
        <f t="shared" ref="DT64:DV64" si="220">SUM(DT65:DT74)</f>
        <v>0</v>
      </c>
      <c r="DU64" s="347">
        <f t="shared" si="220"/>
        <v>0</v>
      </c>
      <c r="DV64" s="347">
        <f t="shared" si="220"/>
        <v>0</v>
      </c>
      <c r="DW64" s="342">
        <f t="shared" si="89"/>
        <v>0</v>
      </c>
      <c r="DX64" s="347">
        <f>SUM(DX65:DX74)</f>
        <v>0</v>
      </c>
      <c r="DY64" s="347">
        <f>SUM(DY65:DY74)</f>
        <v>0</v>
      </c>
      <c r="DZ64" s="347">
        <f>SUM(DZ65:DZ74)</f>
        <v>0</v>
      </c>
      <c r="EA64" s="342">
        <f t="shared" si="137"/>
        <v>0</v>
      </c>
      <c r="EB64" s="347">
        <f>SUM(EB65:EB74)</f>
        <v>0</v>
      </c>
      <c r="EC64" s="347">
        <f>SUM(EC65:EC74)</f>
        <v>0</v>
      </c>
      <c r="ED64" s="347">
        <f>SUM(ED65:ED74)</f>
        <v>0</v>
      </c>
      <c r="EE64" s="342">
        <f t="shared" si="146"/>
        <v>0</v>
      </c>
      <c r="EF64" s="347">
        <f>SUM(EF65:EF74)</f>
        <v>0</v>
      </c>
      <c r="EG64" s="347">
        <f>SUM(EG65:EG74)</f>
        <v>0</v>
      </c>
      <c r="EH64" s="347">
        <f>SUM(EH65:EH74)</f>
        <v>0</v>
      </c>
      <c r="EI64" s="342">
        <f t="shared" si="147"/>
        <v>0</v>
      </c>
      <c r="EJ64" s="347">
        <f>SUM(EJ65:EJ74)</f>
        <v>0</v>
      </c>
      <c r="EK64" s="347">
        <f t="shared" ref="EK64:EU64" si="221">SUM(EK65:EK74)</f>
        <v>0</v>
      </c>
      <c r="EL64" s="347">
        <f t="shared" si="221"/>
        <v>0</v>
      </c>
      <c r="EM64" s="347">
        <f t="shared" si="221"/>
        <v>0</v>
      </c>
      <c r="EN64" s="342">
        <f t="shared" si="221"/>
        <v>0</v>
      </c>
      <c r="EO64" s="347">
        <f t="shared" si="221"/>
        <v>0</v>
      </c>
      <c r="EP64" s="347">
        <f t="shared" si="221"/>
        <v>0</v>
      </c>
      <c r="EQ64" s="347">
        <f t="shared" si="221"/>
        <v>0</v>
      </c>
      <c r="ER64" s="342">
        <f t="shared" si="221"/>
        <v>0</v>
      </c>
      <c r="ES64" s="347">
        <f t="shared" si="221"/>
        <v>0</v>
      </c>
      <c r="ET64" s="347">
        <f t="shared" si="221"/>
        <v>0</v>
      </c>
      <c r="EU64" s="347">
        <f t="shared" si="221"/>
        <v>0</v>
      </c>
      <c r="EV64" s="342">
        <f t="shared" si="117"/>
        <v>0</v>
      </c>
      <c r="EW64" s="347">
        <f>SUM(EW65:EW74)</f>
        <v>0</v>
      </c>
      <c r="EX64" s="347">
        <f>SUM(EX65:EX74)</f>
        <v>0</v>
      </c>
      <c r="EY64" s="347">
        <f>SUM(EY65:EY74)</f>
        <v>0</v>
      </c>
      <c r="EZ64" s="342">
        <f t="shared" si="118"/>
        <v>0</v>
      </c>
      <c r="FA64" s="347">
        <f>SUM(FA65:FA74)</f>
        <v>0</v>
      </c>
      <c r="FB64" s="347">
        <f>SUM(FB65:FB74)</f>
        <v>0</v>
      </c>
      <c r="FC64" s="336" t="e">
        <f t="shared" si="59"/>
        <v>#DIV/0!</v>
      </c>
    </row>
    <row r="65" spans="1:159" s="6" customFormat="1" ht="18" hidden="1" outlineLevel="1">
      <c r="A65" s="343"/>
      <c r="B65" s="344" t="s">
        <v>561</v>
      </c>
      <c r="C65" s="349"/>
      <c r="D65" s="350"/>
      <c r="E65" s="347"/>
      <c r="F65" s="347"/>
      <c r="G65" s="347"/>
      <c r="H65" s="342">
        <f t="shared" si="178"/>
        <v>0</v>
      </c>
      <c r="I65" s="347"/>
      <c r="J65" s="347"/>
      <c r="K65" s="347"/>
      <c r="L65" s="342">
        <f t="shared" si="179"/>
        <v>0</v>
      </c>
      <c r="M65" s="347"/>
      <c r="N65" s="347"/>
      <c r="O65" s="347"/>
      <c r="P65" s="342">
        <f t="shared" si="156"/>
        <v>0</v>
      </c>
      <c r="Q65" s="347"/>
      <c r="R65" s="347"/>
      <c r="S65" s="347"/>
      <c r="T65" s="342">
        <f t="shared" si="157"/>
        <v>0</v>
      </c>
      <c r="U65" s="347">
        <f t="shared" ref="U65:U74" si="222">H65+L65+P65+T65</f>
        <v>0</v>
      </c>
      <c r="V65" s="347"/>
      <c r="W65" s="347"/>
      <c r="X65" s="347"/>
      <c r="Y65" s="342">
        <f t="shared" si="158"/>
        <v>0</v>
      </c>
      <c r="Z65" s="347"/>
      <c r="AA65" s="347"/>
      <c r="AB65" s="347"/>
      <c r="AC65" s="342">
        <f t="shared" si="101"/>
        <v>0</v>
      </c>
      <c r="AD65" s="347"/>
      <c r="AE65" s="347"/>
      <c r="AF65" s="347"/>
      <c r="AG65" s="342">
        <f t="shared" si="159"/>
        <v>0</v>
      </c>
      <c r="AH65" s="347"/>
      <c r="AI65" s="347"/>
      <c r="AJ65" s="347"/>
      <c r="AK65" s="342">
        <f t="shared" si="102"/>
        <v>0</v>
      </c>
      <c r="AL65" s="347">
        <f t="shared" si="181"/>
        <v>0</v>
      </c>
      <c r="AM65" s="348"/>
      <c r="AN65" s="348"/>
      <c r="AO65" s="348"/>
      <c r="AP65" s="342">
        <f t="shared" si="214"/>
        <v>0</v>
      </c>
      <c r="AQ65" s="348">
        <v>0</v>
      </c>
      <c r="AR65" s="348">
        <v>0</v>
      </c>
      <c r="AS65" s="348">
        <v>0</v>
      </c>
      <c r="AT65" s="342">
        <f t="shared" si="215"/>
        <v>0</v>
      </c>
      <c r="AU65" s="348">
        <v>0</v>
      </c>
      <c r="AV65" s="348">
        <v>0</v>
      </c>
      <c r="AW65" s="348">
        <v>0</v>
      </c>
      <c r="AX65" s="342">
        <f t="shared" si="216"/>
        <v>0</v>
      </c>
      <c r="AY65" s="348"/>
      <c r="AZ65" s="348"/>
      <c r="BA65" s="348"/>
      <c r="BB65" s="342">
        <f t="shared" si="217"/>
        <v>0</v>
      </c>
      <c r="BC65" s="347">
        <f t="shared" si="182"/>
        <v>0</v>
      </c>
      <c r="BD65" s="348"/>
      <c r="BE65" s="348"/>
      <c r="BF65" s="348"/>
      <c r="BG65" s="342">
        <f t="shared" si="162"/>
        <v>0</v>
      </c>
      <c r="BH65" s="348"/>
      <c r="BI65" s="348"/>
      <c r="BJ65" s="348"/>
      <c r="BK65" s="342">
        <f t="shared" si="74"/>
        <v>0</v>
      </c>
      <c r="BL65" s="348"/>
      <c r="BM65" s="348"/>
      <c r="BN65" s="347"/>
      <c r="BO65" s="342">
        <f t="shared" si="114"/>
        <v>0</v>
      </c>
      <c r="BP65" s="348"/>
      <c r="BQ65" s="348"/>
      <c r="BR65" s="348"/>
      <c r="BS65" s="342">
        <f t="shared" si="76"/>
        <v>0</v>
      </c>
      <c r="BT65" s="347">
        <f t="shared" si="183"/>
        <v>0</v>
      </c>
      <c r="BU65" s="348"/>
      <c r="BV65" s="348"/>
      <c r="BW65" s="348"/>
      <c r="BX65" s="342">
        <f t="shared" si="77"/>
        <v>0</v>
      </c>
      <c r="BY65" s="348"/>
      <c r="BZ65" s="348"/>
      <c r="CA65" s="348"/>
      <c r="CB65" s="342">
        <f t="shared" si="78"/>
        <v>0</v>
      </c>
      <c r="CC65" s="348"/>
      <c r="CD65" s="348"/>
      <c r="CE65" s="348"/>
      <c r="CF65" s="342">
        <f t="shared" si="79"/>
        <v>0</v>
      </c>
      <c r="CG65" s="348"/>
      <c r="CH65" s="348"/>
      <c r="CI65" s="348"/>
      <c r="CJ65" s="342">
        <f t="shared" si="80"/>
        <v>0</v>
      </c>
      <c r="CK65" s="347">
        <f t="shared" si="184"/>
        <v>0</v>
      </c>
      <c r="CL65" s="347"/>
      <c r="CM65" s="347"/>
      <c r="CN65" s="347"/>
      <c r="CO65" s="342">
        <f t="shared" si="81"/>
        <v>0</v>
      </c>
      <c r="CP65" s="347"/>
      <c r="CQ65" s="347"/>
      <c r="CR65" s="347"/>
      <c r="CS65" s="342">
        <f t="shared" ref="CS65:CS76" si="223">SUM(CP65:CR65)</f>
        <v>0</v>
      </c>
      <c r="CT65" s="347"/>
      <c r="CU65" s="347"/>
      <c r="CV65" s="347"/>
      <c r="CW65" s="342">
        <f t="shared" ref="CW65:CW76" si="224">SUM(CT65:CV65)</f>
        <v>0</v>
      </c>
      <c r="CX65" s="347"/>
      <c r="CY65" s="347"/>
      <c r="CZ65" s="347"/>
      <c r="DA65" s="342">
        <f t="shared" ref="DA65:DA76" si="225">SUM(CX65:CZ65)</f>
        <v>0</v>
      </c>
      <c r="DB65" s="347">
        <f t="shared" si="185"/>
        <v>0</v>
      </c>
      <c r="DC65" s="347">
        <v>0</v>
      </c>
      <c r="DD65" s="347">
        <v>0</v>
      </c>
      <c r="DE65" s="347">
        <v>0</v>
      </c>
      <c r="DF65" s="342">
        <f t="shared" ref="DF65:DF76" si="226">SUM(DC65:DE65)</f>
        <v>0</v>
      </c>
      <c r="DG65" s="347">
        <v>0</v>
      </c>
      <c r="DH65" s="347">
        <v>0</v>
      </c>
      <c r="DI65" s="347">
        <v>0</v>
      </c>
      <c r="DJ65" s="342">
        <f t="shared" si="151"/>
        <v>0</v>
      </c>
      <c r="DK65" s="347">
        <v>0</v>
      </c>
      <c r="DL65" s="347">
        <v>0</v>
      </c>
      <c r="DM65" s="347">
        <v>0</v>
      </c>
      <c r="DN65" s="342">
        <f t="shared" si="152"/>
        <v>0</v>
      </c>
      <c r="DO65" s="347">
        <v>0</v>
      </c>
      <c r="DP65" s="347">
        <v>0</v>
      </c>
      <c r="DQ65" s="347">
        <v>0</v>
      </c>
      <c r="DR65" s="342">
        <f t="shared" si="153"/>
        <v>0</v>
      </c>
      <c r="DS65" s="347">
        <f t="shared" si="186"/>
        <v>0</v>
      </c>
      <c r="DT65" s="347"/>
      <c r="DU65" s="347"/>
      <c r="DV65" s="347"/>
      <c r="DW65" s="342">
        <f t="shared" si="89"/>
        <v>0</v>
      </c>
      <c r="DX65" s="347"/>
      <c r="DY65" s="347"/>
      <c r="DZ65" s="347"/>
      <c r="EA65" s="342">
        <f t="shared" si="137"/>
        <v>0</v>
      </c>
      <c r="EB65" s="347"/>
      <c r="EC65" s="347"/>
      <c r="ED65" s="347"/>
      <c r="EE65" s="342">
        <f t="shared" si="146"/>
        <v>0</v>
      </c>
      <c r="EF65" s="347"/>
      <c r="EG65" s="347"/>
      <c r="EH65" s="347"/>
      <c r="EI65" s="342">
        <f t="shared" si="147"/>
        <v>0</v>
      </c>
      <c r="EJ65" s="347">
        <f t="shared" si="187"/>
        <v>0</v>
      </c>
      <c r="EK65" s="347"/>
      <c r="EL65" s="347"/>
      <c r="EM65" s="347"/>
      <c r="EN65" s="342">
        <f t="shared" si="154"/>
        <v>0</v>
      </c>
      <c r="EO65" s="347"/>
      <c r="EP65" s="347"/>
      <c r="EQ65" s="347"/>
      <c r="ER65" s="342">
        <f t="shared" si="135"/>
        <v>0</v>
      </c>
      <c r="ES65" s="347"/>
      <c r="ET65" s="347"/>
      <c r="EU65" s="347"/>
      <c r="EV65" s="342">
        <f t="shared" si="117"/>
        <v>0</v>
      </c>
      <c r="EW65" s="347"/>
      <c r="EX65" s="347"/>
      <c r="EY65" s="347"/>
      <c r="EZ65" s="342">
        <f t="shared" si="118"/>
        <v>0</v>
      </c>
      <c r="FA65" s="347">
        <f t="shared" si="188"/>
        <v>0</v>
      </c>
      <c r="FB65" s="347">
        <f t="shared" si="139"/>
        <v>0</v>
      </c>
      <c r="FC65" s="351" t="e">
        <f t="shared" si="59"/>
        <v>#DIV/0!</v>
      </c>
    </row>
    <row r="66" spans="1:159" s="6" customFormat="1" ht="18" hidden="1" outlineLevel="1">
      <c r="A66" s="343"/>
      <c r="B66" s="344" t="s">
        <v>562</v>
      </c>
      <c r="C66" s="349"/>
      <c r="D66" s="350"/>
      <c r="E66" s="347"/>
      <c r="F66" s="347"/>
      <c r="G66" s="347"/>
      <c r="H66" s="342">
        <f t="shared" si="178"/>
        <v>0</v>
      </c>
      <c r="I66" s="347"/>
      <c r="J66" s="347"/>
      <c r="K66" s="347"/>
      <c r="L66" s="342">
        <f t="shared" si="179"/>
        <v>0</v>
      </c>
      <c r="M66" s="347"/>
      <c r="N66" s="347"/>
      <c r="O66" s="347"/>
      <c r="P66" s="342">
        <f t="shared" si="156"/>
        <v>0</v>
      </c>
      <c r="Q66" s="347"/>
      <c r="R66" s="347"/>
      <c r="S66" s="347"/>
      <c r="T66" s="342">
        <f t="shared" si="157"/>
        <v>0</v>
      </c>
      <c r="U66" s="347">
        <f t="shared" si="222"/>
        <v>0</v>
      </c>
      <c r="V66" s="347"/>
      <c r="W66" s="347"/>
      <c r="X66" s="347"/>
      <c r="Y66" s="342">
        <f t="shared" si="158"/>
        <v>0</v>
      </c>
      <c r="Z66" s="347"/>
      <c r="AA66" s="347"/>
      <c r="AB66" s="347"/>
      <c r="AC66" s="342">
        <f t="shared" si="101"/>
        <v>0</v>
      </c>
      <c r="AD66" s="347"/>
      <c r="AE66" s="347"/>
      <c r="AF66" s="347"/>
      <c r="AG66" s="342">
        <f t="shared" si="159"/>
        <v>0</v>
      </c>
      <c r="AH66" s="347"/>
      <c r="AI66" s="347"/>
      <c r="AJ66" s="347"/>
      <c r="AK66" s="342">
        <f t="shared" si="102"/>
        <v>0</v>
      </c>
      <c r="AL66" s="347">
        <f t="shared" si="181"/>
        <v>0</v>
      </c>
      <c r="AM66" s="348"/>
      <c r="AN66" s="348"/>
      <c r="AO66" s="348"/>
      <c r="AP66" s="342">
        <f t="shared" si="214"/>
        <v>0</v>
      </c>
      <c r="AQ66" s="348">
        <v>0</v>
      </c>
      <c r="AR66" s="348">
        <v>0</v>
      </c>
      <c r="AS66" s="348">
        <v>0</v>
      </c>
      <c r="AT66" s="342">
        <f t="shared" si="215"/>
        <v>0</v>
      </c>
      <c r="AU66" s="348">
        <v>0</v>
      </c>
      <c r="AV66" s="348">
        <v>0</v>
      </c>
      <c r="AW66" s="348">
        <v>0</v>
      </c>
      <c r="AX66" s="342">
        <f t="shared" si="216"/>
        <v>0</v>
      </c>
      <c r="AY66" s="348"/>
      <c r="AZ66" s="348"/>
      <c r="BA66" s="348"/>
      <c r="BB66" s="342">
        <f t="shared" si="217"/>
        <v>0</v>
      </c>
      <c r="BC66" s="347">
        <f t="shared" si="182"/>
        <v>0</v>
      </c>
      <c r="BD66" s="348"/>
      <c r="BE66" s="348"/>
      <c r="BF66" s="348"/>
      <c r="BG66" s="342">
        <f t="shared" si="162"/>
        <v>0</v>
      </c>
      <c r="BH66" s="348"/>
      <c r="BI66" s="348"/>
      <c r="BJ66" s="348"/>
      <c r="BK66" s="342">
        <f t="shared" si="74"/>
        <v>0</v>
      </c>
      <c r="BL66" s="348"/>
      <c r="BM66" s="348"/>
      <c r="BN66" s="347"/>
      <c r="BO66" s="342">
        <f t="shared" si="114"/>
        <v>0</v>
      </c>
      <c r="BP66" s="348"/>
      <c r="BQ66" s="348"/>
      <c r="BR66" s="348"/>
      <c r="BS66" s="342">
        <f t="shared" si="76"/>
        <v>0</v>
      </c>
      <c r="BT66" s="347">
        <f t="shared" si="183"/>
        <v>0</v>
      </c>
      <c r="BU66" s="348"/>
      <c r="BV66" s="348"/>
      <c r="BW66" s="348"/>
      <c r="BX66" s="342">
        <f t="shared" si="77"/>
        <v>0</v>
      </c>
      <c r="BY66" s="348"/>
      <c r="BZ66" s="348"/>
      <c r="CA66" s="348"/>
      <c r="CB66" s="342">
        <f t="shared" si="78"/>
        <v>0</v>
      </c>
      <c r="CC66" s="348"/>
      <c r="CD66" s="348"/>
      <c r="CE66" s="348"/>
      <c r="CF66" s="342">
        <f t="shared" si="79"/>
        <v>0</v>
      </c>
      <c r="CG66" s="348"/>
      <c r="CH66" s="348"/>
      <c r="CI66" s="348"/>
      <c r="CJ66" s="342">
        <f t="shared" si="80"/>
        <v>0</v>
      </c>
      <c r="CK66" s="347">
        <f t="shared" si="184"/>
        <v>0</v>
      </c>
      <c r="CL66" s="347"/>
      <c r="CM66" s="347"/>
      <c r="CN66" s="347"/>
      <c r="CO66" s="342">
        <f t="shared" si="81"/>
        <v>0</v>
      </c>
      <c r="CP66" s="347"/>
      <c r="CQ66" s="347"/>
      <c r="CR66" s="347"/>
      <c r="CS66" s="342">
        <f t="shared" si="223"/>
        <v>0</v>
      </c>
      <c r="CT66" s="347"/>
      <c r="CU66" s="347"/>
      <c r="CV66" s="347"/>
      <c r="CW66" s="342">
        <f t="shared" si="224"/>
        <v>0</v>
      </c>
      <c r="CX66" s="347"/>
      <c r="CY66" s="347"/>
      <c r="CZ66" s="347"/>
      <c r="DA66" s="342">
        <f t="shared" si="225"/>
        <v>0</v>
      </c>
      <c r="DB66" s="347">
        <f t="shared" si="185"/>
        <v>0</v>
      </c>
      <c r="DC66" s="347">
        <v>0</v>
      </c>
      <c r="DD66" s="347">
        <v>0</v>
      </c>
      <c r="DE66" s="347">
        <v>0</v>
      </c>
      <c r="DF66" s="342">
        <f t="shared" si="226"/>
        <v>0</v>
      </c>
      <c r="DG66" s="347">
        <v>0</v>
      </c>
      <c r="DH66" s="347">
        <v>0</v>
      </c>
      <c r="DI66" s="347">
        <v>0</v>
      </c>
      <c r="DJ66" s="342">
        <f t="shared" si="151"/>
        <v>0</v>
      </c>
      <c r="DK66" s="347">
        <v>0</v>
      </c>
      <c r="DL66" s="347">
        <v>0</v>
      </c>
      <c r="DM66" s="347">
        <v>0</v>
      </c>
      <c r="DN66" s="342">
        <f t="shared" si="152"/>
        <v>0</v>
      </c>
      <c r="DO66" s="347">
        <v>0</v>
      </c>
      <c r="DP66" s="347">
        <v>0</v>
      </c>
      <c r="DQ66" s="347">
        <v>0</v>
      </c>
      <c r="DR66" s="342">
        <f t="shared" si="153"/>
        <v>0</v>
      </c>
      <c r="DS66" s="347">
        <f t="shared" si="186"/>
        <v>0</v>
      </c>
      <c r="DT66" s="347"/>
      <c r="DU66" s="347"/>
      <c r="DV66" s="347"/>
      <c r="DW66" s="342">
        <f t="shared" si="89"/>
        <v>0</v>
      </c>
      <c r="DX66" s="347"/>
      <c r="DY66" s="347"/>
      <c r="DZ66" s="347"/>
      <c r="EA66" s="342">
        <f t="shared" si="137"/>
        <v>0</v>
      </c>
      <c r="EB66" s="347"/>
      <c r="EC66" s="347"/>
      <c r="ED66" s="347"/>
      <c r="EE66" s="342">
        <f t="shared" si="146"/>
        <v>0</v>
      </c>
      <c r="EF66" s="347"/>
      <c r="EG66" s="347"/>
      <c r="EH66" s="347"/>
      <c r="EI66" s="342">
        <f t="shared" si="147"/>
        <v>0</v>
      </c>
      <c r="EJ66" s="347">
        <f t="shared" si="187"/>
        <v>0</v>
      </c>
      <c r="EK66" s="347"/>
      <c r="EL66" s="347"/>
      <c r="EM66" s="347"/>
      <c r="EN66" s="342">
        <f t="shared" si="154"/>
        <v>0</v>
      </c>
      <c r="EO66" s="347"/>
      <c r="EP66" s="347"/>
      <c r="EQ66" s="347"/>
      <c r="ER66" s="342">
        <f t="shared" si="135"/>
        <v>0</v>
      </c>
      <c r="ES66" s="347"/>
      <c r="ET66" s="347"/>
      <c r="EU66" s="347"/>
      <c r="EV66" s="342">
        <f t="shared" si="117"/>
        <v>0</v>
      </c>
      <c r="EW66" s="347"/>
      <c r="EX66" s="347"/>
      <c r="EY66" s="347"/>
      <c r="EZ66" s="342">
        <f t="shared" si="118"/>
        <v>0</v>
      </c>
      <c r="FA66" s="347">
        <f t="shared" si="188"/>
        <v>0</v>
      </c>
      <c r="FB66" s="347">
        <f t="shared" si="139"/>
        <v>0</v>
      </c>
      <c r="FC66" s="336" t="e">
        <f t="shared" si="59"/>
        <v>#DIV/0!</v>
      </c>
    </row>
    <row r="67" spans="1:159" s="6" customFormat="1" ht="18" hidden="1" outlineLevel="1">
      <c r="A67" s="343"/>
      <c r="B67" s="344" t="s">
        <v>563</v>
      </c>
      <c r="C67" s="349"/>
      <c r="D67" s="350"/>
      <c r="E67" s="347"/>
      <c r="F67" s="347"/>
      <c r="G67" s="347"/>
      <c r="H67" s="342">
        <f t="shared" si="178"/>
        <v>0</v>
      </c>
      <c r="I67" s="347"/>
      <c r="J67" s="347"/>
      <c r="K67" s="347"/>
      <c r="L67" s="342">
        <f t="shared" si="179"/>
        <v>0</v>
      </c>
      <c r="M67" s="347"/>
      <c r="N67" s="347"/>
      <c r="O67" s="347"/>
      <c r="P67" s="342">
        <f t="shared" si="156"/>
        <v>0</v>
      </c>
      <c r="Q67" s="347"/>
      <c r="R67" s="347"/>
      <c r="S67" s="347"/>
      <c r="T67" s="342">
        <f t="shared" si="157"/>
        <v>0</v>
      </c>
      <c r="U67" s="347">
        <f t="shared" si="222"/>
        <v>0</v>
      </c>
      <c r="V67" s="347"/>
      <c r="W67" s="347"/>
      <c r="X67" s="347"/>
      <c r="Y67" s="342">
        <f t="shared" si="158"/>
        <v>0</v>
      </c>
      <c r="Z67" s="347"/>
      <c r="AA67" s="347"/>
      <c r="AB67" s="347"/>
      <c r="AC67" s="342">
        <f t="shared" si="101"/>
        <v>0</v>
      </c>
      <c r="AD67" s="347"/>
      <c r="AE67" s="347"/>
      <c r="AF67" s="347"/>
      <c r="AG67" s="342">
        <f t="shared" si="159"/>
        <v>0</v>
      </c>
      <c r="AH67" s="347"/>
      <c r="AI67" s="347"/>
      <c r="AJ67" s="347"/>
      <c r="AK67" s="342">
        <f t="shared" si="102"/>
        <v>0</v>
      </c>
      <c r="AL67" s="347">
        <f t="shared" si="181"/>
        <v>0</v>
      </c>
      <c r="AM67" s="348"/>
      <c r="AN67" s="348"/>
      <c r="AO67" s="348"/>
      <c r="AP67" s="342">
        <f t="shared" si="214"/>
        <v>0</v>
      </c>
      <c r="AQ67" s="348">
        <v>0</v>
      </c>
      <c r="AR67" s="348">
        <v>0</v>
      </c>
      <c r="AS67" s="348">
        <v>0</v>
      </c>
      <c r="AT67" s="342">
        <f t="shared" si="215"/>
        <v>0</v>
      </c>
      <c r="AU67" s="348">
        <v>0</v>
      </c>
      <c r="AV67" s="348">
        <v>0</v>
      </c>
      <c r="AW67" s="348">
        <v>0</v>
      </c>
      <c r="AX67" s="342">
        <f t="shared" si="216"/>
        <v>0</v>
      </c>
      <c r="AY67" s="348"/>
      <c r="AZ67" s="348"/>
      <c r="BA67" s="348"/>
      <c r="BB67" s="342">
        <f t="shared" si="217"/>
        <v>0</v>
      </c>
      <c r="BC67" s="347">
        <f t="shared" si="182"/>
        <v>0</v>
      </c>
      <c r="BD67" s="348"/>
      <c r="BE67" s="348"/>
      <c r="BF67" s="348"/>
      <c r="BG67" s="342">
        <f t="shared" si="162"/>
        <v>0</v>
      </c>
      <c r="BH67" s="348"/>
      <c r="BI67" s="348"/>
      <c r="BJ67" s="348"/>
      <c r="BK67" s="342">
        <f t="shared" si="74"/>
        <v>0</v>
      </c>
      <c r="BL67" s="348"/>
      <c r="BM67" s="348"/>
      <c r="BN67" s="347"/>
      <c r="BO67" s="342">
        <f t="shared" si="114"/>
        <v>0</v>
      </c>
      <c r="BP67" s="348"/>
      <c r="BQ67" s="348"/>
      <c r="BR67" s="348"/>
      <c r="BS67" s="342">
        <f t="shared" si="76"/>
        <v>0</v>
      </c>
      <c r="BT67" s="347">
        <f t="shared" si="183"/>
        <v>0</v>
      </c>
      <c r="BU67" s="348"/>
      <c r="BV67" s="348"/>
      <c r="BW67" s="348"/>
      <c r="BX67" s="342">
        <f t="shared" si="77"/>
        <v>0</v>
      </c>
      <c r="BY67" s="348"/>
      <c r="BZ67" s="348"/>
      <c r="CA67" s="348"/>
      <c r="CB67" s="342">
        <f t="shared" si="78"/>
        <v>0</v>
      </c>
      <c r="CC67" s="348"/>
      <c r="CD67" s="348"/>
      <c r="CE67" s="348"/>
      <c r="CF67" s="342">
        <f t="shared" si="79"/>
        <v>0</v>
      </c>
      <c r="CG67" s="348"/>
      <c r="CH67" s="348"/>
      <c r="CI67" s="348"/>
      <c r="CJ67" s="342">
        <f t="shared" si="80"/>
        <v>0</v>
      </c>
      <c r="CK67" s="347">
        <f t="shared" si="184"/>
        <v>0</v>
      </c>
      <c r="CL67" s="347"/>
      <c r="CM67" s="347"/>
      <c r="CN67" s="347"/>
      <c r="CO67" s="342">
        <f t="shared" si="81"/>
        <v>0</v>
      </c>
      <c r="CP67" s="347"/>
      <c r="CQ67" s="347"/>
      <c r="CR67" s="347"/>
      <c r="CS67" s="342">
        <f t="shared" si="223"/>
        <v>0</v>
      </c>
      <c r="CT67" s="347"/>
      <c r="CU67" s="347"/>
      <c r="CV67" s="347"/>
      <c r="CW67" s="342">
        <f t="shared" si="224"/>
        <v>0</v>
      </c>
      <c r="CX67" s="347"/>
      <c r="CY67" s="347"/>
      <c r="CZ67" s="347"/>
      <c r="DA67" s="342">
        <f t="shared" si="225"/>
        <v>0</v>
      </c>
      <c r="DB67" s="347">
        <f t="shared" si="185"/>
        <v>0</v>
      </c>
      <c r="DC67" s="347">
        <v>0</v>
      </c>
      <c r="DD67" s="347">
        <v>0</v>
      </c>
      <c r="DE67" s="347">
        <v>0</v>
      </c>
      <c r="DF67" s="342">
        <f t="shared" si="226"/>
        <v>0</v>
      </c>
      <c r="DG67" s="347">
        <v>0</v>
      </c>
      <c r="DH67" s="347">
        <v>0</v>
      </c>
      <c r="DI67" s="347">
        <v>0</v>
      </c>
      <c r="DJ67" s="342">
        <f t="shared" si="151"/>
        <v>0</v>
      </c>
      <c r="DK67" s="347">
        <v>0</v>
      </c>
      <c r="DL67" s="347">
        <v>0</v>
      </c>
      <c r="DM67" s="347">
        <v>0</v>
      </c>
      <c r="DN67" s="342">
        <f t="shared" si="152"/>
        <v>0</v>
      </c>
      <c r="DO67" s="347">
        <v>0</v>
      </c>
      <c r="DP67" s="347">
        <v>0</v>
      </c>
      <c r="DQ67" s="347">
        <v>0</v>
      </c>
      <c r="DR67" s="342">
        <f t="shared" si="153"/>
        <v>0</v>
      </c>
      <c r="DS67" s="347">
        <f t="shared" si="186"/>
        <v>0</v>
      </c>
      <c r="DT67" s="347"/>
      <c r="DU67" s="347"/>
      <c r="DV67" s="347"/>
      <c r="DW67" s="342">
        <f t="shared" si="89"/>
        <v>0</v>
      </c>
      <c r="DX67" s="347"/>
      <c r="DY67" s="347"/>
      <c r="DZ67" s="347"/>
      <c r="EA67" s="342">
        <f t="shared" si="137"/>
        <v>0</v>
      </c>
      <c r="EB67" s="347"/>
      <c r="EC67" s="347"/>
      <c r="ED67" s="347"/>
      <c r="EE67" s="342">
        <f t="shared" si="146"/>
        <v>0</v>
      </c>
      <c r="EF67" s="347"/>
      <c r="EG67" s="347"/>
      <c r="EH67" s="347"/>
      <c r="EI67" s="342">
        <f t="shared" si="147"/>
        <v>0</v>
      </c>
      <c r="EJ67" s="347">
        <f t="shared" si="187"/>
        <v>0</v>
      </c>
      <c r="EK67" s="347"/>
      <c r="EL67" s="347"/>
      <c r="EM67" s="347"/>
      <c r="EN67" s="342">
        <f t="shared" si="154"/>
        <v>0</v>
      </c>
      <c r="EO67" s="347"/>
      <c r="EP67" s="347"/>
      <c r="EQ67" s="347"/>
      <c r="ER67" s="342">
        <f t="shared" si="135"/>
        <v>0</v>
      </c>
      <c r="ES67" s="347"/>
      <c r="ET67" s="347"/>
      <c r="EU67" s="347"/>
      <c r="EV67" s="342">
        <f t="shared" si="117"/>
        <v>0</v>
      </c>
      <c r="EW67" s="347"/>
      <c r="EX67" s="347"/>
      <c r="EY67" s="347"/>
      <c r="EZ67" s="342">
        <f t="shared" si="118"/>
        <v>0</v>
      </c>
      <c r="FA67" s="347">
        <f t="shared" si="188"/>
        <v>0</v>
      </c>
      <c r="FB67" s="347">
        <f t="shared" si="139"/>
        <v>0</v>
      </c>
      <c r="FC67" s="336" t="e">
        <f t="shared" si="59"/>
        <v>#DIV/0!</v>
      </c>
    </row>
    <row r="68" spans="1:159" s="6" customFormat="1" ht="18" hidden="1" outlineLevel="1">
      <c r="A68" s="343"/>
      <c r="B68" s="344" t="s">
        <v>564</v>
      </c>
      <c r="C68" s="349"/>
      <c r="D68" s="350"/>
      <c r="E68" s="347"/>
      <c r="F68" s="347"/>
      <c r="G68" s="347"/>
      <c r="H68" s="342">
        <f t="shared" si="178"/>
        <v>0</v>
      </c>
      <c r="I68" s="347"/>
      <c r="J68" s="347"/>
      <c r="K68" s="347"/>
      <c r="L68" s="342">
        <f t="shared" si="179"/>
        <v>0</v>
      </c>
      <c r="M68" s="347"/>
      <c r="N68" s="347"/>
      <c r="O68" s="347"/>
      <c r="P68" s="342">
        <f t="shared" si="156"/>
        <v>0</v>
      </c>
      <c r="Q68" s="347"/>
      <c r="R68" s="347"/>
      <c r="S68" s="347"/>
      <c r="T68" s="342">
        <f t="shared" si="157"/>
        <v>0</v>
      </c>
      <c r="U68" s="347">
        <f t="shared" si="222"/>
        <v>0</v>
      </c>
      <c r="V68" s="347"/>
      <c r="W68" s="347"/>
      <c r="X68" s="347"/>
      <c r="Y68" s="342">
        <f t="shared" si="158"/>
        <v>0</v>
      </c>
      <c r="Z68" s="347"/>
      <c r="AA68" s="347"/>
      <c r="AB68" s="347"/>
      <c r="AC68" s="342">
        <f t="shared" si="101"/>
        <v>0</v>
      </c>
      <c r="AD68" s="347"/>
      <c r="AE68" s="347"/>
      <c r="AF68" s="347"/>
      <c r="AG68" s="342">
        <f t="shared" si="159"/>
        <v>0</v>
      </c>
      <c r="AH68" s="347"/>
      <c r="AI68" s="347"/>
      <c r="AJ68" s="347"/>
      <c r="AK68" s="342">
        <f t="shared" si="102"/>
        <v>0</v>
      </c>
      <c r="AL68" s="347">
        <f t="shared" si="181"/>
        <v>0</v>
      </c>
      <c r="AM68" s="348"/>
      <c r="AN68" s="348"/>
      <c r="AO68" s="348"/>
      <c r="AP68" s="342">
        <f t="shared" si="214"/>
        <v>0</v>
      </c>
      <c r="AQ68" s="348">
        <v>0</v>
      </c>
      <c r="AR68" s="348">
        <v>0</v>
      </c>
      <c r="AS68" s="348">
        <v>0</v>
      </c>
      <c r="AT68" s="342">
        <f t="shared" si="215"/>
        <v>0</v>
      </c>
      <c r="AU68" s="348">
        <v>0</v>
      </c>
      <c r="AV68" s="348">
        <v>0</v>
      </c>
      <c r="AW68" s="348">
        <v>0</v>
      </c>
      <c r="AX68" s="342">
        <f t="shared" si="216"/>
        <v>0</v>
      </c>
      <c r="AY68" s="348"/>
      <c r="AZ68" s="348"/>
      <c r="BA68" s="348"/>
      <c r="BB68" s="342">
        <f t="shared" si="217"/>
        <v>0</v>
      </c>
      <c r="BC68" s="347">
        <f t="shared" si="182"/>
        <v>0</v>
      </c>
      <c r="BD68" s="348"/>
      <c r="BE68" s="348"/>
      <c r="BF68" s="348"/>
      <c r="BG68" s="342">
        <f t="shared" si="162"/>
        <v>0</v>
      </c>
      <c r="BH68" s="348"/>
      <c r="BI68" s="348"/>
      <c r="BJ68" s="348"/>
      <c r="BK68" s="342">
        <f t="shared" si="74"/>
        <v>0</v>
      </c>
      <c r="BL68" s="348"/>
      <c r="BM68" s="348"/>
      <c r="BN68" s="347"/>
      <c r="BO68" s="342">
        <f t="shared" si="114"/>
        <v>0</v>
      </c>
      <c r="BP68" s="348"/>
      <c r="BQ68" s="348"/>
      <c r="BR68" s="348"/>
      <c r="BS68" s="342">
        <f t="shared" si="76"/>
        <v>0</v>
      </c>
      <c r="BT68" s="347">
        <f t="shared" si="183"/>
        <v>0</v>
      </c>
      <c r="BU68" s="348"/>
      <c r="BV68" s="348"/>
      <c r="BW68" s="348"/>
      <c r="BX68" s="342">
        <f t="shared" si="77"/>
        <v>0</v>
      </c>
      <c r="BY68" s="348"/>
      <c r="BZ68" s="348"/>
      <c r="CA68" s="348"/>
      <c r="CB68" s="342">
        <f t="shared" si="78"/>
        <v>0</v>
      </c>
      <c r="CC68" s="348"/>
      <c r="CD68" s="348"/>
      <c r="CE68" s="348"/>
      <c r="CF68" s="342">
        <f t="shared" si="79"/>
        <v>0</v>
      </c>
      <c r="CG68" s="348"/>
      <c r="CH68" s="348"/>
      <c r="CI68" s="348"/>
      <c r="CJ68" s="342">
        <f t="shared" si="80"/>
        <v>0</v>
      </c>
      <c r="CK68" s="347">
        <f t="shared" si="184"/>
        <v>0</v>
      </c>
      <c r="CL68" s="347"/>
      <c r="CM68" s="347"/>
      <c r="CN68" s="347"/>
      <c r="CO68" s="342">
        <f t="shared" si="81"/>
        <v>0</v>
      </c>
      <c r="CP68" s="347"/>
      <c r="CQ68" s="347"/>
      <c r="CR68" s="347"/>
      <c r="CS68" s="342">
        <f t="shared" si="223"/>
        <v>0</v>
      </c>
      <c r="CT68" s="347"/>
      <c r="CU68" s="347"/>
      <c r="CV68" s="347"/>
      <c r="CW68" s="342">
        <f t="shared" si="224"/>
        <v>0</v>
      </c>
      <c r="CX68" s="347"/>
      <c r="CY68" s="347"/>
      <c r="CZ68" s="347"/>
      <c r="DA68" s="342">
        <f t="shared" si="225"/>
        <v>0</v>
      </c>
      <c r="DB68" s="347">
        <f t="shared" si="185"/>
        <v>0</v>
      </c>
      <c r="DC68" s="347">
        <v>0</v>
      </c>
      <c r="DD68" s="347">
        <v>0</v>
      </c>
      <c r="DE68" s="347">
        <v>0</v>
      </c>
      <c r="DF68" s="342">
        <f t="shared" si="226"/>
        <v>0</v>
      </c>
      <c r="DG68" s="347">
        <v>0</v>
      </c>
      <c r="DH68" s="347">
        <v>0</v>
      </c>
      <c r="DI68" s="347">
        <v>0</v>
      </c>
      <c r="DJ68" s="342">
        <f t="shared" si="151"/>
        <v>0</v>
      </c>
      <c r="DK68" s="347">
        <v>0</v>
      </c>
      <c r="DL68" s="347">
        <v>0</v>
      </c>
      <c r="DM68" s="347">
        <v>0</v>
      </c>
      <c r="DN68" s="342">
        <f t="shared" si="152"/>
        <v>0</v>
      </c>
      <c r="DO68" s="347">
        <v>0</v>
      </c>
      <c r="DP68" s="347">
        <v>0</v>
      </c>
      <c r="DQ68" s="347">
        <v>0</v>
      </c>
      <c r="DR68" s="342">
        <f t="shared" si="153"/>
        <v>0</v>
      </c>
      <c r="DS68" s="347">
        <f t="shared" si="186"/>
        <v>0</v>
      </c>
      <c r="DT68" s="347"/>
      <c r="DU68" s="347"/>
      <c r="DV68" s="347"/>
      <c r="DW68" s="342">
        <f t="shared" si="89"/>
        <v>0</v>
      </c>
      <c r="DX68" s="347"/>
      <c r="DY68" s="347"/>
      <c r="DZ68" s="347"/>
      <c r="EA68" s="342">
        <f t="shared" si="137"/>
        <v>0</v>
      </c>
      <c r="EB68" s="347"/>
      <c r="EC68" s="347"/>
      <c r="ED68" s="347"/>
      <c r="EE68" s="342">
        <f t="shared" si="146"/>
        <v>0</v>
      </c>
      <c r="EF68" s="347"/>
      <c r="EG68" s="347"/>
      <c r="EH68" s="347"/>
      <c r="EI68" s="342">
        <f t="shared" si="147"/>
        <v>0</v>
      </c>
      <c r="EJ68" s="347">
        <f t="shared" si="187"/>
        <v>0</v>
      </c>
      <c r="EK68" s="347"/>
      <c r="EL68" s="347"/>
      <c r="EM68" s="347"/>
      <c r="EN68" s="342">
        <f t="shared" si="154"/>
        <v>0</v>
      </c>
      <c r="EO68" s="347"/>
      <c r="EP68" s="347"/>
      <c r="EQ68" s="347"/>
      <c r="ER68" s="342">
        <f t="shared" si="135"/>
        <v>0</v>
      </c>
      <c r="ES68" s="347"/>
      <c r="ET68" s="347"/>
      <c r="EU68" s="347"/>
      <c r="EV68" s="342">
        <f t="shared" si="117"/>
        <v>0</v>
      </c>
      <c r="EW68" s="347"/>
      <c r="EX68" s="347"/>
      <c r="EY68" s="347"/>
      <c r="EZ68" s="342">
        <f t="shared" si="118"/>
        <v>0</v>
      </c>
      <c r="FA68" s="347">
        <f t="shared" si="188"/>
        <v>0</v>
      </c>
      <c r="FB68" s="347">
        <f t="shared" si="139"/>
        <v>0</v>
      </c>
      <c r="FC68" s="336" t="e">
        <f t="shared" si="59"/>
        <v>#DIV/0!</v>
      </c>
    </row>
    <row r="69" spans="1:159" s="6" customFormat="1" ht="18" hidden="1" outlineLevel="1">
      <c r="A69" s="343"/>
      <c r="B69" s="344" t="s">
        <v>565</v>
      </c>
      <c r="C69" s="349"/>
      <c r="D69" s="350"/>
      <c r="E69" s="347"/>
      <c r="F69" s="347"/>
      <c r="G69" s="347"/>
      <c r="H69" s="342">
        <f t="shared" si="178"/>
        <v>0</v>
      </c>
      <c r="I69" s="347"/>
      <c r="J69" s="347"/>
      <c r="K69" s="347"/>
      <c r="L69" s="342">
        <f t="shared" si="179"/>
        <v>0</v>
      </c>
      <c r="M69" s="347"/>
      <c r="N69" s="347"/>
      <c r="O69" s="347"/>
      <c r="P69" s="342">
        <f t="shared" si="156"/>
        <v>0</v>
      </c>
      <c r="Q69" s="347"/>
      <c r="R69" s="347"/>
      <c r="S69" s="347"/>
      <c r="T69" s="342">
        <f t="shared" si="157"/>
        <v>0</v>
      </c>
      <c r="U69" s="347">
        <f t="shared" si="222"/>
        <v>0</v>
      </c>
      <c r="V69" s="347"/>
      <c r="W69" s="347"/>
      <c r="X69" s="347"/>
      <c r="Y69" s="342">
        <f t="shared" si="158"/>
        <v>0</v>
      </c>
      <c r="Z69" s="347"/>
      <c r="AA69" s="347"/>
      <c r="AB69" s="347"/>
      <c r="AC69" s="342">
        <f t="shared" si="101"/>
        <v>0</v>
      </c>
      <c r="AD69" s="347"/>
      <c r="AE69" s="347"/>
      <c r="AF69" s="347"/>
      <c r="AG69" s="342">
        <f t="shared" si="159"/>
        <v>0</v>
      </c>
      <c r="AH69" s="347"/>
      <c r="AI69" s="347"/>
      <c r="AJ69" s="347"/>
      <c r="AK69" s="342">
        <f t="shared" si="102"/>
        <v>0</v>
      </c>
      <c r="AL69" s="347">
        <f t="shared" si="181"/>
        <v>0</v>
      </c>
      <c r="AM69" s="348"/>
      <c r="AN69" s="348"/>
      <c r="AO69" s="348"/>
      <c r="AP69" s="342">
        <f t="shared" si="214"/>
        <v>0</v>
      </c>
      <c r="AQ69" s="348">
        <v>0</v>
      </c>
      <c r="AR69" s="348">
        <v>0</v>
      </c>
      <c r="AS69" s="348">
        <v>0</v>
      </c>
      <c r="AT69" s="342">
        <f t="shared" si="215"/>
        <v>0</v>
      </c>
      <c r="AU69" s="348">
        <v>0</v>
      </c>
      <c r="AV69" s="348">
        <v>0</v>
      </c>
      <c r="AW69" s="348">
        <v>0</v>
      </c>
      <c r="AX69" s="342">
        <f t="shared" si="216"/>
        <v>0</v>
      </c>
      <c r="AY69" s="348"/>
      <c r="AZ69" s="348"/>
      <c r="BA69" s="348"/>
      <c r="BB69" s="342">
        <f t="shared" si="217"/>
        <v>0</v>
      </c>
      <c r="BC69" s="347">
        <f t="shared" si="182"/>
        <v>0</v>
      </c>
      <c r="BD69" s="348"/>
      <c r="BE69" s="348"/>
      <c r="BF69" s="348"/>
      <c r="BG69" s="342">
        <f t="shared" si="162"/>
        <v>0</v>
      </c>
      <c r="BH69" s="348"/>
      <c r="BI69" s="348"/>
      <c r="BJ69" s="348"/>
      <c r="BK69" s="342">
        <f t="shared" si="74"/>
        <v>0</v>
      </c>
      <c r="BL69" s="348"/>
      <c r="BM69" s="348"/>
      <c r="BN69" s="347"/>
      <c r="BO69" s="342">
        <f t="shared" si="114"/>
        <v>0</v>
      </c>
      <c r="BP69" s="348"/>
      <c r="BQ69" s="348"/>
      <c r="BR69" s="348"/>
      <c r="BS69" s="342">
        <f t="shared" si="76"/>
        <v>0</v>
      </c>
      <c r="BT69" s="347">
        <f t="shared" si="183"/>
        <v>0</v>
      </c>
      <c r="BU69" s="348"/>
      <c r="BV69" s="348"/>
      <c r="BW69" s="348"/>
      <c r="BX69" s="342">
        <f t="shared" si="77"/>
        <v>0</v>
      </c>
      <c r="BY69" s="348"/>
      <c r="BZ69" s="348"/>
      <c r="CA69" s="348"/>
      <c r="CB69" s="342">
        <f t="shared" si="78"/>
        <v>0</v>
      </c>
      <c r="CC69" s="348"/>
      <c r="CD69" s="348"/>
      <c r="CE69" s="348"/>
      <c r="CF69" s="342">
        <f t="shared" si="79"/>
        <v>0</v>
      </c>
      <c r="CG69" s="348"/>
      <c r="CH69" s="348"/>
      <c r="CI69" s="348"/>
      <c r="CJ69" s="342">
        <f t="shared" si="80"/>
        <v>0</v>
      </c>
      <c r="CK69" s="347">
        <f t="shared" si="184"/>
        <v>0</v>
      </c>
      <c r="CL69" s="347"/>
      <c r="CM69" s="347"/>
      <c r="CN69" s="347"/>
      <c r="CO69" s="342">
        <f t="shared" si="81"/>
        <v>0</v>
      </c>
      <c r="CP69" s="347"/>
      <c r="CQ69" s="347"/>
      <c r="CR69" s="347"/>
      <c r="CS69" s="342">
        <f t="shared" si="223"/>
        <v>0</v>
      </c>
      <c r="CT69" s="347"/>
      <c r="CU69" s="347"/>
      <c r="CV69" s="347"/>
      <c r="CW69" s="342">
        <f t="shared" si="224"/>
        <v>0</v>
      </c>
      <c r="CX69" s="347"/>
      <c r="CY69" s="347"/>
      <c r="CZ69" s="347"/>
      <c r="DA69" s="342">
        <f t="shared" si="225"/>
        <v>0</v>
      </c>
      <c r="DB69" s="347">
        <f t="shared" si="185"/>
        <v>0</v>
      </c>
      <c r="DC69" s="347">
        <v>0</v>
      </c>
      <c r="DD69" s="347">
        <v>0</v>
      </c>
      <c r="DE69" s="347">
        <v>0</v>
      </c>
      <c r="DF69" s="342">
        <f t="shared" si="226"/>
        <v>0</v>
      </c>
      <c r="DG69" s="347">
        <v>0</v>
      </c>
      <c r="DH69" s="347">
        <v>0</v>
      </c>
      <c r="DI69" s="347">
        <v>0</v>
      </c>
      <c r="DJ69" s="342">
        <f t="shared" si="151"/>
        <v>0</v>
      </c>
      <c r="DK69" s="347">
        <v>0</v>
      </c>
      <c r="DL69" s="347">
        <v>0</v>
      </c>
      <c r="DM69" s="347">
        <v>0</v>
      </c>
      <c r="DN69" s="342">
        <f t="shared" si="152"/>
        <v>0</v>
      </c>
      <c r="DO69" s="347">
        <v>0</v>
      </c>
      <c r="DP69" s="347">
        <v>0</v>
      </c>
      <c r="DQ69" s="347">
        <v>0</v>
      </c>
      <c r="DR69" s="342">
        <f t="shared" si="153"/>
        <v>0</v>
      </c>
      <c r="DS69" s="347">
        <f t="shared" si="186"/>
        <v>0</v>
      </c>
      <c r="DT69" s="347"/>
      <c r="DU69" s="347"/>
      <c r="DV69" s="347"/>
      <c r="DW69" s="342">
        <f t="shared" si="89"/>
        <v>0</v>
      </c>
      <c r="DX69" s="347"/>
      <c r="DY69" s="347"/>
      <c r="DZ69" s="347"/>
      <c r="EA69" s="342">
        <f t="shared" si="137"/>
        <v>0</v>
      </c>
      <c r="EB69" s="347"/>
      <c r="EC69" s="347"/>
      <c r="ED69" s="347"/>
      <c r="EE69" s="342">
        <f t="shared" si="146"/>
        <v>0</v>
      </c>
      <c r="EF69" s="347"/>
      <c r="EG69" s="347"/>
      <c r="EH69" s="347"/>
      <c r="EI69" s="342">
        <f t="shared" si="147"/>
        <v>0</v>
      </c>
      <c r="EJ69" s="347">
        <f t="shared" si="187"/>
        <v>0</v>
      </c>
      <c r="EK69" s="347"/>
      <c r="EL69" s="347"/>
      <c r="EM69" s="347"/>
      <c r="EN69" s="342">
        <f t="shared" si="154"/>
        <v>0</v>
      </c>
      <c r="EO69" s="347"/>
      <c r="EP69" s="347"/>
      <c r="EQ69" s="347"/>
      <c r="ER69" s="342">
        <f t="shared" si="135"/>
        <v>0</v>
      </c>
      <c r="ES69" s="347"/>
      <c r="ET69" s="347"/>
      <c r="EU69" s="347"/>
      <c r="EV69" s="342">
        <f t="shared" si="117"/>
        <v>0</v>
      </c>
      <c r="EW69" s="347"/>
      <c r="EX69" s="347"/>
      <c r="EY69" s="347"/>
      <c r="EZ69" s="342">
        <f t="shared" si="118"/>
        <v>0</v>
      </c>
      <c r="FA69" s="347">
        <f t="shared" si="188"/>
        <v>0</v>
      </c>
      <c r="FB69" s="347">
        <f t="shared" si="139"/>
        <v>0</v>
      </c>
      <c r="FC69" s="336" t="e">
        <f t="shared" si="59"/>
        <v>#DIV/0!</v>
      </c>
    </row>
    <row r="70" spans="1:159" s="6" customFormat="1" ht="18" hidden="1" outlineLevel="1">
      <c r="A70" s="343"/>
      <c r="B70" s="344" t="s">
        <v>566</v>
      </c>
      <c r="C70" s="349"/>
      <c r="D70" s="350"/>
      <c r="E70" s="347"/>
      <c r="F70" s="347"/>
      <c r="G70" s="347"/>
      <c r="H70" s="342">
        <f t="shared" si="178"/>
        <v>0</v>
      </c>
      <c r="I70" s="347"/>
      <c r="J70" s="347"/>
      <c r="K70" s="347"/>
      <c r="L70" s="342">
        <f t="shared" si="179"/>
        <v>0</v>
      </c>
      <c r="M70" s="347"/>
      <c r="N70" s="347"/>
      <c r="O70" s="347"/>
      <c r="P70" s="342">
        <f t="shared" si="156"/>
        <v>0</v>
      </c>
      <c r="Q70" s="347"/>
      <c r="R70" s="347"/>
      <c r="S70" s="347"/>
      <c r="T70" s="342">
        <f t="shared" si="157"/>
        <v>0</v>
      </c>
      <c r="U70" s="347">
        <f t="shared" si="222"/>
        <v>0</v>
      </c>
      <c r="V70" s="347"/>
      <c r="W70" s="347"/>
      <c r="X70" s="347"/>
      <c r="Y70" s="342">
        <f t="shared" si="158"/>
        <v>0</v>
      </c>
      <c r="Z70" s="347"/>
      <c r="AA70" s="347"/>
      <c r="AB70" s="347"/>
      <c r="AC70" s="342">
        <f t="shared" si="101"/>
        <v>0</v>
      </c>
      <c r="AD70" s="347"/>
      <c r="AE70" s="347"/>
      <c r="AF70" s="347"/>
      <c r="AG70" s="342">
        <f t="shared" si="159"/>
        <v>0</v>
      </c>
      <c r="AH70" s="347"/>
      <c r="AI70" s="347"/>
      <c r="AJ70" s="347"/>
      <c r="AK70" s="342">
        <f t="shared" si="102"/>
        <v>0</v>
      </c>
      <c r="AL70" s="347">
        <f t="shared" si="181"/>
        <v>0</v>
      </c>
      <c r="AM70" s="348"/>
      <c r="AN70" s="348"/>
      <c r="AO70" s="348"/>
      <c r="AP70" s="342">
        <f t="shared" si="214"/>
        <v>0</v>
      </c>
      <c r="AQ70" s="348">
        <v>0</v>
      </c>
      <c r="AR70" s="348">
        <v>0</v>
      </c>
      <c r="AS70" s="348">
        <v>0</v>
      </c>
      <c r="AT70" s="342">
        <f t="shared" si="215"/>
        <v>0</v>
      </c>
      <c r="AU70" s="348">
        <v>0</v>
      </c>
      <c r="AV70" s="348">
        <v>0</v>
      </c>
      <c r="AW70" s="348">
        <v>0</v>
      </c>
      <c r="AX70" s="342">
        <f t="shared" si="216"/>
        <v>0</v>
      </c>
      <c r="AY70" s="348"/>
      <c r="AZ70" s="348"/>
      <c r="BA70" s="348"/>
      <c r="BB70" s="342">
        <f t="shared" si="217"/>
        <v>0</v>
      </c>
      <c r="BC70" s="347">
        <f t="shared" si="182"/>
        <v>0</v>
      </c>
      <c r="BD70" s="348"/>
      <c r="BE70" s="348"/>
      <c r="BF70" s="348"/>
      <c r="BG70" s="342">
        <f t="shared" si="162"/>
        <v>0</v>
      </c>
      <c r="BH70" s="348"/>
      <c r="BI70" s="348"/>
      <c r="BJ70" s="348"/>
      <c r="BK70" s="342">
        <f t="shared" si="74"/>
        <v>0</v>
      </c>
      <c r="BL70" s="348"/>
      <c r="BM70" s="348"/>
      <c r="BN70" s="347"/>
      <c r="BO70" s="342">
        <f t="shared" si="114"/>
        <v>0</v>
      </c>
      <c r="BP70" s="348"/>
      <c r="BQ70" s="348"/>
      <c r="BR70" s="348"/>
      <c r="BS70" s="342">
        <f t="shared" si="76"/>
        <v>0</v>
      </c>
      <c r="BT70" s="347">
        <f t="shared" si="183"/>
        <v>0</v>
      </c>
      <c r="BU70" s="348"/>
      <c r="BV70" s="348"/>
      <c r="BW70" s="348"/>
      <c r="BX70" s="342">
        <f t="shared" si="77"/>
        <v>0</v>
      </c>
      <c r="BY70" s="348"/>
      <c r="BZ70" s="348"/>
      <c r="CA70" s="348"/>
      <c r="CB70" s="342">
        <f t="shared" si="78"/>
        <v>0</v>
      </c>
      <c r="CC70" s="348"/>
      <c r="CD70" s="348"/>
      <c r="CE70" s="348"/>
      <c r="CF70" s="342">
        <f t="shared" si="79"/>
        <v>0</v>
      </c>
      <c r="CG70" s="348"/>
      <c r="CH70" s="348"/>
      <c r="CI70" s="348"/>
      <c r="CJ70" s="342">
        <f t="shared" si="80"/>
        <v>0</v>
      </c>
      <c r="CK70" s="347">
        <f t="shared" si="184"/>
        <v>0</v>
      </c>
      <c r="CL70" s="347"/>
      <c r="CM70" s="347"/>
      <c r="CN70" s="347"/>
      <c r="CO70" s="342">
        <f t="shared" si="81"/>
        <v>0</v>
      </c>
      <c r="CP70" s="347"/>
      <c r="CQ70" s="347"/>
      <c r="CR70" s="347"/>
      <c r="CS70" s="342">
        <f t="shared" si="223"/>
        <v>0</v>
      </c>
      <c r="CT70" s="347"/>
      <c r="CU70" s="347"/>
      <c r="CV70" s="347"/>
      <c r="CW70" s="342">
        <f t="shared" si="224"/>
        <v>0</v>
      </c>
      <c r="CX70" s="347"/>
      <c r="CY70" s="347"/>
      <c r="CZ70" s="347"/>
      <c r="DA70" s="342">
        <f t="shared" si="225"/>
        <v>0</v>
      </c>
      <c r="DB70" s="347">
        <f t="shared" si="185"/>
        <v>0</v>
      </c>
      <c r="DC70" s="347">
        <v>0</v>
      </c>
      <c r="DD70" s="347">
        <v>0</v>
      </c>
      <c r="DE70" s="347">
        <v>0</v>
      </c>
      <c r="DF70" s="342">
        <f t="shared" si="226"/>
        <v>0</v>
      </c>
      <c r="DG70" s="347">
        <v>0</v>
      </c>
      <c r="DH70" s="347">
        <v>0</v>
      </c>
      <c r="DI70" s="347">
        <v>0</v>
      </c>
      <c r="DJ70" s="342">
        <f t="shared" si="151"/>
        <v>0</v>
      </c>
      <c r="DK70" s="347">
        <v>0</v>
      </c>
      <c r="DL70" s="347">
        <v>0</v>
      </c>
      <c r="DM70" s="347">
        <v>0</v>
      </c>
      <c r="DN70" s="342">
        <f t="shared" si="152"/>
        <v>0</v>
      </c>
      <c r="DO70" s="347">
        <v>0</v>
      </c>
      <c r="DP70" s="347">
        <v>0</v>
      </c>
      <c r="DQ70" s="347">
        <v>0</v>
      </c>
      <c r="DR70" s="342">
        <f t="shared" si="153"/>
        <v>0</v>
      </c>
      <c r="DS70" s="347">
        <f t="shared" si="186"/>
        <v>0</v>
      </c>
      <c r="DT70" s="347"/>
      <c r="DU70" s="347"/>
      <c r="DV70" s="347"/>
      <c r="DW70" s="342">
        <f t="shared" si="89"/>
        <v>0</v>
      </c>
      <c r="DX70" s="347"/>
      <c r="DY70" s="347"/>
      <c r="DZ70" s="347"/>
      <c r="EA70" s="342">
        <f t="shared" si="137"/>
        <v>0</v>
      </c>
      <c r="EB70" s="347"/>
      <c r="EC70" s="347"/>
      <c r="ED70" s="347"/>
      <c r="EE70" s="342">
        <f t="shared" si="146"/>
        <v>0</v>
      </c>
      <c r="EF70" s="347"/>
      <c r="EG70" s="347"/>
      <c r="EH70" s="347"/>
      <c r="EI70" s="342">
        <f t="shared" si="147"/>
        <v>0</v>
      </c>
      <c r="EJ70" s="347">
        <f t="shared" si="187"/>
        <v>0</v>
      </c>
      <c r="EK70" s="347"/>
      <c r="EL70" s="347"/>
      <c r="EM70" s="347"/>
      <c r="EN70" s="342">
        <f t="shared" si="154"/>
        <v>0</v>
      </c>
      <c r="EO70" s="347"/>
      <c r="EP70" s="347"/>
      <c r="EQ70" s="347"/>
      <c r="ER70" s="342">
        <f t="shared" si="135"/>
        <v>0</v>
      </c>
      <c r="ES70" s="347"/>
      <c r="ET70" s="347"/>
      <c r="EU70" s="347"/>
      <c r="EV70" s="342">
        <f t="shared" si="117"/>
        <v>0</v>
      </c>
      <c r="EW70" s="347"/>
      <c r="EX70" s="347"/>
      <c r="EY70" s="347"/>
      <c r="EZ70" s="342">
        <f t="shared" si="118"/>
        <v>0</v>
      </c>
      <c r="FA70" s="347">
        <f t="shared" si="188"/>
        <v>0</v>
      </c>
      <c r="FB70" s="347">
        <f t="shared" si="139"/>
        <v>0</v>
      </c>
      <c r="FC70" s="336" t="e">
        <f t="shared" si="59"/>
        <v>#DIV/0!</v>
      </c>
    </row>
    <row r="71" spans="1:159" s="6" customFormat="1" ht="18" hidden="1" outlineLevel="1">
      <c r="A71" s="343"/>
      <c r="B71" s="344" t="s">
        <v>567</v>
      </c>
      <c r="C71" s="349"/>
      <c r="D71" s="350"/>
      <c r="E71" s="347"/>
      <c r="F71" s="347"/>
      <c r="G71" s="347"/>
      <c r="H71" s="342">
        <f t="shared" si="178"/>
        <v>0</v>
      </c>
      <c r="I71" s="347"/>
      <c r="J71" s="347"/>
      <c r="K71" s="347"/>
      <c r="L71" s="342">
        <f t="shared" si="179"/>
        <v>0</v>
      </c>
      <c r="M71" s="347"/>
      <c r="N71" s="347"/>
      <c r="O71" s="347"/>
      <c r="P71" s="342">
        <f t="shared" si="156"/>
        <v>0</v>
      </c>
      <c r="Q71" s="347"/>
      <c r="R71" s="347"/>
      <c r="S71" s="347"/>
      <c r="T71" s="342">
        <f t="shared" si="157"/>
        <v>0</v>
      </c>
      <c r="U71" s="347">
        <f t="shared" si="222"/>
        <v>0</v>
      </c>
      <c r="V71" s="347"/>
      <c r="W71" s="347"/>
      <c r="X71" s="347"/>
      <c r="Y71" s="342">
        <f t="shared" si="158"/>
        <v>0</v>
      </c>
      <c r="Z71" s="347"/>
      <c r="AA71" s="347"/>
      <c r="AB71" s="347"/>
      <c r="AC71" s="342">
        <f t="shared" si="101"/>
        <v>0</v>
      </c>
      <c r="AD71" s="347"/>
      <c r="AE71" s="347"/>
      <c r="AF71" s="347"/>
      <c r="AG71" s="342">
        <f t="shared" si="159"/>
        <v>0</v>
      </c>
      <c r="AH71" s="347"/>
      <c r="AI71" s="347"/>
      <c r="AJ71" s="347"/>
      <c r="AK71" s="342">
        <f t="shared" si="102"/>
        <v>0</v>
      </c>
      <c r="AL71" s="347">
        <f t="shared" si="181"/>
        <v>0</v>
      </c>
      <c r="AM71" s="348"/>
      <c r="AN71" s="348"/>
      <c r="AO71" s="348"/>
      <c r="AP71" s="342">
        <f t="shared" si="214"/>
        <v>0</v>
      </c>
      <c r="AQ71" s="348">
        <v>0</v>
      </c>
      <c r="AR71" s="348">
        <v>0</v>
      </c>
      <c r="AS71" s="348">
        <v>0</v>
      </c>
      <c r="AT71" s="342">
        <f t="shared" si="215"/>
        <v>0</v>
      </c>
      <c r="AU71" s="348">
        <v>0</v>
      </c>
      <c r="AV71" s="348">
        <v>0</v>
      </c>
      <c r="AW71" s="348">
        <v>0</v>
      </c>
      <c r="AX71" s="342">
        <f t="shared" si="216"/>
        <v>0</v>
      </c>
      <c r="AY71" s="348"/>
      <c r="AZ71" s="348"/>
      <c r="BA71" s="348"/>
      <c r="BB71" s="342">
        <f t="shared" si="217"/>
        <v>0</v>
      </c>
      <c r="BC71" s="347">
        <f t="shared" si="182"/>
        <v>0</v>
      </c>
      <c r="BD71" s="348"/>
      <c r="BE71" s="348"/>
      <c r="BF71" s="348"/>
      <c r="BG71" s="342">
        <f t="shared" si="162"/>
        <v>0</v>
      </c>
      <c r="BH71" s="348"/>
      <c r="BI71" s="348"/>
      <c r="BJ71" s="348"/>
      <c r="BK71" s="342">
        <f t="shared" si="74"/>
        <v>0</v>
      </c>
      <c r="BL71" s="348"/>
      <c r="BM71" s="348"/>
      <c r="BN71" s="347"/>
      <c r="BO71" s="342">
        <f t="shared" si="114"/>
        <v>0</v>
      </c>
      <c r="BP71" s="348"/>
      <c r="BQ71" s="348"/>
      <c r="BR71" s="348"/>
      <c r="BS71" s="342">
        <f t="shared" si="76"/>
        <v>0</v>
      </c>
      <c r="BT71" s="347">
        <f t="shared" si="183"/>
        <v>0</v>
      </c>
      <c r="BU71" s="348"/>
      <c r="BV71" s="348"/>
      <c r="BW71" s="348"/>
      <c r="BX71" s="342">
        <f t="shared" si="77"/>
        <v>0</v>
      </c>
      <c r="BY71" s="348"/>
      <c r="BZ71" s="348"/>
      <c r="CA71" s="348"/>
      <c r="CB71" s="342">
        <f t="shared" si="78"/>
        <v>0</v>
      </c>
      <c r="CC71" s="348"/>
      <c r="CD71" s="348"/>
      <c r="CE71" s="348"/>
      <c r="CF71" s="342">
        <f t="shared" si="79"/>
        <v>0</v>
      </c>
      <c r="CG71" s="348"/>
      <c r="CH71" s="348"/>
      <c r="CI71" s="348"/>
      <c r="CJ71" s="342">
        <f t="shared" si="80"/>
        <v>0</v>
      </c>
      <c r="CK71" s="347">
        <f t="shared" si="184"/>
        <v>0</v>
      </c>
      <c r="CL71" s="347"/>
      <c r="CM71" s="347"/>
      <c r="CN71" s="347"/>
      <c r="CO71" s="342">
        <f t="shared" si="81"/>
        <v>0</v>
      </c>
      <c r="CP71" s="347"/>
      <c r="CQ71" s="347"/>
      <c r="CR71" s="347"/>
      <c r="CS71" s="342">
        <f t="shared" si="223"/>
        <v>0</v>
      </c>
      <c r="CT71" s="347"/>
      <c r="CU71" s="347"/>
      <c r="CV71" s="347"/>
      <c r="CW71" s="342">
        <f t="shared" si="224"/>
        <v>0</v>
      </c>
      <c r="CX71" s="347"/>
      <c r="CY71" s="347"/>
      <c r="CZ71" s="347"/>
      <c r="DA71" s="342">
        <f t="shared" si="225"/>
        <v>0</v>
      </c>
      <c r="DB71" s="347">
        <f t="shared" si="185"/>
        <v>0</v>
      </c>
      <c r="DC71" s="347">
        <v>0</v>
      </c>
      <c r="DD71" s="347">
        <v>0</v>
      </c>
      <c r="DE71" s="347">
        <v>0</v>
      </c>
      <c r="DF71" s="342">
        <f t="shared" si="226"/>
        <v>0</v>
      </c>
      <c r="DG71" s="347">
        <v>0</v>
      </c>
      <c r="DH71" s="347">
        <v>0</v>
      </c>
      <c r="DI71" s="347">
        <v>0</v>
      </c>
      <c r="DJ71" s="342">
        <f t="shared" si="151"/>
        <v>0</v>
      </c>
      <c r="DK71" s="347">
        <v>0</v>
      </c>
      <c r="DL71" s="347">
        <v>0</v>
      </c>
      <c r="DM71" s="347">
        <v>0</v>
      </c>
      <c r="DN71" s="342">
        <f t="shared" si="152"/>
        <v>0</v>
      </c>
      <c r="DO71" s="347">
        <v>0</v>
      </c>
      <c r="DP71" s="347">
        <v>0</v>
      </c>
      <c r="DQ71" s="347">
        <v>0</v>
      </c>
      <c r="DR71" s="342">
        <f t="shared" si="153"/>
        <v>0</v>
      </c>
      <c r="DS71" s="347">
        <f t="shared" si="186"/>
        <v>0</v>
      </c>
      <c r="DT71" s="347"/>
      <c r="DU71" s="347"/>
      <c r="DV71" s="347"/>
      <c r="DW71" s="342">
        <f t="shared" si="89"/>
        <v>0</v>
      </c>
      <c r="DX71" s="347"/>
      <c r="DY71" s="347"/>
      <c r="DZ71" s="347"/>
      <c r="EA71" s="342">
        <f t="shared" si="137"/>
        <v>0</v>
      </c>
      <c r="EB71" s="347"/>
      <c r="EC71" s="347"/>
      <c r="ED71" s="347"/>
      <c r="EE71" s="342">
        <f t="shared" si="146"/>
        <v>0</v>
      </c>
      <c r="EF71" s="347"/>
      <c r="EG71" s="347"/>
      <c r="EH71" s="347"/>
      <c r="EI71" s="342">
        <f t="shared" si="147"/>
        <v>0</v>
      </c>
      <c r="EJ71" s="347">
        <f t="shared" si="187"/>
        <v>0</v>
      </c>
      <c r="EK71" s="347"/>
      <c r="EL71" s="347"/>
      <c r="EM71" s="347"/>
      <c r="EN71" s="342">
        <f t="shared" si="154"/>
        <v>0</v>
      </c>
      <c r="EO71" s="347"/>
      <c r="EP71" s="347"/>
      <c r="EQ71" s="347"/>
      <c r="ER71" s="342">
        <f t="shared" si="135"/>
        <v>0</v>
      </c>
      <c r="ES71" s="347"/>
      <c r="ET71" s="347"/>
      <c r="EU71" s="347"/>
      <c r="EV71" s="342">
        <f t="shared" si="117"/>
        <v>0</v>
      </c>
      <c r="EW71" s="347"/>
      <c r="EX71" s="347"/>
      <c r="EY71" s="347"/>
      <c r="EZ71" s="342">
        <f t="shared" si="118"/>
        <v>0</v>
      </c>
      <c r="FA71" s="347">
        <f t="shared" si="188"/>
        <v>0</v>
      </c>
      <c r="FB71" s="347">
        <f t="shared" si="139"/>
        <v>0</v>
      </c>
      <c r="FC71" s="336" t="e">
        <f t="shared" si="59"/>
        <v>#DIV/0!</v>
      </c>
    </row>
    <row r="72" spans="1:159" s="6" customFormat="1" ht="18" hidden="1" outlineLevel="1">
      <c r="A72" s="343"/>
      <c r="B72" s="344" t="s">
        <v>568</v>
      </c>
      <c r="C72" s="349"/>
      <c r="D72" s="350"/>
      <c r="E72" s="347"/>
      <c r="F72" s="347"/>
      <c r="G72" s="347"/>
      <c r="H72" s="342">
        <f t="shared" si="178"/>
        <v>0</v>
      </c>
      <c r="I72" s="347"/>
      <c r="J72" s="347"/>
      <c r="K72" s="347"/>
      <c r="L72" s="342">
        <f t="shared" si="179"/>
        <v>0</v>
      </c>
      <c r="M72" s="347"/>
      <c r="N72" s="347"/>
      <c r="O72" s="347"/>
      <c r="P72" s="342">
        <f t="shared" si="156"/>
        <v>0</v>
      </c>
      <c r="Q72" s="347"/>
      <c r="R72" s="347"/>
      <c r="S72" s="347"/>
      <c r="T72" s="342">
        <f t="shared" si="157"/>
        <v>0</v>
      </c>
      <c r="U72" s="347">
        <f t="shared" si="222"/>
        <v>0</v>
      </c>
      <c r="V72" s="347"/>
      <c r="W72" s="347"/>
      <c r="X72" s="347"/>
      <c r="Y72" s="342">
        <f t="shared" si="158"/>
        <v>0</v>
      </c>
      <c r="Z72" s="347"/>
      <c r="AA72" s="347"/>
      <c r="AB72" s="347"/>
      <c r="AC72" s="342">
        <f t="shared" si="101"/>
        <v>0</v>
      </c>
      <c r="AD72" s="347"/>
      <c r="AE72" s="347"/>
      <c r="AF72" s="347"/>
      <c r="AG72" s="342">
        <f t="shared" si="159"/>
        <v>0</v>
      </c>
      <c r="AH72" s="347"/>
      <c r="AI72" s="347"/>
      <c r="AJ72" s="347"/>
      <c r="AK72" s="342">
        <f t="shared" si="102"/>
        <v>0</v>
      </c>
      <c r="AL72" s="347">
        <f t="shared" si="181"/>
        <v>0</v>
      </c>
      <c r="AM72" s="348"/>
      <c r="AN72" s="348"/>
      <c r="AO72" s="348"/>
      <c r="AP72" s="342">
        <f t="shared" si="214"/>
        <v>0</v>
      </c>
      <c r="AQ72" s="348">
        <v>0</v>
      </c>
      <c r="AR72" s="348">
        <v>0</v>
      </c>
      <c r="AS72" s="348">
        <v>0</v>
      </c>
      <c r="AT72" s="342">
        <f t="shared" si="215"/>
        <v>0</v>
      </c>
      <c r="AU72" s="348">
        <v>0</v>
      </c>
      <c r="AV72" s="348">
        <v>0</v>
      </c>
      <c r="AW72" s="348">
        <v>0</v>
      </c>
      <c r="AX72" s="342">
        <f t="shared" si="216"/>
        <v>0</v>
      </c>
      <c r="AY72" s="348"/>
      <c r="AZ72" s="348"/>
      <c r="BA72" s="348"/>
      <c r="BB72" s="342">
        <f t="shared" si="217"/>
        <v>0</v>
      </c>
      <c r="BC72" s="347">
        <f t="shared" si="182"/>
        <v>0</v>
      </c>
      <c r="BD72" s="348"/>
      <c r="BE72" s="348"/>
      <c r="BF72" s="348"/>
      <c r="BG72" s="342">
        <f t="shared" si="162"/>
        <v>0</v>
      </c>
      <c r="BH72" s="348"/>
      <c r="BI72" s="348"/>
      <c r="BJ72" s="348"/>
      <c r="BK72" s="342">
        <f t="shared" si="74"/>
        <v>0</v>
      </c>
      <c r="BL72" s="348"/>
      <c r="BM72" s="348"/>
      <c r="BN72" s="347"/>
      <c r="BO72" s="342">
        <f t="shared" si="114"/>
        <v>0</v>
      </c>
      <c r="BP72" s="348"/>
      <c r="BQ72" s="348"/>
      <c r="BR72" s="348"/>
      <c r="BS72" s="342">
        <f t="shared" si="76"/>
        <v>0</v>
      </c>
      <c r="BT72" s="347">
        <f t="shared" si="183"/>
        <v>0</v>
      </c>
      <c r="BU72" s="348"/>
      <c r="BV72" s="348"/>
      <c r="BW72" s="348"/>
      <c r="BX72" s="342">
        <f t="shared" si="77"/>
        <v>0</v>
      </c>
      <c r="BY72" s="348"/>
      <c r="BZ72" s="348"/>
      <c r="CA72" s="348"/>
      <c r="CB72" s="342">
        <f t="shared" si="78"/>
        <v>0</v>
      </c>
      <c r="CC72" s="348"/>
      <c r="CD72" s="348"/>
      <c r="CE72" s="348"/>
      <c r="CF72" s="342">
        <f t="shared" si="79"/>
        <v>0</v>
      </c>
      <c r="CG72" s="348"/>
      <c r="CH72" s="348"/>
      <c r="CI72" s="348"/>
      <c r="CJ72" s="342">
        <f t="shared" si="80"/>
        <v>0</v>
      </c>
      <c r="CK72" s="347">
        <f t="shared" si="184"/>
        <v>0</v>
      </c>
      <c r="CL72" s="347"/>
      <c r="CM72" s="347"/>
      <c r="CN72" s="347"/>
      <c r="CO72" s="342">
        <f t="shared" si="81"/>
        <v>0</v>
      </c>
      <c r="CP72" s="347"/>
      <c r="CQ72" s="347"/>
      <c r="CR72" s="347"/>
      <c r="CS72" s="342">
        <f t="shared" si="223"/>
        <v>0</v>
      </c>
      <c r="CT72" s="347"/>
      <c r="CU72" s="347"/>
      <c r="CV72" s="347"/>
      <c r="CW72" s="342">
        <f t="shared" si="224"/>
        <v>0</v>
      </c>
      <c r="CX72" s="347"/>
      <c r="CY72" s="347"/>
      <c r="CZ72" s="347"/>
      <c r="DA72" s="342">
        <f t="shared" si="225"/>
        <v>0</v>
      </c>
      <c r="DB72" s="347">
        <f t="shared" si="185"/>
        <v>0</v>
      </c>
      <c r="DC72" s="347">
        <v>0</v>
      </c>
      <c r="DD72" s="347">
        <v>0</v>
      </c>
      <c r="DE72" s="347">
        <v>0</v>
      </c>
      <c r="DF72" s="342">
        <f t="shared" si="226"/>
        <v>0</v>
      </c>
      <c r="DG72" s="347">
        <v>0</v>
      </c>
      <c r="DH72" s="347">
        <v>0</v>
      </c>
      <c r="DI72" s="347">
        <v>0</v>
      </c>
      <c r="DJ72" s="342">
        <f t="shared" si="151"/>
        <v>0</v>
      </c>
      <c r="DK72" s="347">
        <v>0</v>
      </c>
      <c r="DL72" s="347">
        <v>0</v>
      </c>
      <c r="DM72" s="347">
        <v>0</v>
      </c>
      <c r="DN72" s="342">
        <f t="shared" si="152"/>
        <v>0</v>
      </c>
      <c r="DO72" s="347">
        <v>0</v>
      </c>
      <c r="DP72" s="347">
        <v>0</v>
      </c>
      <c r="DQ72" s="347">
        <v>0</v>
      </c>
      <c r="DR72" s="342">
        <f t="shared" si="153"/>
        <v>0</v>
      </c>
      <c r="DS72" s="347">
        <f t="shared" si="186"/>
        <v>0</v>
      </c>
      <c r="DT72" s="347"/>
      <c r="DU72" s="347"/>
      <c r="DV72" s="347"/>
      <c r="DW72" s="342">
        <f t="shared" si="89"/>
        <v>0</v>
      </c>
      <c r="DX72" s="347"/>
      <c r="DY72" s="347"/>
      <c r="DZ72" s="347"/>
      <c r="EA72" s="342">
        <f t="shared" si="137"/>
        <v>0</v>
      </c>
      <c r="EB72" s="347"/>
      <c r="EC72" s="347"/>
      <c r="ED72" s="347"/>
      <c r="EE72" s="342">
        <f t="shared" si="146"/>
        <v>0</v>
      </c>
      <c r="EF72" s="347"/>
      <c r="EG72" s="347"/>
      <c r="EH72" s="347"/>
      <c r="EI72" s="342">
        <f t="shared" si="147"/>
        <v>0</v>
      </c>
      <c r="EJ72" s="347">
        <f t="shared" si="187"/>
        <v>0</v>
      </c>
      <c r="EK72" s="347"/>
      <c r="EL72" s="347"/>
      <c r="EM72" s="347"/>
      <c r="EN72" s="342">
        <f t="shared" si="154"/>
        <v>0</v>
      </c>
      <c r="EO72" s="347"/>
      <c r="EP72" s="347"/>
      <c r="EQ72" s="347"/>
      <c r="ER72" s="342">
        <f t="shared" si="135"/>
        <v>0</v>
      </c>
      <c r="ES72" s="347"/>
      <c r="ET72" s="347"/>
      <c r="EU72" s="347"/>
      <c r="EV72" s="342">
        <f t="shared" si="117"/>
        <v>0</v>
      </c>
      <c r="EW72" s="347"/>
      <c r="EX72" s="347"/>
      <c r="EY72" s="347"/>
      <c r="EZ72" s="342">
        <f t="shared" si="118"/>
        <v>0</v>
      </c>
      <c r="FA72" s="347">
        <f t="shared" si="188"/>
        <v>0</v>
      </c>
      <c r="FB72" s="347">
        <f t="shared" si="139"/>
        <v>0</v>
      </c>
      <c r="FC72" s="336" t="e">
        <f t="shared" si="59"/>
        <v>#DIV/0!</v>
      </c>
    </row>
    <row r="73" spans="1:159" s="6" customFormat="1" ht="18" hidden="1" outlineLevel="1">
      <c r="A73" s="343"/>
      <c r="B73" s="344" t="s">
        <v>569</v>
      </c>
      <c r="C73" s="349"/>
      <c r="D73" s="350"/>
      <c r="E73" s="347"/>
      <c r="F73" s="347"/>
      <c r="G73" s="347"/>
      <c r="H73" s="342">
        <f t="shared" si="178"/>
        <v>0</v>
      </c>
      <c r="I73" s="347"/>
      <c r="J73" s="347"/>
      <c r="K73" s="347"/>
      <c r="L73" s="342">
        <f t="shared" si="179"/>
        <v>0</v>
      </c>
      <c r="M73" s="347"/>
      <c r="N73" s="347"/>
      <c r="O73" s="347"/>
      <c r="P73" s="342">
        <f t="shared" si="156"/>
        <v>0</v>
      </c>
      <c r="Q73" s="347"/>
      <c r="R73" s="347"/>
      <c r="S73" s="347"/>
      <c r="T73" s="342">
        <f t="shared" si="157"/>
        <v>0</v>
      </c>
      <c r="U73" s="347">
        <f t="shared" si="222"/>
        <v>0</v>
      </c>
      <c r="V73" s="347"/>
      <c r="W73" s="347"/>
      <c r="X73" s="347"/>
      <c r="Y73" s="342">
        <f t="shared" si="158"/>
        <v>0</v>
      </c>
      <c r="Z73" s="347"/>
      <c r="AA73" s="347"/>
      <c r="AB73" s="347"/>
      <c r="AC73" s="342">
        <f t="shared" si="101"/>
        <v>0</v>
      </c>
      <c r="AD73" s="347"/>
      <c r="AE73" s="347"/>
      <c r="AF73" s="347"/>
      <c r="AG73" s="342">
        <f t="shared" si="159"/>
        <v>0</v>
      </c>
      <c r="AH73" s="347"/>
      <c r="AI73" s="347"/>
      <c r="AJ73" s="347"/>
      <c r="AK73" s="342">
        <f t="shared" si="102"/>
        <v>0</v>
      </c>
      <c r="AL73" s="347">
        <f t="shared" si="181"/>
        <v>0</v>
      </c>
      <c r="AM73" s="348"/>
      <c r="AN73" s="348"/>
      <c r="AO73" s="348"/>
      <c r="AP73" s="342">
        <f t="shared" si="214"/>
        <v>0</v>
      </c>
      <c r="AQ73" s="348">
        <v>0</v>
      </c>
      <c r="AR73" s="348">
        <v>0</v>
      </c>
      <c r="AS73" s="348">
        <v>0</v>
      </c>
      <c r="AT73" s="342">
        <f t="shared" si="215"/>
        <v>0</v>
      </c>
      <c r="AU73" s="348">
        <v>0</v>
      </c>
      <c r="AV73" s="348">
        <v>0</v>
      </c>
      <c r="AW73" s="348">
        <v>0</v>
      </c>
      <c r="AX73" s="342">
        <f t="shared" si="216"/>
        <v>0</v>
      </c>
      <c r="AY73" s="348"/>
      <c r="AZ73" s="348"/>
      <c r="BA73" s="348"/>
      <c r="BB73" s="342">
        <f t="shared" si="217"/>
        <v>0</v>
      </c>
      <c r="BC73" s="347">
        <f t="shared" si="182"/>
        <v>0</v>
      </c>
      <c r="BD73" s="348"/>
      <c r="BE73" s="348"/>
      <c r="BF73" s="348"/>
      <c r="BG73" s="342">
        <f t="shared" si="162"/>
        <v>0</v>
      </c>
      <c r="BH73" s="348"/>
      <c r="BI73" s="348"/>
      <c r="BJ73" s="348"/>
      <c r="BK73" s="342">
        <f t="shared" si="74"/>
        <v>0</v>
      </c>
      <c r="BL73" s="348"/>
      <c r="BM73" s="348"/>
      <c r="BN73" s="347"/>
      <c r="BO73" s="342">
        <f t="shared" si="114"/>
        <v>0</v>
      </c>
      <c r="BP73" s="348"/>
      <c r="BQ73" s="348"/>
      <c r="BR73" s="348"/>
      <c r="BS73" s="342">
        <f t="shared" si="76"/>
        <v>0</v>
      </c>
      <c r="BT73" s="347">
        <f t="shared" si="183"/>
        <v>0</v>
      </c>
      <c r="BU73" s="348"/>
      <c r="BV73" s="348"/>
      <c r="BW73" s="348"/>
      <c r="BX73" s="342">
        <f t="shared" si="77"/>
        <v>0</v>
      </c>
      <c r="BY73" s="348"/>
      <c r="BZ73" s="348"/>
      <c r="CA73" s="348"/>
      <c r="CB73" s="342">
        <f t="shared" si="78"/>
        <v>0</v>
      </c>
      <c r="CC73" s="348"/>
      <c r="CD73" s="348"/>
      <c r="CE73" s="348"/>
      <c r="CF73" s="342">
        <f t="shared" si="79"/>
        <v>0</v>
      </c>
      <c r="CG73" s="348"/>
      <c r="CH73" s="348"/>
      <c r="CI73" s="348"/>
      <c r="CJ73" s="342">
        <f t="shared" si="80"/>
        <v>0</v>
      </c>
      <c r="CK73" s="347">
        <f t="shared" si="184"/>
        <v>0</v>
      </c>
      <c r="CL73" s="347"/>
      <c r="CM73" s="347"/>
      <c r="CN73" s="347"/>
      <c r="CO73" s="342">
        <f t="shared" si="81"/>
        <v>0</v>
      </c>
      <c r="CP73" s="347"/>
      <c r="CQ73" s="347"/>
      <c r="CR73" s="347"/>
      <c r="CS73" s="342">
        <f t="shared" si="223"/>
        <v>0</v>
      </c>
      <c r="CT73" s="347"/>
      <c r="CU73" s="347"/>
      <c r="CV73" s="347"/>
      <c r="CW73" s="342">
        <f t="shared" si="224"/>
        <v>0</v>
      </c>
      <c r="CX73" s="347"/>
      <c r="CY73" s="347"/>
      <c r="CZ73" s="347"/>
      <c r="DA73" s="342">
        <f t="shared" si="225"/>
        <v>0</v>
      </c>
      <c r="DB73" s="347">
        <f t="shared" si="185"/>
        <v>0</v>
      </c>
      <c r="DC73" s="347">
        <v>0</v>
      </c>
      <c r="DD73" s="347">
        <v>0</v>
      </c>
      <c r="DE73" s="347">
        <v>0</v>
      </c>
      <c r="DF73" s="342">
        <f t="shared" si="226"/>
        <v>0</v>
      </c>
      <c r="DG73" s="347">
        <v>0</v>
      </c>
      <c r="DH73" s="347">
        <v>0</v>
      </c>
      <c r="DI73" s="347">
        <v>0</v>
      </c>
      <c r="DJ73" s="342">
        <f t="shared" si="151"/>
        <v>0</v>
      </c>
      <c r="DK73" s="347">
        <v>0</v>
      </c>
      <c r="DL73" s="347">
        <v>0</v>
      </c>
      <c r="DM73" s="347">
        <v>0</v>
      </c>
      <c r="DN73" s="342">
        <f t="shared" si="152"/>
        <v>0</v>
      </c>
      <c r="DO73" s="347">
        <v>0</v>
      </c>
      <c r="DP73" s="347">
        <v>0</v>
      </c>
      <c r="DQ73" s="347">
        <v>0</v>
      </c>
      <c r="DR73" s="342">
        <f t="shared" si="153"/>
        <v>0</v>
      </c>
      <c r="DS73" s="347">
        <f t="shared" si="186"/>
        <v>0</v>
      </c>
      <c r="DT73" s="347"/>
      <c r="DU73" s="347"/>
      <c r="DV73" s="347"/>
      <c r="DW73" s="342">
        <f t="shared" si="89"/>
        <v>0</v>
      </c>
      <c r="DX73" s="347"/>
      <c r="DY73" s="347"/>
      <c r="DZ73" s="347"/>
      <c r="EA73" s="342">
        <f t="shared" si="137"/>
        <v>0</v>
      </c>
      <c r="EB73" s="347"/>
      <c r="EC73" s="347"/>
      <c r="ED73" s="347"/>
      <c r="EE73" s="342">
        <f t="shared" si="146"/>
        <v>0</v>
      </c>
      <c r="EF73" s="347"/>
      <c r="EG73" s="347"/>
      <c r="EH73" s="347"/>
      <c r="EI73" s="342">
        <f t="shared" si="147"/>
        <v>0</v>
      </c>
      <c r="EJ73" s="347">
        <f t="shared" si="187"/>
        <v>0</v>
      </c>
      <c r="EK73" s="347"/>
      <c r="EL73" s="347"/>
      <c r="EM73" s="347"/>
      <c r="EN73" s="342">
        <f t="shared" si="154"/>
        <v>0</v>
      </c>
      <c r="EO73" s="347"/>
      <c r="EP73" s="347"/>
      <c r="EQ73" s="347"/>
      <c r="ER73" s="342">
        <f t="shared" si="135"/>
        <v>0</v>
      </c>
      <c r="ES73" s="347"/>
      <c r="ET73" s="347"/>
      <c r="EU73" s="347"/>
      <c r="EV73" s="342">
        <f t="shared" si="117"/>
        <v>0</v>
      </c>
      <c r="EW73" s="347"/>
      <c r="EX73" s="347"/>
      <c r="EY73" s="347"/>
      <c r="EZ73" s="342">
        <f t="shared" si="118"/>
        <v>0</v>
      </c>
      <c r="FA73" s="347">
        <f t="shared" si="188"/>
        <v>0</v>
      </c>
      <c r="FB73" s="347">
        <f t="shared" si="139"/>
        <v>0</v>
      </c>
      <c r="FC73" s="336" t="e">
        <f t="shared" si="59"/>
        <v>#DIV/0!</v>
      </c>
    </row>
    <row r="74" spans="1:159" s="6" customFormat="1" ht="18" hidden="1" outlineLevel="1">
      <c r="A74" s="343"/>
      <c r="B74" s="344" t="s">
        <v>570</v>
      </c>
      <c r="C74" s="349"/>
      <c r="D74" s="350"/>
      <c r="E74" s="347"/>
      <c r="F74" s="347"/>
      <c r="G74" s="347"/>
      <c r="H74" s="342">
        <f t="shared" si="178"/>
        <v>0</v>
      </c>
      <c r="I74" s="347"/>
      <c r="J74" s="347"/>
      <c r="K74" s="347"/>
      <c r="L74" s="342">
        <f t="shared" si="179"/>
        <v>0</v>
      </c>
      <c r="M74" s="347"/>
      <c r="N74" s="347"/>
      <c r="O74" s="347"/>
      <c r="P74" s="342">
        <f t="shared" si="156"/>
        <v>0</v>
      </c>
      <c r="Q74" s="347"/>
      <c r="R74" s="347"/>
      <c r="S74" s="347"/>
      <c r="T74" s="342">
        <f t="shared" si="157"/>
        <v>0</v>
      </c>
      <c r="U74" s="347">
        <f t="shared" si="222"/>
        <v>0</v>
      </c>
      <c r="V74" s="347"/>
      <c r="W74" s="347"/>
      <c r="X74" s="347"/>
      <c r="Y74" s="342">
        <f t="shared" si="158"/>
        <v>0</v>
      </c>
      <c r="Z74" s="347"/>
      <c r="AA74" s="347"/>
      <c r="AB74" s="347"/>
      <c r="AC74" s="342">
        <f t="shared" si="101"/>
        <v>0</v>
      </c>
      <c r="AD74" s="347"/>
      <c r="AE74" s="347"/>
      <c r="AF74" s="347"/>
      <c r="AG74" s="342">
        <f t="shared" si="159"/>
        <v>0</v>
      </c>
      <c r="AH74" s="347"/>
      <c r="AI74" s="347"/>
      <c r="AJ74" s="347"/>
      <c r="AK74" s="342">
        <f t="shared" si="102"/>
        <v>0</v>
      </c>
      <c r="AL74" s="347">
        <f t="shared" si="181"/>
        <v>0</v>
      </c>
      <c r="AM74" s="348"/>
      <c r="AN74" s="348"/>
      <c r="AO74" s="348"/>
      <c r="AP74" s="342">
        <f t="shared" si="214"/>
        <v>0</v>
      </c>
      <c r="AQ74" s="348">
        <v>0</v>
      </c>
      <c r="AR74" s="348">
        <v>0</v>
      </c>
      <c r="AS74" s="348">
        <v>0</v>
      </c>
      <c r="AT74" s="342">
        <f t="shared" si="215"/>
        <v>0</v>
      </c>
      <c r="AU74" s="348">
        <v>0</v>
      </c>
      <c r="AV74" s="348">
        <v>0</v>
      </c>
      <c r="AW74" s="348">
        <v>0</v>
      </c>
      <c r="AX74" s="342">
        <f t="shared" si="216"/>
        <v>0</v>
      </c>
      <c r="AY74" s="348"/>
      <c r="AZ74" s="348"/>
      <c r="BA74" s="348"/>
      <c r="BB74" s="342">
        <f t="shared" si="217"/>
        <v>0</v>
      </c>
      <c r="BC74" s="347">
        <f t="shared" si="182"/>
        <v>0</v>
      </c>
      <c r="BD74" s="348"/>
      <c r="BE74" s="348"/>
      <c r="BF74" s="348"/>
      <c r="BG74" s="342">
        <f t="shared" si="162"/>
        <v>0</v>
      </c>
      <c r="BH74" s="348"/>
      <c r="BI74" s="348"/>
      <c r="BJ74" s="348"/>
      <c r="BK74" s="342">
        <f t="shared" si="74"/>
        <v>0</v>
      </c>
      <c r="BL74" s="348"/>
      <c r="BM74" s="348"/>
      <c r="BN74" s="347"/>
      <c r="BO74" s="342">
        <f t="shared" si="114"/>
        <v>0</v>
      </c>
      <c r="BP74" s="348"/>
      <c r="BQ74" s="348"/>
      <c r="BR74" s="348"/>
      <c r="BS74" s="342">
        <f t="shared" si="76"/>
        <v>0</v>
      </c>
      <c r="BT74" s="347">
        <f t="shared" si="183"/>
        <v>0</v>
      </c>
      <c r="BU74" s="348"/>
      <c r="BV74" s="348"/>
      <c r="BW74" s="348"/>
      <c r="BX74" s="342">
        <f t="shared" si="77"/>
        <v>0</v>
      </c>
      <c r="BY74" s="348"/>
      <c r="BZ74" s="348"/>
      <c r="CA74" s="348"/>
      <c r="CB74" s="342">
        <f t="shared" si="78"/>
        <v>0</v>
      </c>
      <c r="CC74" s="348"/>
      <c r="CD74" s="348"/>
      <c r="CE74" s="348"/>
      <c r="CF74" s="342">
        <f t="shared" si="79"/>
        <v>0</v>
      </c>
      <c r="CG74" s="348"/>
      <c r="CH74" s="348"/>
      <c r="CI74" s="348"/>
      <c r="CJ74" s="342">
        <f t="shared" si="80"/>
        <v>0</v>
      </c>
      <c r="CK74" s="347">
        <f t="shared" si="184"/>
        <v>0</v>
      </c>
      <c r="CL74" s="347"/>
      <c r="CM74" s="347"/>
      <c r="CN74" s="347"/>
      <c r="CO74" s="342">
        <f t="shared" si="81"/>
        <v>0</v>
      </c>
      <c r="CP74" s="347"/>
      <c r="CQ74" s="347"/>
      <c r="CR74" s="347"/>
      <c r="CS74" s="342">
        <f t="shared" si="223"/>
        <v>0</v>
      </c>
      <c r="CT74" s="347"/>
      <c r="CU74" s="347"/>
      <c r="CV74" s="347"/>
      <c r="CW74" s="342">
        <f t="shared" si="224"/>
        <v>0</v>
      </c>
      <c r="CX74" s="347"/>
      <c r="CY74" s="347"/>
      <c r="CZ74" s="347"/>
      <c r="DA74" s="342">
        <f t="shared" si="225"/>
        <v>0</v>
      </c>
      <c r="DB74" s="347">
        <f t="shared" si="185"/>
        <v>0</v>
      </c>
      <c r="DC74" s="347">
        <v>0</v>
      </c>
      <c r="DD74" s="347">
        <v>0</v>
      </c>
      <c r="DE74" s="347">
        <v>0</v>
      </c>
      <c r="DF74" s="342">
        <f t="shared" si="226"/>
        <v>0</v>
      </c>
      <c r="DG74" s="347">
        <v>0</v>
      </c>
      <c r="DH74" s="347">
        <v>0</v>
      </c>
      <c r="DI74" s="347">
        <v>0</v>
      </c>
      <c r="DJ74" s="342">
        <f t="shared" si="151"/>
        <v>0</v>
      </c>
      <c r="DK74" s="347">
        <v>0</v>
      </c>
      <c r="DL74" s="347">
        <v>0</v>
      </c>
      <c r="DM74" s="347">
        <v>0</v>
      </c>
      <c r="DN74" s="342">
        <f t="shared" si="152"/>
        <v>0</v>
      </c>
      <c r="DO74" s="347">
        <v>0</v>
      </c>
      <c r="DP74" s="347">
        <v>0</v>
      </c>
      <c r="DQ74" s="347">
        <v>0</v>
      </c>
      <c r="DR74" s="342">
        <f t="shared" si="153"/>
        <v>0</v>
      </c>
      <c r="DS74" s="347">
        <f t="shared" si="186"/>
        <v>0</v>
      </c>
      <c r="DT74" s="347"/>
      <c r="DU74" s="347"/>
      <c r="DV74" s="347"/>
      <c r="DW74" s="342">
        <f t="shared" si="89"/>
        <v>0</v>
      </c>
      <c r="DX74" s="347"/>
      <c r="DY74" s="347"/>
      <c r="DZ74" s="347"/>
      <c r="EA74" s="342">
        <f t="shared" si="137"/>
        <v>0</v>
      </c>
      <c r="EB74" s="347"/>
      <c r="EC74" s="347"/>
      <c r="ED74" s="347"/>
      <c r="EE74" s="342">
        <f t="shared" si="146"/>
        <v>0</v>
      </c>
      <c r="EF74" s="347"/>
      <c r="EG74" s="347"/>
      <c r="EH74" s="347"/>
      <c r="EI74" s="342">
        <f t="shared" si="147"/>
        <v>0</v>
      </c>
      <c r="EJ74" s="347">
        <f t="shared" si="187"/>
        <v>0</v>
      </c>
      <c r="EK74" s="347"/>
      <c r="EL74" s="347"/>
      <c r="EM74" s="347"/>
      <c r="EN74" s="342">
        <f t="shared" si="154"/>
        <v>0</v>
      </c>
      <c r="EO74" s="347"/>
      <c r="EP74" s="347"/>
      <c r="EQ74" s="347"/>
      <c r="ER74" s="342">
        <f t="shared" si="135"/>
        <v>0</v>
      </c>
      <c r="ES74" s="347"/>
      <c r="ET74" s="347"/>
      <c r="EU74" s="347"/>
      <c r="EV74" s="342">
        <f t="shared" si="117"/>
        <v>0</v>
      </c>
      <c r="EW74" s="347"/>
      <c r="EX74" s="347"/>
      <c r="EY74" s="347"/>
      <c r="EZ74" s="342">
        <f t="shared" si="118"/>
        <v>0</v>
      </c>
      <c r="FA74" s="347">
        <f t="shared" si="188"/>
        <v>0</v>
      </c>
      <c r="FB74" s="347">
        <f t="shared" si="139"/>
        <v>0</v>
      </c>
      <c r="FC74" s="336" t="e">
        <f t="shared" si="59"/>
        <v>#DIV/0!</v>
      </c>
    </row>
    <row r="75" spans="1:159" s="6" customFormat="1" ht="18" collapsed="1">
      <c r="A75" s="343"/>
      <c r="B75" s="344" t="s">
        <v>571</v>
      </c>
      <c r="C75" s="345" t="s">
        <v>560</v>
      </c>
      <c r="D75" s="346" t="s">
        <v>495</v>
      </c>
      <c r="E75" s="347">
        <f>SUM(E76:E76)</f>
        <v>3333333.33</v>
      </c>
      <c r="F75" s="347">
        <f>SUM(F76:F76)</f>
        <v>3333333.33</v>
      </c>
      <c r="G75" s="347">
        <f>SUM(G76:G76)</f>
        <v>3333333.33</v>
      </c>
      <c r="H75" s="342">
        <f t="shared" si="178"/>
        <v>9999999.9900000002</v>
      </c>
      <c r="I75" s="347">
        <f>SUM(I76:I76)</f>
        <v>3333333.33</v>
      </c>
      <c r="J75" s="347">
        <f>SUM(J76:J76)</f>
        <v>3333333.33</v>
      </c>
      <c r="K75" s="347">
        <f>SUM(K76:K76)</f>
        <v>3333333.33</v>
      </c>
      <c r="L75" s="342">
        <f t="shared" si="179"/>
        <v>9999999.9900000002</v>
      </c>
      <c r="M75" s="347">
        <f>SUM(M76:M76)</f>
        <v>3333333.33</v>
      </c>
      <c r="N75" s="347">
        <f>SUM(N76:N76)</f>
        <v>3333333.33</v>
      </c>
      <c r="O75" s="347">
        <f>SUM(O76:O76)</f>
        <v>3333333.33</v>
      </c>
      <c r="P75" s="342">
        <f t="shared" si="156"/>
        <v>9999999.9900000002</v>
      </c>
      <c r="Q75" s="347">
        <f>SUM(Q76:Q76)</f>
        <v>3333333.33</v>
      </c>
      <c r="R75" s="347">
        <f>SUM(R76:R76)</f>
        <v>3333333.33</v>
      </c>
      <c r="S75" s="347">
        <f>SUM(S76:S76)</f>
        <v>3333333.33</v>
      </c>
      <c r="T75" s="342">
        <f t="shared" si="157"/>
        <v>9999999.9900000002</v>
      </c>
      <c r="U75" s="358">
        <f>SUM(U76:U76)</f>
        <v>39999999.960000001</v>
      </c>
      <c r="V75" s="347">
        <f>SUM(V76:V76)</f>
        <v>-2291666.66666666</v>
      </c>
      <c r="W75" s="347">
        <f>SUM(W76:W76)</f>
        <v>-2291666.66666666</v>
      </c>
      <c r="X75" s="347">
        <f>SUM(X76:X76)</f>
        <v>-2291666.66666666</v>
      </c>
      <c r="Y75" s="342">
        <f t="shared" si="158"/>
        <v>-6874999.9999999795</v>
      </c>
      <c r="Z75" s="347">
        <f>SUM(Z76:Z76)</f>
        <v>-2291666.66666666</v>
      </c>
      <c r="AA75" s="347">
        <f>SUM(AA76:AA76)</f>
        <v>-2291666.66666666</v>
      </c>
      <c r="AB75" s="347">
        <f>SUM(AB76:AB76)</f>
        <v>-2291666.66666666</v>
      </c>
      <c r="AC75" s="342">
        <f t="shared" si="101"/>
        <v>-6874999.9999999795</v>
      </c>
      <c r="AD75" s="347">
        <f>SUM(AD76:AD76)</f>
        <v>-2291666.66666666</v>
      </c>
      <c r="AE75" s="347">
        <f>SUM(AE76:AE76)</f>
        <v>-2291666.66666666</v>
      </c>
      <c r="AF75" s="347">
        <f>SUM(AF76:AF76)</f>
        <v>-2291666.66666666</v>
      </c>
      <c r="AG75" s="342">
        <f t="shared" si="159"/>
        <v>-6874999.9999999795</v>
      </c>
      <c r="AH75" s="347">
        <f>SUM(AH76:AH76)</f>
        <v>-2291666.66666666</v>
      </c>
      <c r="AI75" s="347">
        <f>SUM(AI76:AI76)</f>
        <v>-2291666.66666666</v>
      </c>
      <c r="AJ75" s="347">
        <f>SUM(AJ76:AJ76)</f>
        <v>-2291666.66666666</v>
      </c>
      <c r="AK75" s="342">
        <f t="shared" si="102"/>
        <v>-6874999.9999999795</v>
      </c>
      <c r="AL75" s="347">
        <f>SUM(AL76:AL76)</f>
        <v>-27499999.999999918</v>
      </c>
      <c r="AM75" s="348">
        <f>SUM(AM76:AM76)</f>
        <v>0</v>
      </c>
      <c r="AN75" s="348">
        <f>SUM(AN76:AN76)</f>
        <v>0</v>
      </c>
      <c r="AO75" s="348">
        <f>SUM(AO76:AO76)</f>
        <v>0</v>
      </c>
      <c r="AP75" s="342">
        <f t="shared" si="214"/>
        <v>0</v>
      </c>
      <c r="AQ75" s="348">
        <f>SUM(AQ76:AQ76)</f>
        <v>0</v>
      </c>
      <c r="AR75" s="348">
        <f>SUM(AR76:AR76)</f>
        <v>0</v>
      </c>
      <c r="AS75" s="348">
        <f>SUM(AS76:AS76)</f>
        <v>0</v>
      </c>
      <c r="AT75" s="342">
        <f t="shared" si="215"/>
        <v>0</v>
      </c>
      <c r="AU75" s="348">
        <f>SUM(AU76:AU76)</f>
        <v>0</v>
      </c>
      <c r="AV75" s="348">
        <f>SUM(AV76:AV76)</f>
        <v>0</v>
      </c>
      <c r="AW75" s="348">
        <f>SUM(AW76:AW76)</f>
        <v>0</v>
      </c>
      <c r="AX75" s="342">
        <f t="shared" si="216"/>
        <v>0</v>
      </c>
      <c r="AY75" s="348">
        <f>SUM(AY76:AY76)</f>
        <v>0</v>
      </c>
      <c r="AZ75" s="348">
        <f>SUM(AZ76:AZ76)</f>
        <v>0</v>
      </c>
      <c r="BA75" s="348">
        <f>SUM(BA76:BA76)</f>
        <v>0</v>
      </c>
      <c r="BB75" s="342">
        <f t="shared" si="217"/>
        <v>0</v>
      </c>
      <c r="BC75" s="347">
        <f>SUM(BC76:BC76)</f>
        <v>0</v>
      </c>
      <c r="BD75" s="348">
        <f>SUM(BD76:BD76)</f>
        <v>-697850.26</v>
      </c>
      <c r="BE75" s="348">
        <f>SUM(BE76:BE76)</f>
        <v>-697850.26</v>
      </c>
      <c r="BF75" s="348">
        <f>SUM(BF76:BF76)</f>
        <v>-697850.26</v>
      </c>
      <c r="BG75" s="342">
        <f t="shared" si="162"/>
        <v>-2093550.78</v>
      </c>
      <c r="BH75" s="348">
        <f>SUM(BH76:BH76)</f>
        <v>-697850.26</v>
      </c>
      <c r="BI75" s="348">
        <f>SUM(BI76:BI76)</f>
        <v>-697850.26</v>
      </c>
      <c r="BJ75" s="348">
        <f>SUM(BJ76:BJ76)</f>
        <v>-697850.26</v>
      </c>
      <c r="BK75" s="342">
        <f t="shared" si="74"/>
        <v>-2093550.78</v>
      </c>
      <c r="BL75" s="348">
        <f>SUM(BL76:BL76)</f>
        <v>-697850.26</v>
      </c>
      <c r="BM75" s="348">
        <f>SUM(BM76:BM76)</f>
        <v>-697850.26</v>
      </c>
      <c r="BN75" s="347">
        <f>SUM(BN76:BN76)</f>
        <v>-697850.26</v>
      </c>
      <c r="BO75" s="342">
        <f t="shared" si="114"/>
        <v>-2093550.78</v>
      </c>
      <c r="BP75" s="348">
        <f>SUM(BP76:BP76)</f>
        <v>-697850.26</v>
      </c>
      <c r="BQ75" s="348">
        <f>SUM(BQ76:BQ76)</f>
        <v>-697850.26</v>
      </c>
      <c r="BR75" s="348">
        <f>SUM(BR76:BR76)</f>
        <v>-697850.26</v>
      </c>
      <c r="BS75" s="342">
        <f t="shared" si="76"/>
        <v>-2093550.78</v>
      </c>
      <c r="BT75" s="347">
        <f>SUM(BT76:BT76)</f>
        <v>-8374203.1200000001</v>
      </c>
      <c r="BU75" s="348">
        <f>SUM(BU76:BU76)</f>
        <v>0</v>
      </c>
      <c r="BV75" s="348">
        <f>SUM(BV76:BV76)</f>
        <v>0</v>
      </c>
      <c r="BW75" s="348">
        <f>SUM(BW76:BW76)</f>
        <v>0</v>
      </c>
      <c r="BX75" s="342">
        <f t="shared" si="77"/>
        <v>0</v>
      </c>
      <c r="BY75" s="348">
        <f>SUM(BY76:BY76)</f>
        <v>0</v>
      </c>
      <c r="BZ75" s="348">
        <f>SUM(BZ76:BZ76)</f>
        <v>0</v>
      </c>
      <c r="CA75" s="348">
        <f>SUM(CA76:CA76)</f>
        <v>0</v>
      </c>
      <c r="CB75" s="342">
        <f t="shared" si="78"/>
        <v>0</v>
      </c>
      <c r="CC75" s="348">
        <f>SUM(CC76:CC76)</f>
        <v>0</v>
      </c>
      <c r="CD75" s="348">
        <f>SUM(CD76:CD76)</f>
        <v>0</v>
      </c>
      <c r="CE75" s="348">
        <f>SUM(CE76:CE76)</f>
        <v>0</v>
      </c>
      <c r="CF75" s="342">
        <f t="shared" si="79"/>
        <v>0</v>
      </c>
      <c r="CG75" s="348">
        <f>SUM(CG76:CG76)</f>
        <v>0</v>
      </c>
      <c r="CH75" s="348">
        <f>SUM(CH76:CH76)</f>
        <v>0</v>
      </c>
      <c r="CI75" s="348">
        <f>SUM(CI76:CI76)</f>
        <v>0</v>
      </c>
      <c r="CJ75" s="342">
        <f t="shared" si="80"/>
        <v>0</v>
      </c>
      <c r="CK75" s="347">
        <f t="shared" ref="CK75:DV75" si="227">SUM(CK76:CK76)</f>
        <v>0</v>
      </c>
      <c r="CL75" s="347">
        <f t="shared" si="227"/>
        <v>-165533.59</v>
      </c>
      <c r="CM75" s="347">
        <f t="shared" si="227"/>
        <v>-165533.59</v>
      </c>
      <c r="CN75" s="347">
        <f t="shared" si="227"/>
        <v>-165533.59</v>
      </c>
      <c r="CO75" s="342">
        <f t="shared" si="227"/>
        <v>-496600.77</v>
      </c>
      <c r="CP75" s="347">
        <f t="shared" si="227"/>
        <v>-165533.59</v>
      </c>
      <c r="CQ75" s="347">
        <f t="shared" si="227"/>
        <v>-165533.59</v>
      </c>
      <c r="CR75" s="347">
        <f t="shared" si="227"/>
        <v>-165533.59</v>
      </c>
      <c r="CS75" s="342">
        <f t="shared" si="227"/>
        <v>-496600.77</v>
      </c>
      <c r="CT75" s="347">
        <f t="shared" si="227"/>
        <v>-165533.59</v>
      </c>
      <c r="CU75" s="347">
        <f t="shared" si="227"/>
        <v>-165533.59</v>
      </c>
      <c r="CV75" s="347">
        <f t="shared" si="227"/>
        <v>-165533.59</v>
      </c>
      <c r="CW75" s="342">
        <f t="shared" si="227"/>
        <v>-496600.77</v>
      </c>
      <c r="CX75" s="347">
        <f t="shared" si="227"/>
        <v>-165533.59</v>
      </c>
      <c r="CY75" s="347">
        <f t="shared" si="227"/>
        <v>-165533.59</v>
      </c>
      <c r="CZ75" s="347">
        <f t="shared" si="227"/>
        <v>-165533.59</v>
      </c>
      <c r="DA75" s="342">
        <f t="shared" si="227"/>
        <v>-496600.77</v>
      </c>
      <c r="DB75" s="347">
        <f t="shared" si="227"/>
        <v>-1986403.08</v>
      </c>
      <c r="DC75" s="347">
        <f t="shared" si="227"/>
        <v>0</v>
      </c>
      <c r="DD75" s="347">
        <f t="shared" si="227"/>
        <v>0</v>
      </c>
      <c r="DE75" s="347">
        <f t="shared" si="227"/>
        <v>0</v>
      </c>
      <c r="DF75" s="342">
        <f t="shared" si="227"/>
        <v>0</v>
      </c>
      <c r="DG75" s="347">
        <f t="shared" si="227"/>
        <v>0</v>
      </c>
      <c r="DH75" s="347">
        <f t="shared" si="227"/>
        <v>0</v>
      </c>
      <c r="DI75" s="347">
        <f t="shared" si="227"/>
        <v>0</v>
      </c>
      <c r="DJ75" s="342">
        <f t="shared" si="227"/>
        <v>0</v>
      </c>
      <c r="DK75" s="347">
        <f t="shared" si="227"/>
        <v>0</v>
      </c>
      <c r="DL75" s="347">
        <f t="shared" si="227"/>
        <v>0</v>
      </c>
      <c r="DM75" s="347">
        <f t="shared" si="227"/>
        <v>0</v>
      </c>
      <c r="DN75" s="342">
        <f t="shared" si="227"/>
        <v>0</v>
      </c>
      <c r="DO75" s="348">
        <f t="shared" si="227"/>
        <v>0</v>
      </c>
      <c r="DP75" s="348">
        <f t="shared" si="227"/>
        <v>0</v>
      </c>
      <c r="DQ75" s="348">
        <f t="shared" si="227"/>
        <v>0</v>
      </c>
      <c r="DR75" s="342">
        <f t="shared" si="227"/>
        <v>0</v>
      </c>
      <c r="DS75" s="347">
        <f t="shared" si="227"/>
        <v>0</v>
      </c>
      <c r="DT75" s="347">
        <f t="shared" si="227"/>
        <v>0</v>
      </c>
      <c r="DU75" s="347">
        <f t="shared" si="227"/>
        <v>0</v>
      </c>
      <c r="DV75" s="347">
        <f t="shared" si="227"/>
        <v>0</v>
      </c>
      <c r="DW75" s="342">
        <f t="shared" si="89"/>
        <v>0</v>
      </c>
      <c r="DX75" s="347">
        <f>SUM(DX76:DX76)</f>
        <v>0</v>
      </c>
      <c r="DY75" s="347">
        <f>SUM(DY76:DY76)</f>
        <v>0</v>
      </c>
      <c r="DZ75" s="347">
        <f>SUM(DZ76:DZ76)</f>
        <v>0</v>
      </c>
      <c r="EA75" s="342">
        <f t="shared" si="137"/>
        <v>0</v>
      </c>
      <c r="EB75" s="347">
        <f>SUM(EB76:EB76)</f>
        <v>0</v>
      </c>
      <c r="EC75" s="347">
        <f>SUM(EC76:EC76)</f>
        <v>0</v>
      </c>
      <c r="ED75" s="347">
        <f>SUM(ED76:ED76)</f>
        <v>0</v>
      </c>
      <c r="EE75" s="342">
        <f t="shared" si="146"/>
        <v>0</v>
      </c>
      <c r="EF75" s="347">
        <f>SUM(EF76:EF76)</f>
        <v>0</v>
      </c>
      <c r="EG75" s="347">
        <f>SUM(EG76:EG76)</f>
        <v>0</v>
      </c>
      <c r="EH75" s="347">
        <f>SUM(EH76:EH76)</f>
        <v>0</v>
      </c>
      <c r="EI75" s="342">
        <f t="shared" si="147"/>
        <v>0</v>
      </c>
      <c r="EJ75" s="347">
        <f t="shared" ref="EJ75:EU75" si="228">SUM(EJ76:EJ76)</f>
        <v>0</v>
      </c>
      <c r="EK75" s="347">
        <f t="shared" si="228"/>
        <v>0</v>
      </c>
      <c r="EL75" s="347">
        <f t="shared" si="228"/>
        <v>0</v>
      </c>
      <c r="EM75" s="347">
        <f t="shared" si="228"/>
        <v>0</v>
      </c>
      <c r="EN75" s="342">
        <f t="shared" si="228"/>
        <v>0</v>
      </c>
      <c r="EO75" s="347">
        <f t="shared" si="228"/>
        <v>0</v>
      </c>
      <c r="EP75" s="347">
        <f t="shared" si="228"/>
        <v>0</v>
      </c>
      <c r="EQ75" s="347">
        <f t="shared" si="228"/>
        <v>0</v>
      </c>
      <c r="ER75" s="342">
        <f t="shared" si="228"/>
        <v>0</v>
      </c>
      <c r="ES75" s="347">
        <f t="shared" si="228"/>
        <v>0</v>
      </c>
      <c r="ET75" s="347">
        <f t="shared" si="228"/>
        <v>0</v>
      </c>
      <c r="EU75" s="347">
        <f t="shared" si="228"/>
        <v>0</v>
      </c>
      <c r="EV75" s="342">
        <f t="shared" si="117"/>
        <v>0</v>
      </c>
      <c r="EW75" s="347">
        <f>SUM(EW76:EW76)</f>
        <v>0</v>
      </c>
      <c r="EX75" s="347">
        <f>SUM(EX76:EX76)</f>
        <v>0</v>
      </c>
      <c r="EY75" s="347">
        <f>SUM(EY76:EY76)</f>
        <v>0</v>
      </c>
      <c r="EZ75" s="342">
        <f t="shared" si="118"/>
        <v>0</v>
      </c>
      <c r="FA75" s="347">
        <f>SUM(FA76:FA76)</f>
        <v>0</v>
      </c>
      <c r="FB75" s="347">
        <f>SUM(FB76:FB76)</f>
        <v>2139393.7600000827</v>
      </c>
      <c r="FC75" s="336">
        <f t="shared" si="59"/>
        <v>5.3484844053486906E-2</v>
      </c>
    </row>
    <row r="76" spans="1:159" s="6" customFormat="1" ht="18" hidden="1" outlineLevel="1">
      <c r="A76" s="343"/>
      <c r="B76" s="344" t="s">
        <v>572</v>
      </c>
      <c r="C76" s="349"/>
      <c r="D76" s="350" t="s">
        <v>573</v>
      </c>
      <c r="E76" s="347">
        <v>3333333.33</v>
      </c>
      <c r="F76" s="347">
        <v>3333333.33</v>
      </c>
      <c r="G76" s="347">
        <v>3333333.33</v>
      </c>
      <c r="H76" s="342">
        <f t="shared" si="178"/>
        <v>9999999.9900000002</v>
      </c>
      <c r="I76" s="347">
        <v>3333333.33</v>
      </c>
      <c r="J76" s="347">
        <v>3333333.33</v>
      </c>
      <c r="K76" s="347">
        <v>3333333.33</v>
      </c>
      <c r="L76" s="342">
        <f t="shared" si="179"/>
        <v>9999999.9900000002</v>
      </c>
      <c r="M76" s="347">
        <v>3333333.33</v>
      </c>
      <c r="N76" s="347">
        <v>3333333.33</v>
      </c>
      <c r="O76" s="347">
        <v>3333333.33</v>
      </c>
      <c r="P76" s="342">
        <f t="shared" si="156"/>
        <v>9999999.9900000002</v>
      </c>
      <c r="Q76" s="347">
        <v>3333333.33</v>
      </c>
      <c r="R76" s="347">
        <v>3333333.33</v>
      </c>
      <c r="S76" s="347">
        <v>3333333.33</v>
      </c>
      <c r="T76" s="342">
        <f t="shared" si="157"/>
        <v>9999999.9900000002</v>
      </c>
      <c r="U76" s="347">
        <f t="shared" ref="U76" si="229">H76+L76+P76+T76</f>
        <v>39999999.960000001</v>
      </c>
      <c r="V76" s="347">
        <v>-2291666.66666666</v>
      </c>
      <c r="W76" s="347">
        <v>-2291666.66666666</v>
      </c>
      <c r="X76" s="347">
        <v>-2291666.66666666</v>
      </c>
      <c r="Y76" s="342">
        <f t="shared" si="158"/>
        <v>-6874999.9999999795</v>
      </c>
      <c r="Z76" s="347">
        <v>-2291666.66666666</v>
      </c>
      <c r="AA76" s="347">
        <v>-2291666.66666666</v>
      </c>
      <c r="AB76" s="347">
        <v>-2291666.66666666</v>
      </c>
      <c r="AC76" s="342">
        <f t="shared" si="101"/>
        <v>-6874999.9999999795</v>
      </c>
      <c r="AD76" s="347">
        <v>-2291666.66666666</v>
      </c>
      <c r="AE76" s="347">
        <v>-2291666.66666666</v>
      </c>
      <c r="AF76" s="347">
        <v>-2291666.66666666</v>
      </c>
      <c r="AG76" s="342">
        <f t="shared" si="159"/>
        <v>-6874999.9999999795</v>
      </c>
      <c r="AH76" s="347">
        <v>-2291666.66666666</v>
      </c>
      <c r="AI76" s="347">
        <v>-2291666.66666666</v>
      </c>
      <c r="AJ76" s="347">
        <v>-2291666.66666666</v>
      </c>
      <c r="AK76" s="342">
        <f t="shared" si="102"/>
        <v>-6874999.9999999795</v>
      </c>
      <c r="AL76" s="347">
        <f t="shared" si="181"/>
        <v>-27499999.999999918</v>
      </c>
      <c r="AM76" s="348"/>
      <c r="AN76" s="348"/>
      <c r="AO76" s="348"/>
      <c r="AP76" s="342">
        <f t="shared" si="214"/>
        <v>0</v>
      </c>
      <c r="AQ76" s="348">
        <v>0</v>
      </c>
      <c r="AR76" s="348">
        <v>0</v>
      </c>
      <c r="AS76" s="348">
        <v>0</v>
      </c>
      <c r="AT76" s="342">
        <f t="shared" si="215"/>
        <v>0</v>
      </c>
      <c r="AU76" s="348">
        <v>0</v>
      </c>
      <c r="AV76" s="348">
        <v>0</v>
      </c>
      <c r="AW76" s="348">
        <v>0</v>
      </c>
      <c r="AX76" s="342">
        <f t="shared" si="216"/>
        <v>0</v>
      </c>
      <c r="AY76" s="348"/>
      <c r="AZ76" s="348"/>
      <c r="BA76" s="348"/>
      <c r="BB76" s="342">
        <f t="shared" si="217"/>
        <v>0</v>
      </c>
      <c r="BC76" s="347">
        <f t="shared" ref="BC76" si="230">AP76+AT76+AX76+BB76</f>
        <v>0</v>
      </c>
      <c r="BD76" s="347">
        <v>-697850.26</v>
      </c>
      <c r="BE76" s="347">
        <v>-697850.26</v>
      </c>
      <c r="BF76" s="347">
        <v>-697850.26</v>
      </c>
      <c r="BG76" s="342">
        <f t="shared" si="162"/>
        <v>-2093550.78</v>
      </c>
      <c r="BH76" s="347">
        <v>-697850.26</v>
      </c>
      <c r="BI76" s="347">
        <v>-697850.26</v>
      </c>
      <c r="BJ76" s="347">
        <v>-697850.26</v>
      </c>
      <c r="BK76" s="342">
        <f t="shared" si="74"/>
        <v>-2093550.78</v>
      </c>
      <c r="BL76" s="347">
        <v>-697850.26</v>
      </c>
      <c r="BM76" s="347">
        <v>-697850.26</v>
      </c>
      <c r="BN76" s="347">
        <v>-697850.26</v>
      </c>
      <c r="BO76" s="342">
        <f t="shared" si="114"/>
        <v>-2093550.78</v>
      </c>
      <c r="BP76" s="347">
        <v>-697850.26</v>
      </c>
      <c r="BQ76" s="347">
        <v>-697850.26</v>
      </c>
      <c r="BR76" s="347">
        <v>-697850.26</v>
      </c>
      <c r="BS76" s="342">
        <f t="shared" si="76"/>
        <v>-2093550.78</v>
      </c>
      <c r="BT76" s="347">
        <f t="shared" ref="BT76" si="231">BG76+BK76+BO76+BS76</f>
        <v>-8374203.1200000001</v>
      </c>
      <c r="BU76" s="348">
        <v>0</v>
      </c>
      <c r="BV76" s="348">
        <v>0</v>
      </c>
      <c r="BW76" s="348">
        <v>0</v>
      </c>
      <c r="BX76" s="342">
        <f t="shared" si="77"/>
        <v>0</v>
      </c>
      <c r="BY76" s="348">
        <v>0</v>
      </c>
      <c r="BZ76" s="348">
        <v>0</v>
      </c>
      <c r="CA76" s="348">
        <v>0</v>
      </c>
      <c r="CB76" s="342">
        <f t="shared" si="78"/>
        <v>0</v>
      </c>
      <c r="CC76" s="348">
        <v>0</v>
      </c>
      <c r="CD76" s="348">
        <v>0</v>
      </c>
      <c r="CE76" s="348">
        <v>0</v>
      </c>
      <c r="CF76" s="342">
        <f t="shared" si="79"/>
        <v>0</v>
      </c>
      <c r="CG76" s="348">
        <v>0</v>
      </c>
      <c r="CH76" s="348">
        <v>0</v>
      </c>
      <c r="CI76" s="348">
        <v>0</v>
      </c>
      <c r="CJ76" s="342">
        <f t="shared" si="80"/>
        <v>0</v>
      </c>
      <c r="CK76" s="347">
        <f t="shared" ref="CK76" si="232">BX76+CB76+CF76+CJ76</f>
        <v>0</v>
      </c>
      <c r="CL76" s="347">
        <v>-165533.59</v>
      </c>
      <c r="CM76" s="347">
        <v>-165533.59</v>
      </c>
      <c r="CN76" s="347">
        <v>-165533.59</v>
      </c>
      <c r="CO76" s="342">
        <f t="shared" si="81"/>
        <v>-496600.77</v>
      </c>
      <c r="CP76" s="347">
        <v>-165533.59</v>
      </c>
      <c r="CQ76" s="347">
        <v>-165533.59</v>
      </c>
      <c r="CR76" s="347">
        <v>-165533.59</v>
      </c>
      <c r="CS76" s="342">
        <f t="shared" si="223"/>
        <v>-496600.77</v>
      </c>
      <c r="CT76" s="347">
        <v>-165533.59</v>
      </c>
      <c r="CU76" s="347">
        <v>-165533.59</v>
      </c>
      <c r="CV76" s="347">
        <v>-165533.59</v>
      </c>
      <c r="CW76" s="342">
        <f t="shared" si="224"/>
        <v>-496600.77</v>
      </c>
      <c r="CX76" s="347">
        <v>-165533.59</v>
      </c>
      <c r="CY76" s="347">
        <v>-165533.59</v>
      </c>
      <c r="CZ76" s="347">
        <v>-165533.59</v>
      </c>
      <c r="DA76" s="342">
        <f t="shared" si="225"/>
        <v>-496600.77</v>
      </c>
      <c r="DB76" s="347">
        <f t="shared" ref="DB76" si="233">CO76+CS76+CW76+DA76</f>
        <v>-1986403.08</v>
      </c>
      <c r="DC76" s="347">
        <v>0</v>
      </c>
      <c r="DD76" s="347">
        <v>0</v>
      </c>
      <c r="DE76" s="347">
        <v>0</v>
      </c>
      <c r="DF76" s="342">
        <f t="shared" si="226"/>
        <v>0</v>
      </c>
      <c r="DG76" s="347">
        <v>0</v>
      </c>
      <c r="DH76" s="347">
        <v>0</v>
      </c>
      <c r="DI76" s="347">
        <v>0</v>
      </c>
      <c r="DJ76" s="342">
        <f t="shared" ref="DJ76" si="234">SUM(DG76:DI76)</f>
        <v>0</v>
      </c>
      <c r="DK76" s="347">
        <v>0</v>
      </c>
      <c r="DL76" s="347">
        <v>0</v>
      </c>
      <c r="DM76" s="347">
        <v>0</v>
      </c>
      <c r="DN76" s="342">
        <f t="shared" ref="DN76" si="235">SUM(DK76:DM76)</f>
        <v>0</v>
      </c>
      <c r="DO76" s="347">
        <v>0</v>
      </c>
      <c r="DP76" s="347">
        <v>0</v>
      </c>
      <c r="DQ76" s="347">
        <v>0</v>
      </c>
      <c r="DR76" s="342">
        <f t="shared" ref="DR76" si="236">SUM(DO76:DQ76)</f>
        <v>0</v>
      </c>
      <c r="DS76" s="347">
        <f t="shared" ref="DS76" si="237">SUM(DR76,DN76,DJ76,DF76)</f>
        <v>0</v>
      </c>
      <c r="DT76" s="347"/>
      <c r="DU76" s="347"/>
      <c r="DV76" s="347"/>
      <c r="DW76" s="342">
        <f t="shared" si="89"/>
        <v>0</v>
      </c>
      <c r="DX76" s="347"/>
      <c r="DY76" s="347"/>
      <c r="DZ76" s="347"/>
      <c r="EA76" s="342">
        <f t="shared" si="137"/>
        <v>0</v>
      </c>
      <c r="EB76" s="347"/>
      <c r="EC76" s="347"/>
      <c r="ED76" s="347"/>
      <c r="EE76" s="342">
        <f t="shared" si="146"/>
        <v>0</v>
      </c>
      <c r="EF76" s="347"/>
      <c r="EG76" s="347"/>
      <c r="EH76" s="347"/>
      <c r="EI76" s="342">
        <f t="shared" si="147"/>
        <v>0</v>
      </c>
      <c r="EJ76" s="347">
        <f t="shared" ref="EJ76" si="238">SUM(EI76,EE76,EA76,DW76)</f>
        <v>0</v>
      </c>
      <c r="EK76" s="347"/>
      <c r="EL76" s="347"/>
      <c r="EM76" s="347"/>
      <c r="EN76" s="342">
        <f t="shared" si="154"/>
        <v>0</v>
      </c>
      <c r="EO76" s="347"/>
      <c r="EP76" s="347"/>
      <c r="EQ76" s="347"/>
      <c r="ER76" s="342">
        <f t="shared" si="135"/>
        <v>0</v>
      </c>
      <c r="ES76" s="347"/>
      <c r="ET76" s="347"/>
      <c r="EU76" s="347"/>
      <c r="EV76" s="342">
        <f t="shared" si="117"/>
        <v>0</v>
      </c>
      <c r="EW76" s="347"/>
      <c r="EX76" s="347"/>
      <c r="EY76" s="347"/>
      <c r="EZ76" s="342">
        <f t="shared" si="118"/>
        <v>0</v>
      </c>
      <c r="FA76" s="347">
        <f t="shared" ref="FA76" si="239">SUM(EZ76,EV76,ER76,EN76)</f>
        <v>0</v>
      </c>
      <c r="FB76" s="347">
        <f t="shared" ref="FB76" si="240">SUM(U76,AL76,BC76,BT76,CK76,DB76,DS76,EJ76,FA76)</f>
        <v>2139393.7600000827</v>
      </c>
      <c r="FC76" s="351">
        <f t="shared" si="59"/>
        <v>5.3484844053486906E-2</v>
      </c>
    </row>
    <row r="77" spans="1:159" ht="15.6">
      <c r="C77" s="5"/>
      <c r="K77" s="353"/>
      <c r="M77" s="353"/>
      <c r="N77" s="353"/>
      <c r="O77" s="353"/>
      <c r="U77" s="353"/>
      <c r="BL77" s="354"/>
      <c r="CL77" s="347"/>
      <c r="CM77" s="347"/>
      <c r="CN77" s="347"/>
    </row>
    <row r="78" spans="1:159">
      <c r="C78" s="5"/>
      <c r="E78"/>
      <c r="F78"/>
      <c r="G78"/>
      <c r="H78"/>
      <c r="I78"/>
      <c r="J78" s="14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 s="14"/>
      <c r="BJ78" s="14"/>
      <c r="BK78"/>
      <c r="BL78"/>
      <c r="BM78"/>
      <c r="BN78"/>
      <c r="BO78"/>
      <c r="BP78" s="14"/>
      <c r="BQ78" s="14"/>
      <c r="BR78" s="14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</row>
    <row r="79" spans="1:159">
      <c r="C79" s="5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</row>
    <row r="80" spans="1:159" hidden="1">
      <c r="C80" s="5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</row>
    <row r="81" spans="2:159" ht="18" hidden="1">
      <c r="B81" s="355" t="s">
        <v>188</v>
      </c>
      <c r="C81" s="5"/>
      <c r="E81" s="111">
        <f t="shared" ref="E81:BP81" si="241">E5-E82</f>
        <v>24705224.993333321</v>
      </c>
      <c r="F81" s="111">
        <f t="shared" si="241"/>
        <v>26455224.993333321</v>
      </c>
      <c r="G81" s="111">
        <f t="shared" si="241"/>
        <v>28315224.993333321</v>
      </c>
      <c r="H81" s="356">
        <f t="shared" si="241"/>
        <v>79475674.979999959</v>
      </c>
      <c r="I81" s="111">
        <f t="shared" si="241"/>
        <v>26757279.32</v>
      </c>
      <c r="J81" s="111">
        <f t="shared" si="241"/>
        <v>25987996.32</v>
      </c>
      <c r="K81" s="111">
        <f t="shared" si="241"/>
        <v>26479040.32</v>
      </c>
      <c r="L81" s="356">
        <f t="shared" si="241"/>
        <v>79224315.959999993</v>
      </c>
      <c r="M81" s="111">
        <f t="shared" si="241"/>
        <v>18699999.986666668</v>
      </c>
      <c r="N81" s="111">
        <f t="shared" si="241"/>
        <v>18699999.986666668</v>
      </c>
      <c r="O81" s="111">
        <f t="shared" si="241"/>
        <v>18699999.986666668</v>
      </c>
      <c r="P81" s="356">
        <f t="shared" si="241"/>
        <v>53599999.969999991</v>
      </c>
      <c r="Q81" s="111">
        <f t="shared" si="241"/>
        <v>19070977.986666668</v>
      </c>
      <c r="R81" s="111">
        <f t="shared" si="241"/>
        <v>18134365.986666668</v>
      </c>
      <c r="S81" s="111">
        <f t="shared" si="241"/>
        <v>18134365.986666668</v>
      </c>
      <c r="T81" s="356">
        <f t="shared" si="241"/>
        <v>55339709.959999993</v>
      </c>
      <c r="U81" s="356">
        <f t="shared" si="241"/>
        <v>270139700.85999995</v>
      </c>
      <c r="V81" s="111">
        <f t="shared" si="241"/>
        <v>-15749153.326666661</v>
      </c>
      <c r="W81" s="111">
        <f t="shared" si="241"/>
        <v>-11985315.326666661</v>
      </c>
      <c r="X81" s="111">
        <f t="shared" si="241"/>
        <v>-16526628.726666661</v>
      </c>
      <c r="Y81" s="356">
        <f t="shared" si="241"/>
        <v>-44261097.37999998</v>
      </c>
      <c r="Z81" s="111">
        <f t="shared" si="241"/>
        <v>-16470273.326666661</v>
      </c>
      <c r="AA81" s="111">
        <f t="shared" si="241"/>
        <v>-12970273.326666661</v>
      </c>
      <c r="AB81" s="111">
        <f t="shared" si="241"/>
        <v>-11970273.326666661</v>
      </c>
      <c r="AC81" s="356">
        <f t="shared" si="241"/>
        <v>-41410819.979999982</v>
      </c>
      <c r="AD81" s="111">
        <f t="shared" si="241"/>
        <v>-9835553.3266666606</v>
      </c>
      <c r="AE81" s="111">
        <f t="shared" si="241"/>
        <v>-7200833.3266666606</v>
      </c>
      <c r="AF81" s="111">
        <f t="shared" si="241"/>
        <v>-7200833.3266666606</v>
      </c>
      <c r="AG81" s="356">
        <f t="shared" si="241"/>
        <v>-24237219.979999982</v>
      </c>
      <c r="AH81" s="111">
        <f t="shared" si="241"/>
        <v>-7200833.3266666606</v>
      </c>
      <c r="AI81" s="111">
        <f t="shared" si="241"/>
        <v>-7200833.3266666606</v>
      </c>
      <c r="AJ81" s="111">
        <f t="shared" si="241"/>
        <v>-7200833.3266666606</v>
      </c>
      <c r="AK81" s="356">
        <f t="shared" si="241"/>
        <v>-21602499.979999982</v>
      </c>
      <c r="AL81" s="356">
        <f t="shared" si="241"/>
        <v>-131511637.31999993</v>
      </c>
      <c r="AM81" s="111">
        <f t="shared" si="241"/>
        <v>-320625</v>
      </c>
      <c r="AN81" s="111">
        <f t="shared" si="241"/>
        <v>-339200</v>
      </c>
      <c r="AO81" s="111">
        <f t="shared" si="241"/>
        <v>-213014.53999999998</v>
      </c>
      <c r="AP81" s="356">
        <f t="shared" si="241"/>
        <v>-872839.54</v>
      </c>
      <c r="AQ81" s="111">
        <f t="shared" si="241"/>
        <v>-103973</v>
      </c>
      <c r="AR81" s="111">
        <f t="shared" si="241"/>
        <v>-25000</v>
      </c>
      <c r="AS81" s="111">
        <f t="shared" si="241"/>
        <v>-25000</v>
      </c>
      <c r="AT81" s="356">
        <f t="shared" si="241"/>
        <v>-153973</v>
      </c>
      <c r="AU81" s="111">
        <f t="shared" si="241"/>
        <v>-25000</v>
      </c>
      <c r="AV81" s="111">
        <f t="shared" si="241"/>
        <v>-25000</v>
      </c>
      <c r="AW81" s="111">
        <f t="shared" si="241"/>
        <v>-25000</v>
      </c>
      <c r="AX81" s="356">
        <f t="shared" si="241"/>
        <v>-75000</v>
      </c>
      <c r="AY81" s="111">
        <f t="shared" si="241"/>
        <v>-25000</v>
      </c>
      <c r="AZ81" s="111">
        <f t="shared" si="241"/>
        <v>-25000</v>
      </c>
      <c r="BA81" s="111">
        <f t="shared" si="241"/>
        <v>-11484</v>
      </c>
      <c r="BB81" s="356">
        <f t="shared" si="241"/>
        <v>-61484</v>
      </c>
      <c r="BC81" s="356">
        <f t="shared" si="241"/>
        <v>-1163296.54</v>
      </c>
      <c r="BD81" s="111">
        <f t="shared" si="241"/>
        <v>-3820022.5900000008</v>
      </c>
      <c r="BE81" s="111">
        <f t="shared" si="241"/>
        <v>-7442167.9299999997</v>
      </c>
      <c r="BF81" s="111">
        <f t="shared" si="241"/>
        <v>-5962312.0499999998</v>
      </c>
      <c r="BG81" s="356">
        <f t="shared" si="241"/>
        <v>-17224502.569999997</v>
      </c>
      <c r="BH81" s="111">
        <f t="shared" si="241"/>
        <v>-5962312.0499999998</v>
      </c>
      <c r="BI81" s="111">
        <f t="shared" si="241"/>
        <v>-5962312.0499999998</v>
      </c>
      <c r="BJ81" s="111">
        <f t="shared" si="241"/>
        <v>-5962312.0499999998</v>
      </c>
      <c r="BK81" s="356">
        <f t="shared" si="241"/>
        <v>-17886936.149999999</v>
      </c>
      <c r="BL81" s="111">
        <f t="shared" si="241"/>
        <v>-5718064.459999999</v>
      </c>
      <c r="BM81" s="111">
        <f t="shared" si="241"/>
        <v>-5718064.459999999</v>
      </c>
      <c r="BN81" s="111">
        <f t="shared" si="241"/>
        <v>-3912376.92</v>
      </c>
      <c r="BO81" s="356">
        <f t="shared" si="241"/>
        <v>-15348505.84</v>
      </c>
      <c r="BP81" s="111">
        <f t="shared" si="241"/>
        <v>-4003313.64</v>
      </c>
      <c r="BQ81" s="111">
        <f t="shared" ref="BQ81:EB81" si="242">BQ5-BQ82</f>
        <v>-2475766.8300000005</v>
      </c>
      <c r="BR81" s="111">
        <f t="shared" si="242"/>
        <v>-2475766.8300000005</v>
      </c>
      <c r="BS81" s="356">
        <f t="shared" si="242"/>
        <v>-8954847.3000000007</v>
      </c>
      <c r="BT81" s="356">
        <f t="shared" si="242"/>
        <v>-59414791.859999999</v>
      </c>
      <c r="BU81" s="111">
        <f t="shared" si="242"/>
        <v>0</v>
      </c>
      <c r="BV81" s="111">
        <f t="shared" si="242"/>
        <v>0</v>
      </c>
      <c r="BW81" s="111">
        <f t="shared" si="242"/>
        <v>0</v>
      </c>
      <c r="BX81" s="356">
        <f t="shared" si="242"/>
        <v>0</v>
      </c>
      <c r="BY81" s="111">
        <f t="shared" si="242"/>
        <v>0</v>
      </c>
      <c r="BZ81" s="111">
        <f t="shared" si="242"/>
        <v>0</v>
      </c>
      <c r="CA81" s="111">
        <f t="shared" si="242"/>
        <v>0</v>
      </c>
      <c r="CB81" s="356">
        <f t="shared" si="242"/>
        <v>0</v>
      </c>
      <c r="CC81" s="111">
        <f t="shared" si="242"/>
        <v>0</v>
      </c>
      <c r="CD81" s="111">
        <f t="shared" si="242"/>
        <v>0</v>
      </c>
      <c r="CE81" s="111">
        <f t="shared" si="242"/>
        <v>0</v>
      </c>
      <c r="CF81" s="356">
        <f t="shared" si="242"/>
        <v>0</v>
      </c>
      <c r="CG81" s="111">
        <f t="shared" si="242"/>
        <v>0</v>
      </c>
      <c r="CH81" s="111">
        <f t="shared" si="242"/>
        <v>0</v>
      </c>
      <c r="CI81" s="111">
        <f t="shared" si="242"/>
        <v>0</v>
      </c>
      <c r="CJ81" s="356">
        <f t="shared" si="242"/>
        <v>0</v>
      </c>
      <c r="CK81" s="356">
        <f t="shared" si="242"/>
        <v>0</v>
      </c>
      <c r="CL81" s="111">
        <f t="shared" si="242"/>
        <v>-912526.07</v>
      </c>
      <c r="CM81" s="111">
        <f t="shared" si="242"/>
        <v>-1771717.1900000002</v>
      </c>
      <c r="CN81" s="111">
        <f t="shared" si="242"/>
        <v>-1420687.9300000002</v>
      </c>
      <c r="CO81" s="356">
        <f t="shared" si="242"/>
        <v>-4104931.1900000004</v>
      </c>
      <c r="CP81" s="111">
        <f t="shared" si="242"/>
        <v>-1420687.9300000002</v>
      </c>
      <c r="CQ81" s="111">
        <f t="shared" si="242"/>
        <v>-1420687.9300000002</v>
      </c>
      <c r="CR81" s="111">
        <f t="shared" si="242"/>
        <v>-1420687.9300000002</v>
      </c>
      <c r="CS81" s="356">
        <f t="shared" si="242"/>
        <v>-4262063.79</v>
      </c>
      <c r="CT81" s="111">
        <f t="shared" si="242"/>
        <v>-1362751.1700000002</v>
      </c>
      <c r="CU81" s="111">
        <f t="shared" si="242"/>
        <v>-1362751.1700000002</v>
      </c>
      <c r="CV81" s="111">
        <f t="shared" si="242"/>
        <v>-934433</v>
      </c>
      <c r="CW81" s="356">
        <f t="shared" si="242"/>
        <v>-3659935.34</v>
      </c>
      <c r="CX81" s="111">
        <f t="shared" si="242"/>
        <v>-956003.65</v>
      </c>
      <c r="CY81" s="111">
        <f t="shared" si="242"/>
        <v>-593661.86</v>
      </c>
      <c r="CZ81" s="111">
        <f t="shared" si="242"/>
        <v>-593661.86</v>
      </c>
      <c r="DA81" s="356">
        <f t="shared" si="242"/>
        <v>-2143327.37</v>
      </c>
      <c r="DB81" s="356">
        <f t="shared" si="242"/>
        <v>-14170257.689999999</v>
      </c>
      <c r="DC81" s="111">
        <f t="shared" si="242"/>
        <v>-2016666.67</v>
      </c>
      <c r="DD81" s="111">
        <f t="shared" si="242"/>
        <v>-1678287.47</v>
      </c>
      <c r="DE81" s="111">
        <f t="shared" si="242"/>
        <v>-1610611.63</v>
      </c>
      <c r="DF81" s="356">
        <f t="shared" si="242"/>
        <v>-5305565.7700000005</v>
      </c>
      <c r="DG81" s="111">
        <f t="shared" si="242"/>
        <v>-1610611.63</v>
      </c>
      <c r="DH81" s="111">
        <f t="shared" si="242"/>
        <v>-1610611.63</v>
      </c>
      <c r="DI81" s="111">
        <f t="shared" si="242"/>
        <v>-1642935.79</v>
      </c>
      <c r="DJ81" s="356">
        <f t="shared" si="242"/>
        <v>-4864159.0500000007</v>
      </c>
      <c r="DK81" s="111">
        <f t="shared" si="242"/>
        <v>-976269.12</v>
      </c>
      <c r="DL81" s="111">
        <f t="shared" si="242"/>
        <v>-976269.12</v>
      </c>
      <c r="DM81" s="111">
        <f t="shared" si="242"/>
        <v>-976269.12</v>
      </c>
      <c r="DN81" s="356">
        <f t="shared" si="242"/>
        <v>-2928807.36</v>
      </c>
      <c r="DO81" s="111">
        <f t="shared" si="242"/>
        <v>-907522.87</v>
      </c>
      <c r="DP81" s="111">
        <f t="shared" si="242"/>
        <v>-846972.48</v>
      </c>
      <c r="DQ81" s="111">
        <f t="shared" si="242"/>
        <v>-846972.48</v>
      </c>
      <c r="DR81" s="356">
        <f t="shared" si="242"/>
        <v>-2601467.83</v>
      </c>
      <c r="DS81" s="356">
        <f t="shared" si="242"/>
        <v>-15700000.010000002</v>
      </c>
      <c r="DT81" s="111">
        <f t="shared" si="242"/>
        <v>-357066.29000000004</v>
      </c>
      <c r="DU81" s="111">
        <f t="shared" si="242"/>
        <v>-357066.29000000004</v>
      </c>
      <c r="DV81" s="111">
        <f t="shared" si="242"/>
        <v>-367066.29000000004</v>
      </c>
      <c r="DW81" s="356">
        <f t="shared" si="242"/>
        <v>-1081198.8700000001</v>
      </c>
      <c r="DX81" s="111">
        <f t="shared" si="242"/>
        <v>-308582.38</v>
      </c>
      <c r="DY81" s="111">
        <f t="shared" si="242"/>
        <v>-298582.34999999998</v>
      </c>
      <c r="DZ81" s="111">
        <f t="shared" si="242"/>
        <v>-298582.34999999998</v>
      </c>
      <c r="EA81" s="356">
        <f t="shared" si="242"/>
        <v>-905747.08000000007</v>
      </c>
      <c r="EB81" s="111">
        <f t="shared" si="242"/>
        <v>-288582.34999999998</v>
      </c>
      <c r="EC81" s="111">
        <f t="shared" ref="EC81:FB81" si="243">EC5-EC82</f>
        <v>-288582.34999999998</v>
      </c>
      <c r="ED81" s="111">
        <f t="shared" si="243"/>
        <v>-336131.35</v>
      </c>
      <c r="EE81" s="356">
        <f t="shared" si="243"/>
        <v>-913296.05</v>
      </c>
      <c r="EF81" s="111">
        <f t="shared" si="243"/>
        <v>-288582.34999999998</v>
      </c>
      <c r="EG81" s="111">
        <f t="shared" si="243"/>
        <v>-288582.34999999998</v>
      </c>
      <c r="EH81" s="111">
        <f t="shared" si="243"/>
        <v>-336131.35</v>
      </c>
      <c r="EI81" s="356">
        <f t="shared" si="243"/>
        <v>-913296.05</v>
      </c>
      <c r="EJ81" s="356">
        <f t="shared" si="243"/>
        <v>-3813538.05</v>
      </c>
      <c r="EK81" s="111">
        <f t="shared" si="243"/>
        <v>0</v>
      </c>
      <c r="EL81" s="111">
        <f t="shared" si="243"/>
        <v>0</v>
      </c>
      <c r="EM81" s="111">
        <f t="shared" si="243"/>
        <v>0</v>
      </c>
      <c r="EN81" s="356">
        <f t="shared" si="243"/>
        <v>0</v>
      </c>
      <c r="EO81" s="111">
        <f t="shared" si="243"/>
        <v>0</v>
      </c>
      <c r="EP81" s="111">
        <f t="shared" si="243"/>
        <v>0</v>
      </c>
      <c r="EQ81" s="111">
        <f t="shared" si="243"/>
        <v>0</v>
      </c>
      <c r="ER81" s="356">
        <f t="shared" si="243"/>
        <v>0</v>
      </c>
      <c r="ES81" s="111">
        <f t="shared" si="243"/>
        <v>0</v>
      </c>
      <c r="ET81" s="111">
        <f t="shared" si="243"/>
        <v>0</v>
      </c>
      <c r="EU81" s="111">
        <f t="shared" si="243"/>
        <v>0</v>
      </c>
      <c r="EV81" s="356">
        <f t="shared" si="243"/>
        <v>0</v>
      </c>
      <c r="EW81" s="111">
        <f t="shared" si="243"/>
        <v>0</v>
      </c>
      <c r="EX81" s="111">
        <f t="shared" si="243"/>
        <v>0</v>
      </c>
      <c r="EY81" s="111">
        <f t="shared" si="243"/>
        <v>0</v>
      </c>
      <c r="EZ81" s="356">
        <f t="shared" si="243"/>
        <v>0</v>
      </c>
      <c r="FA81" s="356">
        <f t="shared" si="243"/>
        <v>0</v>
      </c>
      <c r="FB81" s="356">
        <f t="shared" si="243"/>
        <v>44366179.390000038</v>
      </c>
      <c r="FC81" s="111"/>
    </row>
    <row r="82" spans="2:159" ht="21" hidden="1">
      <c r="B82" s="29" t="s">
        <v>574</v>
      </c>
      <c r="C82" s="5"/>
      <c r="E82" s="111">
        <f>SUM(E25)</f>
        <v>1958966</v>
      </c>
      <c r="F82" s="111">
        <f>SUM(F25)</f>
        <v>1958966</v>
      </c>
      <c r="G82" s="111">
        <f>SUM(G25)</f>
        <v>1958966</v>
      </c>
      <c r="H82" s="356">
        <f>H25</f>
        <v>5876898</v>
      </c>
      <c r="I82" s="111">
        <f>SUM(I25)</f>
        <v>1758966</v>
      </c>
      <c r="J82" s="111">
        <f>SUM(J25)</f>
        <v>1758966</v>
      </c>
      <c r="K82" s="111">
        <f>SUM(K25)</f>
        <v>1758966</v>
      </c>
      <c r="L82" s="356">
        <f>L25</f>
        <v>5276898</v>
      </c>
      <c r="M82" s="111">
        <f>SUM(M25)</f>
        <v>864366</v>
      </c>
      <c r="N82" s="111">
        <f>SUM(N25)</f>
        <v>864366</v>
      </c>
      <c r="O82" s="111">
        <f>SUM(O25)</f>
        <v>864366</v>
      </c>
      <c r="P82" s="356">
        <f>+P26+P27+P28+P29+P30+P32</f>
        <v>5093097.99</v>
      </c>
      <c r="Q82" s="111">
        <f>SUM(Q25)</f>
        <v>450000</v>
      </c>
      <c r="R82" s="111">
        <f t="shared" ref="R82:S82" si="244">SUM(R25)</f>
        <v>450000</v>
      </c>
      <c r="S82" s="111">
        <f t="shared" si="244"/>
        <v>450000</v>
      </c>
      <c r="T82" s="356">
        <f>T25</f>
        <v>1350000</v>
      </c>
      <c r="U82" s="356">
        <f>U25</f>
        <v>15096894</v>
      </c>
      <c r="V82" s="111">
        <f>SUM(V25)</f>
        <v>-220000</v>
      </c>
      <c r="W82" s="111">
        <f t="shared" ref="W82:X82" si="245">SUM(W25)</f>
        <v>-220000</v>
      </c>
      <c r="X82" s="111">
        <f t="shared" si="245"/>
        <v>-220000</v>
      </c>
      <c r="Y82" s="356">
        <f>Y25</f>
        <v>-660000</v>
      </c>
      <c r="Z82" s="111">
        <f>SUM(Z25)</f>
        <v>-120000</v>
      </c>
      <c r="AA82" s="111">
        <f t="shared" ref="AA82:AB82" si="246">SUM(AA25)</f>
        <v>-120000</v>
      </c>
      <c r="AB82" s="111">
        <f t="shared" si="246"/>
        <v>-120000</v>
      </c>
      <c r="AC82" s="356">
        <f>AC25</f>
        <v>-360000</v>
      </c>
      <c r="AD82" s="111">
        <f>SUM(AD25)</f>
        <v>0</v>
      </c>
      <c r="AE82" s="111">
        <f t="shared" ref="AE82:AF82" si="247">SUM(AE25)</f>
        <v>0</v>
      </c>
      <c r="AF82" s="111">
        <f t="shared" si="247"/>
        <v>0</v>
      </c>
      <c r="AG82" s="356">
        <f>AG25</f>
        <v>0</v>
      </c>
      <c r="AH82" s="111">
        <f>SUM(AH25)</f>
        <v>0</v>
      </c>
      <c r="AI82" s="111">
        <f t="shared" ref="AI82:AJ82" si="248">SUM(AI25)</f>
        <v>0</v>
      </c>
      <c r="AJ82" s="111">
        <f t="shared" si="248"/>
        <v>0</v>
      </c>
      <c r="AK82" s="356">
        <f>AK25</f>
        <v>0</v>
      </c>
      <c r="AL82" s="356">
        <f>AL25</f>
        <v>-1020000</v>
      </c>
      <c r="AM82" s="111">
        <f>SUM(AM25)</f>
        <v>0</v>
      </c>
      <c r="AN82" s="111">
        <f t="shared" ref="AN82:AO82" si="249">SUM(AN25)</f>
        <v>0</v>
      </c>
      <c r="AO82" s="111">
        <f t="shared" si="249"/>
        <v>0</v>
      </c>
      <c r="AP82" s="356">
        <f>AP25</f>
        <v>0</v>
      </c>
      <c r="AQ82" s="111">
        <f>SUM(AQ25)</f>
        <v>0</v>
      </c>
      <c r="AR82" s="111">
        <f t="shared" ref="AR82:AS82" si="250">SUM(AR25)</f>
        <v>0</v>
      </c>
      <c r="AS82" s="111">
        <f t="shared" si="250"/>
        <v>0</v>
      </c>
      <c r="AT82" s="356">
        <f>AT25</f>
        <v>0</v>
      </c>
      <c r="AU82" s="111">
        <f>SUM(AU25)</f>
        <v>0</v>
      </c>
      <c r="AV82" s="111">
        <f t="shared" ref="AV82:AW82" si="251">SUM(AV25)</f>
        <v>0</v>
      </c>
      <c r="AW82" s="111">
        <f t="shared" si="251"/>
        <v>0</v>
      </c>
      <c r="AX82" s="356">
        <f>AX25</f>
        <v>0</v>
      </c>
      <c r="AY82" s="111">
        <f>SUM(AY25)</f>
        <v>0</v>
      </c>
      <c r="AZ82" s="111">
        <f t="shared" ref="AZ82:BA82" si="252">SUM(AZ25)</f>
        <v>0</v>
      </c>
      <c r="BA82" s="111">
        <f t="shared" si="252"/>
        <v>0</v>
      </c>
      <c r="BB82" s="356">
        <f>BB25</f>
        <v>0</v>
      </c>
      <c r="BC82" s="356">
        <f>BC25</f>
        <v>0</v>
      </c>
      <c r="BD82" s="111">
        <f>SUM(BD25)</f>
        <v>-410119.47</v>
      </c>
      <c r="BE82" s="111">
        <f t="shared" ref="BE82:BF82" si="253">SUM(BE25)</f>
        <v>-410119.47</v>
      </c>
      <c r="BF82" s="111">
        <f t="shared" si="253"/>
        <v>-410119.47</v>
      </c>
      <c r="BG82" s="356">
        <f>BG25</f>
        <v>-1230358.4099999999</v>
      </c>
      <c r="BH82" s="111">
        <f>SUM(BH25)</f>
        <v>-368248.44999999995</v>
      </c>
      <c r="BI82" s="111">
        <f t="shared" ref="BI82:BJ82" si="254">SUM(BI25)</f>
        <v>-368248.44999999995</v>
      </c>
      <c r="BJ82" s="111">
        <f t="shared" si="254"/>
        <v>-368248.44999999995</v>
      </c>
      <c r="BK82" s="356">
        <f>BK25</f>
        <v>-1104745.3499999999</v>
      </c>
      <c r="BL82" s="111">
        <f>SUM(BL25)</f>
        <v>-180959.4</v>
      </c>
      <c r="BM82" s="111">
        <f t="shared" ref="BM82:BN82" si="255">SUM(BM25)</f>
        <v>-180959.4</v>
      </c>
      <c r="BN82" s="111">
        <f t="shared" si="255"/>
        <v>-180959.4</v>
      </c>
      <c r="BO82" s="356">
        <f>BO25</f>
        <v>-542878.19999999995</v>
      </c>
      <c r="BP82" s="111">
        <f>SUM(BP25)</f>
        <v>-94209.78</v>
      </c>
      <c r="BQ82" s="111">
        <f t="shared" ref="BQ82:BR82" si="256">SUM(BQ25)</f>
        <v>-94209.78</v>
      </c>
      <c r="BR82" s="111">
        <f t="shared" si="256"/>
        <v>-94209.78</v>
      </c>
      <c r="BS82" s="356">
        <f>BS25</f>
        <v>-282629.33999999997</v>
      </c>
      <c r="BT82" s="356">
        <f>BT25</f>
        <v>-3160611.3</v>
      </c>
      <c r="BU82" s="111">
        <f>SUM(BU25)</f>
        <v>0</v>
      </c>
      <c r="BV82" s="111">
        <f t="shared" ref="BV82:BW82" si="257">SUM(BV25)</f>
        <v>0</v>
      </c>
      <c r="BW82" s="111">
        <f t="shared" si="257"/>
        <v>0</v>
      </c>
      <c r="BX82" s="356">
        <f>BX25</f>
        <v>0</v>
      </c>
      <c r="BY82" s="111">
        <f>SUM(BY25)</f>
        <v>0</v>
      </c>
      <c r="BZ82" s="111">
        <f t="shared" ref="BZ82:CA82" si="258">SUM(BZ25)</f>
        <v>0</v>
      </c>
      <c r="CA82" s="111">
        <f t="shared" si="258"/>
        <v>0</v>
      </c>
      <c r="CB82" s="356">
        <f>CB25</f>
        <v>0</v>
      </c>
      <c r="CC82" s="111">
        <f>SUM(CC25)</f>
        <v>0</v>
      </c>
      <c r="CD82" s="111">
        <f t="shared" ref="CD82:CE82" si="259">SUM(CD25)</f>
        <v>0</v>
      </c>
      <c r="CE82" s="111">
        <f t="shared" si="259"/>
        <v>0</v>
      </c>
      <c r="CF82" s="356">
        <f>CF25</f>
        <v>0</v>
      </c>
      <c r="CG82" s="111">
        <f>SUM(CG25)</f>
        <v>0</v>
      </c>
      <c r="CH82" s="111">
        <f t="shared" ref="CH82:CI82" si="260">SUM(CH25)</f>
        <v>0</v>
      </c>
      <c r="CI82" s="111">
        <f t="shared" si="260"/>
        <v>0</v>
      </c>
      <c r="CJ82" s="356">
        <f>CJ25</f>
        <v>0</v>
      </c>
      <c r="CK82" s="356">
        <f>CK25</f>
        <v>0</v>
      </c>
      <c r="CL82" s="111">
        <f>SUM(CL25)</f>
        <v>-97282.420000000013</v>
      </c>
      <c r="CM82" s="111">
        <f t="shared" ref="CM82:CN82" si="261">SUM(CM25)</f>
        <v>-97282.420000000013</v>
      </c>
      <c r="CN82" s="111">
        <f t="shared" si="261"/>
        <v>-97282.420000000013</v>
      </c>
      <c r="CO82" s="356">
        <f>CO25</f>
        <v>-291847.26</v>
      </c>
      <c r="CP82" s="111">
        <f>SUM(CP25)</f>
        <v>-87350.399999999994</v>
      </c>
      <c r="CQ82" s="111">
        <f t="shared" ref="CQ82:CR82" si="262">SUM(CQ25)</f>
        <v>-87350.399999999994</v>
      </c>
      <c r="CR82" s="111">
        <f t="shared" si="262"/>
        <v>-87350.399999999994</v>
      </c>
      <c r="CS82" s="356">
        <f>CS25</f>
        <v>-262051.20000000001</v>
      </c>
      <c r="CT82" s="111">
        <f>SUM(CT25)</f>
        <v>-42924.490000000005</v>
      </c>
      <c r="CU82" s="111">
        <f t="shared" ref="CU82:CV82" si="263">SUM(CU25)</f>
        <v>-42924.490000000005</v>
      </c>
      <c r="CV82" s="111">
        <f t="shared" si="263"/>
        <v>-42924.490000000005</v>
      </c>
      <c r="CW82" s="356">
        <f>CW25</f>
        <v>-128773.47</v>
      </c>
      <c r="CX82" s="111">
        <f>SUM(CX25)</f>
        <v>-22347.040000000001</v>
      </c>
      <c r="CY82" s="111">
        <f t="shared" ref="CY82:CZ82" si="264">SUM(CY25)</f>
        <v>-22347.040000000001</v>
      </c>
      <c r="CZ82" s="111">
        <f t="shared" si="264"/>
        <v>-22347.040000000001</v>
      </c>
      <c r="DA82" s="356">
        <f>DA25</f>
        <v>-67041.119999999995</v>
      </c>
      <c r="DB82" s="356">
        <f>DB25</f>
        <v>-749713.05</v>
      </c>
      <c r="DC82" s="111">
        <f>SUM(DC25)</f>
        <v>0</v>
      </c>
      <c r="DD82" s="111">
        <f t="shared" ref="DD82:DE82" si="265">SUM(DD25)</f>
        <v>0</v>
      </c>
      <c r="DE82" s="111">
        <f t="shared" si="265"/>
        <v>0</v>
      </c>
      <c r="DF82" s="356">
        <f>DF25</f>
        <v>0</v>
      </c>
      <c r="DG82" s="111">
        <f>SUM(DG25)</f>
        <v>0</v>
      </c>
      <c r="DH82" s="111">
        <f t="shared" ref="DH82:DI82" si="266">SUM(DH25)</f>
        <v>0</v>
      </c>
      <c r="DI82" s="111">
        <f t="shared" si="266"/>
        <v>0</v>
      </c>
      <c r="DJ82" s="356">
        <f>DJ25</f>
        <v>0</v>
      </c>
      <c r="DK82" s="111">
        <f>SUM(DK25)</f>
        <v>0</v>
      </c>
      <c r="DL82" s="111">
        <f t="shared" ref="DL82:DM82" si="267">SUM(DL25)</f>
        <v>0</v>
      </c>
      <c r="DM82" s="111">
        <f t="shared" si="267"/>
        <v>0</v>
      </c>
      <c r="DN82" s="356">
        <f>DN25</f>
        <v>0</v>
      </c>
      <c r="DO82" s="111">
        <f>SUM(DO25)</f>
        <v>0</v>
      </c>
      <c r="DP82" s="111">
        <f t="shared" ref="DP82:DQ82" si="268">SUM(DP25)</f>
        <v>0</v>
      </c>
      <c r="DQ82" s="111">
        <f t="shared" si="268"/>
        <v>0</v>
      </c>
      <c r="DR82" s="356">
        <f>DR25</f>
        <v>0</v>
      </c>
      <c r="DS82" s="356">
        <f>DS25</f>
        <v>0</v>
      </c>
      <c r="DT82" s="111">
        <f>SUM(DT25)</f>
        <v>-146059</v>
      </c>
      <c r="DU82" s="111">
        <f t="shared" ref="DU82:DV82" si="269">SUM(DU25)</f>
        <v>-146059</v>
      </c>
      <c r="DV82" s="111">
        <f t="shared" si="269"/>
        <v>-193608</v>
      </c>
      <c r="DW82" s="356">
        <f>DW25</f>
        <v>-485726</v>
      </c>
      <c r="DX82" s="111">
        <f>SUM(DX25)</f>
        <v>-119977</v>
      </c>
      <c r="DY82" s="111">
        <f t="shared" ref="DY82:DZ82" si="270">SUM(DY25)</f>
        <v>-119977</v>
      </c>
      <c r="DZ82" s="111">
        <f t="shared" si="270"/>
        <v>-167526</v>
      </c>
      <c r="EA82" s="356">
        <f>EA25</f>
        <v>-407480</v>
      </c>
      <c r="EB82" s="111">
        <f>SUM(EB25)</f>
        <v>0</v>
      </c>
      <c r="EC82" s="111">
        <f t="shared" ref="EC82:ED82" si="271">SUM(EC25)</f>
        <v>0</v>
      </c>
      <c r="ED82" s="111">
        <f t="shared" si="271"/>
        <v>0</v>
      </c>
      <c r="EE82" s="356">
        <f>EE25</f>
        <v>0</v>
      </c>
      <c r="EF82" s="111">
        <f>SUM(EF25)</f>
        <v>0</v>
      </c>
      <c r="EG82" s="111">
        <f t="shared" ref="EG82:EH82" si="272">SUM(EG25)</f>
        <v>0</v>
      </c>
      <c r="EH82" s="111">
        <f t="shared" si="272"/>
        <v>0</v>
      </c>
      <c r="EI82" s="356">
        <f>EI25</f>
        <v>0</v>
      </c>
      <c r="EJ82" s="356">
        <f>EJ25</f>
        <v>-893206</v>
      </c>
      <c r="EK82" s="111">
        <f>SUM(EK25)</f>
        <v>0</v>
      </c>
      <c r="EL82" s="111">
        <f t="shared" ref="EL82:EM82" si="273">SUM(EL25)</f>
        <v>0</v>
      </c>
      <c r="EM82" s="111">
        <f t="shared" si="273"/>
        <v>0</v>
      </c>
      <c r="EN82" s="356">
        <f>EN25</f>
        <v>0</v>
      </c>
      <c r="EO82" s="111">
        <f>SUM(EO25)</f>
        <v>0</v>
      </c>
      <c r="EP82" s="111">
        <f t="shared" ref="EP82:EQ82" si="274">SUM(EP25)</f>
        <v>0</v>
      </c>
      <c r="EQ82" s="111">
        <f t="shared" si="274"/>
        <v>0</v>
      </c>
      <c r="ER82" s="356">
        <f>ER25</f>
        <v>0</v>
      </c>
      <c r="ES82" s="111">
        <f>SUM(ES25)</f>
        <v>0</v>
      </c>
      <c r="ET82" s="111">
        <f t="shared" ref="ET82:EU82" si="275">SUM(ET25)</f>
        <v>0</v>
      </c>
      <c r="EU82" s="111">
        <f t="shared" si="275"/>
        <v>0</v>
      </c>
      <c r="EV82" s="356">
        <f>EV25</f>
        <v>0</v>
      </c>
      <c r="EW82" s="111">
        <f>SUM(EW25)</f>
        <v>0</v>
      </c>
      <c r="EX82" s="111">
        <f t="shared" ref="EX82:EY82" si="276">SUM(EX25)</f>
        <v>0</v>
      </c>
      <c r="EY82" s="111">
        <f t="shared" si="276"/>
        <v>0</v>
      </c>
      <c r="EZ82" s="356">
        <f>EZ25</f>
        <v>0</v>
      </c>
      <c r="FA82" s="356">
        <f>FA25</f>
        <v>0</v>
      </c>
      <c r="FB82" s="356">
        <f>FB25</f>
        <v>9273363.6500000004</v>
      </c>
      <c r="FC82" s="111"/>
    </row>
    <row r="83" spans="2:159" hidden="1">
      <c r="C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</row>
    <row r="84" spans="2:159" hidden="1">
      <c r="C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111"/>
      <c r="EL84" s="111"/>
      <c r="EM84" s="111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</row>
    <row r="85" spans="2:159" ht="18" hidden="1">
      <c r="B85" s="355" t="s">
        <v>191</v>
      </c>
      <c r="C85" s="5"/>
      <c r="E85" s="111"/>
      <c r="F85" s="111"/>
      <c r="G85" s="111"/>
      <c r="H85" s="356"/>
      <c r="I85" s="111"/>
      <c r="J85" s="111"/>
      <c r="K85" s="111"/>
      <c r="L85" s="356"/>
      <c r="M85" s="111"/>
      <c r="N85" s="111"/>
      <c r="O85" s="111"/>
      <c r="P85" s="356"/>
      <c r="Q85" s="111"/>
      <c r="R85" s="111"/>
      <c r="S85" s="111"/>
      <c r="T85" s="356"/>
      <c r="U85" s="111"/>
      <c r="V85" s="111">
        <f t="shared" ref="V85:CG85" si="277">V5-V86</f>
        <v>-15749153.326666661</v>
      </c>
      <c r="W85" s="111">
        <f t="shared" si="277"/>
        <v>-11985315.326666661</v>
      </c>
      <c r="X85" s="111">
        <f t="shared" si="277"/>
        <v>-16526628.726666661</v>
      </c>
      <c r="Y85" s="356">
        <f t="shared" si="277"/>
        <v>-44261097.37999998</v>
      </c>
      <c r="Z85" s="111">
        <f t="shared" si="277"/>
        <v>-16470273.326666661</v>
      </c>
      <c r="AA85" s="111">
        <f t="shared" si="277"/>
        <v>-12970273.326666661</v>
      </c>
      <c r="AB85" s="111">
        <f t="shared" si="277"/>
        <v>-11970273.326666661</v>
      </c>
      <c r="AC85" s="356">
        <f t="shared" si="277"/>
        <v>-41410819.979999982</v>
      </c>
      <c r="AD85" s="111">
        <f t="shared" si="277"/>
        <v>-9835553.3266666606</v>
      </c>
      <c r="AE85" s="111">
        <f t="shared" si="277"/>
        <v>-7200833.3266666606</v>
      </c>
      <c r="AF85" s="111">
        <f t="shared" si="277"/>
        <v>-7200833.3266666606</v>
      </c>
      <c r="AG85" s="356">
        <f t="shared" si="277"/>
        <v>-24237219.979999982</v>
      </c>
      <c r="AH85" s="111">
        <f t="shared" si="277"/>
        <v>-7200833.3266666606</v>
      </c>
      <c r="AI85" s="111">
        <f t="shared" si="277"/>
        <v>-7200833.3266666606</v>
      </c>
      <c r="AJ85" s="111">
        <f t="shared" si="277"/>
        <v>-7200833.3266666606</v>
      </c>
      <c r="AK85" s="356">
        <f t="shared" si="277"/>
        <v>-21602499.979999982</v>
      </c>
      <c r="AL85" s="356">
        <f t="shared" si="277"/>
        <v>-131511637.31999993</v>
      </c>
      <c r="AM85" s="111">
        <f t="shared" si="277"/>
        <v>-320625</v>
      </c>
      <c r="AN85" s="111">
        <f t="shared" si="277"/>
        <v>-339200</v>
      </c>
      <c r="AO85" s="111">
        <f t="shared" si="277"/>
        <v>-213014.53999999998</v>
      </c>
      <c r="AP85" s="356">
        <f t="shared" si="277"/>
        <v>-872839.54</v>
      </c>
      <c r="AQ85" s="111">
        <f t="shared" si="277"/>
        <v>-103973</v>
      </c>
      <c r="AR85" s="111">
        <f t="shared" si="277"/>
        <v>-25000</v>
      </c>
      <c r="AS85" s="111">
        <f t="shared" si="277"/>
        <v>-25000</v>
      </c>
      <c r="AT85" s="356">
        <f t="shared" si="277"/>
        <v>-153973</v>
      </c>
      <c r="AU85" s="111">
        <f t="shared" si="277"/>
        <v>-25000</v>
      </c>
      <c r="AV85" s="111">
        <f t="shared" si="277"/>
        <v>-25000</v>
      </c>
      <c r="AW85" s="111">
        <f t="shared" si="277"/>
        <v>-25000</v>
      </c>
      <c r="AX85" s="356">
        <f t="shared" si="277"/>
        <v>-75000</v>
      </c>
      <c r="AY85" s="111">
        <f t="shared" si="277"/>
        <v>-25000</v>
      </c>
      <c r="AZ85" s="111">
        <f t="shared" si="277"/>
        <v>-25000</v>
      </c>
      <c r="BA85" s="111">
        <f t="shared" si="277"/>
        <v>-11484</v>
      </c>
      <c r="BB85" s="356">
        <f t="shared" si="277"/>
        <v>-61484</v>
      </c>
      <c r="BC85" s="356">
        <f t="shared" si="277"/>
        <v>-1163296.54</v>
      </c>
      <c r="BD85" s="111">
        <f t="shared" si="277"/>
        <v>-3820022.5900000008</v>
      </c>
      <c r="BE85" s="111">
        <f t="shared" si="277"/>
        <v>-7442167.9299999997</v>
      </c>
      <c r="BF85" s="111">
        <f t="shared" si="277"/>
        <v>-5962312.0499999998</v>
      </c>
      <c r="BG85" s="356">
        <f t="shared" si="277"/>
        <v>-17224502.569999997</v>
      </c>
      <c r="BH85" s="111">
        <f t="shared" si="277"/>
        <v>-5962312.0499999998</v>
      </c>
      <c r="BI85" s="111">
        <f t="shared" si="277"/>
        <v>-5962312.0499999998</v>
      </c>
      <c r="BJ85" s="111">
        <f t="shared" si="277"/>
        <v>-5962312.0499999998</v>
      </c>
      <c r="BK85" s="356">
        <f t="shared" si="277"/>
        <v>-17886936.149999999</v>
      </c>
      <c r="BL85" s="111">
        <f t="shared" si="277"/>
        <v>-5718064.459999999</v>
      </c>
      <c r="BM85" s="111">
        <f t="shared" si="277"/>
        <v>-5718064.459999999</v>
      </c>
      <c r="BN85" s="111">
        <f t="shared" si="277"/>
        <v>-3912376.92</v>
      </c>
      <c r="BO85" s="356">
        <f t="shared" si="277"/>
        <v>-15348505.84</v>
      </c>
      <c r="BP85" s="111">
        <f t="shared" si="277"/>
        <v>-4003313.64</v>
      </c>
      <c r="BQ85" s="111">
        <f t="shared" si="277"/>
        <v>-2475766.8300000005</v>
      </c>
      <c r="BR85" s="111">
        <f t="shared" si="277"/>
        <v>-2475766.8300000005</v>
      </c>
      <c r="BS85" s="356">
        <f t="shared" si="277"/>
        <v>-8954847.3000000007</v>
      </c>
      <c r="BT85" s="356">
        <f t="shared" si="277"/>
        <v>-59414791.859999999</v>
      </c>
      <c r="BU85" s="111">
        <f t="shared" si="277"/>
        <v>0</v>
      </c>
      <c r="BV85" s="111">
        <f t="shared" si="277"/>
        <v>0</v>
      </c>
      <c r="BW85" s="111">
        <f t="shared" si="277"/>
        <v>0</v>
      </c>
      <c r="BX85" s="356">
        <f t="shared" si="277"/>
        <v>0</v>
      </c>
      <c r="BY85" s="111">
        <f t="shared" si="277"/>
        <v>0</v>
      </c>
      <c r="BZ85" s="111">
        <f t="shared" si="277"/>
        <v>0</v>
      </c>
      <c r="CA85" s="111">
        <f t="shared" si="277"/>
        <v>0</v>
      </c>
      <c r="CB85" s="356">
        <f t="shared" si="277"/>
        <v>0</v>
      </c>
      <c r="CC85" s="111">
        <f t="shared" si="277"/>
        <v>0</v>
      </c>
      <c r="CD85" s="111">
        <f t="shared" si="277"/>
        <v>0</v>
      </c>
      <c r="CE85" s="111">
        <f t="shared" si="277"/>
        <v>0</v>
      </c>
      <c r="CF85" s="356">
        <f t="shared" si="277"/>
        <v>0</v>
      </c>
      <c r="CG85" s="111">
        <f t="shared" si="277"/>
        <v>0</v>
      </c>
      <c r="CH85" s="111">
        <f t="shared" ref="CH85:ES85" si="278">CH5-CH86</f>
        <v>0</v>
      </c>
      <c r="CI85" s="111">
        <f t="shared" si="278"/>
        <v>0</v>
      </c>
      <c r="CJ85" s="356">
        <f t="shared" si="278"/>
        <v>0</v>
      </c>
      <c r="CK85" s="356">
        <f t="shared" si="278"/>
        <v>0</v>
      </c>
      <c r="CL85" s="111">
        <f t="shared" si="278"/>
        <v>-912526.07</v>
      </c>
      <c r="CM85" s="111">
        <f t="shared" si="278"/>
        <v>-1771717.1900000002</v>
      </c>
      <c r="CN85" s="111">
        <f t="shared" si="278"/>
        <v>-1420687.9300000002</v>
      </c>
      <c r="CO85" s="356">
        <f t="shared" si="278"/>
        <v>-4104931.1900000004</v>
      </c>
      <c r="CP85" s="111">
        <f t="shared" si="278"/>
        <v>-1420687.9300000002</v>
      </c>
      <c r="CQ85" s="111">
        <f t="shared" si="278"/>
        <v>-1420687.9300000002</v>
      </c>
      <c r="CR85" s="111">
        <f t="shared" si="278"/>
        <v>-1420687.9300000002</v>
      </c>
      <c r="CS85" s="356">
        <f t="shared" si="278"/>
        <v>-4262063.79</v>
      </c>
      <c r="CT85" s="111">
        <f t="shared" si="278"/>
        <v>-1362751.1700000002</v>
      </c>
      <c r="CU85" s="111">
        <f t="shared" si="278"/>
        <v>-1362751.1700000002</v>
      </c>
      <c r="CV85" s="111">
        <f t="shared" si="278"/>
        <v>-934433</v>
      </c>
      <c r="CW85" s="356">
        <f t="shared" si="278"/>
        <v>-3659935.34</v>
      </c>
      <c r="CX85" s="111">
        <f t="shared" si="278"/>
        <v>-956003.65</v>
      </c>
      <c r="CY85" s="111">
        <f t="shared" si="278"/>
        <v>-593661.86</v>
      </c>
      <c r="CZ85" s="111">
        <f t="shared" si="278"/>
        <v>-593661.86</v>
      </c>
      <c r="DA85" s="356">
        <f t="shared" si="278"/>
        <v>-2143327.37</v>
      </c>
      <c r="DB85" s="356">
        <f t="shared" si="278"/>
        <v>-14170257.689999999</v>
      </c>
      <c r="DC85" s="111">
        <f t="shared" si="278"/>
        <v>-2016666.67</v>
      </c>
      <c r="DD85" s="111">
        <f t="shared" si="278"/>
        <v>-1678287.47</v>
      </c>
      <c r="DE85" s="111">
        <f t="shared" si="278"/>
        <v>-1610611.63</v>
      </c>
      <c r="DF85" s="356">
        <f t="shared" si="278"/>
        <v>-5305565.7700000005</v>
      </c>
      <c r="DG85" s="111">
        <f t="shared" si="278"/>
        <v>-1610611.63</v>
      </c>
      <c r="DH85" s="111">
        <f t="shared" si="278"/>
        <v>-1610611.63</v>
      </c>
      <c r="DI85" s="111">
        <f t="shared" si="278"/>
        <v>-1642935.79</v>
      </c>
      <c r="DJ85" s="356">
        <f t="shared" si="278"/>
        <v>-4864159.0500000007</v>
      </c>
      <c r="DK85" s="111">
        <f t="shared" si="278"/>
        <v>-976269.12</v>
      </c>
      <c r="DL85" s="111">
        <f t="shared" si="278"/>
        <v>-976269.12</v>
      </c>
      <c r="DM85" s="111">
        <f t="shared" si="278"/>
        <v>-976269.12</v>
      </c>
      <c r="DN85" s="356">
        <f t="shared" si="278"/>
        <v>-2928807.36</v>
      </c>
      <c r="DO85" s="111">
        <f t="shared" si="278"/>
        <v>-907522.87</v>
      </c>
      <c r="DP85" s="111">
        <f t="shared" si="278"/>
        <v>-846972.48</v>
      </c>
      <c r="DQ85" s="111">
        <f t="shared" si="278"/>
        <v>-846972.48</v>
      </c>
      <c r="DR85" s="356">
        <f t="shared" si="278"/>
        <v>-2601467.83</v>
      </c>
      <c r="DS85" s="356">
        <f t="shared" si="278"/>
        <v>-15700000.010000002</v>
      </c>
      <c r="DT85" s="111">
        <f t="shared" si="278"/>
        <v>-357066.29000000004</v>
      </c>
      <c r="DU85" s="111">
        <f t="shared" si="278"/>
        <v>-357066.29000000004</v>
      </c>
      <c r="DV85" s="111">
        <f t="shared" si="278"/>
        <v>-367066.29000000004</v>
      </c>
      <c r="DW85" s="356">
        <f t="shared" si="278"/>
        <v>-1081198.8700000001</v>
      </c>
      <c r="DX85" s="111">
        <f t="shared" si="278"/>
        <v>-308582.38</v>
      </c>
      <c r="DY85" s="111">
        <f t="shared" si="278"/>
        <v>-298582.34999999998</v>
      </c>
      <c r="DZ85" s="111">
        <f t="shared" si="278"/>
        <v>-298582.34999999998</v>
      </c>
      <c r="EA85" s="356">
        <f t="shared" si="278"/>
        <v>-905747.08000000007</v>
      </c>
      <c r="EB85" s="111">
        <f t="shared" si="278"/>
        <v>-288582.34999999998</v>
      </c>
      <c r="EC85" s="111">
        <f t="shared" si="278"/>
        <v>-288582.34999999998</v>
      </c>
      <c r="ED85" s="111">
        <f t="shared" si="278"/>
        <v>-336131.35</v>
      </c>
      <c r="EE85" s="356">
        <f t="shared" si="278"/>
        <v>-913296.05</v>
      </c>
      <c r="EF85" s="111">
        <f t="shared" si="278"/>
        <v>-288582.34999999998</v>
      </c>
      <c r="EG85" s="111">
        <f t="shared" si="278"/>
        <v>-288582.34999999998</v>
      </c>
      <c r="EH85" s="111">
        <f t="shared" si="278"/>
        <v>-336131.35</v>
      </c>
      <c r="EI85" s="356">
        <f t="shared" si="278"/>
        <v>-913296.05</v>
      </c>
      <c r="EJ85" s="356">
        <f t="shared" si="278"/>
        <v>-3813538.05</v>
      </c>
      <c r="EK85" s="111">
        <f t="shared" si="278"/>
        <v>0</v>
      </c>
      <c r="EL85" s="111">
        <f t="shared" si="278"/>
        <v>0</v>
      </c>
      <c r="EM85" s="111">
        <f t="shared" si="278"/>
        <v>0</v>
      </c>
      <c r="EN85" s="356">
        <f t="shared" si="278"/>
        <v>0</v>
      </c>
      <c r="EO85" s="111">
        <f t="shared" si="278"/>
        <v>0</v>
      </c>
      <c r="EP85" s="111">
        <f t="shared" si="278"/>
        <v>0</v>
      </c>
      <c r="EQ85" s="111">
        <f t="shared" si="278"/>
        <v>0</v>
      </c>
      <c r="ER85" s="356">
        <f t="shared" si="278"/>
        <v>0</v>
      </c>
      <c r="ES85" s="111">
        <f t="shared" si="278"/>
        <v>0</v>
      </c>
      <c r="ET85" s="111">
        <f t="shared" ref="ET85:FB85" si="279">ET5-ET86</f>
        <v>0</v>
      </c>
      <c r="EU85" s="111">
        <f t="shared" si="279"/>
        <v>0</v>
      </c>
      <c r="EV85" s="356">
        <f t="shared" si="279"/>
        <v>0</v>
      </c>
      <c r="EW85" s="111">
        <f t="shared" si="279"/>
        <v>0</v>
      </c>
      <c r="EX85" s="111">
        <f t="shared" si="279"/>
        <v>0</v>
      </c>
      <c r="EY85" s="111">
        <f t="shared" si="279"/>
        <v>0</v>
      </c>
      <c r="EZ85" s="356">
        <f t="shared" si="279"/>
        <v>0</v>
      </c>
      <c r="FA85" s="356">
        <f t="shared" si="279"/>
        <v>0</v>
      </c>
      <c r="FB85" s="356">
        <f t="shared" si="279"/>
        <v>44366179.390000038</v>
      </c>
      <c r="FC85" s="111"/>
    </row>
    <row r="86" spans="2:159" ht="21" hidden="1">
      <c r="B86" s="29" t="s">
        <v>192</v>
      </c>
      <c r="C86" s="5"/>
      <c r="E86" s="111"/>
      <c r="F86" s="111"/>
      <c r="G86" s="111"/>
      <c r="H86" s="356"/>
      <c r="I86" s="111"/>
      <c r="J86" s="111"/>
      <c r="K86" s="111"/>
      <c r="L86" s="356"/>
      <c r="M86" s="111"/>
      <c r="N86" s="111"/>
      <c r="O86" s="111"/>
      <c r="P86" s="356"/>
      <c r="Q86" s="111"/>
      <c r="R86" s="111"/>
      <c r="S86" s="111"/>
      <c r="T86" s="356"/>
      <c r="U86" s="111"/>
      <c r="V86" s="111">
        <f t="shared" ref="V86:AO86" si="280">V25</f>
        <v>-220000</v>
      </c>
      <c r="W86" s="111">
        <f t="shared" si="280"/>
        <v>-220000</v>
      </c>
      <c r="X86" s="111">
        <f t="shared" si="280"/>
        <v>-220000</v>
      </c>
      <c r="Y86" s="356">
        <f t="shared" si="280"/>
        <v>-660000</v>
      </c>
      <c r="Z86" s="111">
        <f t="shared" si="280"/>
        <v>-120000</v>
      </c>
      <c r="AA86" s="111">
        <f t="shared" si="280"/>
        <v>-120000</v>
      </c>
      <c r="AB86" s="111">
        <f t="shared" si="280"/>
        <v>-120000</v>
      </c>
      <c r="AC86" s="356">
        <f t="shared" si="280"/>
        <v>-360000</v>
      </c>
      <c r="AD86" s="111">
        <f t="shared" si="280"/>
        <v>0</v>
      </c>
      <c r="AE86" s="111">
        <f t="shared" si="280"/>
        <v>0</v>
      </c>
      <c r="AF86" s="111">
        <f t="shared" si="280"/>
        <v>0</v>
      </c>
      <c r="AG86" s="356">
        <f t="shared" si="280"/>
        <v>0</v>
      </c>
      <c r="AH86" s="111">
        <f t="shared" si="280"/>
        <v>0</v>
      </c>
      <c r="AI86" s="111">
        <f t="shared" si="280"/>
        <v>0</v>
      </c>
      <c r="AJ86" s="111">
        <f t="shared" si="280"/>
        <v>0</v>
      </c>
      <c r="AK86" s="356">
        <f t="shared" si="280"/>
        <v>0</v>
      </c>
      <c r="AL86" s="356">
        <f t="shared" si="280"/>
        <v>-1020000</v>
      </c>
      <c r="AM86" s="111">
        <f t="shared" si="280"/>
        <v>0</v>
      </c>
      <c r="AN86" s="111">
        <f t="shared" si="280"/>
        <v>0</v>
      </c>
      <c r="AO86" s="111">
        <f t="shared" si="280"/>
        <v>0</v>
      </c>
      <c r="AP86" s="356">
        <f>AP25</f>
        <v>0</v>
      </c>
      <c r="AQ86" s="111">
        <f t="shared" ref="AQ86:AS86" si="281">AQ25</f>
        <v>0</v>
      </c>
      <c r="AR86" s="111">
        <f t="shared" si="281"/>
        <v>0</v>
      </c>
      <c r="AS86" s="111">
        <f t="shared" si="281"/>
        <v>0</v>
      </c>
      <c r="AT86" s="356">
        <f>AT25</f>
        <v>0</v>
      </c>
      <c r="AU86" s="111">
        <f t="shared" ref="AU86:AW86" si="282">AU25</f>
        <v>0</v>
      </c>
      <c r="AV86" s="111">
        <f t="shared" si="282"/>
        <v>0</v>
      </c>
      <c r="AW86" s="111">
        <f t="shared" si="282"/>
        <v>0</v>
      </c>
      <c r="AX86" s="356">
        <f>AX25</f>
        <v>0</v>
      </c>
      <c r="AY86" s="111">
        <f t="shared" ref="AY86:BA86" si="283">AY25</f>
        <v>0</v>
      </c>
      <c r="AZ86" s="111">
        <f t="shared" si="283"/>
        <v>0</v>
      </c>
      <c r="BA86" s="111">
        <f t="shared" si="283"/>
        <v>0</v>
      </c>
      <c r="BB86" s="356">
        <f>BB25</f>
        <v>0</v>
      </c>
      <c r="BC86" s="356">
        <f>BC25</f>
        <v>0</v>
      </c>
      <c r="BD86" s="111">
        <f t="shared" ref="BD86:BF86" si="284">BD25</f>
        <v>-410119.47</v>
      </c>
      <c r="BE86" s="111">
        <f t="shared" si="284"/>
        <v>-410119.47</v>
      </c>
      <c r="BF86" s="111">
        <f t="shared" si="284"/>
        <v>-410119.47</v>
      </c>
      <c r="BG86" s="356">
        <f>BG25</f>
        <v>-1230358.4099999999</v>
      </c>
      <c r="BH86" s="111">
        <f t="shared" ref="BH86:BJ86" si="285">BH25</f>
        <v>-368248.44999999995</v>
      </c>
      <c r="BI86" s="111">
        <f t="shared" si="285"/>
        <v>-368248.44999999995</v>
      </c>
      <c r="BJ86" s="111">
        <f t="shared" si="285"/>
        <v>-368248.44999999995</v>
      </c>
      <c r="BK86" s="356">
        <f>BK25</f>
        <v>-1104745.3499999999</v>
      </c>
      <c r="BL86" s="111">
        <f t="shared" ref="BL86:BN86" si="286">BL25</f>
        <v>-180959.4</v>
      </c>
      <c r="BM86" s="111">
        <f t="shared" si="286"/>
        <v>-180959.4</v>
      </c>
      <c r="BN86" s="111">
        <f t="shared" si="286"/>
        <v>-180959.4</v>
      </c>
      <c r="BO86" s="356">
        <f>BO25</f>
        <v>-542878.19999999995</v>
      </c>
      <c r="BP86" s="111">
        <f t="shared" ref="BP86:BR86" si="287">BP25</f>
        <v>-94209.78</v>
      </c>
      <c r="BQ86" s="111">
        <f t="shared" si="287"/>
        <v>-94209.78</v>
      </c>
      <c r="BR86" s="111">
        <f t="shared" si="287"/>
        <v>-94209.78</v>
      </c>
      <c r="BS86" s="356">
        <f>BS25</f>
        <v>-282629.33999999997</v>
      </c>
      <c r="BT86" s="356">
        <f>BT25</f>
        <v>-3160611.3</v>
      </c>
      <c r="BU86" s="111">
        <f t="shared" ref="BU86:BW86" si="288">BU25</f>
        <v>0</v>
      </c>
      <c r="BV86" s="111">
        <f t="shared" si="288"/>
        <v>0</v>
      </c>
      <c r="BW86" s="111">
        <f t="shared" si="288"/>
        <v>0</v>
      </c>
      <c r="BX86" s="356">
        <f>BX25</f>
        <v>0</v>
      </c>
      <c r="BY86" s="111">
        <f t="shared" ref="BY86:CA86" si="289">BY25</f>
        <v>0</v>
      </c>
      <c r="BZ86" s="111">
        <f t="shared" si="289"/>
        <v>0</v>
      </c>
      <c r="CA86" s="111">
        <f t="shared" si="289"/>
        <v>0</v>
      </c>
      <c r="CB86" s="356">
        <f>CB25</f>
        <v>0</v>
      </c>
      <c r="CC86" s="111">
        <f t="shared" ref="CC86:CE86" si="290">CC25</f>
        <v>0</v>
      </c>
      <c r="CD86" s="111">
        <f t="shared" si="290"/>
        <v>0</v>
      </c>
      <c r="CE86" s="111">
        <f t="shared" si="290"/>
        <v>0</v>
      </c>
      <c r="CF86" s="356">
        <f>CF25</f>
        <v>0</v>
      </c>
      <c r="CG86" s="111">
        <f t="shared" ref="CG86:CI86" si="291">CG25</f>
        <v>0</v>
      </c>
      <c r="CH86" s="111">
        <f t="shared" si="291"/>
        <v>0</v>
      </c>
      <c r="CI86" s="111">
        <f t="shared" si="291"/>
        <v>0</v>
      </c>
      <c r="CJ86" s="356">
        <f>CJ25</f>
        <v>0</v>
      </c>
      <c r="CK86" s="356">
        <f>CK25</f>
        <v>0</v>
      </c>
      <c r="CL86" s="111">
        <f t="shared" ref="CL86:CN86" si="292">CL25</f>
        <v>-97282.420000000013</v>
      </c>
      <c r="CM86" s="111">
        <f t="shared" si="292"/>
        <v>-97282.420000000013</v>
      </c>
      <c r="CN86" s="111">
        <f t="shared" si="292"/>
        <v>-97282.420000000013</v>
      </c>
      <c r="CO86" s="356">
        <f>CO25</f>
        <v>-291847.26</v>
      </c>
      <c r="CP86" s="111">
        <f t="shared" ref="CP86:CR86" si="293">CP25</f>
        <v>-87350.399999999994</v>
      </c>
      <c r="CQ86" s="111">
        <f t="shared" si="293"/>
        <v>-87350.399999999994</v>
      </c>
      <c r="CR86" s="111">
        <f t="shared" si="293"/>
        <v>-87350.399999999994</v>
      </c>
      <c r="CS86" s="356">
        <f>CS25</f>
        <v>-262051.20000000001</v>
      </c>
      <c r="CT86" s="111">
        <f t="shared" ref="CT86:CV86" si="294">CT25</f>
        <v>-42924.490000000005</v>
      </c>
      <c r="CU86" s="111">
        <f t="shared" si="294"/>
        <v>-42924.490000000005</v>
      </c>
      <c r="CV86" s="111">
        <f t="shared" si="294"/>
        <v>-42924.490000000005</v>
      </c>
      <c r="CW86" s="356">
        <f>CW25</f>
        <v>-128773.47</v>
      </c>
      <c r="CX86" s="111">
        <f t="shared" ref="CX86:CZ86" si="295">CX25</f>
        <v>-22347.040000000001</v>
      </c>
      <c r="CY86" s="111">
        <f t="shared" si="295"/>
        <v>-22347.040000000001</v>
      </c>
      <c r="CZ86" s="111">
        <f t="shared" si="295"/>
        <v>-22347.040000000001</v>
      </c>
      <c r="DA86" s="356">
        <f>DA25</f>
        <v>-67041.119999999995</v>
      </c>
      <c r="DB86" s="356">
        <f>DB25</f>
        <v>-749713.05</v>
      </c>
      <c r="DC86" s="111">
        <f t="shared" ref="DC86:DE86" si="296">DC25</f>
        <v>0</v>
      </c>
      <c r="DD86" s="111">
        <f t="shared" si="296"/>
        <v>0</v>
      </c>
      <c r="DE86" s="111">
        <f t="shared" si="296"/>
        <v>0</v>
      </c>
      <c r="DF86" s="356">
        <f>DF25</f>
        <v>0</v>
      </c>
      <c r="DG86" s="111">
        <f t="shared" ref="DG86:DI86" si="297">DG25</f>
        <v>0</v>
      </c>
      <c r="DH86" s="111">
        <f t="shared" si="297"/>
        <v>0</v>
      </c>
      <c r="DI86" s="111">
        <f t="shared" si="297"/>
        <v>0</v>
      </c>
      <c r="DJ86" s="356">
        <f>DJ25</f>
        <v>0</v>
      </c>
      <c r="DK86" s="111">
        <f t="shared" ref="DK86:DM86" si="298">DK25</f>
        <v>0</v>
      </c>
      <c r="DL86" s="111">
        <f t="shared" si="298"/>
        <v>0</v>
      </c>
      <c r="DM86" s="111">
        <f t="shared" si="298"/>
        <v>0</v>
      </c>
      <c r="DN86" s="356">
        <f>DN25</f>
        <v>0</v>
      </c>
      <c r="DO86" s="111">
        <f t="shared" ref="DO86:DQ86" si="299">DO25</f>
        <v>0</v>
      </c>
      <c r="DP86" s="111">
        <f t="shared" si="299"/>
        <v>0</v>
      </c>
      <c r="DQ86" s="111">
        <f t="shared" si="299"/>
        <v>0</v>
      </c>
      <c r="DR86" s="356">
        <f>DR25</f>
        <v>0</v>
      </c>
      <c r="DS86" s="356">
        <f>DS25</f>
        <v>0</v>
      </c>
      <c r="DT86" s="111">
        <f t="shared" ref="DT86:DV86" si="300">DT25</f>
        <v>-146059</v>
      </c>
      <c r="DU86" s="111">
        <f t="shared" si="300"/>
        <v>-146059</v>
      </c>
      <c r="DV86" s="111">
        <f t="shared" si="300"/>
        <v>-193608</v>
      </c>
      <c r="DW86" s="356">
        <f>DW25</f>
        <v>-485726</v>
      </c>
      <c r="DX86" s="111">
        <f t="shared" ref="DX86:DZ86" si="301">DX25</f>
        <v>-119977</v>
      </c>
      <c r="DY86" s="111">
        <f t="shared" si="301"/>
        <v>-119977</v>
      </c>
      <c r="DZ86" s="111">
        <f t="shared" si="301"/>
        <v>-167526</v>
      </c>
      <c r="EA86" s="356">
        <f>EA25</f>
        <v>-407480</v>
      </c>
      <c r="EB86" s="111">
        <f t="shared" ref="EB86:ED86" si="302">EB25</f>
        <v>0</v>
      </c>
      <c r="EC86" s="111">
        <f t="shared" si="302"/>
        <v>0</v>
      </c>
      <c r="ED86" s="111">
        <f t="shared" si="302"/>
        <v>0</v>
      </c>
      <c r="EE86" s="356">
        <f>EE25</f>
        <v>0</v>
      </c>
      <c r="EF86" s="111">
        <f t="shared" ref="EF86:EH86" si="303">EF25</f>
        <v>0</v>
      </c>
      <c r="EG86" s="111">
        <f t="shared" si="303"/>
        <v>0</v>
      </c>
      <c r="EH86" s="111">
        <f t="shared" si="303"/>
        <v>0</v>
      </c>
      <c r="EI86" s="356">
        <f>EI25</f>
        <v>0</v>
      </c>
      <c r="EJ86" s="356">
        <f>EJ25</f>
        <v>-893206</v>
      </c>
      <c r="EK86" s="111">
        <f t="shared" ref="EK86:EM86" si="304">EK25</f>
        <v>0</v>
      </c>
      <c r="EL86" s="111">
        <f t="shared" si="304"/>
        <v>0</v>
      </c>
      <c r="EM86" s="111">
        <f t="shared" si="304"/>
        <v>0</v>
      </c>
      <c r="EN86" s="356">
        <f>EN25</f>
        <v>0</v>
      </c>
      <c r="EO86" s="111">
        <f t="shared" ref="EO86:EQ86" si="305">EO25</f>
        <v>0</v>
      </c>
      <c r="EP86" s="111">
        <f t="shared" si="305"/>
        <v>0</v>
      </c>
      <c r="EQ86" s="111">
        <f t="shared" si="305"/>
        <v>0</v>
      </c>
      <c r="ER86" s="356">
        <f>ER25</f>
        <v>0</v>
      </c>
      <c r="ES86" s="111">
        <f t="shared" ref="ES86:EU86" si="306">ES25</f>
        <v>0</v>
      </c>
      <c r="ET86" s="111">
        <f t="shared" si="306"/>
        <v>0</v>
      </c>
      <c r="EU86" s="111">
        <f t="shared" si="306"/>
        <v>0</v>
      </c>
      <c r="EV86" s="356">
        <f>EV25</f>
        <v>0</v>
      </c>
      <c r="EW86" s="111">
        <f t="shared" ref="EW86:EY86" si="307">EW25</f>
        <v>0</v>
      </c>
      <c r="EX86" s="111">
        <f t="shared" si="307"/>
        <v>0</v>
      </c>
      <c r="EY86" s="111">
        <f t="shared" si="307"/>
        <v>0</v>
      </c>
      <c r="EZ86" s="356">
        <f>EZ25</f>
        <v>0</v>
      </c>
      <c r="FA86" s="356">
        <f>FA25</f>
        <v>0</v>
      </c>
      <c r="FB86" s="356">
        <f>FB25</f>
        <v>9273363.6500000004</v>
      </c>
      <c r="FC86" s="111"/>
    </row>
    <row r="87" spans="2:159" hidden="1">
      <c r="C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</row>
    <row r="88" spans="2:159" hidden="1">
      <c r="C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357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357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</row>
    <row r="89" spans="2:159" hidden="1">
      <c r="C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</row>
    <row r="90" spans="2:159" hidden="1">
      <c r="C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</row>
    <row r="91" spans="2:159" hidden="1">
      <c r="C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</row>
    <row r="92" spans="2:159" hidden="1">
      <c r="C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</row>
    <row r="93" spans="2:159">
      <c r="C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</row>
    <row r="94" spans="2:159">
      <c r="C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</row>
    <row r="95" spans="2:159">
      <c r="C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</row>
    <row r="96" spans="2:159">
      <c r="C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</row>
    <row r="97" spans="3:159">
      <c r="C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</row>
    <row r="98" spans="3:159">
      <c r="C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</row>
    <row r="99" spans="3:159">
      <c r="C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</row>
    <row r="100" spans="3:159">
      <c r="C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</row>
    <row r="101" spans="3:159">
      <c r="C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</row>
    <row r="102" spans="3:159">
      <c r="C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</row>
    <row r="103" spans="3:159">
      <c r="C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</row>
    <row r="104" spans="3:159">
      <c r="C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</row>
    <row r="105" spans="3:159">
      <c r="C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</row>
    <row r="106" spans="3:159">
      <c r="C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</row>
    <row r="107" spans="3:159">
      <c r="C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</row>
    <row r="108" spans="3:159">
      <c r="C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</row>
    <row r="109" spans="3:159">
      <c r="C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</row>
    <row r="110" spans="3:159">
      <c r="C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</row>
    <row r="111" spans="3:159">
      <c r="C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</row>
    <row r="112" spans="3:159">
      <c r="C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</row>
    <row r="113" spans="3:159">
      <c r="C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</row>
    <row r="114" spans="3:159">
      <c r="C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</row>
    <row r="115" spans="3:159">
      <c r="C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</row>
    <row r="116" spans="3:159">
      <c r="C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</row>
    <row r="117" spans="3:159">
      <c r="C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</row>
    <row r="118" spans="3:159">
      <c r="C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</row>
    <row r="119" spans="3:159">
      <c r="C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</row>
    <row r="120" spans="3:159">
      <c r="C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</row>
    <row r="121" spans="3:159">
      <c r="C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</row>
    <row r="122" spans="3:159">
      <c r="C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</row>
    <row r="123" spans="3:159">
      <c r="C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</row>
    <row r="124" spans="3:159">
      <c r="C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</row>
    <row r="125" spans="3:159">
      <c r="C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</row>
    <row r="126" spans="3:159">
      <c r="C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</row>
    <row r="127" spans="3:159">
      <c r="C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</row>
    <row r="128" spans="3:159">
      <c r="C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</row>
    <row r="129" spans="3:159">
      <c r="C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</row>
    <row r="130" spans="3:159">
      <c r="C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</row>
    <row r="131" spans="3:159">
      <c r="C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</row>
    <row r="132" spans="3:159">
      <c r="C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</row>
    <row r="133" spans="3:159">
      <c r="C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</row>
    <row r="134" spans="3:159">
      <c r="C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</row>
    <row r="135" spans="3:159">
      <c r="C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</row>
    <row r="136" spans="3:159">
      <c r="C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</row>
    <row r="137" spans="3:159">
      <c r="C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</row>
    <row r="138" spans="3:159">
      <c r="C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</row>
    <row r="139" spans="3:159">
      <c r="C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</row>
    <row r="140" spans="3:159">
      <c r="C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</row>
    <row r="141" spans="3:159">
      <c r="C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</row>
    <row r="142" spans="3:159">
      <c r="C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</row>
    <row r="143" spans="3:159">
      <c r="C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</row>
    <row r="144" spans="3:159">
      <c r="C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</row>
    <row r="145" spans="3:159">
      <c r="C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</row>
    <row r="146" spans="3:159">
      <c r="C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</row>
    <row r="147" spans="3:159">
      <c r="C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</row>
    <row r="148" spans="3:159">
      <c r="C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</row>
    <row r="149" spans="3:159">
      <c r="C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</row>
    <row r="150" spans="3:159">
      <c r="C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</row>
    <row r="151" spans="3:159">
      <c r="C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</row>
    <row r="152" spans="3:159">
      <c r="C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</row>
    <row r="153" spans="3:159">
      <c r="C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</row>
    <row r="154" spans="3:159">
      <c r="C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</row>
    <row r="155" spans="3:159">
      <c r="C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</row>
    <row r="156" spans="3:159">
      <c r="C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</row>
    <row r="157" spans="3:159">
      <c r="C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</row>
    <row r="158" spans="3:159">
      <c r="C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</row>
    <row r="159" spans="3:159">
      <c r="C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</row>
    <row r="160" spans="3:159">
      <c r="C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</row>
    <row r="161" spans="3:159">
      <c r="C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</row>
    <row r="162" spans="3:159">
      <c r="C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</row>
    <row r="163" spans="3:159">
      <c r="C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</row>
    <row r="164" spans="3:159">
      <c r="C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</row>
    <row r="165" spans="3:159">
      <c r="C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</row>
    <row r="166" spans="3:159">
      <c r="C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</row>
    <row r="167" spans="3:159">
      <c r="C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</row>
    <row r="168" spans="3:159">
      <c r="C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</row>
    <row r="169" spans="3:159">
      <c r="C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</row>
    <row r="170" spans="3:159">
      <c r="C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</row>
    <row r="171" spans="3:159">
      <c r="C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</row>
    <row r="172" spans="3:159">
      <c r="C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</row>
    <row r="173" spans="3:159">
      <c r="C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</row>
    <row r="174" spans="3:159">
      <c r="C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</row>
    <row r="175" spans="3:159">
      <c r="C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</row>
    <row r="176" spans="3:159">
      <c r="C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</row>
    <row r="177" spans="3:159">
      <c r="C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</row>
    <row r="178" spans="3:159">
      <c r="C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</row>
    <row r="179" spans="3:159">
      <c r="C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</row>
    <row r="180" spans="3:159">
      <c r="C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</row>
    <row r="181" spans="3:159">
      <c r="C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</row>
    <row r="182" spans="3:159">
      <c r="C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</row>
    <row r="183" spans="3:159">
      <c r="C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</row>
    <row r="184" spans="3:159">
      <c r="C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</row>
    <row r="185" spans="3:159">
      <c r="C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</row>
    <row r="186" spans="3:159">
      <c r="C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</row>
    <row r="187" spans="3:159">
      <c r="C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</row>
    <row r="188" spans="3:159">
      <c r="C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</row>
    <row r="189" spans="3:159">
      <c r="C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</row>
    <row r="190" spans="3:159">
      <c r="C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</row>
    <row r="191" spans="3:159">
      <c r="C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</row>
    <row r="192" spans="3:159">
      <c r="C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</row>
    <row r="193" spans="3:159">
      <c r="C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</row>
    <row r="194" spans="3:159">
      <c r="C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</row>
    <row r="195" spans="3:159">
      <c r="C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</row>
    <row r="196" spans="3:159">
      <c r="C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</row>
    <row r="197" spans="3:159">
      <c r="C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</row>
    <row r="198" spans="3:159">
      <c r="C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</row>
    <row r="199" spans="3:159">
      <c r="C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</row>
    <row r="200" spans="3:159">
      <c r="C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</row>
    <row r="201" spans="3:159">
      <c r="C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</row>
    <row r="202" spans="3:159">
      <c r="C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</row>
    <row r="203" spans="3:159">
      <c r="C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</row>
    <row r="204" spans="3:159">
      <c r="C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</row>
    <row r="205" spans="3:159">
      <c r="C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</row>
    <row r="206" spans="3:159">
      <c r="C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</row>
    <row r="207" spans="3:159">
      <c r="C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</row>
    <row r="208" spans="3:159">
      <c r="C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</row>
    <row r="209" spans="3:159">
      <c r="C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</row>
    <row r="210" spans="3:159">
      <c r="C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</row>
    <row r="211" spans="3:159">
      <c r="C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</row>
    <row r="212" spans="3:159">
      <c r="C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</row>
    <row r="213" spans="3:159">
      <c r="C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</row>
    <row r="214" spans="3:159">
      <c r="C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</row>
    <row r="215" spans="3:159">
      <c r="C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</row>
    <row r="216" spans="3:159">
      <c r="C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</row>
    <row r="217" spans="3:159">
      <c r="C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</row>
    <row r="218" spans="3:159">
      <c r="C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</row>
    <row r="219" spans="3:159">
      <c r="C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</row>
    <row r="220" spans="3:159">
      <c r="C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</row>
    <row r="221" spans="3:159">
      <c r="C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</row>
    <row r="222" spans="3:159">
      <c r="C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</row>
    <row r="223" spans="3:159">
      <c r="C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</row>
    <row r="224" spans="3:159">
      <c r="C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</row>
    <row r="225" spans="3:159">
      <c r="C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</row>
    <row r="226" spans="3:159">
      <c r="C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</row>
    <row r="227" spans="3:159">
      <c r="C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</row>
    <row r="228" spans="3:159">
      <c r="C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</row>
    <row r="229" spans="3:159">
      <c r="C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</row>
    <row r="230" spans="3:159">
      <c r="C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</row>
    <row r="231" spans="3:159">
      <c r="C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</row>
    <row r="232" spans="3:159">
      <c r="C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</row>
    <row r="233" spans="3:159">
      <c r="C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</row>
    <row r="234" spans="3:159">
      <c r="C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</row>
    <row r="235" spans="3:159">
      <c r="C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</row>
    <row r="236" spans="3:159">
      <c r="C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</row>
    <row r="237" spans="3:159">
      <c r="C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</row>
    <row r="238" spans="3:159">
      <c r="C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</row>
    <row r="239" spans="3:159">
      <c r="C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</row>
    <row r="240" spans="3:159">
      <c r="C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</row>
    <row r="241" spans="3:159">
      <c r="C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</row>
    <row r="242" spans="3:159">
      <c r="C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</row>
    <row r="243" spans="3:159">
      <c r="C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</row>
    <row r="244" spans="3:159">
      <c r="C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</row>
    <row r="245" spans="3:159">
      <c r="C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</row>
    <row r="246" spans="3:159">
      <c r="C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</row>
    <row r="247" spans="3:159">
      <c r="C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</row>
    <row r="248" spans="3:159">
      <c r="C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</row>
    <row r="249" spans="3:159">
      <c r="C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</row>
    <row r="250" spans="3:159">
      <c r="C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</row>
    <row r="251" spans="3:159">
      <c r="C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</row>
    <row r="252" spans="3:159">
      <c r="C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</row>
    <row r="253" spans="3:159">
      <c r="C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</row>
    <row r="254" spans="3:159">
      <c r="C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</row>
    <row r="255" spans="3:159">
      <c r="C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</row>
    <row r="256" spans="3:159">
      <c r="C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</row>
    <row r="257" spans="3:159">
      <c r="C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</row>
    <row r="258" spans="3:159">
      <c r="C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</row>
    <row r="259" spans="3:159">
      <c r="C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</row>
    <row r="260" spans="3:159">
      <c r="C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</row>
    <row r="261" spans="3:159">
      <c r="C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</row>
    <row r="262" spans="3:159">
      <c r="C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</row>
    <row r="263" spans="3:159">
      <c r="C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</row>
    <row r="264" spans="3:159">
      <c r="C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</row>
    <row r="265" spans="3:159">
      <c r="C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</row>
    <row r="266" spans="3:159">
      <c r="C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</row>
    <row r="267" spans="3:159">
      <c r="C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</row>
    <row r="268" spans="3:159">
      <c r="C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</row>
    <row r="269" spans="3:159">
      <c r="C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</row>
    <row r="270" spans="3:159">
      <c r="C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</row>
    <row r="271" spans="3:159">
      <c r="C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</row>
    <row r="272" spans="3:159">
      <c r="C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</row>
    <row r="273" spans="3:159">
      <c r="C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</row>
    <row r="274" spans="3:159">
      <c r="C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</row>
    <row r="275" spans="3:159">
      <c r="C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</row>
    <row r="276" spans="3:159">
      <c r="C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</row>
    <row r="277" spans="3:159">
      <c r="C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</row>
    <row r="278" spans="3:159">
      <c r="C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</row>
    <row r="279" spans="3:159">
      <c r="C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</row>
    <row r="280" spans="3:159">
      <c r="C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</row>
    <row r="281" spans="3:159">
      <c r="C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</row>
    <row r="282" spans="3:159">
      <c r="C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</row>
    <row r="283" spans="3:159">
      <c r="C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</row>
    <row r="284" spans="3:159">
      <c r="C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</row>
    <row r="285" spans="3:159">
      <c r="C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</row>
    <row r="286" spans="3:159">
      <c r="C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</row>
    <row r="287" spans="3:159">
      <c r="C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</row>
    <row r="288" spans="3:159">
      <c r="C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</row>
    <row r="289" spans="3:159">
      <c r="C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</row>
    <row r="290" spans="3:159">
      <c r="C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</row>
    <row r="291" spans="3:159">
      <c r="C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</row>
    <row r="292" spans="3:159">
      <c r="C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</row>
    <row r="293" spans="3:159">
      <c r="C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</row>
    <row r="294" spans="3:159">
      <c r="C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</row>
    <row r="295" spans="3:159">
      <c r="C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</row>
    <row r="296" spans="3:159">
      <c r="C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</row>
    <row r="297" spans="3:159">
      <c r="C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</row>
    <row r="298" spans="3:159">
      <c r="C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</row>
    <row r="299" spans="3:159">
      <c r="C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</row>
    <row r="300" spans="3:159">
      <c r="C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</row>
    <row r="301" spans="3:159">
      <c r="C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</row>
    <row r="302" spans="3:159">
      <c r="C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</row>
    <row r="303" spans="3:159">
      <c r="C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</row>
    <row r="304" spans="3:159">
      <c r="C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</row>
    <row r="305" spans="3:159">
      <c r="C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</row>
    <row r="306" spans="3:159">
      <c r="C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</row>
    <row r="307" spans="3:159">
      <c r="C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</row>
    <row r="308" spans="3:159">
      <c r="C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</row>
    <row r="309" spans="3:159">
      <c r="C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</row>
    <row r="310" spans="3:159">
      <c r="C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</row>
    <row r="311" spans="3:159">
      <c r="C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</row>
    <row r="312" spans="3:159">
      <c r="C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</row>
    <row r="313" spans="3:159">
      <c r="C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</row>
    <row r="314" spans="3:159">
      <c r="C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</row>
    <row r="315" spans="3:159">
      <c r="C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</row>
    <row r="316" spans="3:159">
      <c r="C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</row>
    <row r="317" spans="3:159">
      <c r="C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</row>
    <row r="318" spans="3:159">
      <c r="C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</row>
    <row r="319" spans="3:159">
      <c r="C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</row>
    <row r="320" spans="3:159">
      <c r="C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</row>
    <row r="321" spans="3:159">
      <c r="C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</row>
    <row r="322" spans="3:159">
      <c r="C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</row>
    <row r="323" spans="3:159">
      <c r="C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</row>
    <row r="324" spans="3:159">
      <c r="C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</row>
    <row r="325" spans="3:159">
      <c r="C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</row>
    <row r="326" spans="3:159">
      <c r="C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</row>
    <row r="327" spans="3:159">
      <c r="C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</row>
    <row r="328" spans="3:159">
      <c r="C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</row>
    <row r="329" spans="3:159">
      <c r="C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</row>
    <row r="330" spans="3:159">
      <c r="C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</row>
    <row r="331" spans="3:159">
      <c r="C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</row>
    <row r="332" spans="3:159">
      <c r="C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</row>
    <row r="333" spans="3:159">
      <c r="C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</row>
    <row r="334" spans="3:159">
      <c r="C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</row>
    <row r="335" spans="3:159">
      <c r="C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</row>
    <row r="336" spans="3:159">
      <c r="C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</row>
    <row r="337" spans="3:159">
      <c r="C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</row>
    <row r="338" spans="3:159">
      <c r="C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</row>
    <row r="339" spans="3:159">
      <c r="C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</row>
    <row r="340" spans="3:159">
      <c r="C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</row>
    <row r="341" spans="3:159">
      <c r="C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</row>
    <row r="342" spans="3:159">
      <c r="C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</row>
    <row r="343" spans="3:159">
      <c r="C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</row>
    <row r="344" spans="3:159">
      <c r="C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</row>
    <row r="345" spans="3:159">
      <c r="C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</row>
    <row r="346" spans="3:159">
      <c r="C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</row>
    <row r="347" spans="3:159">
      <c r="C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</row>
    <row r="348" spans="3:159">
      <c r="C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</row>
    <row r="349" spans="3:159">
      <c r="C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</row>
    <row r="350" spans="3:159">
      <c r="C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</row>
    <row r="351" spans="3:159">
      <c r="C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</row>
    <row r="352" spans="3:159">
      <c r="C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</row>
    <row r="353" spans="3:159">
      <c r="C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</row>
    <row r="354" spans="3:159">
      <c r="C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</row>
    <row r="355" spans="3:159">
      <c r="C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</row>
    <row r="356" spans="3:159">
      <c r="C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</row>
    <row r="357" spans="3:159">
      <c r="C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</row>
    <row r="358" spans="3:159">
      <c r="C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</row>
    <row r="359" spans="3:159">
      <c r="C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</row>
    <row r="360" spans="3:159">
      <c r="C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</row>
    <row r="361" spans="3:159">
      <c r="C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</row>
    <row r="362" spans="3:159">
      <c r="C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</row>
    <row r="363" spans="3:159">
      <c r="C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</row>
    <row r="364" spans="3:159">
      <c r="C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</row>
    <row r="365" spans="3:159">
      <c r="C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</row>
    <row r="366" spans="3:159">
      <c r="C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</row>
    <row r="367" spans="3:159">
      <c r="C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</row>
    <row r="368" spans="3:159">
      <c r="C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</row>
    <row r="369" spans="3:159">
      <c r="C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</row>
    <row r="370" spans="3:159">
      <c r="C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</row>
    <row r="371" spans="3:159">
      <c r="C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</row>
    <row r="372" spans="3:159">
      <c r="C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</row>
    <row r="373" spans="3:159">
      <c r="C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</row>
    <row r="374" spans="3:159">
      <c r="C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</row>
    <row r="375" spans="3:159">
      <c r="C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</row>
    <row r="376" spans="3:159">
      <c r="C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</row>
    <row r="377" spans="3:159">
      <c r="C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</row>
    <row r="378" spans="3:159">
      <c r="C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</row>
    <row r="379" spans="3:159">
      <c r="C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</row>
    <row r="380" spans="3:159">
      <c r="C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</row>
    <row r="381" spans="3:159">
      <c r="C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</row>
    <row r="382" spans="3:159">
      <c r="C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</row>
    <row r="383" spans="3:159">
      <c r="C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</row>
    <row r="384" spans="3:159">
      <c r="C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</row>
    <row r="385" spans="3:159">
      <c r="C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</row>
    <row r="386" spans="3:159">
      <c r="C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</row>
    <row r="387" spans="3:159">
      <c r="C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</row>
    <row r="388" spans="3:159">
      <c r="C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</row>
    <row r="389" spans="3:159">
      <c r="C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</row>
    <row r="390" spans="3:159">
      <c r="C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</row>
    <row r="391" spans="3:159">
      <c r="C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</row>
    <row r="392" spans="3:159">
      <c r="C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</row>
    <row r="393" spans="3:159">
      <c r="C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</row>
    <row r="394" spans="3:159">
      <c r="C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</row>
    <row r="395" spans="3:159">
      <c r="C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</row>
    <row r="396" spans="3:159">
      <c r="C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</row>
    <row r="397" spans="3:159">
      <c r="C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</row>
    <row r="398" spans="3:159">
      <c r="C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</row>
    <row r="399" spans="3:159">
      <c r="C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</row>
    <row r="400" spans="3:159">
      <c r="C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</row>
    <row r="401" spans="3:159">
      <c r="C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</row>
    <row r="402" spans="3:159">
      <c r="C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</row>
    <row r="403" spans="3:159">
      <c r="C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</row>
    <row r="404" spans="3:159">
      <c r="C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</row>
    <row r="405" spans="3:159">
      <c r="C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</row>
    <row r="406" spans="3:159">
      <c r="C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</row>
    <row r="407" spans="3:159">
      <c r="C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</row>
    <row r="408" spans="3:159">
      <c r="C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</row>
    <row r="409" spans="3:159">
      <c r="C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</row>
    <row r="410" spans="3:159">
      <c r="C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</row>
    <row r="411" spans="3:159">
      <c r="C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</row>
    <row r="412" spans="3:159">
      <c r="C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</row>
    <row r="413" spans="3:159">
      <c r="C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</row>
    <row r="414" spans="3:159">
      <c r="C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</row>
    <row r="415" spans="3:159">
      <c r="C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</row>
    <row r="416" spans="3:159">
      <c r="C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</row>
    <row r="417" spans="3:159">
      <c r="C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</row>
    <row r="418" spans="3:159">
      <c r="C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</row>
    <row r="419" spans="3:159">
      <c r="C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</row>
    <row r="420" spans="3:159">
      <c r="C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</row>
    <row r="421" spans="3:159">
      <c r="C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</row>
    <row r="422" spans="3:159">
      <c r="C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</row>
    <row r="423" spans="3:159">
      <c r="C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</row>
    <row r="424" spans="3:159">
      <c r="C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</row>
    <row r="425" spans="3:159">
      <c r="C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</row>
    <row r="426" spans="3:159">
      <c r="C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</row>
    <row r="427" spans="3:159">
      <c r="C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</row>
    <row r="428" spans="3:159">
      <c r="C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</row>
    <row r="429" spans="3:159">
      <c r="C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</row>
    <row r="430" spans="3:159">
      <c r="C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</row>
    <row r="431" spans="3:159">
      <c r="C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</row>
    <row r="432" spans="3:159">
      <c r="C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</row>
    <row r="433" spans="3:159">
      <c r="C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</row>
    <row r="434" spans="3:159">
      <c r="C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</row>
    <row r="435" spans="3:159">
      <c r="C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</row>
    <row r="436" spans="3:159">
      <c r="C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</row>
    <row r="437" spans="3:159">
      <c r="C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</row>
    <row r="438" spans="3:159">
      <c r="C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</row>
    <row r="439" spans="3:159">
      <c r="C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</row>
    <row r="440" spans="3:159">
      <c r="C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</row>
    <row r="441" spans="3:159">
      <c r="C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</row>
    <row r="442" spans="3:159">
      <c r="C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</row>
    <row r="443" spans="3:159">
      <c r="C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</row>
    <row r="444" spans="3:159">
      <c r="C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</row>
    <row r="445" spans="3:159">
      <c r="C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</row>
    <row r="446" spans="3:159">
      <c r="C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</row>
    <row r="447" spans="3:159">
      <c r="C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</row>
    <row r="448" spans="3:159">
      <c r="C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</row>
    <row r="449" spans="3:159">
      <c r="C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</row>
    <row r="450" spans="3:159">
      <c r="C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</row>
    <row r="451" spans="3:159">
      <c r="C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</row>
    <row r="452" spans="3:159">
      <c r="C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</row>
    <row r="453" spans="3:159">
      <c r="C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</row>
    <row r="454" spans="3:159">
      <c r="C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</row>
    <row r="455" spans="3:159">
      <c r="C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</row>
    <row r="456" spans="3:159">
      <c r="C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</row>
    <row r="457" spans="3:159">
      <c r="C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</row>
    <row r="458" spans="3:159">
      <c r="C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</row>
    <row r="459" spans="3:159">
      <c r="C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</row>
    <row r="460" spans="3:159">
      <c r="C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</row>
    <row r="461" spans="3:159">
      <c r="C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</row>
    <row r="462" spans="3:159">
      <c r="C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</row>
    <row r="463" spans="3:159">
      <c r="C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</row>
    <row r="464" spans="3:159">
      <c r="C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</row>
    <row r="465" spans="3:159">
      <c r="C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</row>
    <row r="466" spans="3:159">
      <c r="C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</row>
    <row r="467" spans="3:159">
      <c r="C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</row>
    <row r="468" spans="3:159">
      <c r="C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</row>
    <row r="469" spans="3:159">
      <c r="C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</row>
    <row r="470" spans="3:159">
      <c r="C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</row>
    <row r="471" spans="3:159">
      <c r="C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</row>
    <row r="472" spans="3:159">
      <c r="C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</row>
    <row r="473" spans="3:159">
      <c r="C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</row>
    <row r="474" spans="3:159">
      <c r="C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</row>
    <row r="475" spans="3:159">
      <c r="C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</row>
    <row r="476" spans="3:159">
      <c r="C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</row>
    <row r="477" spans="3:159">
      <c r="C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</row>
    <row r="478" spans="3:159">
      <c r="C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</row>
    <row r="479" spans="3:159">
      <c r="C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</row>
    <row r="480" spans="3:159">
      <c r="C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</row>
    <row r="481" spans="3:159">
      <c r="C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</row>
    <row r="482" spans="3:159">
      <c r="C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</row>
    <row r="483" spans="3:159">
      <c r="C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</row>
    <row r="484" spans="3:159">
      <c r="C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</row>
    <row r="485" spans="3:159">
      <c r="C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</row>
    <row r="486" spans="3:159">
      <c r="C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</row>
    <row r="487" spans="3:159">
      <c r="C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</row>
    <row r="488" spans="3:159">
      <c r="C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</row>
    <row r="489" spans="3:159">
      <c r="C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</row>
    <row r="490" spans="3:159">
      <c r="C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</row>
    <row r="491" spans="3:159">
      <c r="C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</row>
    <row r="492" spans="3:159">
      <c r="C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</row>
    <row r="493" spans="3:159">
      <c r="C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</row>
    <row r="494" spans="3:159">
      <c r="C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</row>
    <row r="495" spans="3:159">
      <c r="C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</row>
    <row r="496" spans="3:159">
      <c r="C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</row>
    <row r="497" spans="3:159">
      <c r="C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</row>
    <row r="498" spans="3:159">
      <c r="C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</row>
    <row r="499" spans="3:159">
      <c r="C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</row>
    <row r="500" spans="3:159">
      <c r="C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</row>
    <row r="501" spans="3:159">
      <c r="C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</row>
    <row r="502" spans="3:159">
      <c r="C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</row>
    <row r="503" spans="3:159">
      <c r="C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</row>
    <row r="504" spans="3:159">
      <c r="C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</row>
    <row r="505" spans="3:159">
      <c r="C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</row>
    <row r="506" spans="3:159">
      <c r="C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</row>
    <row r="507" spans="3:159">
      <c r="C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</row>
    <row r="508" spans="3:159">
      <c r="C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</row>
    <row r="509" spans="3:159">
      <c r="C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</row>
    <row r="510" spans="3:159">
      <c r="C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</row>
    <row r="511" spans="3:159">
      <c r="C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</row>
    <row r="512" spans="3:159">
      <c r="C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</row>
    <row r="513" spans="3:159">
      <c r="C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</row>
    <row r="514" spans="3:159">
      <c r="C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</row>
    <row r="515" spans="3:159">
      <c r="C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</row>
    <row r="516" spans="3:159">
      <c r="C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</row>
    <row r="517" spans="3:159">
      <c r="C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</row>
    <row r="518" spans="3:159">
      <c r="C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</row>
    <row r="519" spans="3:159">
      <c r="C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</row>
    <row r="520" spans="3:159">
      <c r="C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</row>
    <row r="521" spans="3:159">
      <c r="C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</row>
    <row r="522" spans="3:159">
      <c r="C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</row>
    <row r="523" spans="3:159">
      <c r="C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</row>
    <row r="524" spans="3:159">
      <c r="C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</row>
    <row r="525" spans="3:159">
      <c r="C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</row>
    <row r="526" spans="3:159">
      <c r="C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</row>
    <row r="527" spans="3:159">
      <c r="C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</row>
    <row r="528" spans="3:159">
      <c r="C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</row>
    <row r="529" spans="3:159">
      <c r="C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</row>
    <row r="530" spans="3:159">
      <c r="C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</row>
    <row r="531" spans="3:159">
      <c r="C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</row>
    <row r="532" spans="3:159">
      <c r="C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</row>
    <row r="533" spans="3:159">
      <c r="C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</row>
    <row r="534" spans="3:159">
      <c r="C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</row>
    <row r="535" spans="3:159">
      <c r="C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</row>
    <row r="536" spans="3:159">
      <c r="C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</row>
    <row r="537" spans="3:159">
      <c r="C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</row>
    <row r="538" spans="3:159">
      <c r="C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</row>
    <row r="539" spans="3:159">
      <c r="C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</row>
    <row r="540" spans="3:159">
      <c r="C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</row>
    <row r="541" spans="3:159">
      <c r="C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</row>
    <row r="542" spans="3:159">
      <c r="C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</row>
    <row r="543" spans="3:159">
      <c r="C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</row>
    <row r="544" spans="3:159">
      <c r="C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</row>
    <row r="545" spans="3:159">
      <c r="C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</row>
    <row r="546" spans="3:159">
      <c r="C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</row>
    <row r="547" spans="3:159">
      <c r="C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</row>
    <row r="548" spans="3:159">
      <c r="C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</row>
    <row r="549" spans="3:159">
      <c r="C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</row>
    <row r="550" spans="3:159">
      <c r="C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</row>
    <row r="551" spans="3:159">
      <c r="C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</row>
    <row r="552" spans="3:159">
      <c r="C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</row>
    <row r="553" spans="3:159">
      <c r="C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</row>
    <row r="554" spans="3:159">
      <c r="C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</row>
    <row r="555" spans="3:159">
      <c r="C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</row>
    <row r="556" spans="3:159">
      <c r="C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</row>
    <row r="557" spans="3:159">
      <c r="C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</row>
    <row r="558" spans="3:159">
      <c r="C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</row>
    <row r="559" spans="3:159">
      <c r="C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</row>
    <row r="560" spans="3:159">
      <c r="C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</row>
    <row r="561" spans="3:159">
      <c r="C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</row>
    <row r="562" spans="3:159">
      <c r="C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</row>
    <row r="563" spans="3:159">
      <c r="C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</row>
    <row r="564" spans="3:159">
      <c r="C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</row>
    <row r="565" spans="3:159">
      <c r="C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</row>
    <row r="566" spans="3:159">
      <c r="C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</row>
    <row r="567" spans="3:159">
      <c r="C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</row>
    <row r="568" spans="3:159">
      <c r="C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</row>
    <row r="569" spans="3:159">
      <c r="C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</row>
    <row r="570" spans="3:159">
      <c r="C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</row>
    <row r="571" spans="3:159">
      <c r="C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</row>
    <row r="572" spans="3:159">
      <c r="C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</row>
    <row r="573" spans="3:159">
      <c r="C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</row>
    <row r="574" spans="3:159">
      <c r="C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</row>
    <row r="575" spans="3:159">
      <c r="C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</row>
    <row r="576" spans="3:159">
      <c r="C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</row>
    <row r="577" spans="3:159">
      <c r="C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</row>
    <row r="578" spans="3:159">
      <c r="C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</row>
    <row r="579" spans="3:159">
      <c r="C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</row>
    <row r="580" spans="3:159">
      <c r="C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</row>
    <row r="581" spans="3:159">
      <c r="C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</row>
    <row r="582" spans="3:159">
      <c r="C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</row>
    <row r="583" spans="3:159">
      <c r="C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</row>
    <row r="584" spans="3:159">
      <c r="C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</row>
    <row r="585" spans="3:159">
      <c r="C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</row>
    <row r="586" spans="3:159">
      <c r="C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</row>
    <row r="587" spans="3:159">
      <c r="C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</row>
    <row r="588" spans="3:159">
      <c r="C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</row>
    <row r="589" spans="3:159">
      <c r="C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</row>
    <row r="590" spans="3:159">
      <c r="C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</row>
    <row r="591" spans="3:159">
      <c r="C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</row>
    <row r="592" spans="3:159">
      <c r="C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</row>
    <row r="593" spans="3:159">
      <c r="C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</row>
    <row r="594" spans="3:159">
      <c r="C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</row>
    <row r="595" spans="3:159">
      <c r="C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</row>
    <row r="596" spans="3:159">
      <c r="C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</row>
    <row r="597" spans="3:159">
      <c r="C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</row>
    <row r="598" spans="3:159">
      <c r="C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</row>
    <row r="599" spans="3:159">
      <c r="C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</row>
    <row r="600" spans="3:159">
      <c r="C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</row>
    <row r="601" spans="3:159">
      <c r="C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</row>
    <row r="602" spans="3:159">
      <c r="C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</row>
    <row r="603" spans="3:159">
      <c r="C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</row>
    <row r="604" spans="3:159">
      <c r="C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</row>
    <row r="605" spans="3:159">
      <c r="C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</row>
    <row r="606" spans="3:159">
      <c r="C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</row>
    <row r="607" spans="3:159">
      <c r="C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</row>
    <row r="608" spans="3:159">
      <c r="C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</row>
    <row r="609" spans="3:159">
      <c r="C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</row>
    <row r="610" spans="3:159">
      <c r="C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</row>
    <row r="611" spans="3:159">
      <c r="C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</row>
    <row r="612" spans="3:159">
      <c r="C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</row>
    <row r="613" spans="3:159">
      <c r="C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</row>
    <row r="614" spans="3:159">
      <c r="C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</row>
    <row r="615" spans="3:159">
      <c r="C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</row>
    <row r="616" spans="3:159">
      <c r="C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</row>
    <row r="617" spans="3:159">
      <c r="C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</row>
    <row r="618" spans="3:159">
      <c r="C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</row>
    <row r="619" spans="3:159">
      <c r="C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</row>
    <row r="620" spans="3:159">
      <c r="C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</row>
    <row r="621" spans="3:159">
      <c r="C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</row>
    <row r="622" spans="3:159">
      <c r="C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</row>
    <row r="623" spans="3:159">
      <c r="C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</row>
    <row r="624" spans="3:159"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</row>
    <row r="625" spans="5:159"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</row>
    <row r="626" spans="5:159"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</row>
    <row r="627" spans="5:159"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</row>
    <row r="628" spans="5:159"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</row>
    <row r="629" spans="5:159"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</row>
    <row r="630" spans="5:159"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</row>
    <row r="631" spans="5:159"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</row>
    <row r="632" spans="5:159"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</row>
    <row r="633" spans="5:159"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</row>
    <row r="634" spans="5:159"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</row>
    <row r="635" spans="5:159"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</row>
    <row r="636" spans="5:159"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</row>
    <row r="637" spans="5:159"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</row>
    <row r="638" spans="5:159"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</row>
    <row r="639" spans="5:159"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</row>
    <row r="640" spans="5:159"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</row>
    <row r="641" spans="5:159"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</row>
    <row r="642" spans="5:159"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</row>
    <row r="643" spans="5:159"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</row>
    <row r="644" spans="5:159"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</row>
    <row r="645" spans="5:159"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</row>
    <row r="646" spans="5:159"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</row>
    <row r="647" spans="5:159"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</row>
    <row r="648" spans="5:159"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</row>
    <row r="649" spans="5:159"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</row>
    <row r="650" spans="5:159"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</row>
    <row r="651" spans="5:159"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</row>
    <row r="652" spans="5:159"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</row>
    <row r="653" spans="5:159"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</row>
    <row r="654" spans="5:159"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</row>
    <row r="655" spans="5:159"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</row>
    <row r="656" spans="5:159"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</row>
    <row r="657" spans="5:159"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</row>
    <row r="658" spans="5:159"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</row>
    <row r="659" spans="5:159"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</row>
    <row r="660" spans="5:159"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</row>
    <row r="661" spans="5:159"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</row>
    <row r="662" spans="5:159"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</row>
    <row r="663" spans="5:159"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</row>
    <row r="664" spans="5:159"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</row>
    <row r="665" spans="5:159"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</row>
    <row r="666" spans="5:159"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</row>
    <row r="667" spans="5:159"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</row>
    <row r="668" spans="5:159"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</row>
    <row r="669" spans="5:159"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</row>
    <row r="670" spans="5:159"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</row>
    <row r="671" spans="5:159"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</row>
    <row r="672" spans="5:159"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</row>
    <row r="673" spans="5:159"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</row>
    <row r="674" spans="5:159"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</row>
    <row r="675" spans="5:159"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</row>
    <row r="676" spans="5:159"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</row>
    <row r="677" spans="5:159"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</row>
    <row r="678" spans="5:159"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</row>
    <row r="679" spans="5:159"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</row>
    <row r="680" spans="5:159"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</row>
    <row r="681" spans="5:159"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</row>
    <row r="682" spans="5:159"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</row>
    <row r="683" spans="5:159"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</row>
    <row r="684" spans="5:159"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</row>
    <row r="685" spans="5:159"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</row>
    <row r="686" spans="5:159"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</row>
    <row r="687" spans="5:159"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</row>
    <row r="688" spans="5:159"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</row>
    <row r="689" spans="5:159"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</row>
    <row r="690" spans="5:159"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</row>
    <row r="691" spans="5:159"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</row>
    <row r="692" spans="5:159"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</row>
    <row r="693" spans="5:159"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</row>
    <row r="694" spans="5:159"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</row>
    <row r="695" spans="5:159"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</row>
    <row r="696" spans="5:159"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</row>
    <row r="697" spans="5:159"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</row>
    <row r="698" spans="5:159"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</row>
    <row r="699" spans="5:159"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</row>
    <row r="700" spans="5:159"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</row>
    <row r="701" spans="5:159"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</row>
    <row r="702" spans="5:159"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</row>
    <row r="703" spans="5:159"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</row>
    <row r="704" spans="5:159"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</row>
    <row r="705" spans="5:159"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</row>
    <row r="706" spans="5:159"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</row>
    <row r="707" spans="5:159"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</row>
    <row r="708" spans="5:159"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</row>
    <row r="709" spans="5:159"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</row>
    <row r="710" spans="5:159"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</row>
    <row r="711" spans="5:159"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</row>
    <row r="712" spans="5:159"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</row>
    <row r="713" spans="5:159"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</row>
    <row r="714" spans="5:159"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</row>
    <row r="715" spans="5:159"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</row>
    <row r="716" spans="5:159"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</row>
    <row r="717" spans="5:159"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</row>
    <row r="718" spans="5:159"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</row>
    <row r="719" spans="5:159"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</row>
    <row r="720" spans="5:159"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</row>
    <row r="721" spans="5:159"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</row>
    <row r="722" spans="5:159"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</row>
    <row r="723" spans="5:159"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</row>
    <row r="724" spans="5:159"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</row>
    <row r="725" spans="5:159"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</row>
    <row r="726" spans="5:159"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</row>
    <row r="727" spans="5:159"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</row>
    <row r="728" spans="5:159"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</row>
    <row r="729" spans="5:159"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</row>
    <row r="730" spans="5:159"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</row>
    <row r="731" spans="5:159"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</row>
    <row r="732" spans="5:159"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</row>
    <row r="733" spans="5:159"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</row>
    <row r="734" spans="5:159"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</row>
    <row r="735" spans="5:159"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</row>
  </sheetData>
  <autoFilter ref="A1:FC735" xr:uid="{00000000-0009-0000-0000-000006000000}"/>
  <mergeCells count="3">
    <mergeCell ref="A3:B4"/>
    <mergeCell ref="C3:C4"/>
    <mergeCell ref="D3:D4"/>
  </mergeCells>
  <conditionalFormatting sqref="C7">
    <cfRule type="duplicateValues" dxfId="42" priority="21"/>
    <cfRule type="duplicateValues" dxfId="41" priority="22"/>
  </conditionalFormatting>
  <conditionalFormatting sqref="C8:C16">
    <cfRule type="duplicateValues" dxfId="40" priority="13"/>
    <cfRule type="duplicateValues" dxfId="39" priority="14"/>
  </conditionalFormatting>
  <conditionalFormatting sqref="C17">
    <cfRule type="duplicateValues" dxfId="38" priority="24"/>
    <cfRule type="duplicateValues" dxfId="37" priority="23"/>
  </conditionalFormatting>
  <conditionalFormatting sqref="C25">
    <cfRule type="duplicateValues" dxfId="36" priority="26"/>
    <cfRule type="duplicateValues" dxfId="35" priority="25"/>
  </conditionalFormatting>
  <conditionalFormatting sqref="C26:C30">
    <cfRule type="duplicateValues" dxfId="34" priority="11"/>
    <cfRule type="duplicateValues" dxfId="33" priority="12"/>
  </conditionalFormatting>
  <conditionalFormatting sqref="C31">
    <cfRule type="duplicateValues" dxfId="32" priority="27"/>
    <cfRule type="duplicateValues" dxfId="31" priority="28"/>
  </conditionalFormatting>
  <conditionalFormatting sqref="C32">
    <cfRule type="duplicateValues" dxfId="30" priority="8"/>
    <cfRule type="duplicateValues" dxfId="29" priority="9"/>
  </conditionalFormatting>
  <conditionalFormatting sqref="C33">
    <cfRule type="duplicateValues" dxfId="28" priority="6"/>
    <cfRule type="duplicateValues" dxfId="27" priority="7"/>
  </conditionalFormatting>
  <conditionalFormatting sqref="C34">
    <cfRule type="duplicateValues" dxfId="26" priority="4"/>
    <cfRule type="duplicateValues" dxfId="25" priority="5"/>
  </conditionalFormatting>
  <conditionalFormatting sqref="C35:C37">
    <cfRule type="duplicateValues" dxfId="24" priority="10"/>
  </conditionalFormatting>
  <conditionalFormatting sqref="C38">
    <cfRule type="duplicateValues" dxfId="23" priority="29"/>
    <cfRule type="duplicateValues" dxfId="22" priority="30"/>
  </conditionalFormatting>
  <conditionalFormatting sqref="C39:C48">
    <cfRule type="duplicateValues" dxfId="21" priority="20"/>
    <cfRule type="duplicateValues" dxfId="20" priority="19"/>
  </conditionalFormatting>
  <conditionalFormatting sqref="C49">
    <cfRule type="duplicateValues" dxfId="19" priority="31"/>
    <cfRule type="duplicateValues" dxfId="18" priority="32"/>
  </conditionalFormatting>
  <conditionalFormatting sqref="C50">
    <cfRule type="duplicateValues" dxfId="17" priority="3"/>
  </conditionalFormatting>
  <conditionalFormatting sqref="C51">
    <cfRule type="duplicateValues" dxfId="16" priority="33"/>
    <cfRule type="duplicateValues" dxfId="15" priority="34"/>
  </conditionalFormatting>
  <conditionalFormatting sqref="C52:C61">
    <cfRule type="duplicateValues" dxfId="14" priority="18"/>
    <cfRule type="duplicateValues" dxfId="13" priority="17"/>
  </conditionalFormatting>
  <conditionalFormatting sqref="C62">
    <cfRule type="duplicateValues" dxfId="12" priority="35"/>
    <cfRule type="duplicateValues" dxfId="11" priority="36"/>
  </conditionalFormatting>
  <conditionalFormatting sqref="C63">
    <cfRule type="duplicateValues" dxfId="10" priority="2"/>
  </conditionalFormatting>
  <conditionalFormatting sqref="C64">
    <cfRule type="duplicateValues" dxfId="9" priority="37"/>
    <cfRule type="duplicateValues" dxfId="8" priority="38"/>
  </conditionalFormatting>
  <conditionalFormatting sqref="C65:C74">
    <cfRule type="duplicateValues" dxfId="7" priority="15"/>
    <cfRule type="duplicateValues" dxfId="6" priority="16"/>
  </conditionalFormatting>
  <conditionalFormatting sqref="C75">
    <cfRule type="duplicateValues" dxfId="5" priority="40"/>
  </conditionalFormatting>
  <conditionalFormatting sqref="C76">
    <cfRule type="duplicateValues" dxfId="4" priority="1"/>
  </conditionalFormatting>
  <conditionalFormatting sqref="C77:C1048576 C1:C6 C18:C24">
    <cfRule type="duplicateValues" dxfId="3" priority="41"/>
  </conditionalFormatting>
  <conditionalFormatting sqref="C77:C1048576 C75 C1:C6 C18:C24">
    <cfRule type="duplicateValues" dxfId="2" priority="39"/>
  </conditionalFormatting>
  <pageMargins left="0.7" right="0.7" top="0.75" bottom="0.75" header="0.3" footer="0.3"/>
  <pageSetup paperSize="9" scale="31" orientation="portrait" r:id="rId1"/>
  <headerFooter>
    <oddFooter>&amp;L&amp;D&amp;Z&amp;F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B197"/>
  <sheetViews>
    <sheetView zoomScale="90" zoomScaleNormal="90" workbookViewId="0">
      <pane ySplit="3" topLeftCell="A144" activePane="bottomLeft" state="frozen"/>
      <selection pane="bottomLeft" activeCell="R127" sqref="R127"/>
    </sheetView>
  </sheetViews>
  <sheetFormatPr defaultColWidth="9.33203125" defaultRowHeight="14.4" outlineLevelRow="1" outlineLevelCol="1"/>
  <cols>
    <col min="1" max="1" width="52.21875" bestFit="1" customWidth="1"/>
    <col min="2" max="3" width="24.109375" hidden="1" customWidth="1" outlineLevel="1"/>
    <col min="4" max="4" width="24.88671875" hidden="1" customWidth="1" outlineLevel="1"/>
    <col min="5" max="5" width="25.77734375" hidden="1" customWidth="1" collapsed="1"/>
    <col min="6" max="6" width="22.77734375" hidden="1" customWidth="1" outlineLevel="1"/>
    <col min="7" max="7" width="24.109375" hidden="1" customWidth="1" outlineLevel="1"/>
    <col min="8" max="8" width="22.77734375" hidden="1" customWidth="1" outlineLevel="1"/>
    <col min="9" max="9" width="25.109375" hidden="1" customWidth="1" collapsed="1"/>
    <col min="10" max="10" width="22.77734375" hidden="1" customWidth="1" outlineLevel="1"/>
    <col min="11" max="11" width="24.109375" hidden="1" customWidth="1" outlineLevel="1"/>
    <col min="12" max="12" width="22.77734375" hidden="1" customWidth="1" outlineLevel="1"/>
    <col min="13" max="13" width="24" hidden="1" customWidth="1" collapsed="1"/>
    <col min="14" max="15" width="22.77734375" hidden="1" customWidth="1" outlineLevel="1"/>
    <col min="16" max="16" width="24.21875" hidden="1" customWidth="1" outlineLevel="1"/>
    <col min="17" max="17" width="24.88671875" hidden="1" customWidth="1" collapsed="1"/>
    <col min="18" max="18" width="24.88671875" bestFit="1" customWidth="1" collapsed="1"/>
    <col min="19" max="19" width="27.33203125" bestFit="1" customWidth="1"/>
    <col min="20" max="20" width="14.88671875" customWidth="1"/>
    <col min="21" max="21" width="9.6640625" bestFit="1" customWidth="1"/>
    <col min="22" max="22" width="14.6640625" customWidth="1"/>
    <col min="23" max="23" width="9.6640625" bestFit="1" customWidth="1"/>
    <col min="24" max="24" width="12.88671875" customWidth="1"/>
    <col min="25" max="25" width="9.6640625" bestFit="1" customWidth="1"/>
    <col min="26" max="26" width="13.21875" customWidth="1"/>
    <col min="27" max="27" width="9.6640625" bestFit="1" customWidth="1"/>
    <col min="28" max="28" width="12.21875" bestFit="1" customWidth="1"/>
    <col min="253" max="253" width="52.21875" bestFit="1" customWidth="1"/>
    <col min="254" max="254" width="33.33203125" customWidth="1"/>
    <col min="255" max="255" width="24.109375" customWidth="1"/>
    <col min="256" max="256" width="22.77734375" customWidth="1"/>
    <col min="257" max="257" width="24.109375" customWidth="1"/>
    <col min="258" max="258" width="22.77734375" customWidth="1"/>
    <col min="259" max="259" width="24.109375" customWidth="1"/>
    <col min="260" max="262" width="22.77734375" customWidth="1"/>
    <col min="263" max="263" width="24.109375" customWidth="1"/>
    <col min="264" max="268" width="22.77734375" customWidth="1"/>
    <col min="269" max="269" width="24.88671875" customWidth="1"/>
    <col min="270" max="270" width="24.88671875" bestFit="1" customWidth="1"/>
    <col min="271" max="271" width="15.109375" bestFit="1" customWidth="1"/>
    <col min="272" max="272" width="15" bestFit="1" customWidth="1"/>
    <col min="273" max="273" width="11.88671875" bestFit="1" customWidth="1"/>
    <col min="509" max="509" width="52.21875" bestFit="1" customWidth="1"/>
    <col min="510" max="510" width="33.33203125" customWidth="1"/>
    <col min="511" max="511" width="24.109375" customWidth="1"/>
    <col min="512" max="512" width="22.77734375" customWidth="1"/>
    <col min="513" max="513" width="24.109375" customWidth="1"/>
    <col min="514" max="514" width="22.77734375" customWidth="1"/>
    <col min="515" max="515" width="24.109375" customWidth="1"/>
    <col min="516" max="518" width="22.77734375" customWidth="1"/>
    <col min="519" max="519" width="24.109375" customWidth="1"/>
    <col min="520" max="524" width="22.77734375" customWidth="1"/>
    <col min="525" max="525" width="24.88671875" customWidth="1"/>
    <col min="526" max="526" width="24.88671875" bestFit="1" customWidth="1"/>
    <col min="527" max="527" width="15.109375" bestFit="1" customWidth="1"/>
    <col min="528" max="528" width="15" bestFit="1" customWidth="1"/>
    <col min="529" max="529" width="11.88671875" bestFit="1" customWidth="1"/>
    <col min="765" max="765" width="52.21875" bestFit="1" customWidth="1"/>
    <col min="766" max="766" width="33.33203125" customWidth="1"/>
    <col min="767" max="767" width="24.109375" customWidth="1"/>
    <col min="768" max="768" width="22.77734375" customWidth="1"/>
    <col min="769" max="769" width="24.109375" customWidth="1"/>
    <col min="770" max="770" width="22.77734375" customWidth="1"/>
    <col min="771" max="771" width="24.109375" customWidth="1"/>
    <col min="772" max="774" width="22.77734375" customWidth="1"/>
    <col min="775" max="775" width="24.109375" customWidth="1"/>
    <col min="776" max="780" width="22.77734375" customWidth="1"/>
    <col min="781" max="781" width="24.88671875" customWidth="1"/>
    <col min="782" max="782" width="24.88671875" bestFit="1" customWidth="1"/>
    <col min="783" max="783" width="15.109375" bestFit="1" customWidth="1"/>
    <col min="784" max="784" width="15" bestFit="1" customWidth="1"/>
    <col min="785" max="785" width="11.88671875" bestFit="1" customWidth="1"/>
    <col min="1021" max="1021" width="52.21875" bestFit="1" customWidth="1"/>
    <col min="1022" max="1022" width="33.33203125" customWidth="1"/>
    <col min="1023" max="1023" width="24.109375" customWidth="1"/>
    <col min="1024" max="1024" width="22.77734375" customWidth="1"/>
    <col min="1025" max="1025" width="24.109375" customWidth="1"/>
    <col min="1026" max="1026" width="22.77734375" customWidth="1"/>
    <col min="1027" max="1027" width="24.109375" customWidth="1"/>
    <col min="1028" max="1030" width="22.77734375" customWidth="1"/>
    <col min="1031" max="1031" width="24.109375" customWidth="1"/>
    <col min="1032" max="1036" width="22.77734375" customWidth="1"/>
    <col min="1037" max="1037" width="24.88671875" customWidth="1"/>
    <col min="1038" max="1038" width="24.88671875" bestFit="1" customWidth="1"/>
    <col min="1039" max="1039" width="15.109375" bestFit="1" customWidth="1"/>
    <col min="1040" max="1040" width="15" bestFit="1" customWidth="1"/>
    <col min="1041" max="1041" width="11.88671875" bestFit="1" customWidth="1"/>
    <col min="1277" max="1277" width="52.21875" bestFit="1" customWidth="1"/>
    <col min="1278" max="1278" width="33.33203125" customWidth="1"/>
    <col min="1279" max="1279" width="24.109375" customWidth="1"/>
    <col min="1280" max="1280" width="22.77734375" customWidth="1"/>
    <col min="1281" max="1281" width="24.109375" customWidth="1"/>
    <col min="1282" max="1282" width="22.77734375" customWidth="1"/>
    <col min="1283" max="1283" width="24.109375" customWidth="1"/>
    <col min="1284" max="1286" width="22.77734375" customWidth="1"/>
    <col min="1287" max="1287" width="24.109375" customWidth="1"/>
    <col min="1288" max="1292" width="22.77734375" customWidth="1"/>
    <col min="1293" max="1293" width="24.88671875" customWidth="1"/>
    <col min="1294" max="1294" width="24.88671875" bestFit="1" customWidth="1"/>
    <col min="1295" max="1295" width="15.109375" bestFit="1" customWidth="1"/>
    <col min="1296" max="1296" width="15" bestFit="1" customWidth="1"/>
    <col min="1297" max="1297" width="11.88671875" bestFit="1" customWidth="1"/>
    <col min="1533" max="1533" width="52.21875" bestFit="1" customWidth="1"/>
    <col min="1534" max="1534" width="33.33203125" customWidth="1"/>
    <col min="1535" max="1535" width="24.109375" customWidth="1"/>
    <col min="1536" max="1536" width="22.77734375" customWidth="1"/>
    <col min="1537" max="1537" width="24.109375" customWidth="1"/>
    <col min="1538" max="1538" width="22.77734375" customWidth="1"/>
    <col min="1539" max="1539" width="24.109375" customWidth="1"/>
    <col min="1540" max="1542" width="22.77734375" customWidth="1"/>
    <col min="1543" max="1543" width="24.109375" customWidth="1"/>
    <col min="1544" max="1548" width="22.77734375" customWidth="1"/>
    <col min="1549" max="1549" width="24.88671875" customWidth="1"/>
    <col min="1550" max="1550" width="24.88671875" bestFit="1" customWidth="1"/>
    <col min="1551" max="1551" width="15.109375" bestFit="1" customWidth="1"/>
    <col min="1552" max="1552" width="15" bestFit="1" customWidth="1"/>
    <col min="1553" max="1553" width="11.88671875" bestFit="1" customWidth="1"/>
    <col min="1789" max="1789" width="52.21875" bestFit="1" customWidth="1"/>
    <col min="1790" max="1790" width="33.33203125" customWidth="1"/>
    <col min="1791" max="1791" width="24.109375" customWidth="1"/>
    <col min="1792" max="1792" width="22.77734375" customWidth="1"/>
    <col min="1793" max="1793" width="24.109375" customWidth="1"/>
    <col min="1794" max="1794" width="22.77734375" customWidth="1"/>
    <col min="1795" max="1795" width="24.109375" customWidth="1"/>
    <col min="1796" max="1798" width="22.77734375" customWidth="1"/>
    <col min="1799" max="1799" width="24.109375" customWidth="1"/>
    <col min="1800" max="1804" width="22.77734375" customWidth="1"/>
    <col min="1805" max="1805" width="24.88671875" customWidth="1"/>
    <col min="1806" max="1806" width="24.88671875" bestFit="1" customWidth="1"/>
    <col min="1807" max="1807" width="15.109375" bestFit="1" customWidth="1"/>
    <col min="1808" max="1808" width="15" bestFit="1" customWidth="1"/>
    <col min="1809" max="1809" width="11.88671875" bestFit="1" customWidth="1"/>
    <col min="2045" max="2045" width="52.21875" bestFit="1" customWidth="1"/>
    <col min="2046" max="2046" width="33.33203125" customWidth="1"/>
    <col min="2047" max="2047" width="24.109375" customWidth="1"/>
    <col min="2048" max="2048" width="22.77734375" customWidth="1"/>
    <col min="2049" max="2049" width="24.109375" customWidth="1"/>
    <col min="2050" max="2050" width="22.77734375" customWidth="1"/>
    <col min="2051" max="2051" width="24.109375" customWidth="1"/>
    <col min="2052" max="2054" width="22.77734375" customWidth="1"/>
    <col min="2055" max="2055" width="24.109375" customWidth="1"/>
    <col min="2056" max="2060" width="22.77734375" customWidth="1"/>
    <col min="2061" max="2061" width="24.88671875" customWidth="1"/>
    <col min="2062" max="2062" width="24.88671875" bestFit="1" customWidth="1"/>
    <col min="2063" max="2063" width="15.109375" bestFit="1" customWidth="1"/>
    <col min="2064" max="2064" width="15" bestFit="1" customWidth="1"/>
    <col min="2065" max="2065" width="11.88671875" bestFit="1" customWidth="1"/>
    <col min="2301" max="2301" width="52.21875" bestFit="1" customWidth="1"/>
    <col min="2302" max="2302" width="33.33203125" customWidth="1"/>
    <col min="2303" max="2303" width="24.109375" customWidth="1"/>
    <col min="2304" max="2304" width="22.77734375" customWidth="1"/>
    <col min="2305" max="2305" width="24.109375" customWidth="1"/>
    <col min="2306" max="2306" width="22.77734375" customWidth="1"/>
    <col min="2307" max="2307" width="24.109375" customWidth="1"/>
    <col min="2308" max="2310" width="22.77734375" customWidth="1"/>
    <col min="2311" max="2311" width="24.109375" customWidth="1"/>
    <col min="2312" max="2316" width="22.77734375" customWidth="1"/>
    <col min="2317" max="2317" width="24.88671875" customWidth="1"/>
    <col min="2318" max="2318" width="24.88671875" bestFit="1" customWidth="1"/>
    <col min="2319" max="2319" width="15.109375" bestFit="1" customWidth="1"/>
    <col min="2320" max="2320" width="15" bestFit="1" customWidth="1"/>
    <col min="2321" max="2321" width="11.88671875" bestFit="1" customWidth="1"/>
    <col min="2557" max="2557" width="52.21875" bestFit="1" customWidth="1"/>
    <col min="2558" max="2558" width="33.33203125" customWidth="1"/>
    <col min="2559" max="2559" width="24.109375" customWidth="1"/>
    <col min="2560" max="2560" width="22.77734375" customWidth="1"/>
    <col min="2561" max="2561" width="24.109375" customWidth="1"/>
    <col min="2562" max="2562" width="22.77734375" customWidth="1"/>
    <col min="2563" max="2563" width="24.109375" customWidth="1"/>
    <col min="2564" max="2566" width="22.77734375" customWidth="1"/>
    <col min="2567" max="2567" width="24.109375" customWidth="1"/>
    <col min="2568" max="2572" width="22.77734375" customWidth="1"/>
    <col min="2573" max="2573" width="24.88671875" customWidth="1"/>
    <col min="2574" max="2574" width="24.88671875" bestFit="1" customWidth="1"/>
    <col min="2575" max="2575" width="15.109375" bestFit="1" customWidth="1"/>
    <col min="2576" max="2576" width="15" bestFit="1" customWidth="1"/>
    <col min="2577" max="2577" width="11.88671875" bestFit="1" customWidth="1"/>
    <col min="2813" max="2813" width="52.21875" bestFit="1" customWidth="1"/>
    <col min="2814" max="2814" width="33.33203125" customWidth="1"/>
    <col min="2815" max="2815" width="24.109375" customWidth="1"/>
    <col min="2816" max="2816" width="22.77734375" customWidth="1"/>
    <col min="2817" max="2817" width="24.109375" customWidth="1"/>
    <col min="2818" max="2818" width="22.77734375" customWidth="1"/>
    <col min="2819" max="2819" width="24.109375" customWidth="1"/>
    <col min="2820" max="2822" width="22.77734375" customWidth="1"/>
    <col min="2823" max="2823" width="24.109375" customWidth="1"/>
    <col min="2824" max="2828" width="22.77734375" customWidth="1"/>
    <col min="2829" max="2829" width="24.88671875" customWidth="1"/>
    <col min="2830" max="2830" width="24.88671875" bestFit="1" customWidth="1"/>
    <col min="2831" max="2831" width="15.109375" bestFit="1" customWidth="1"/>
    <col min="2832" max="2832" width="15" bestFit="1" customWidth="1"/>
    <col min="2833" max="2833" width="11.88671875" bestFit="1" customWidth="1"/>
    <col min="3069" max="3069" width="52.21875" bestFit="1" customWidth="1"/>
    <col min="3070" max="3070" width="33.33203125" customWidth="1"/>
    <col min="3071" max="3071" width="24.109375" customWidth="1"/>
    <col min="3072" max="3072" width="22.77734375" customWidth="1"/>
    <col min="3073" max="3073" width="24.109375" customWidth="1"/>
    <col min="3074" max="3074" width="22.77734375" customWidth="1"/>
    <col min="3075" max="3075" width="24.109375" customWidth="1"/>
    <col min="3076" max="3078" width="22.77734375" customWidth="1"/>
    <col min="3079" max="3079" width="24.109375" customWidth="1"/>
    <col min="3080" max="3084" width="22.77734375" customWidth="1"/>
    <col min="3085" max="3085" width="24.88671875" customWidth="1"/>
    <col min="3086" max="3086" width="24.88671875" bestFit="1" customWidth="1"/>
    <col min="3087" max="3087" width="15.109375" bestFit="1" customWidth="1"/>
    <col min="3088" max="3088" width="15" bestFit="1" customWidth="1"/>
    <col min="3089" max="3089" width="11.88671875" bestFit="1" customWidth="1"/>
    <col min="3325" max="3325" width="52.21875" bestFit="1" customWidth="1"/>
    <col min="3326" max="3326" width="33.33203125" customWidth="1"/>
    <col min="3327" max="3327" width="24.109375" customWidth="1"/>
    <col min="3328" max="3328" width="22.77734375" customWidth="1"/>
    <col min="3329" max="3329" width="24.109375" customWidth="1"/>
    <col min="3330" max="3330" width="22.77734375" customWidth="1"/>
    <col min="3331" max="3331" width="24.109375" customWidth="1"/>
    <col min="3332" max="3334" width="22.77734375" customWidth="1"/>
    <col min="3335" max="3335" width="24.109375" customWidth="1"/>
    <col min="3336" max="3340" width="22.77734375" customWidth="1"/>
    <col min="3341" max="3341" width="24.88671875" customWidth="1"/>
    <col min="3342" max="3342" width="24.88671875" bestFit="1" customWidth="1"/>
    <col min="3343" max="3343" width="15.109375" bestFit="1" customWidth="1"/>
    <col min="3344" max="3344" width="15" bestFit="1" customWidth="1"/>
    <col min="3345" max="3345" width="11.88671875" bestFit="1" customWidth="1"/>
    <col min="3581" max="3581" width="52.21875" bestFit="1" customWidth="1"/>
    <col min="3582" max="3582" width="33.33203125" customWidth="1"/>
    <col min="3583" max="3583" width="24.109375" customWidth="1"/>
    <col min="3584" max="3584" width="22.77734375" customWidth="1"/>
    <col min="3585" max="3585" width="24.109375" customWidth="1"/>
    <col min="3586" max="3586" width="22.77734375" customWidth="1"/>
    <col min="3587" max="3587" width="24.109375" customWidth="1"/>
    <col min="3588" max="3590" width="22.77734375" customWidth="1"/>
    <col min="3591" max="3591" width="24.109375" customWidth="1"/>
    <col min="3592" max="3596" width="22.77734375" customWidth="1"/>
    <col min="3597" max="3597" width="24.88671875" customWidth="1"/>
    <col min="3598" max="3598" width="24.88671875" bestFit="1" customWidth="1"/>
    <col min="3599" max="3599" width="15.109375" bestFit="1" customWidth="1"/>
    <col min="3600" max="3600" width="15" bestFit="1" customWidth="1"/>
    <col min="3601" max="3601" width="11.88671875" bestFit="1" customWidth="1"/>
    <col min="3837" max="3837" width="52.21875" bestFit="1" customWidth="1"/>
    <col min="3838" max="3838" width="33.33203125" customWidth="1"/>
    <col min="3839" max="3839" width="24.109375" customWidth="1"/>
    <col min="3840" max="3840" width="22.77734375" customWidth="1"/>
    <col min="3841" max="3841" width="24.109375" customWidth="1"/>
    <col min="3842" max="3842" width="22.77734375" customWidth="1"/>
    <col min="3843" max="3843" width="24.109375" customWidth="1"/>
    <col min="3844" max="3846" width="22.77734375" customWidth="1"/>
    <col min="3847" max="3847" width="24.109375" customWidth="1"/>
    <col min="3848" max="3852" width="22.77734375" customWidth="1"/>
    <col min="3853" max="3853" width="24.88671875" customWidth="1"/>
    <col min="3854" max="3854" width="24.88671875" bestFit="1" customWidth="1"/>
    <col min="3855" max="3855" width="15.109375" bestFit="1" customWidth="1"/>
    <col min="3856" max="3856" width="15" bestFit="1" customWidth="1"/>
    <col min="3857" max="3857" width="11.88671875" bestFit="1" customWidth="1"/>
    <col min="4093" max="4093" width="52.21875" bestFit="1" customWidth="1"/>
    <col min="4094" max="4094" width="33.33203125" customWidth="1"/>
    <col min="4095" max="4095" width="24.109375" customWidth="1"/>
    <col min="4096" max="4096" width="22.77734375" customWidth="1"/>
    <col min="4097" max="4097" width="24.109375" customWidth="1"/>
    <col min="4098" max="4098" width="22.77734375" customWidth="1"/>
    <col min="4099" max="4099" width="24.109375" customWidth="1"/>
    <col min="4100" max="4102" width="22.77734375" customWidth="1"/>
    <col min="4103" max="4103" width="24.109375" customWidth="1"/>
    <col min="4104" max="4108" width="22.77734375" customWidth="1"/>
    <col min="4109" max="4109" width="24.88671875" customWidth="1"/>
    <col min="4110" max="4110" width="24.88671875" bestFit="1" customWidth="1"/>
    <col min="4111" max="4111" width="15.109375" bestFit="1" customWidth="1"/>
    <col min="4112" max="4112" width="15" bestFit="1" customWidth="1"/>
    <col min="4113" max="4113" width="11.88671875" bestFit="1" customWidth="1"/>
    <col min="4349" max="4349" width="52.21875" bestFit="1" customWidth="1"/>
    <col min="4350" max="4350" width="33.33203125" customWidth="1"/>
    <col min="4351" max="4351" width="24.109375" customWidth="1"/>
    <col min="4352" max="4352" width="22.77734375" customWidth="1"/>
    <col min="4353" max="4353" width="24.109375" customWidth="1"/>
    <col min="4354" max="4354" width="22.77734375" customWidth="1"/>
    <col min="4355" max="4355" width="24.109375" customWidth="1"/>
    <col min="4356" max="4358" width="22.77734375" customWidth="1"/>
    <col min="4359" max="4359" width="24.109375" customWidth="1"/>
    <col min="4360" max="4364" width="22.77734375" customWidth="1"/>
    <col min="4365" max="4365" width="24.88671875" customWidth="1"/>
    <col min="4366" max="4366" width="24.88671875" bestFit="1" customWidth="1"/>
    <col min="4367" max="4367" width="15.109375" bestFit="1" customWidth="1"/>
    <col min="4368" max="4368" width="15" bestFit="1" customWidth="1"/>
    <col min="4369" max="4369" width="11.88671875" bestFit="1" customWidth="1"/>
    <col min="4605" max="4605" width="52.21875" bestFit="1" customWidth="1"/>
    <col min="4606" max="4606" width="33.33203125" customWidth="1"/>
    <col min="4607" max="4607" width="24.109375" customWidth="1"/>
    <col min="4608" max="4608" width="22.77734375" customWidth="1"/>
    <col min="4609" max="4609" width="24.109375" customWidth="1"/>
    <col min="4610" max="4610" width="22.77734375" customWidth="1"/>
    <col min="4611" max="4611" width="24.109375" customWidth="1"/>
    <col min="4612" max="4614" width="22.77734375" customWidth="1"/>
    <col min="4615" max="4615" width="24.109375" customWidth="1"/>
    <col min="4616" max="4620" width="22.77734375" customWidth="1"/>
    <col min="4621" max="4621" width="24.88671875" customWidth="1"/>
    <col min="4622" max="4622" width="24.88671875" bestFit="1" customWidth="1"/>
    <col min="4623" max="4623" width="15.109375" bestFit="1" customWidth="1"/>
    <col min="4624" max="4624" width="15" bestFit="1" customWidth="1"/>
    <col min="4625" max="4625" width="11.88671875" bestFit="1" customWidth="1"/>
    <col min="4861" max="4861" width="52.21875" bestFit="1" customWidth="1"/>
    <col min="4862" max="4862" width="33.33203125" customWidth="1"/>
    <col min="4863" max="4863" width="24.109375" customWidth="1"/>
    <col min="4864" max="4864" width="22.77734375" customWidth="1"/>
    <col min="4865" max="4865" width="24.109375" customWidth="1"/>
    <col min="4866" max="4866" width="22.77734375" customWidth="1"/>
    <col min="4867" max="4867" width="24.109375" customWidth="1"/>
    <col min="4868" max="4870" width="22.77734375" customWidth="1"/>
    <col min="4871" max="4871" width="24.109375" customWidth="1"/>
    <col min="4872" max="4876" width="22.77734375" customWidth="1"/>
    <col min="4877" max="4877" width="24.88671875" customWidth="1"/>
    <col min="4878" max="4878" width="24.88671875" bestFit="1" customWidth="1"/>
    <col min="4879" max="4879" width="15.109375" bestFit="1" customWidth="1"/>
    <col min="4880" max="4880" width="15" bestFit="1" customWidth="1"/>
    <col min="4881" max="4881" width="11.88671875" bestFit="1" customWidth="1"/>
    <col min="5117" max="5117" width="52.21875" bestFit="1" customWidth="1"/>
    <col min="5118" max="5118" width="33.33203125" customWidth="1"/>
    <col min="5119" max="5119" width="24.109375" customWidth="1"/>
    <col min="5120" max="5120" width="22.77734375" customWidth="1"/>
    <col min="5121" max="5121" width="24.109375" customWidth="1"/>
    <col min="5122" max="5122" width="22.77734375" customWidth="1"/>
    <col min="5123" max="5123" width="24.109375" customWidth="1"/>
    <col min="5124" max="5126" width="22.77734375" customWidth="1"/>
    <col min="5127" max="5127" width="24.109375" customWidth="1"/>
    <col min="5128" max="5132" width="22.77734375" customWidth="1"/>
    <col min="5133" max="5133" width="24.88671875" customWidth="1"/>
    <col min="5134" max="5134" width="24.88671875" bestFit="1" customWidth="1"/>
    <col min="5135" max="5135" width="15.109375" bestFit="1" customWidth="1"/>
    <col min="5136" max="5136" width="15" bestFit="1" customWidth="1"/>
    <col min="5137" max="5137" width="11.88671875" bestFit="1" customWidth="1"/>
    <col min="5373" max="5373" width="52.21875" bestFit="1" customWidth="1"/>
    <col min="5374" max="5374" width="33.33203125" customWidth="1"/>
    <col min="5375" max="5375" width="24.109375" customWidth="1"/>
    <col min="5376" max="5376" width="22.77734375" customWidth="1"/>
    <col min="5377" max="5377" width="24.109375" customWidth="1"/>
    <col min="5378" max="5378" width="22.77734375" customWidth="1"/>
    <col min="5379" max="5379" width="24.109375" customWidth="1"/>
    <col min="5380" max="5382" width="22.77734375" customWidth="1"/>
    <col min="5383" max="5383" width="24.109375" customWidth="1"/>
    <col min="5384" max="5388" width="22.77734375" customWidth="1"/>
    <col min="5389" max="5389" width="24.88671875" customWidth="1"/>
    <col min="5390" max="5390" width="24.88671875" bestFit="1" customWidth="1"/>
    <col min="5391" max="5391" width="15.109375" bestFit="1" customWidth="1"/>
    <col min="5392" max="5392" width="15" bestFit="1" customWidth="1"/>
    <col min="5393" max="5393" width="11.88671875" bestFit="1" customWidth="1"/>
    <col min="5629" max="5629" width="52.21875" bestFit="1" customWidth="1"/>
    <col min="5630" max="5630" width="33.33203125" customWidth="1"/>
    <col min="5631" max="5631" width="24.109375" customWidth="1"/>
    <col min="5632" max="5632" width="22.77734375" customWidth="1"/>
    <col min="5633" max="5633" width="24.109375" customWidth="1"/>
    <col min="5634" max="5634" width="22.77734375" customWidth="1"/>
    <col min="5635" max="5635" width="24.109375" customWidth="1"/>
    <col min="5636" max="5638" width="22.77734375" customWidth="1"/>
    <col min="5639" max="5639" width="24.109375" customWidth="1"/>
    <col min="5640" max="5644" width="22.77734375" customWidth="1"/>
    <col min="5645" max="5645" width="24.88671875" customWidth="1"/>
    <col min="5646" max="5646" width="24.88671875" bestFit="1" customWidth="1"/>
    <col min="5647" max="5647" width="15.109375" bestFit="1" customWidth="1"/>
    <col min="5648" max="5648" width="15" bestFit="1" customWidth="1"/>
    <col min="5649" max="5649" width="11.88671875" bestFit="1" customWidth="1"/>
    <col min="5885" max="5885" width="52.21875" bestFit="1" customWidth="1"/>
    <col min="5886" max="5886" width="33.33203125" customWidth="1"/>
    <col min="5887" max="5887" width="24.109375" customWidth="1"/>
    <col min="5888" max="5888" width="22.77734375" customWidth="1"/>
    <col min="5889" max="5889" width="24.109375" customWidth="1"/>
    <col min="5890" max="5890" width="22.77734375" customWidth="1"/>
    <col min="5891" max="5891" width="24.109375" customWidth="1"/>
    <col min="5892" max="5894" width="22.77734375" customWidth="1"/>
    <col min="5895" max="5895" width="24.109375" customWidth="1"/>
    <col min="5896" max="5900" width="22.77734375" customWidth="1"/>
    <col min="5901" max="5901" width="24.88671875" customWidth="1"/>
    <col min="5902" max="5902" width="24.88671875" bestFit="1" customWidth="1"/>
    <col min="5903" max="5903" width="15.109375" bestFit="1" customWidth="1"/>
    <col min="5904" max="5904" width="15" bestFit="1" customWidth="1"/>
    <col min="5905" max="5905" width="11.88671875" bestFit="1" customWidth="1"/>
    <col min="6141" max="6141" width="52.21875" bestFit="1" customWidth="1"/>
    <col min="6142" max="6142" width="33.33203125" customWidth="1"/>
    <col min="6143" max="6143" width="24.109375" customWidth="1"/>
    <col min="6144" max="6144" width="22.77734375" customWidth="1"/>
    <col min="6145" max="6145" width="24.109375" customWidth="1"/>
    <col min="6146" max="6146" width="22.77734375" customWidth="1"/>
    <col min="6147" max="6147" width="24.109375" customWidth="1"/>
    <col min="6148" max="6150" width="22.77734375" customWidth="1"/>
    <col min="6151" max="6151" width="24.109375" customWidth="1"/>
    <col min="6152" max="6156" width="22.77734375" customWidth="1"/>
    <col min="6157" max="6157" width="24.88671875" customWidth="1"/>
    <col min="6158" max="6158" width="24.88671875" bestFit="1" customWidth="1"/>
    <col min="6159" max="6159" width="15.109375" bestFit="1" customWidth="1"/>
    <col min="6160" max="6160" width="15" bestFit="1" customWidth="1"/>
    <col min="6161" max="6161" width="11.88671875" bestFit="1" customWidth="1"/>
    <col min="6397" max="6397" width="52.21875" bestFit="1" customWidth="1"/>
    <col min="6398" max="6398" width="33.33203125" customWidth="1"/>
    <col min="6399" max="6399" width="24.109375" customWidth="1"/>
    <col min="6400" max="6400" width="22.77734375" customWidth="1"/>
    <col min="6401" max="6401" width="24.109375" customWidth="1"/>
    <col min="6402" max="6402" width="22.77734375" customWidth="1"/>
    <col min="6403" max="6403" width="24.109375" customWidth="1"/>
    <col min="6404" max="6406" width="22.77734375" customWidth="1"/>
    <col min="6407" max="6407" width="24.109375" customWidth="1"/>
    <col min="6408" max="6412" width="22.77734375" customWidth="1"/>
    <col min="6413" max="6413" width="24.88671875" customWidth="1"/>
    <col min="6414" max="6414" width="24.88671875" bestFit="1" customWidth="1"/>
    <col min="6415" max="6415" width="15.109375" bestFit="1" customWidth="1"/>
    <col min="6416" max="6416" width="15" bestFit="1" customWidth="1"/>
    <col min="6417" max="6417" width="11.88671875" bestFit="1" customWidth="1"/>
    <col min="6653" max="6653" width="52.21875" bestFit="1" customWidth="1"/>
    <col min="6654" max="6654" width="33.33203125" customWidth="1"/>
    <col min="6655" max="6655" width="24.109375" customWidth="1"/>
    <col min="6656" max="6656" width="22.77734375" customWidth="1"/>
    <col min="6657" max="6657" width="24.109375" customWidth="1"/>
    <col min="6658" max="6658" width="22.77734375" customWidth="1"/>
    <col min="6659" max="6659" width="24.109375" customWidth="1"/>
    <col min="6660" max="6662" width="22.77734375" customWidth="1"/>
    <col min="6663" max="6663" width="24.109375" customWidth="1"/>
    <col min="6664" max="6668" width="22.77734375" customWidth="1"/>
    <col min="6669" max="6669" width="24.88671875" customWidth="1"/>
    <col min="6670" max="6670" width="24.88671875" bestFit="1" customWidth="1"/>
    <col min="6671" max="6671" width="15.109375" bestFit="1" customWidth="1"/>
    <col min="6672" max="6672" width="15" bestFit="1" customWidth="1"/>
    <col min="6673" max="6673" width="11.88671875" bestFit="1" customWidth="1"/>
    <col min="6909" max="6909" width="52.21875" bestFit="1" customWidth="1"/>
    <col min="6910" max="6910" width="33.33203125" customWidth="1"/>
    <col min="6911" max="6911" width="24.109375" customWidth="1"/>
    <col min="6912" max="6912" width="22.77734375" customWidth="1"/>
    <col min="6913" max="6913" width="24.109375" customWidth="1"/>
    <col min="6914" max="6914" width="22.77734375" customWidth="1"/>
    <col min="6915" max="6915" width="24.109375" customWidth="1"/>
    <col min="6916" max="6918" width="22.77734375" customWidth="1"/>
    <col min="6919" max="6919" width="24.109375" customWidth="1"/>
    <col min="6920" max="6924" width="22.77734375" customWidth="1"/>
    <col min="6925" max="6925" width="24.88671875" customWidth="1"/>
    <col min="6926" max="6926" width="24.88671875" bestFit="1" customWidth="1"/>
    <col min="6927" max="6927" width="15.109375" bestFit="1" customWidth="1"/>
    <col min="6928" max="6928" width="15" bestFit="1" customWidth="1"/>
    <col min="6929" max="6929" width="11.88671875" bestFit="1" customWidth="1"/>
    <col min="7165" max="7165" width="52.21875" bestFit="1" customWidth="1"/>
    <col min="7166" max="7166" width="33.33203125" customWidth="1"/>
    <col min="7167" max="7167" width="24.109375" customWidth="1"/>
    <col min="7168" max="7168" width="22.77734375" customWidth="1"/>
    <col min="7169" max="7169" width="24.109375" customWidth="1"/>
    <col min="7170" max="7170" width="22.77734375" customWidth="1"/>
    <col min="7171" max="7171" width="24.109375" customWidth="1"/>
    <col min="7172" max="7174" width="22.77734375" customWidth="1"/>
    <col min="7175" max="7175" width="24.109375" customWidth="1"/>
    <col min="7176" max="7180" width="22.77734375" customWidth="1"/>
    <col min="7181" max="7181" width="24.88671875" customWidth="1"/>
    <col min="7182" max="7182" width="24.88671875" bestFit="1" customWidth="1"/>
    <col min="7183" max="7183" width="15.109375" bestFit="1" customWidth="1"/>
    <col min="7184" max="7184" width="15" bestFit="1" customWidth="1"/>
    <col min="7185" max="7185" width="11.88671875" bestFit="1" customWidth="1"/>
    <col min="7421" max="7421" width="52.21875" bestFit="1" customWidth="1"/>
    <col min="7422" max="7422" width="33.33203125" customWidth="1"/>
    <col min="7423" max="7423" width="24.109375" customWidth="1"/>
    <col min="7424" max="7424" width="22.77734375" customWidth="1"/>
    <col min="7425" max="7425" width="24.109375" customWidth="1"/>
    <col min="7426" max="7426" width="22.77734375" customWidth="1"/>
    <col min="7427" max="7427" width="24.109375" customWidth="1"/>
    <col min="7428" max="7430" width="22.77734375" customWidth="1"/>
    <col min="7431" max="7431" width="24.109375" customWidth="1"/>
    <col min="7432" max="7436" width="22.77734375" customWidth="1"/>
    <col min="7437" max="7437" width="24.88671875" customWidth="1"/>
    <col min="7438" max="7438" width="24.88671875" bestFit="1" customWidth="1"/>
    <col min="7439" max="7439" width="15.109375" bestFit="1" customWidth="1"/>
    <col min="7440" max="7440" width="15" bestFit="1" customWidth="1"/>
    <col min="7441" max="7441" width="11.88671875" bestFit="1" customWidth="1"/>
    <col min="7677" max="7677" width="52.21875" bestFit="1" customWidth="1"/>
    <col min="7678" max="7678" width="33.33203125" customWidth="1"/>
    <col min="7679" max="7679" width="24.109375" customWidth="1"/>
    <col min="7680" max="7680" width="22.77734375" customWidth="1"/>
    <col min="7681" max="7681" width="24.109375" customWidth="1"/>
    <col min="7682" max="7682" width="22.77734375" customWidth="1"/>
    <col min="7683" max="7683" width="24.109375" customWidth="1"/>
    <col min="7684" max="7686" width="22.77734375" customWidth="1"/>
    <col min="7687" max="7687" width="24.109375" customWidth="1"/>
    <col min="7688" max="7692" width="22.77734375" customWidth="1"/>
    <col min="7693" max="7693" width="24.88671875" customWidth="1"/>
    <col min="7694" max="7694" width="24.88671875" bestFit="1" customWidth="1"/>
    <col min="7695" max="7695" width="15.109375" bestFit="1" customWidth="1"/>
    <col min="7696" max="7696" width="15" bestFit="1" customWidth="1"/>
    <col min="7697" max="7697" width="11.88671875" bestFit="1" customWidth="1"/>
    <col min="7933" max="7933" width="52.21875" bestFit="1" customWidth="1"/>
    <col min="7934" max="7934" width="33.33203125" customWidth="1"/>
    <col min="7935" max="7935" width="24.109375" customWidth="1"/>
    <col min="7936" max="7936" width="22.77734375" customWidth="1"/>
    <col min="7937" max="7937" width="24.109375" customWidth="1"/>
    <col min="7938" max="7938" width="22.77734375" customWidth="1"/>
    <col min="7939" max="7939" width="24.109375" customWidth="1"/>
    <col min="7940" max="7942" width="22.77734375" customWidth="1"/>
    <col min="7943" max="7943" width="24.109375" customWidth="1"/>
    <col min="7944" max="7948" width="22.77734375" customWidth="1"/>
    <col min="7949" max="7949" width="24.88671875" customWidth="1"/>
    <col min="7950" max="7950" width="24.88671875" bestFit="1" customWidth="1"/>
    <col min="7951" max="7951" width="15.109375" bestFit="1" customWidth="1"/>
    <col min="7952" max="7952" width="15" bestFit="1" customWidth="1"/>
    <col min="7953" max="7953" width="11.88671875" bestFit="1" customWidth="1"/>
    <col min="8189" max="8189" width="52.21875" bestFit="1" customWidth="1"/>
    <col min="8190" max="8190" width="33.33203125" customWidth="1"/>
    <col min="8191" max="8191" width="24.109375" customWidth="1"/>
    <col min="8192" max="8192" width="22.77734375" customWidth="1"/>
    <col min="8193" max="8193" width="24.109375" customWidth="1"/>
    <col min="8194" max="8194" width="22.77734375" customWidth="1"/>
    <col min="8195" max="8195" width="24.109375" customWidth="1"/>
    <col min="8196" max="8198" width="22.77734375" customWidth="1"/>
    <col min="8199" max="8199" width="24.109375" customWidth="1"/>
    <col min="8200" max="8204" width="22.77734375" customWidth="1"/>
    <col min="8205" max="8205" width="24.88671875" customWidth="1"/>
    <col min="8206" max="8206" width="24.88671875" bestFit="1" customWidth="1"/>
    <col min="8207" max="8207" width="15.109375" bestFit="1" customWidth="1"/>
    <col min="8208" max="8208" width="15" bestFit="1" customWidth="1"/>
    <col min="8209" max="8209" width="11.88671875" bestFit="1" customWidth="1"/>
    <col min="8445" max="8445" width="52.21875" bestFit="1" customWidth="1"/>
    <col min="8446" max="8446" width="33.33203125" customWidth="1"/>
    <col min="8447" max="8447" width="24.109375" customWidth="1"/>
    <col min="8448" max="8448" width="22.77734375" customWidth="1"/>
    <col min="8449" max="8449" width="24.109375" customWidth="1"/>
    <col min="8450" max="8450" width="22.77734375" customWidth="1"/>
    <col min="8451" max="8451" width="24.109375" customWidth="1"/>
    <col min="8452" max="8454" width="22.77734375" customWidth="1"/>
    <col min="8455" max="8455" width="24.109375" customWidth="1"/>
    <col min="8456" max="8460" width="22.77734375" customWidth="1"/>
    <col min="8461" max="8461" width="24.88671875" customWidth="1"/>
    <col min="8462" max="8462" width="24.88671875" bestFit="1" customWidth="1"/>
    <col min="8463" max="8463" width="15.109375" bestFit="1" customWidth="1"/>
    <col min="8464" max="8464" width="15" bestFit="1" customWidth="1"/>
    <col min="8465" max="8465" width="11.88671875" bestFit="1" customWidth="1"/>
    <col min="8701" max="8701" width="52.21875" bestFit="1" customWidth="1"/>
    <col min="8702" max="8702" width="33.33203125" customWidth="1"/>
    <col min="8703" max="8703" width="24.109375" customWidth="1"/>
    <col min="8704" max="8704" width="22.77734375" customWidth="1"/>
    <col min="8705" max="8705" width="24.109375" customWidth="1"/>
    <col min="8706" max="8706" width="22.77734375" customWidth="1"/>
    <col min="8707" max="8707" width="24.109375" customWidth="1"/>
    <col min="8708" max="8710" width="22.77734375" customWidth="1"/>
    <col min="8711" max="8711" width="24.109375" customWidth="1"/>
    <col min="8712" max="8716" width="22.77734375" customWidth="1"/>
    <col min="8717" max="8717" width="24.88671875" customWidth="1"/>
    <col min="8718" max="8718" width="24.88671875" bestFit="1" customWidth="1"/>
    <col min="8719" max="8719" width="15.109375" bestFit="1" customWidth="1"/>
    <col min="8720" max="8720" width="15" bestFit="1" customWidth="1"/>
    <col min="8721" max="8721" width="11.88671875" bestFit="1" customWidth="1"/>
    <col min="8957" max="8957" width="52.21875" bestFit="1" customWidth="1"/>
    <col min="8958" max="8958" width="33.33203125" customWidth="1"/>
    <col min="8959" max="8959" width="24.109375" customWidth="1"/>
    <col min="8960" max="8960" width="22.77734375" customWidth="1"/>
    <col min="8961" max="8961" width="24.109375" customWidth="1"/>
    <col min="8962" max="8962" width="22.77734375" customWidth="1"/>
    <col min="8963" max="8963" width="24.109375" customWidth="1"/>
    <col min="8964" max="8966" width="22.77734375" customWidth="1"/>
    <col min="8967" max="8967" width="24.109375" customWidth="1"/>
    <col min="8968" max="8972" width="22.77734375" customWidth="1"/>
    <col min="8973" max="8973" width="24.88671875" customWidth="1"/>
    <col min="8974" max="8974" width="24.88671875" bestFit="1" customWidth="1"/>
    <col min="8975" max="8975" width="15.109375" bestFit="1" customWidth="1"/>
    <col min="8976" max="8976" width="15" bestFit="1" customWidth="1"/>
    <col min="8977" max="8977" width="11.88671875" bestFit="1" customWidth="1"/>
    <col min="9213" max="9213" width="52.21875" bestFit="1" customWidth="1"/>
    <col min="9214" max="9214" width="33.33203125" customWidth="1"/>
    <col min="9215" max="9215" width="24.109375" customWidth="1"/>
    <col min="9216" max="9216" width="22.77734375" customWidth="1"/>
    <col min="9217" max="9217" width="24.109375" customWidth="1"/>
    <col min="9218" max="9218" width="22.77734375" customWidth="1"/>
    <col min="9219" max="9219" width="24.109375" customWidth="1"/>
    <col min="9220" max="9222" width="22.77734375" customWidth="1"/>
    <col min="9223" max="9223" width="24.109375" customWidth="1"/>
    <col min="9224" max="9228" width="22.77734375" customWidth="1"/>
    <col min="9229" max="9229" width="24.88671875" customWidth="1"/>
    <col min="9230" max="9230" width="24.88671875" bestFit="1" customWidth="1"/>
    <col min="9231" max="9231" width="15.109375" bestFit="1" customWidth="1"/>
    <col min="9232" max="9232" width="15" bestFit="1" customWidth="1"/>
    <col min="9233" max="9233" width="11.88671875" bestFit="1" customWidth="1"/>
    <col min="9469" max="9469" width="52.21875" bestFit="1" customWidth="1"/>
    <col min="9470" max="9470" width="33.33203125" customWidth="1"/>
    <col min="9471" max="9471" width="24.109375" customWidth="1"/>
    <col min="9472" max="9472" width="22.77734375" customWidth="1"/>
    <col min="9473" max="9473" width="24.109375" customWidth="1"/>
    <col min="9474" max="9474" width="22.77734375" customWidth="1"/>
    <col min="9475" max="9475" width="24.109375" customWidth="1"/>
    <col min="9476" max="9478" width="22.77734375" customWidth="1"/>
    <col min="9479" max="9479" width="24.109375" customWidth="1"/>
    <col min="9480" max="9484" width="22.77734375" customWidth="1"/>
    <col min="9485" max="9485" width="24.88671875" customWidth="1"/>
    <col min="9486" max="9486" width="24.88671875" bestFit="1" customWidth="1"/>
    <col min="9487" max="9487" width="15.109375" bestFit="1" customWidth="1"/>
    <col min="9488" max="9488" width="15" bestFit="1" customWidth="1"/>
    <col min="9489" max="9489" width="11.88671875" bestFit="1" customWidth="1"/>
    <col min="9725" max="9725" width="52.21875" bestFit="1" customWidth="1"/>
    <col min="9726" max="9726" width="33.33203125" customWidth="1"/>
    <col min="9727" max="9727" width="24.109375" customWidth="1"/>
    <col min="9728" max="9728" width="22.77734375" customWidth="1"/>
    <col min="9729" max="9729" width="24.109375" customWidth="1"/>
    <col min="9730" max="9730" width="22.77734375" customWidth="1"/>
    <col min="9731" max="9731" width="24.109375" customWidth="1"/>
    <col min="9732" max="9734" width="22.77734375" customWidth="1"/>
    <col min="9735" max="9735" width="24.109375" customWidth="1"/>
    <col min="9736" max="9740" width="22.77734375" customWidth="1"/>
    <col min="9741" max="9741" width="24.88671875" customWidth="1"/>
    <col min="9742" max="9742" width="24.88671875" bestFit="1" customWidth="1"/>
    <col min="9743" max="9743" width="15.109375" bestFit="1" customWidth="1"/>
    <col min="9744" max="9744" width="15" bestFit="1" customWidth="1"/>
    <col min="9745" max="9745" width="11.88671875" bestFit="1" customWidth="1"/>
    <col min="9981" max="9981" width="52.21875" bestFit="1" customWidth="1"/>
    <col min="9982" max="9982" width="33.33203125" customWidth="1"/>
    <col min="9983" max="9983" width="24.109375" customWidth="1"/>
    <col min="9984" max="9984" width="22.77734375" customWidth="1"/>
    <col min="9985" max="9985" width="24.109375" customWidth="1"/>
    <col min="9986" max="9986" width="22.77734375" customWidth="1"/>
    <col min="9987" max="9987" width="24.109375" customWidth="1"/>
    <col min="9988" max="9990" width="22.77734375" customWidth="1"/>
    <col min="9991" max="9991" width="24.109375" customWidth="1"/>
    <col min="9992" max="9996" width="22.77734375" customWidth="1"/>
    <col min="9997" max="9997" width="24.88671875" customWidth="1"/>
    <col min="9998" max="9998" width="24.88671875" bestFit="1" customWidth="1"/>
    <col min="9999" max="9999" width="15.109375" bestFit="1" customWidth="1"/>
    <col min="10000" max="10000" width="15" bestFit="1" customWidth="1"/>
    <col min="10001" max="10001" width="11.88671875" bestFit="1" customWidth="1"/>
    <col min="10237" max="10237" width="52.21875" bestFit="1" customWidth="1"/>
    <col min="10238" max="10238" width="33.33203125" customWidth="1"/>
    <col min="10239" max="10239" width="24.109375" customWidth="1"/>
    <col min="10240" max="10240" width="22.77734375" customWidth="1"/>
    <col min="10241" max="10241" width="24.109375" customWidth="1"/>
    <col min="10242" max="10242" width="22.77734375" customWidth="1"/>
    <col min="10243" max="10243" width="24.109375" customWidth="1"/>
    <col min="10244" max="10246" width="22.77734375" customWidth="1"/>
    <col min="10247" max="10247" width="24.109375" customWidth="1"/>
    <col min="10248" max="10252" width="22.77734375" customWidth="1"/>
    <col min="10253" max="10253" width="24.88671875" customWidth="1"/>
    <col min="10254" max="10254" width="24.88671875" bestFit="1" customWidth="1"/>
    <col min="10255" max="10255" width="15.109375" bestFit="1" customWidth="1"/>
    <col min="10256" max="10256" width="15" bestFit="1" customWidth="1"/>
    <col min="10257" max="10257" width="11.88671875" bestFit="1" customWidth="1"/>
    <col min="10493" max="10493" width="52.21875" bestFit="1" customWidth="1"/>
    <col min="10494" max="10494" width="33.33203125" customWidth="1"/>
    <col min="10495" max="10495" width="24.109375" customWidth="1"/>
    <col min="10496" max="10496" width="22.77734375" customWidth="1"/>
    <col min="10497" max="10497" width="24.109375" customWidth="1"/>
    <col min="10498" max="10498" width="22.77734375" customWidth="1"/>
    <col min="10499" max="10499" width="24.109375" customWidth="1"/>
    <col min="10500" max="10502" width="22.77734375" customWidth="1"/>
    <col min="10503" max="10503" width="24.109375" customWidth="1"/>
    <col min="10504" max="10508" width="22.77734375" customWidth="1"/>
    <col min="10509" max="10509" width="24.88671875" customWidth="1"/>
    <col min="10510" max="10510" width="24.88671875" bestFit="1" customWidth="1"/>
    <col min="10511" max="10511" width="15.109375" bestFit="1" customWidth="1"/>
    <col min="10512" max="10512" width="15" bestFit="1" customWidth="1"/>
    <col min="10513" max="10513" width="11.88671875" bestFit="1" customWidth="1"/>
    <col min="10749" max="10749" width="52.21875" bestFit="1" customWidth="1"/>
    <col min="10750" max="10750" width="33.33203125" customWidth="1"/>
    <col min="10751" max="10751" width="24.109375" customWidth="1"/>
    <col min="10752" max="10752" width="22.77734375" customWidth="1"/>
    <col min="10753" max="10753" width="24.109375" customWidth="1"/>
    <col min="10754" max="10754" width="22.77734375" customWidth="1"/>
    <col min="10755" max="10755" width="24.109375" customWidth="1"/>
    <col min="10756" max="10758" width="22.77734375" customWidth="1"/>
    <col min="10759" max="10759" width="24.109375" customWidth="1"/>
    <col min="10760" max="10764" width="22.77734375" customWidth="1"/>
    <col min="10765" max="10765" width="24.88671875" customWidth="1"/>
    <col min="10766" max="10766" width="24.88671875" bestFit="1" customWidth="1"/>
    <col min="10767" max="10767" width="15.109375" bestFit="1" customWidth="1"/>
    <col min="10768" max="10768" width="15" bestFit="1" customWidth="1"/>
    <col min="10769" max="10769" width="11.88671875" bestFit="1" customWidth="1"/>
    <col min="11005" max="11005" width="52.21875" bestFit="1" customWidth="1"/>
    <col min="11006" max="11006" width="33.33203125" customWidth="1"/>
    <col min="11007" max="11007" width="24.109375" customWidth="1"/>
    <col min="11008" max="11008" width="22.77734375" customWidth="1"/>
    <col min="11009" max="11009" width="24.109375" customWidth="1"/>
    <col min="11010" max="11010" width="22.77734375" customWidth="1"/>
    <col min="11011" max="11011" width="24.109375" customWidth="1"/>
    <col min="11012" max="11014" width="22.77734375" customWidth="1"/>
    <col min="11015" max="11015" width="24.109375" customWidth="1"/>
    <col min="11016" max="11020" width="22.77734375" customWidth="1"/>
    <col min="11021" max="11021" width="24.88671875" customWidth="1"/>
    <col min="11022" max="11022" width="24.88671875" bestFit="1" customWidth="1"/>
    <col min="11023" max="11023" width="15.109375" bestFit="1" customWidth="1"/>
    <col min="11024" max="11024" width="15" bestFit="1" customWidth="1"/>
    <col min="11025" max="11025" width="11.88671875" bestFit="1" customWidth="1"/>
    <col min="11261" max="11261" width="52.21875" bestFit="1" customWidth="1"/>
    <col min="11262" max="11262" width="33.33203125" customWidth="1"/>
    <col min="11263" max="11263" width="24.109375" customWidth="1"/>
    <col min="11264" max="11264" width="22.77734375" customWidth="1"/>
    <col min="11265" max="11265" width="24.109375" customWidth="1"/>
    <col min="11266" max="11266" width="22.77734375" customWidth="1"/>
    <col min="11267" max="11267" width="24.109375" customWidth="1"/>
    <col min="11268" max="11270" width="22.77734375" customWidth="1"/>
    <col min="11271" max="11271" width="24.109375" customWidth="1"/>
    <col min="11272" max="11276" width="22.77734375" customWidth="1"/>
    <col min="11277" max="11277" width="24.88671875" customWidth="1"/>
    <col min="11278" max="11278" width="24.88671875" bestFit="1" customWidth="1"/>
    <col min="11279" max="11279" width="15.109375" bestFit="1" customWidth="1"/>
    <col min="11280" max="11280" width="15" bestFit="1" customWidth="1"/>
    <col min="11281" max="11281" width="11.88671875" bestFit="1" customWidth="1"/>
    <col min="11517" max="11517" width="52.21875" bestFit="1" customWidth="1"/>
    <col min="11518" max="11518" width="33.33203125" customWidth="1"/>
    <col min="11519" max="11519" width="24.109375" customWidth="1"/>
    <col min="11520" max="11520" width="22.77734375" customWidth="1"/>
    <col min="11521" max="11521" width="24.109375" customWidth="1"/>
    <col min="11522" max="11522" width="22.77734375" customWidth="1"/>
    <col min="11523" max="11523" width="24.109375" customWidth="1"/>
    <col min="11524" max="11526" width="22.77734375" customWidth="1"/>
    <col min="11527" max="11527" width="24.109375" customWidth="1"/>
    <col min="11528" max="11532" width="22.77734375" customWidth="1"/>
    <col min="11533" max="11533" width="24.88671875" customWidth="1"/>
    <col min="11534" max="11534" width="24.88671875" bestFit="1" customWidth="1"/>
    <col min="11535" max="11535" width="15.109375" bestFit="1" customWidth="1"/>
    <col min="11536" max="11536" width="15" bestFit="1" customWidth="1"/>
    <col min="11537" max="11537" width="11.88671875" bestFit="1" customWidth="1"/>
    <col min="11773" max="11773" width="52.21875" bestFit="1" customWidth="1"/>
    <col min="11774" max="11774" width="33.33203125" customWidth="1"/>
    <col min="11775" max="11775" width="24.109375" customWidth="1"/>
    <col min="11776" max="11776" width="22.77734375" customWidth="1"/>
    <col min="11777" max="11777" width="24.109375" customWidth="1"/>
    <col min="11778" max="11778" width="22.77734375" customWidth="1"/>
    <col min="11779" max="11779" width="24.109375" customWidth="1"/>
    <col min="11780" max="11782" width="22.77734375" customWidth="1"/>
    <col min="11783" max="11783" width="24.109375" customWidth="1"/>
    <col min="11784" max="11788" width="22.77734375" customWidth="1"/>
    <col min="11789" max="11789" width="24.88671875" customWidth="1"/>
    <col min="11790" max="11790" width="24.88671875" bestFit="1" customWidth="1"/>
    <col min="11791" max="11791" width="15.109375" bestFit="1" customWidth="1"/>
    <col min="11792" max="11792" width="15" bestFit="1" customWidth="1"/>
    <col min="11793" max="11793" width="11.88671875" bestFit="1" customWidth="1"/>
    <col min="12029" max="12029" width="52.21875" bestFit="1" customWidth="1"/>
    <col min="12030" max="12030" width="33.33203125" customWidth="1"/>
    <col min="12031" max="12031" width="24.109375" customWidth="1"/>
    <col min="12032" max="12032" width="22.77734375" customWidth="1"/>
    <col min="12033" max="12033" width="24.109375" customWidth="1"/>
    <col min="12034" max="12034" width="22.77734375" customWidth="1"/>
    <col min="12035" max="12035" width="24.109375" customWidth="1"/>
    <col min="12036" max="12038" width="22.77734375" customWidth="1"/>
    <col min="12039" max="12039" width="24.109375" customWidth="1"/>
    <col min="12040" max="12044" width="22.77734375" customWidth="1"/>
    <col min="12045" max="12045" width="24.88671875" customWidth="1"/>
    <col min="12046" max="12046" width="24.88671875" bestFit="1" customWidth="1"/>
    <col min="12047" max="12047" width="15.109375" bestFit="1" customWidth="1"/>
    <col min="12048" max="12048" width="15" bestFit="1" customWidth="1"/>
    <col min="12049" max="12049" width="11.88671875" bestFit="1" customWidth="1"/>
    <col min="12285" max="12285" width="52.21875" bestFit="1" customWidth="1"/>
    <col min="12286" max="12286" width="33.33203125" customWidth="1"/>
    <col min="12287" max="12287" width="24.109375" customWidth="1"/>
    <col min="12288" max="12288" width="22.77734375" customWidth="1"/>
    <col min="12289" max="12289" width="24.109375" customWidth="1"/>
    <col min="12290" max="12290" width="22.77734375" customWidth="1"/>
    <col min="12291" max="12291" width="24.109375" customWidth="1"/>
    <col min="12292" max="12294" width="22.77734375" customWidth="1"/>
    <col min="12295" max="12295" width="24.109375" customWidth="1"/>
    <col min="12296" max="12300" width="22.77734375" customWidth="1"/>
    <col min="12301" max="12301" width="24.88671875" customWidth="1"/>
    <col min="12302" max="12302" width="24.88671875" bestFit="1" customWidth="1"/>
    <col min="12303" max="12303" width="15.109375" bestFit="1" customWidth="1"/>
    <col min="12304" max="12304" width="15" bestFit="1" customWidth="1"/>
    <col min="12305" max="12305" width="11.88671875" bestFit="1" customWidth="1"/>
    <col min="12541" max="12541" width="52.21875" bestFit="1" customWidth="1"/>
    <col min="12542" max="12542" width="33.33203125" customWidth="1"/>
    <col min="12543" max="12543" width="24.109375" customWidth="1"/>
    <col min="12544" max="12544" width="22.77734375" customWidth="1"/>
    <col min="12545" max="12545" width="24.109375" customWidth="1"/>
    <col min="12546" max="12546" width="22.77734375" customWidth="1"/>
    <col min="12547" max="12547" width="24.109375" customWidth="1"/>
    <col min="12548" max="12550" width="22.77734375" customWidth="1"/>
    <col min="12551" max="12551" width="24.109375" customWidth="1"/>
    <col min="12552" max="12556" width="22.77734375" customWidth="1"/>
    <col min="12557" max="12557" width="24.88671875" customWidth="1"/>
    <col min="12558" max="12558" width="24.88671875" bestFit="1" customWidth="1"/>
    <col min="12559" max="12559" width="15.109375" bestFit="1" customWidth="1"/>
    <col min="12560" max="12560" width="15" bestFit="1" customWidth="1"/>
    <col min="12561" max="12561" width="11.88671875" bestFit="1" customWidth="1"/>
    <col min="12797" max="12797" width="52.21875" bestFit="1" customWidth="1"/>
    <col min="12798" max="12798" width="33.33203125" customWidth="1"/>
    <col min="12799" max="12799" width="24.109375" customWidth="1"/>
    <col min="12800" max="12800" width="22.77734375" customWidth="1"/>
    <col min="12801" max="12801" width="24.109375" customWidth="1"/>
    <col min="12802" max="12802" width="22.77734375" customWidth="1"/>
    <col min="12803" max="12803" width="24.109375" customWidth="1"/>
    <col min="12804" max="12806" width="22.77734375" customWidth="1"/>
    <col min="12807" max="12807" width="24.109375" customWidth="1"/>
    <col min="12808" max="12812" width="22.77734375" customWidth="1"/>
    <col min="12813" max="12813" width="24.88671875" customWidth="1"/>
    <col min="12814" max="12814" width="24.88671875" bestFit="1" customWidth="1"/>
    <col min="12815" max="12815" width="15.109375" bestFit="1" customWidth="1"/>
    <col min="12816" max="12816" width="15" bestFit="1" customWidth="1"/>
    <col min="12817" max="12817" width="11.88671875" bestFit="1" customWidth="1"/>
    <col min="13053" max="13053" width="52.21875" bestFit="1" customWidth="1"/>
    <col min="13054" max="13054" width="33.33203125" customWidth="1"/>
    <col min="13055" max="13055" width="24.109375" customWidth="1"/>
    <col min="13056" max="13056" width="22.77734375" customWidth="1"/>
    <col min="13057" max="13057" width="24.109375" customWidth="1"/>
    <col min="13058" max="13058" width="22.77734375" customWidth="1"/>
    <col min="13059" max="13059" width="24.109375" customWidth="1"/>
    <col min="13060" max="13062" width="22.77734375" customWidth="1"/>
    <col min="13063" max="13063" width="24.109375" customWidth="1"/>
    <col min="13064" max="13068" width="22.77734375" customWidth="1"/>
    <col min="13069" max="13069" width="24.88671875" customWidth="1"/>
    <col min="13070" max="13070" width="24.88671875" bestFit="1" customWidth="1"/>
    <col min="13071" max="13071" width="15.109375" bestFit="1" customWidth="1"/>
    <col min="13072" max="13072" width="15" bestFit="1" customWidth="1"/>
    <col min="13073" max="13073" width="11.88671875" bestFit="1" customWidth="1"/>
    <col min="13309" max="13309" width="52.21875" bestFit="1" customWidth="1"/>
    <col min="13310" max="13310" width="33.33203125" customWidth="1"/>
    <col min="13311" max="13311" width="24.109375" customWidth="1"/>
    <col min="13312" max="13312" width="22.77734375" customWidth="1"/>
    <col min="13313" max="13313" width="24.109375" customWidth="1"/>
    <col min="13314" max="13314" width="22.77734375" customWidth="1"/>
    <col min="13315" max="13315" width="24.109375" customWidth="1"/>
    <col min="13316" max="13318" width="22.77734375" customWidth="1"/>
    <col min="13319" max="13319" width="24.109375" customWidth="1"/>
    <col min="13320" max="13324" width="22.77734375" customWidth="1"/>
    <col min="13325" max="13325" width="24.88671875" customWidth="1"/>
    <col min="13326" max="13326" width="24.88671875" bestFit="1" customWidth="1"/>
    <col min="13327" max="13327" width="15.109375" bestFit="1" customWidth="1"/>
    <col min="13328" max="13328" width="15" bestFit="1" customWidth="1"/>
    <col min="13329" max="13329" width="11.88671875" bestFit="1" customWidth="1"/>
    <col min="13565" max="13565" width="52.21875" bestFit="1" customWidth="1"/>
    <col min="13566" max="13566" width="33.33203125" customWidth="1"/>
    <col min="13567" max="13567" width="24.109375" customWidth="1"/>
    <col min="13568" max="13568" width="22.77734375" customWidth="1"/>
    <col min="13569" max="13569" width="24.109375" customWidth="1"/>
    <col min="13570" max="13570" width="22.77734375" customWidth="1"/>
    <col min="13571" max="13571" width="24.109375" customWidth="1"/>
    <col min="13572" max="13574" width="22.77734375" customWidth="1"/>
    <col min="13575" max="13575" width="24.109375" customWidth="1"/>
    <col min="13576" max="13580" width="22.77734375" customWidth="1"/>
    <col min="13581" max="13581" width="24.88671875" customWidth="1"/>
    <col min="13582" max="13582" width="24.88671875" bestFit="1" customWidth="1"/>
    <col min="13583" max="13583" width="15.109375" bestFit="1" customWidth="1"/>
    <col min="13584" max="13584" width="15" bestFit="1" customWidth="1"/>
    <col min="13585" max="13585" width="11.88671875" bestFit="1" customWidth="1"/>
    <col min="13821" max="13821" width="52.21875" bestFit="1" customWidth="1"/>
    <col min="13822" max="13822" width="33.33203125" customWidth="1"/>
    <col min="13823" max="13823" width="24.109375" customWidth="1"/>
    <col min="13824" max="13824" width="22.77734375" customWidth="1"/>
    <col min="13825" max="13825" width="24.109375" customWidth="1"/>
    <col min="13826" max="13826" width="22.77734375" customWidth="1"/>
    <col min="13827" max="13827" width="24.109375" customWidth="1"/>
    <col min="13828" max="13830" width="22.77734375" customWidth="1"/>
    <col min="13831" max="13831" width="24.109375" customWidth="1"/>
    <col min="13832" max="13836" width="22.77734375" customWidth="1"/>
    <col min="13837" max="13837" width="24.88671875" customWidth="1"/>
    <col min="13838" max="13838" width="24.88671875" bestFit="1" customWidth="1"/>
    <col min="13839" max="13839" width="15.109375" bestFit="1" customWidth="1"/>
    <col min="13840" max="13840" width="15" bestFit="1" customWidth="1"/>
    <col min="13841" max="13841" width="11.88671875" bestFit="1" customWidth="1"/>
    <col min="14077" max="14077" width="52.21875" bestFit="1" customWidth="1"/>
    <col min="14078" max="14078" width="33.33203125" customWidth="1"/>
    <col min="14079" max="14079" width="24.109375" customWidth="1"/>
    <col min="14080" max="14080" width="22.77734375" customWidth="1"/>
    <col min="14081" max="14081" width="24.109375" customWidth="1"/>
    <col min="14082" max="14082" width="22.77734375" customWidth="1"/>
    <col min="14083" max="14083" width="24.109375" customWidth="1"/>
    <col min="14084" max="14086" width="22.77734375" customWidth="1"/>
    <col min="14087" max="14087" width="24.109375" customWidth="1"/>
    <col min="14088" max="14092" width="22.77734375" customWidth="1"/>
    <col min="14093" max="14093" width="24.88671875" customWidth="1"/>
    <col min="14094" max="14094" width="24.88671875" bestFit="1" customWidth="1"/>
    <col min="14095" max="14095" width="15.109375" bestFit="1" customWidth="1"/>
    <col min="14096" max="14096" width="15" bestFit="1" customWidth="1"/>
    <col min="14097" max="14097" width="11.88671875" bestFit="1" customWidth="1"/>
    <col min="14333" max="14333" width="52.21875" bestFit="1" customWidth="1"/>
    <col min="14334" max="14334" width="33.33203125" customWidth="1"/>
    <col min="14335" max="14335" width="24.109375" customWidth="1"/>
    <col min="14336" max="14336" width="22.77734375" customWidth="1"/>
    <col min="14337" max="14337" width="24.109375" customWidth="1"/>
    <col min="14338" max="14338" width="22.77734375" customWidth="1"/>
    <col min="14339" max="14339" width="24.109375" customWidth="1"/>
    <col min="14340" max="14342" width="22.77734375" customWidth="1"/>
    <col min="14343" max="14343" width="24.109375" customWidth="1"/>
    <col min="14344" max="14348" width="22.77734375" customWidth="1"/>
    <col min="14349" max="14349" width="24.88671875" customWidth="1"/>
    <col min="14350" max="14350" width="24.88671875" bestFit="1" customWidth="1"/>
    <col min="14351" max="14351" width="15.109375" bestFit="1" customWidth="1"/>
    <col min="14352" max="14352" width="15" bestFit="1" customWidth="1"/>
    <col min="14353" max="14353" width="11.88671875" bestFit="1" customWidth="1"/>
    <col min="14589" max="14589" width="52.21875" bestFit="1" customWidth="1"/>
    <col min="14590" max="14590" width="33.33203125" customWidth="1"/>
    <col min="14591" max="14591" width="24.109375" customWidth="1"/>
    <col min="14592" max="14592" width="22.77734375" customWidth="1"/>
    <col min="14593" max="14593" width="24.109375" customWidth="1"/>
    <col min="14594" max="14594" width="22.77734375" customWidth="1"/>
    <col min="14595" max="14595" width="24.109375" customWidth="1"/>
    <col min="14596" max="14598" width="22.77734375" customWidth="1"/>
    <col min="14599" max="14599" width="24.109375" customWidth="1"/>
    <col min="14600" max="14604" width="22.77734375" customWidth="1"/>
    <col min="14605" max="14605" width="24.88671875" customWidth="1"/>
    <col min="14606" max="14606" width="24.88671875" bestFit="1" customWidth="1"/>
    <col min="14607" max="14607" width="15.109375" bestFit="1" customWidth="1"/>
    <col min="14608" max="14608" width="15" bestFit="1" customWidth="1"/>
    <col min="14609" max="14609" width="11.88671875" bestFit="1" customWidth="1"/>
    <col min="14845" max="14845" width="52.21875" bestFit="1" customWidth="1"/>
    <col min="14846" max="14846" width="33.33203125" customWidth="1"/>
    <col min="14847" max="14847" width="24.109375" customWidth="1"/>
    <col min="14848" max="14848" width="22.77734375" customWidth="1"/>
    <col min="14849" max="14849" width="24.109375" customWidth="1"/>
    <col min="14850" max="14850" width="22.77734375" customWidth="1"/>
    <col min="14851" max="14851" width="24.109375" customWidth="1"/>
    <col min="14852" max="14854" width="22.77734375" customWidth="1"/>
    <col min="14855" max="14855" width="24.109375" customWidth="1"/>
    <col min="14856" max="14860" width="22.77734375" customWidth="1"/>
    <col min="14861" max="14861" width="24.88671875" customWidth="1"/>
    <col min="14862" max="14862" width="24.88671875" bestFit="1" customWidth="1"/>
    <col min="14863" max="14863" width="15.109375" bestFit="1" customWidth="1"/>
    <col min="14864" max="14864" width="15" bestFit="1" customWidth="1"/>
    <col min="14865" max="14865" width="11.88671875" bestFit="1" customWidth="1"/>
    <col min="15101" max="15101" width="52.21875" bestFit="1" customWidth="1"/>
    <col min="15102" max="15102" width="33.33203125" customWidth="1"/>
    <col min="15103" max="15103" width="24.109375" customWidth="1"/>
    <col min="15104" max="15104" width="22.77734375" customWidth="1"/>
    <col min="15105" max="15105" width="24.109375" customWidth="1"/>
    <col min="15106" max="15106" width="22.77734375" customWidth="1"/>
    <col min="15107" max="15107" width="24.109375" customWidth="1"/>
    <col min="15108" max="15110" width="22.77734375" customWidth="1"/>
    <col min="15111" max="15111" width="24.109375" customWidth="1"/>
    <col min="15112" max="15116" width="22.77734375" customWidth="1"/>
    <col min="15117" max="15117" width="24.88671875" customWidth="1"/>
    <col min="15118" max="15118" width="24.88671875" bestFit="1" customWidth="1"/>
    <col min="15119" max="15119" width="15.109375" bestFit="1" customWidth="1"/>
    <col min="15120" max="15120" width="15" bestFit="1" customWidth="1"/>
    <col min="15121" max="15121" width="11.88671875" bestFit="1" customWidth="1"/>
    <col min="15357" max="15357" width="52.21875" bestFit="1" customWidth="1"/>
    <col min="15358" max="15358" width="33.33203125" customWidth="1"/>
    <col min="15359" max="15359" width="24.109375" customWidth="1"/>
    <col min="15360" max="15360" width="22.77734375" customWidth="1"/>
    <col min="15361" max="15361" width="24.109375" customWidth="1"/>
    <col min="15362" max="15362" width="22.77734375" customWidth="1"/>
    <col min="15363" max="15363" width="24.109375" customWidth="1"/>
    <col min="15364" max="15366" width="22.77734375" customWidth="1"/>
    <col min="15367" max="15367" width="24.109375" customWidth="1"/>
    <col min="15368" max="15372" width="22.77734375" customWidth="1"/>
    <col min="15373" max="15373" width="24.88671875" customWidth="1"/>
    <col min="15374" max="15374" width="24.88671875" bestFit="1" customWidth="1"/>
    <col min="15375" max="15375" width="15.109375" bestFit="1" customWidth="1"/>
    <col min="15376" max="15376" width="15" bestFit="1" customWidth="1"/>
    <col min="15377" max="15377" width="11.88671875" bestFit="1" customWidth="1"/>
    <col min="15613" max="15613" width="52.21875" bestFit="1" customWidth="1"/>
    <col min="15614" max="15614" width="33.33203125" customWidth="1"/>
    <col min="15615" max="15615" width="24.109375" customWidth="1"/>
    <col min="15616" max="15616" width="22.77734375" customWidth="1"/>
    <col min="15617" max="15617" width="24.109375" customWidth="1"/>
    <col min="15618" max="15618" width="22.77734375" customWidth="1"/>
    <col min="15619" max="15619" width="24.109375" customWidth="1"/>
    <col min="15620" max="15622" width="22.77734375" customWidth="1"/>
    <col min="15623" max="15623" width="24.109375" customWidth="1"/>
    <col min="15624" max="15628" width="22.77734375" customWidth="1"/>
    <col min="15629" max="15629" width="24.88671875" customWidth="1"/>
    <col min="15630" max="15630" width="24.88671875" bestFit="1" customWidth="1"/>
    <col min="15631" max="15631" width="15.109375" bestFit="1" customWidth="1"/>
    <col min="15632" max="15632" width="15" bestFit="1" customWidth="1"/>
    <col min="15633" max="15633" width="11.88671875" bestFit="1" customWidth="1"/>
    <col min="15869" max="15869" width="52.21875" bestFit="1" customWidth="1"/>
    <col min="15870" max="15870" width="33.33203125" customWidth="1"/>
    <col min="15871" max="15871" width="24.109375" customWidth="1"/>
    <col min="15872" max="15872" width="22.77734375" customWidth="1"/>
    <col min="15873" max="15873" width="24.109375" customWidth="1"/>
    <col min="15874" max="15874" width="22.77734375" customWidth="1"/>
    <col min="15875" max="15875" width="24.109375" customWidth="1"/>
    <col min="15876" max="15878" width="22.77734375" customWidth="1"/>
    <col min="15879" max="15879" width="24.109375" customWidth="1"/>
    <col min="15880" max="15884" width="22.77734375" customWidth="1"/>
    <col min="15885" max="15885" width="24.88671875" customWidth="1"/>
    <col min="15886" max="15886" width="24.88671875" bestFit="1" customWidth="1"/>
    <col min="15887" max="15887" width="15.109375" bestFit="1" customWidth="1"/>
    <col min="15888" max="15888" width="15" bestFit="1" customWidth="1"/>
    <col min="15889" max="15889" width="11.88671875" bestFit="1" customWidth="1"/>
    <col min="16125" max="16125" width="52.21875" bestFit="1" customWidth="1"/>
    <col min="16126" max="16126" width="33.33203125" customWidth="1"/>
    <col min="16127" max="16127" width="24.109375" customWidth="1"/>
    <col min="16128" max="16128" width="22.77734375" customWidth="1"/>
    <col min="16129" max="16129" width="24.109375" customWidth="1"/>
    <col min="16130" max="16130" width="22.77734375" customWidth="1"/>
    <col min="16131" max="16131" width="24.109375" customWidth="1"/>
    <col min="16132" max="16134" width="22.77734375" customWidth="1"/>
    <col min="16135" max="16135" width="24.109375" customWidth="1"/>
    <col min="16136" max="16140" width="22.77734375" customWidth="1"/>
    <col min="16141" max="16141" width="24.88671875" customWidth="1"/>
    <col min="16142" max="16142" width="24.88671875" bestFit="1" customWidth="1"/>
    <col min="16143" max="16143" width="15.109375" bestFit="1" customWidth="1"/>
    <col min="16144" max="16144" width="15" bestFit="1" customWidth="1"/>
    <col min="16145" max="16145" width="11.88671875" bestFit="1" customWidth="1"/>
  </cols>
  <sheetData>
    <row r="1" spans="1:19">
      <c r="A1" s="22"/>
    </row>
    <row r="2" spans="1:19" s="24" customFormat="1" ht="21.6" thickBot="1">
      <c r="A2" s="23" t="s">
        <v>180</v>
      </c>
      <c r="R2" s="25" t="s">
        <v>181</v>
      </c>
    </row>
    <row r="3" spans="1:19" s="28" customFormat="1" ht="19.2" thickTop="1" thickBot="1">
      <c r="A3" s="26" t="s">
        <v>182</v>
      </c>
      <c r="B3" s="27">
        <v>44562</v>
      </c>
      <c r="C3" s="27">
        <v>44593</v>
      </c>
      <c r="D3" s="27">
        <v>44621</v>
      </c>
      <c r="E3" s="27" t="s">
        <v>183</v>
      </c>
      <c r="F3" s="27">
        <v>44652</v>
      </c>
      <c r="G3" s="27">
        <v>44682</v>
      </c>
      <c r="H3" s="27">
        <v>44713</v>
      </c>
      <c r="I3" s="27" t="s">
        <v>184</v>
      </c>
      <c r="J3" s="27">
        <v>44743</v>
      </c>
      <c r="K3" s="27">
        <v>44774</v>
      </c>
      <c r="L3" s="27">
        <v>44805</v>
      </c>
      <c r="M3" s="27" t="s">
        <v>185</v>
      </c>
      <c r="N3" s="27">
        <v>44835</v>
      </c>
      <c r="O3" s="27">
        <v>44866</v>
      </c>
      <c r="P3" s="27">
        <v>44896</v>
      </c>
      <c r="Q3" s="27" t="s">
        <v>186</v>
      </c>
      <c r="R3" s="27" t="s">
        <v>187</v>
      </c>
    </row>
    <row r="4" spans="1:19" s="28" customFormat="1" ht="21.6" hidden="1" thickTop="1">
      <c r="A4" s="29" t="s">
        <v>188</v>
      </c>
      <c r="B4" s="29">
        <f>'[36]Budget 2022'!E80</f>
        <v>24038558.323333323</v>
      </c>
      <c r="C4" s="29">
        <f>'[36]Budget 2022'!F80</f>
        <v>25788558.323333323</v>
      </c>
      <c r="D4" s="29">
        <f>'[36]Budget 2022'!G80</f>
        <v>27648558.323333323</v>
      </c>
      <c r="E4" s="30">
        <f>SUM(B4:D4)</f>
        <v>77475674.969999969</v>
      </c>
      <c r="F4" s="29">
        <f>'[36]Budget 2022'!I80</f>
        <v>27090612.649999999</v>
      </c>
      <c r="G4" s="29">
        <f>'[36]Budget 2022'!J80</f>
        <v>26321329.649999999</v>
      </c>
      <c r="H4" s="29">
        <f>'[36]Budget 2022'!K80</f>
        <v>26812373.649999999</v>
      </c>
      <c r="I4" s="30">
        <f>SUM(F4:H4)</f>
        <v>80224315.949999988</v>
      </c>
      <c r="J4" s="29">
        <f>'[36]Budget 2022'!M80</f>
        <v>19033333.316666666</v>
      </c>
      <c r="K4" s="29">
        <f>'[36]Budget 2022'!N80</f>
        <v>19033333.316666666</v>
      </c>
      <c r="L4" s="29">
        <f>'[36]Budget 2022'!O80</f>
        <v>19033333.316666666</v>
      </c>
      <c r="M4" s="30">
        <f>SUM(J4:L4)</f>
        <v>57099999.950000003</v>
      </c>
      <c r="N4" s="29">
        <f>'[36]Budget 2022'!Q80</f>
        <v>18404311.316666666</v>
      </c>
      <c r="O4" s="29">
        <f>'[36]Budget 2022'!R80</f>
        <v>17467699.316666666</v>
      </c>
      <c r="P4" s="29">
        <f>'[36]Budget 2022'!S80</f>
        <v>17467699.316666666</v>
      </c>
      <c r="Q4" s="30">
        <f>SUM(N4:P4)</f>
        <v>53339709.950000003</v>
      </c>
      <c r="R4" s="30">
        <f>Q4+M4+I4+E4</f>
        <v>268139700.81999996</v>
      </c>
    </row>
    <row r="5" spans="1:19" s="28" customFormat="1" ht="21" hidden="1">
      <c r="A5" s="29" t="s">
        <v>189</v>
      </c>
      <c r="B5" s="29">
        <f>'[36]Budget 2022'!E81</f>
        <v>1958966</v>
      </c>
      <c r="C5" s="29">
        <f>'[36]Budget 2022'!F81</f>
        <v>1958966</v>
      </c>
      <c r="D5" s="29">
        <f>'[36]Budget 2022'!G81</f>
        <v>1958966</v>
      </c>
      <c r="E5" s="30">
        <f>SUM(B5:D5)</f>
        <v>5876898</v>
      </c>
      <c r="F5" s="29">
        <f>'[36]Budget 2022'!I81</f>
        <v>1758966</v>
      </c>
      <c r="G5" s="29">
        <f>'[36]Budget 2022'!J81</f>
        <v>1758966</v>
      </c>
      <c r="H5" s="29">
        <f>'[36]Budget 2022'!K81</f>
        <v>1758966</v>
      </c>
      <c r="I5" s="30">
        <f>SUM(F5:H5)</f>
        <v>5276898</v>
      </c>
      <c r="J5" s="29">
        <f>'[36]Budget 2022'!M81</f>
        <v>864366</v>
      </c>
      <c r="K5" s="29">
        <f>'[36]Budget 2022'!N81</f>
        <v>864366</v>
      </c>
      <c r="L5" s="29">
        <f>'[36]Budget 2022'!O81</f>
        <v>864366</v>
      </c>
      <c r="M5" s="30">
        <f>SUM(J5:L5)</f>
        <v>2593098</v>
      </c>
      <c r="N5" s="29">
        <f>'[36]Budget 2022'!Q81</f>
        <v>450000</v>
      </c>
      <c r="O5" s="29">
        <f>'[36]Budget 2022'!R81</f>
        <v>450000</v>
      </c>
      <c r="P5" s="29">
        <f>'[36]Budget 2022'!S81</f>
        <v>450000</v>
      </c>
      <c r="Q5" s="30">
        <f>SUM(N5:P5)</f>
        <v>1350000</v>
      </c>
      <c r="R5" s="30">
        <f>Q5+M5+I5+E5</f>
        <v>15096894</v>
      </c>
    </row>
    <row r="6" spans="1:19" s="28" customFormat="1" ht="21" hidden="1">
      <c r="A6" s="29" t="s">
        <v>190</v>
      </c>
      <c r="B6" s="29">
        <f>SUM(B4:B5)</f>
        <v>25997524.323333323</v>
      </c>
      <c r="C6" s="29">
        <f>SUM(C4:C5)</f>
        <v>27747524.323333323</v>
      </c>
      <c r="D6" s="29">
        <f>SUM(D4:D5)</f>
        <v>29607524.323333323</v>
      </c>
      <c r="E6" s="30">
        <f>SUM(B6:D6)</f>
        <v>83352572.969999969</v>
      </c>
      <c r="F6" s="29">
        <f>SUM(F4:F5)</f>
        <v>28849578.649999999</v>
      </c>
      <c r="G6" s="29">
        <f>SUM(G4:G5)</f>
        <v>28080295.649999999</v>
      </c>
      <c r="H6" s="29">
        <f>SUM(H4:H5)</f>
        <v>28571339.649999999</v>
      </c>
      <c r="I6" s="30">
        <f>SUM(F6:H6)</f>
        <v>85501213.949999988</v>
      </c>
      <c r="J6" s="29">
        <f>SUM(J4:J5)</f>
        <v>19897699.316666666</v>
      </c>
      <c r="K6" s="29">
        <f>SUM(K4:K5)</f>
        <v>19897699.316666666</v>
      </c>
      <c r="L6" s="29">
        <f>SUM(L4:L5)</f>
        <v>19897699.316666666</v>
      </c>
      <c r="M6" s="30">
        <f>SUM(J6:L6)</f>
        <v>59693097.950000003</v>
      </c>
      <c r="N6" s="29">
        <f>SUM(N4:N5)</f>
        <v>18854311.316666666</v>
      </c>
      <c r="O6" s="29">
        <f>SUM(O4:O5)</f>
        <v>17917699.316666666</v>
      </c>
      <c r="P6" s="29">
        <f>SUM(P4:P5)</f>
        <v>17917699.316666666</v>
      </c>
      <c r="Q6" s="30">
        <f>SUM(N6:P6)</f>
        <v>54689709.950000003</v>
      </c>
      <c r="R6" s="30">
        <f t="shared" ref="R6:R12" si="0">Q6+M6+I6+E6</f>
        <v>283236594.81999993</v>
      </c>
    </row>
    <row r="7" spans="1:19" s="28" customFormat="1" ht="21" hidden="1">
      <c r="A7" s="29" t="s">
        <v>191</v>
      </c>
      <c r="B7" s="29">
        <f>'[36]Budget 2022'!V84+'[36]Budget 2022'!AM80+'[36]Budget 2022'!CL80+'[36]Budget 2022'!DC80+'[36]Budget 2022'!DT80+'[36]Budget 2022'!EK80</f>
        <v>-19356037.356666662</v>
      </c>
      <c r="C7" s="29">
        <f>'[36]Budget 2022'!W84+'[36]Budget 2022'!AN80+'[36]Budget 2022'!CM80+'[36]Budget 2022'!DD80+'[36]Budget 2022'!DU80+'[36]Budget 2022'!EL80</f>
        <v>-16131586.27666666</v>
      </c>
      <c r="D7" s="29">
        <f>'[36]Budget 2022'!X84+'[36]Budget 2022'!AO80+'[36]Budget 2022'!CN80+'[36]Budget 2022'!DE80+'[36]Budget 2022'!DV80+'[36]Budget 2022'!EM80</f>
        <v>-20138009.11666666</v>
      </c>
      <c r="E7" s="30">
        <f t="shared" ref="E7:E13" si="1">SUM(B7:D7)</f>
        <v>-55625632.749999985</v>
      </c>
      <c r="F7" s="29">
        <f>'[36]Budget 2022'!Z84+'[36]Budget 2022'!AQ84+'[36]Budget 2022'!CP84+'[36]Budget 2022'!DG84+'[36]Budget 2022'!DX84+'[36]Budget 2022'!EO84</f>
        <v>-19914128.266666658</v>
      </c>
      <c r="G7" s="29">
        <f>'[36]Budget 2022'!AA84+'[36]Budget 2022'!AR84+'[36]Budget 2022'!CQ84+'[36]Budget 2022'!DH84+'[36]Budget 2022'!DY84+'[36]Budget 2022'!EP84</f>
        <v>-16325155.236666659</v>
      </c>
      <c r="H7" s="29">
        <f>'[36]Budget 2022'!AB84+'[36]Budget 2022'!AS84+'[36]Budget 2022'!CR84+'[36]Budget 2022'!DI84+'[36]Budget 2022'!DZ84+'[36]Budget 2022'!EQ84</f>
        <v>-15357479.396666659</v>
      </c>
      <c r="I7" s="30">
        <f t="shared" ref="I7:I13" si="2">SUM(F7:H7)</f>
        <v>-51596762.899999976</v>
      </c>
      <c r="J7" s="29">
        <f>'[36]Budget 2022'!AD84+'[36]Budget 2022'!AU84+'[36]Budget 2022'!CT84+'[36]Budget 2022'!DK84+'[36]Budget 2022'!EB84+'[36]Budget 2022'!ES84</f>
        <v>-12488155.966666659</v>
      </c>
      <c r="K7" s="29">
        <f>'[36]Budget 2022'!AE84+'[36]Budget 2022'!AV84+'[36]Budget 2022'!CU84+'[36]Budget 2022'!DL84+'[36]Budget 2022'!EC84+'[36]Budget 2022'!ET84</f>
        <v>-9853435.9666666593</v>
      </c>
      <c r="L7" s="29">
        <f>'[36]Budget 2022'!AF84+'[36]Budget 2022'!AW84+'[36]Budget 2022'!CV84+'[36]Budget 2022'!DM84+'[36]Budget 2022'!ED84+'[36]Budget 2022'!EU84</f>
        <v>-9472666.7966666594</v>
      </c>
      <c r="M7" s="30">
        <f t="shared" ref="M7:M13" si="3">SUM(J7:L7)</f>
        <v>-31814258.729999978</v>
      </c>
      <c r="N7" s="29">
        <f>'[36]Budget 2022'!AH84+'[36]Budget 2022'!AY84+'[36]Budget 2022'!CX84+'[36]Budget 2022'!DO84+'[36]Budget 2022'!EF84+'[36]Budget 2022'!EW84</f>
        <v>-9377942.1966666598</v>
      </c>
      <c r="O7" s="29">
        <f>'[36]Budget 2022'!AI84+'[36]Budget 2022'!AZ84+'[36]Budget 2022'!CY84+'[36]Budget 2022'!DP84+'[36]Budget 2022'!EG84+'[36]Budget 2022'!EX84</f>
        <v>-8955050.0166666601</v>
      </c>
      <c r="P7" s="29">
        <f>'[36]Budget 2022'!AJ84+'[36]Budget 2022'!BA84+'[36]Budget 2022'!CZ84+'[36]Budget 2022'!DQ84+'[36]Budget 2022'!EH84+'[36]Budget 2022'!EY84</f>
        <v>-8989083.0166666601</v>
      </c>
      <c r="Q7" s="30">
        <f t="shared" ref="Q7:Q12" si="4">SUM(N7:P7)</f>
        <v>-27322075.229999982</v>
      </c>
      <c r="R7" s="30">
        <f t="shared" si="0"/>
        <v>-166358729.60999992</v>
      </c>
    </row>
    <row r="8" spans="1:19" s="28" customFormat="1" ht="21" hidden="1">
      <c r="A8" s="29" t="s">
        <v>192</v>
      </c>
      <c r="B8" s="29">
        <f>'[36]Budget 2022'!V85+'[36]Budget 2022'!AM85+'[36]Budget 2022'!CL85+'[36]Budget 2022'!DC85+'[36]Budget 2022'!DT85+'[36]Budget 2022'!EK85</f>
        <v>-463341.42000000004</v>
      </c>
      <c r="C8" s="29">
        <f>'[36]Budget 2022'!W85+'[36]Budget 2022'!AN85+'[36]Budget 2022'!CM85+'[36]Budget 2022'!DD85+'[36]Budget 2022'!DU85+'[36]Budget 2022'!EL85</f>
        <v>-463341.42000000004</v>
      </c>
      <c r="D8" s="29">
        <f>'[36]Budget 2022'!X85+'[36]Budget 2022'!AO85+'[36]Budget 2022'!CN85+'[36]Budget 2022'!DE85+'[36]Budget 2022'!DV85+'[36]Budget 2022'!EM85</f>
        <v>-510890.42000000004</v>
      </c>
      <c r="E8" s="30">
        <f t="shared" si="1"/>
        <v>-1437573.2600000002</v>
      </c>
      <c r="F8" s="29">
        <f>'[36]Budget 2022'!Z85+'[36]Budget 2022'!AQ85+'[36]Budget 2022'!CP85+'[36]Budget 2022'!DG85+'[36]Budget 2022'!DX85+'[36]Budget 2022'!EO85</f>
        <v>-327327.40000000002</v>
      </c>
      <c r="G8" s="29">
        <f>'[36]Budget 2022'!AA85+'[36]Budget 2022'!AR85+'[36]Budget 2022'!CQ85+'[36]Budget 2022'!DH85+'[36]Budget 2022'!DY85+'[36]Budget 2022'!EP85</f>
        <v>-327327.40000000002</v>
      </c>
      <c r="H8" s="29">
        <f>'[36]Budget 2022'!AB85+'[36]Budget 2022'!AS85+'[36]Budget 2022'!CR85+'[36]Budget 2022'!DI85+'[36]Budget 2022'!DZ85+'[36]Budget 2022'!EQ85</f>
        <v>-374876.4</v>
      </c>
      <c r="I8" s="30">
        <f t="shared" si="2"/>
        <v>-1029531.2000000001</v>
      </c>
      <c r="J8" s="29">
        <f>'[36]Budget 2022'!AD85+'[36]Budget 2022'!AU85+'[36]Budget 2022'!CT85+'[36]Budget 2022'!DK85+'[36]Budget 2022'!EB85+'[36]Budget 2022'!ES85</f>
        <v>-42924.490000000005</v>
      </c>
      <c r="K8" s="29">
        <f>'[36]Budget 2022'!AE85+'[36]Budget 2022'!AV85+'[36]Budget 2022'!CU85+'[36]Budget 2022'!DL85+'[36]Budget 2022'!EC85+'[36]Budget 2022'!ET85</f>
        <v>-42924.490000000005</v>
      </c>
      <c r="L8" s="29">
        <f>'[36]Budget 2022'!AF85+'[36]Budget 2022'!AW85+'[36]Budget 2022'!CV85+'[36]Budget 2022'!DM85+'[36]Budget 2022'!ED85+'[36]Budget 2022'!EU85</f>
        <v>-42924.490000000005</v>
      </c>
      <c r="M8" s="30">
        <f t="shared" si="3"/>
        <v>-128773.47000000002</v>
      </c>
      <c r="N8" s="29">
        <f>'[36]Budget 2022'!AH85+'[36]Budget 2022'!AY85+'[36]Budget 2022'!CX85+'[36]Budget 2022'!DO85+'[36]Budget 2022'!EF85+'[36]Budget 2022'!EW85</f>
        <v>-22347.040000000001</v>
      </c>
      <c r="O8" s="29">
        <f>'[36]Budget 2022'!AI85+'[36]Budget 2022'!AZ85+'[36]Budget 2022'!CY85+'[36]Budget 2022'!DP85+'[36]Budget 2022'!EG85+'[36]Budget 2022'!EX85</f>
        <v>-22347.040000000001</v>
      </c>
      <c r="P8" s="29">
        <f>'[36]Budget 2022'!AJ85+'[36]Budget 2022'!BA85+'[36]Budget 2022'!CZ85+'[36]Budget 2022'!DQ85+'[36]Budget 2022'!EH85+'[36]Budget 2022'!EY85</f>
        <v>-22347.040000000001</v>
      </c>
      <c r="Q8" s="30">
        <f t="shared" si="4"/>
        <v>-67041.119999999995</v>
      </c>
      <c r="R8" s="30">
        <f t="shared" si="0"/>
        <v>-2662919.0500000003</v>
      </c>
    </row>
    <row r="9" spans="1:19" s="28" customFormat="1" ht="21" hidden="1">
      <c r="A9" s="29" t="s">
        <v>193</v>
      </c>
      <c r="B9" s="29">
        <f>'[36]Budget 2022'!BD84+'[36]Budget 2022'!BU84</f>
        <v>-3820022.5900000008</v>
      </c>
      <c r="C9" s="29">
        <f>'[36]Budget 2022'!BE84+'[36]Budget 2022'!BV84</f>
        <v>-7442167.9299999997</v>
      </c>
      <c r="D9" s="29">
        <f>'[36]Budget 2022'!BF84+'[36]Budget 2022'!BW84</f>
        <v>-5962312.0499999998</v>
      </c>
      <c r="E9" s="30">
        <f t="shared" si="1"/>
        <v>-17224502.57</v>
      </c>
      <c r="F9" s="29">
        <f>'[36]Budget 2022'!BH84+'[36]Budget 2022'!BY84</f>
        <v>-5962312.0499999998</v>
      </c>
      <c r="G9" s="29">
        <f>'[36]Budget 2022'!BI84+'[36]Budget 2022'!BZ84</f>
        <v>-5962312.0499999998</v>
      </c>
      <c r="H9" s="29">
        <f>'[36]Budget 2022'!BJ84+'[36]Budget 2022'!CA84</f>
        <v>-5962312.0499999998</v>
      </c>
      <c r="I9" s="30">
        <f t="shared" si="2"/>
        <v>-17886936.149999999</v>
      </c>
      <c r="J9" s="29">
        <f>'[36]Budget 2022'!BL84+'[36]Budget 2022'!CC84</f>
        <v>-5718064.459999999</v>
      </c>
      <c r="K9" s="29">
        <f>'[36]Budget 2022'!BM84+'[36]Budget 2022'!CD84</f>
        <v>-5718064.459999999</v>
      </c>
      <c r="L9" s="29">
        <f>'[36]Budget 2022'!BN84+'[36]Budget 2022'!CE84</f>
        <v>-3912376.92</v>
      </c>
      <c r="M9" s="30">
        <f t="shared" si="3"/>
        <v>-15348505.839999998</v>
      </c>
      <c r="N9" s="29">
        <f>'[36]Budget 2022'!BP84+'[36]Budget 2022'!CG84</f>
        <v>-4003313.64</v>
      </c>
      <c r="O9" s="29">
        <f>'[36]Budget 2022'!BQ84+'[36]Budget 2022'!CH84</f>
        <v>-2475766.8300000005</v>
      </c>
      <c r="P9" s="29">
        <f>'[36]Budget 2022'!BR84+'[36]Budget 2022'!CI84</f>
        <v>-2475766.8300000005</v>
      </c>
      <c r="Q9" s="30">
        <f t="shared" si="4"/>
        <v>-8954847.3000000007</v>
      </c>
      <c r="R9" s="30">
        <f t="shared" si="0"/>
        <v>-59414791.859999999</v>
      </c>
    </row>
    <row r="10" spans="1:19" s="28" customFormat="1" ht="21" hidden="1">
      <c r="A10" s="29" t="s">
        <v>194</v>
      </c>
      <c r="B10" s="29">
        <f>'[36]Budget 2022'!BD85+'[36]Budget 2022'!BU85</f>
        <v>-410119.47</v>
      </c>
      <c r="C10" s="29">
        <f>'[36]Budget 2022'!BE85+'[36]Budget 2022'!BV85</f>
        <v>-410119.47</v>
      </c>
      <c r="D10" s="29">
        <f>'[36]Budget 2022'!BF85+'[36]Budget 2022'!BW85</f>
        <v>-410119.47</v>
      </c>
      <c r="E10" s="30">
        <f t="shared" si="1"/>
        <v>-1230358.4099999999</v>
      </c>
      <c r="F10" s="29">
        <f>'[36]Budget 2022'!BH85+'[36]Budget 2022'!BY85</f>
        <v>-368248.44999999995</v>
      </c>
      <c r="G10" s="29">
        <f>'[36]Budget 2022'!BI85+'[36]Budget 2022'!BZ85</f>
        <v>-368248.44999999995</v>
      </c>
      <c r="H10" s="29">
        <f>'[36]Budget 2022'!BJ85+'[36]Budget 2022'!CA85</f>
        <v>-368248.44999999995</v>
      </c>
      <c r="I10" s="30">
        <f t="shared" si="2"/>
        <v>-1104745.3499999999</v>
      </c>
      <c r="J10" s="29">
        <f>'[36]Budget 2022'!BL85+'[36]Budget 2022'!CC85</f>
        <v>-180959.4</v>
      </c>
      <c r="K10" s="29">
        <f>'[36]Budget 2022'!BM85+'[36]Budget 2022'!CD85</f>
        <v>-180959.4</v>
      </c>
      <c r="L10" s="29">
        <f>'[36]Budget 2022'!BN85+'[36]Budget 2022'!CE85</f>
        <v>-180959.4</v>
      </c>
      <c r="M10" s="30">
        <f t="shared" si="3"/>
        <v>-542878.19999999995</v>
      </c>
      <c r="N10" s="29">
        <f>'[36]Budget 2022'!BP85+'[36]Budget 2022'!CG85+'[36]Budget 2022'!EF85</f>
        <v>-94209.78</v>
      </c>
      <c r="O10" s="29">
        <f>'[36]Budget 2022'!BQ85+'[36]Budget 2022'!CH85+'[36]Budget 2022'!EG85</f>
        <v>-94209.78</v>
      </c>
      <c r="P10" s="29">
        <f>'[36]Budget 2022'!BR85+'[36]Budget 2022'!CI85+'[36]Budget 2022'!EH85</f>
        <v>-94209.78</v>
      </c>
      <c r="Q10" s="30">
        <f t="shared" si="4"/>
        <v>-282629.33999999997</v>
      </c>
      <c r="R10" s="30">
        <f t="shared" si="0"/>
        <v>-3160611.3</v>
      </c>
    </row>
    <row r="11" spans="1:19" s="28" customFormat="1" ht="21" hidden="1">
      <c r="A11" s="29" t="s">
        <v>195</v>
      </c>
      <c r="B11" s="29">
        <f>SUM(B7,B9)</f>
        <v>-23176059.946666662</v>
      </c>
      <c r="C11" s="29">
        <f t="shared" ref="C11:H12" si="5">SUM(C7,C9)</f>
        <v>-23573754.20666666</v>
      </c>
      <c r="D11" s="29">
        <f t="shared" si="5"/>
        <v>-26100321.16666666</v>
      </c>
      <c r="E11" s="30">
        <f t="shared" si="1"/>
        <v>-72850135.319999978</v>
      </c>
      <c r="F11" s="29">
        <f t="shared" si="5"/>
        <v>-25876440.316666659</v>
      </c>
      <c r="G11" s="29">
        <f t="shared" si="5"/>
        <v>-22287467.286666658</v>
      </c>
      <c r="H11" s="29">
        <f t="shared" si="5"/>
        <v>-21319791.446666658</v>
      </c>
      <c r="I11" s="30">
        <f t="shared" si="2"/>
        <v>-69483699.049999982</v>
      </c>
      <c r="J11" s="29">
        <f t="shared" ref="J11:L12" si="6">SUM(J7,J9)</f>
        <v>-18206220.426666658</v>
      </c>
      <c r="K11" s="29">
        <f t="shared" si="6"/>
        <v>-15571500.426666658</v>
      </c>
      <c r="L11" s="29">
        <f t="shared" si="6"/>
        <v>-13385043.716666659</v>
      </c>
      <c r="M11" s="30">
        <f t="shared" si="3"/>
        <v>-47162764.569999978</v>
      </c>
      <c r="N11" s="29">
        <f t="shared" ref="N11:P12" si="7">SUM(N7,N9)</f>
        <v>-13381255.83666666</v>
      </c>
      <c r="O11" s="29">
        <f t="shared" si="7"/>
        <v>-11430816.84666666</v>
      </c>
      <c r="P11" s="29">
        <f t="shared" si="7"/>
        <v>-11464849.84666666</v>
      </c>
      <c r="Q11" s="30">
        <f t="shared" si="4"/>
        <v>-36276922.529999986</v>
      </c>
      <c r="R11" s="30">
        <f t="shared" si="0"/>
        <v>-225773521.46999991</v>
      </c>
    </row>
    <row r="12" spans="1:19" s="28" customFormat="1" ht="21" hidden="1">
      <c r="A12" s="29" t="s">
        <v>196</v>
      </c>
      <c r="B12" s="29">
        <f>SUM(B8,B10)</f>
        <v>-873460.89</v>
      </c>
      <c r="C12" s="29">
        <f t="shared" si="5"/>
        <v>-873460.89</v>
      </c>
      <c r="D12" s="29">
        <f t="shared" si="5"/>
        <v>-921009.89</v>
      </c>
      <c r="E12" s="30">
        <f t="shared" si="1"/>
        <v>-2667931.67</v>
      </c>
      <c r="F12" s="29">
        <f t="shared" si="5"/>
        <v>-695575.85</v>
      </c>
      <c r="G12" s="29">
        <f t="shared" si="5"/>
        <v>-695575.85</v>
      </c>
      <c r="H12" s="29">
        <f t="shared" si="5"/>
        <v>-743124.85</v>
      </c>
      <c r="I12" s="30">
        <f t="shared" si="2"/>
        <v>-2134276.5499999998</v>
      </c>
      <c r="J12" s="29">
        <f t="shared" si="6"/>
        <v>-223883.89</v>
      </c>
      <c r="K12" s="29">
        <f t="shared" si="6"/>
        <v>-223883.89</v>
      </c>
      <c r="L12" s="29">
        <f t="shared" si="6"/>
        <v>-223883.89</v>
      </c>
      <c r="M12" s="30">
        <f t="shared" si="3"/>
        <v>-671651.67</v>
      </c>
      <c r="N12" s="29">
        <f t="shared" si="7"/>
        <v>-116556.82</v>
      </c>
      <c r="O12" s="29">
        <f t="shared" si="7"/>
        <v>-116556.82</v>
      </c>
      <c r="P12" s="29">
        <f t="shared" si="7"/>
        <v>-116556.82</v>
      </c>
      <c r="Q12" s="30">
        <f t="shared" si="4"/>
        <v>-349670.46</v>
      </c>
      <c r="R12" s="30">
        <f t="shared" si="0"/>
        <v>-5823530.3499999996</v>
      </c>
    </row>
    <row r="13" spans="1:19" s="35" customFormat="1" ht="31.8" thickTop="1">
      <c r="A13" s="31" t="s">
        <v>10</v>
      </c>
      <c r="B13" s="32">
        <f>SUM(B14,B17)</f>
        <v>25997524.323333323</v>
      </c>
      <c r="C13" s="32">
        <f>SUM(C14,C17)</f>
        <v>27747524.323333323</v>
      </c>
      <c r="D13" s="32">
        <f>SUM(D14,D17)</f>
        <v>29607524.323333323</v>
      </c>
      <c r="E13" s="32">
        <f t="shared" si="1"/>
        <v>83352572.969999969</v>
      </c>
      <c r="F13" s="32">
        <f>SUM(F14,F17)</f>
        <v>28849578.649999999</v>
      </c>
      <c r="G13" s="32">
        <f>SUM(G14,G17)</f>
        <v>28080295.649999999</v>
      </c>
      <c r="H13" s="32">
        <f>SUM(H14,H17)</f>
        <v>28571339.649999999</v>
      </c>
      <c r="I13" s="32">
        <f t="shared" si="2"/>
        <v>85501213.949999988</v>
      </c>
      <c r="J13" s="32">
        <f>SUM(J14,J17)</f>
        <v>19897699.316666666</v>
      </c>
      <c r="K13" s="32">
        <f>SUM(K14,K17)</f>
        <v>19897699.316666666</v>
      </c>
      <c r="L13" s="32">
        <f>SUM(L14,L17)</f>
        <v>19897699.316666666</v>
      </c>
      <c r="M13" s="32">
        <f t="shared" si="3"/>
        <v>59693097.950000003</v>
      </c>
      <c r="N13" s="32">
        <f>SUM(N14,N17)</f>
        <v>18854311.316666666</v>
      </c>
      <c r="O13" s="32">
        <f>SUM(O14,O17)</f>
        <v>17917699.316666666</v>
      </c>
      <c r="P13" s="32">
        <f>SUM(P14,P17)</f>
        <v>17917699.316666666</v>
      </c>
      <c r="Q13" s="32">
        <f>SUM(N13:P13)</f>
        <v>54689709.950000003</v>
      </c>
      <c r="R13" s="61">
        <f>SUM(R14,R17)</f>
        <v>283236594.81999999</v>
      </c>
      <c r="S13" s="34"/>
    </row>
    <row r="14" spans="1:19" ht="21" hidden="1" outlineLevel="1">
      <c r="A14" s="36" t="s">
        <v>197</v>
      </c>
      <c r="B14" s="37">
        <f>SUM(B15:B16)</f>
        <v>17755224.996666655</v>
      </c>
      <c r="C14" s="37">
        <f>SUM(C15:C16)</f>
        <v>19505224.996666655</v>
      </c>
      <c r="D14" s="37">
        <f>SUM(D15:D16)</f>
        <v>21365224.996666655</v>
      </c>
      <c r="E14" s="37">
        <f t="shared" ref="E14:E125" si="8">SUM(B14:D14)</f>
        <v>58625674.989999965</v>
      </c>
      <c r="F14" s="37">
        <f>SUM(F15:F16)</f>
        <v>20807279.32333333</v>
      </c>
      <c r="G14" s="37">
        <f>SUM(G15:G16)</f>
        <v>20037996.32333333</v>
      </c>
      <c r="H14" s="37">
        <f>SUM(H15:H16)</f>
        <v>20529040.32333333</v>
      </c>
      <c r="I14" s="37">
        <f t="shared" ref="I14:I125" si="9">SUM(F14:H14)</f>
        <v>61374315.969999991</v>
      </c>
      <c r="J14" s="37">
        <f>SUM(J15:J16)</f>
        <v>12749999.99</v>
      </c>
      <c r="K14" s="37">
        <f>SUM(K15:K16)</f>
        <v>12749999.99</v>
      </c>
      <c r="L14" s="37">
        <f>SUM(L15:L16)</f>
        <v>12749999.99</v>
      </c>
      <c r="M14" s="37">
        <f t="shared" ref="M14:M125" si="10">SUM(J14:L14)</f>
        <v>38249999.969999999</v>
      </c>
      <c r="N14" s="37">
        <f>SUM(N15:N16)</f>
        <v>11686611.99</v>
      </c>
      <c r="O14" s="37">
        <f>SUM(O15:O16)</f>
        <v>10749999.99</v>
      </c>
      <c r="P14" s="37">
        <f>SUM(P15:P16)</f>
        <v>10749999.99</v>
      </c>
      <c r="Q14" s="37">
        <f t="shared" ref="Q14:Q125" si="11">SUM(N14:P14)</f>
        <v>33186611.969999999</v>
      </c>
      <c r="R14" s="37">
        <f>SUM(R15:R16)</f>
        <v>191436602.89999998</v>
      </c>
    </row>
    <row r="15" spans="1:19" ht="18" hidden="1" outlineLevel="1">
      <c r="A15" s="38" t="s">
        <v>198</v>
      </c>
      <c r="B15" s="39">
        <f>'[36]Budget 2022'!E7</f>
        <v>8838558.3333333321</v>
      </c>
      <c r="C15" s="39">
        <f>'[36]Budget 2022'!F7</f>
        <v>10588558.333333332</v>
      </c>
      <c r="D15" s="39">
        <f>'[36]Budget 2022'!G7</f>
        <v>11448558.333333332</v>
      </c>
      <c r="E15" s="39">
        <f t="shared" si="8"/>
        <v>30875674.999999996</v>
      </c>
      <c r="F15" s="39">
        <f>'[36]Budget 2022'!I7</f>
        <v>11557279.333333332</v>
      </c>
      <c r="G15" s="39">
        <f>'[36]Budget 2022'!J7</f>
        <v>10787996.333333332</v>
      </c>
      <c r="H15" s="39">
        <f>'[36]Budget 2022'!K7</f>
        <v>11279040.333333332</v>
      </c>
      <c r="I15" s="39">
        <f t="shared" si="9"/>
        <v>33624316</v>
      </c>
      <c r="J15" s="39">
        <f>'[36]Budget 2022'!M7</f>
        <v>3500000</v>
      </c>
      <c r="K15" s="39">
        <f>'[36]Budget 2022'!N7</f>
        <v>3500000</v>
      </c>
      <c r="L15" s="39">
        <f>'[36]Budget 2022'!O7</f>
        <v>3500000</v>
      </c>
      <c r="M15" s="39">
        <f t="shared" si="10"/>
        <v>10500000</v>
      </c>
      <c r="N15" s="39">
        <f>'[36]Budget 2022'!Q7</f>
        <v>2436612</v>
      </c>
      <c r="O15" s="39">
        <f>'[36]Budget 2022'!R7</f>
        <v>1500000</v>
      </c>
      <c r="P15" s="39">
        <f>'[36]Budget 2022'!S7</f>
        <v>1500000</v>
      </c>
      <c r="Q15" s="39">
        <f t="shared" si="11"/>
        <v>5436612</v>
      </c>
      <c r="R15" s="39">
        <f>SUM(E15,I15,M15,Q15)</f>
        <v>80436603</v>
      </c>
    </row>
    <row r="16" spans="1:19" ht="18" hidden="1" outlineLevel="1">
      <c r="A16" s="38" t="s">
        <v>199</v>
      </c>
      <c r="B16" s="39">
        <f>'[36]Budget 2022'!E17</f>
        <v>8916666.663333321</v>
      </c>
      <c r="C16" s="39">
        <f>'[36]Budget 2022'!F17</f>
        <v>8916666.663333321</v>
      </c>
      <c r="D16" s="39">
        <f>'[36]Budget 2022'!G17</f>
        <v>9916666.663333321</v>
      </c>
      <c r="E16" s="39">
        <f t="shared" si="8"/>
        <v>27749999.989999965</v>
      </c>
      <c r="F16" s="39">
        <f>'[36]Budget 2022'!I17</f>
        <v>9249999.9900000002</v>
      </c>
      <c r="G16" s="39">
        <f>'[36]Budget 2022'!J17</f>
        <v>9249999.9900000002</v>
      </c>
      <c r="H16" s="39">
        <f>'[36]Budget 2022'!K17</f>
        <v>9249999.9900000002</v>
      </c>
      <c r="I16" s="39">
        <f t="shared" si="9"/>
        <v>27749999.969999999</v>
      </c>
      <c r="J16" s="39">
        <f>'[36]Budget 2022'!M17</f>
        <v>9249999.9900000002</v>
      </c>
      <c r="K16" s="39">
        <f>'[36]Budget 2022'!N17</f>
        <v>9249999.9900000002</v>
      </c>
      <c r="L16" s="39">
        <f>'[36]Budget 2022'!O17</f>
        <v>9249999.9900000002</v>
      </c>
      <c r="M16" s="39">
        <f t="shared" si="10"/>
        <v>27749999.969999999</v>
      </c>
      <c r="N16" s="39">
        <f>'[36]Budget 2022'!Q17</f>
        <v>9249999.9900000002</v>
      </c>
      <c r="O16" s="39">
        <f>'[36]Budget 2022'!R17</f>
        <v>9249999.9900000002</v>
      </c>
      <c r="P16" s="39">
        <f>'[36]Budget 2022'!S17</f>
        <v>9249999.9900000002</v>
      </c>
      <c r="Q16" s="39">
        <f t="shared" si="11"/>
        <v>27749999.969999999</v>
      </c>
      <c r="R16" s="39">
        <f>SUM(E16,I16,M16,Q16)</f>
        <v>110999999.89999996</v>
      </c>
    </row>
    <row r="17" spans="1:20" ht="21" hidden="1" outlineLevel="1">
      <c r="A17" s="36" t="s">
        <v>200</v>
      </c>
      <c r="B17" s="37">
        <f>SUM(B18:B25)</f>
        <v>8242299.3266666671</v>
      </c>
      <c r="C17" s="37">
        <f>SUM(C18:C25)</f>
        <v>8242299.3266666671</v>
      </c>
      <c r="D17" s="37">
        <f>SUM(D18:D25)</f>
        <v>8242299.3266666671</v>
      </c>
      <c r="E17" s="37">
        <f t="shared" si="8"/>
        <v>24726897.98</v>
      </c>
      <c r="F17" s="37">
        <f>SUM(F18:F25)</f>
        <v>8042299.3266666671</v>
      </c>
      <c r="G17" s="37">
        <f>SUM(G18:G25)</f>
        <v>8042299.3266666671</v>
      </c>
      <c r="H17" s="37">
        <f>SUM(H18:H25)</f>
        <v>8042299.3266666671</v>
      </c>
      <c r="I17" s="37">
        <f t="shared" si="9"/>
        <v>24126897.98</v>
      </c>
      <c r="J17" s="37">
        <f>SUM(J18:J25)</f>
        <v>7147699.3266666671</v>
      </c>
      <c r="K17" s="37">
        <f>SUM(K18:K25)</f>
        <v>7147699.3266666671</v>
      </c>
      <c r="L17" s="37">
        <f>SUM(L18:L25)</f>
        <v>7147699.3266666671</v>
      </c>
      <c r="M17" s="37">
        <f t="shared" si="10"/>
        <v>21443097.98</v>
      </c>
      <c r="N17" s="37">
        <f>SUM(N18:N25)</f>
        <v>7167699.3266666671</v>
      </c>
      <c r="O17" s="37">
        <f>SUM(O18:O25)</f>
        <v>7167699.3266666671</v>
      </c>
      <c r="P17" s="37">
        <f>SUM(P18:P25)</f>
        <v>7167699.3266666671</v>
      </c>
      <c r="Q17" s="37">
        <f t="shared" si="11"/>
        <v>21503097.98</v>
      </c>
      <c r="R17" s="37">
        <f>SUM(R18:R25)</f>
        <v>91799991.920000002</v>
      </c>
    </row>
    <row r="18" spans="1:20" ht="18" hidden="1" outlineLevel="1">
      <c r="A18" s="38" t="s">
        <v>201</v>
      </c>
      <c r="B18" s="39">
        <f>'[36]Budget 2022'!E24</f>
        <v>1958966</v>
      </c>
      <c r="C18" s="39">
        <f>'[36]Budget 2022'!F24</f>
        <v>1958966</v>
      </c>
      <c r="D18" s="39">
        <f>'[36]Budget 2022'!G24</f>
        <v>1958966</v>
      </c>
      <c r="E18" s="39">
        <f t="shared" si="8"/>
        <v>5876898</v>
      </c>
      <c r="F18" s="39">
        <f>'[36]Budget 2022'!I24</f>
        <v>1758966</v>
      </c>
      <c r="G18" s="39">
        <f>'[36]Budget 2022'!J24</f>
        <v>1758966</v>
      </c>
      <c r="H18" s="39">
        <f>'[36]Budget 2022'!K24</f>
        <v>1758966</v>
      </c>
      <c r="I18" s="39">
        <f t="shared" si="9"/>
        <v>5276898</v>
      </c>
      <c r="J18" s="39">
        <f>'[36]Budget 2022'!M24</f>
        <v>864366</v>
      </c>
      <c r="K18" s="39">
        <f>'[36]Budget 2022'!N24</f>
        <v>864366</v>
      </c>
      <c r="L18" s="39">
        <f>'[36]Budget 2022'!O24</f>
        <v>864366</v>
      </c>
      <c r="M18" s="39">
        <f t="shared" si="10"/>
        <v>2593098</v>
      </c>
      <c r="N18" s="39">
        <f>'[36]Budget 2022'!Q24</f>
        <v>450000</v>
      </c>
      <c r="O18" s="39">
        <f>'[36]Budget 2022'!R24</f>
        <v>450000</v>
      </c>
      <c r="P18" s="39">
        <f>'[36]Budget 2022'!S24</f>
        <v>450000</v>
      </c>
      <c r="Q18" s="39">
        <f t="shared" si="11"/>
        <v>1350000</v>
      </c>
      <c r="R18" s="39">
        <f>SUM(E18,I18,M18,Q18)</f>
        <v>15096894</v>
      </c>
    </row>
    <row r="19" spans="1:20" ht="18" hidden="1" outlineLevel="1">
      <c r="A19" s="38" t="s">
        <v>202</v>
      </c>
      <c r="B19" s="39">
        <f>'[36]Budget 2022'!E30</f>
        <v>2033333.3266666669</v>
      </c>
      <c r="C19" s="39">
        <f>'[36]Budget 2022'!F30</f>
        <v>2033333.3266666669</v>
      </c>
      <c r="D19" s="39">
        <f>'[36]Budget 2022'!G30</f>
        <v>2033333.3266666669</v>
      </c>
      <c r="E19" s="39">
        <f t="shared" si="8"/>
        <v>6099999.9800000004</v>
      </c>
      <c r="F19" s="39">
        <f>'[36]Budget 2022'!I30</f>
        <v>2033333.3266666669</v>
      </c>
      <c r="G19" s="39">
        <f>'[36]Budget 2022'!J30</f>
        <v>2033333.3266666669</v>
      </c>
      <c r="H19" s="39">
        <f>'[36]Budget 2022'!K30</f>
        <v>2033333.3266666669</v>
      </c>
      <c r="I19" s="39">
        <f t="shared" si="9"/>
        <v>6099999.9800000004</v>
      </c>
      <c r="J19" s="39">
        <f>'[36]Budget 2022'!M30</f>
        <v>2033333.3266666669</v>
      </c>
      <c r="K19" s="39">
        <f>'[36]Budget 2022'!N30</f>
        <v>2033333.3266666669</v>
      </c>
      <c r="L19" s="39">
        <f>'[36]Budget 2022'!O30</f>
        <v>2033333.3266666669</v>
      </c>
      <c r="M19" s="39">
        <f t="shared" si="10"/>
        <v>6099999.9800000004</v>
      </c>
      <c r="N19" s="39">
        <f>'[36]Budget 2022'!Q30</f>
        <v>2467699.3266666671</v>
      </c>
      <c r="O19" s="39">
        <f>'[36]Budget 2022'!R30</f>
        <v>2467699.3266666671</v>
      </c>
      <c r="P19" s="39">
        <f>'[36]Budget 2022'!S30</f>
        <v>2467699.3266666671</v>
      </c>
      <c r="Q19" s="39">
        <f t="shared" si="11"/>
        <v>7403097.9800000014</v>
      </c>
      <c r="R19" s="39">
        <f t="shared" ref="R19:R25" si="12">SUM(E19,I19,M19,Q19)</f>
        <v>25703097.920000002</v>
      </c>
    </row>
    <row r="20" spans="1:20" ht="18" hidden="1" outlineLevel="1">
      <c r="A20" s="38" t="s">
        <v>203</v>
      </c>
      <c r="B20" s="39">
        <f>'[36]Budget 2022'!E37</f>
        <v>0</v>
      </c>
      <c r="C20" s="39">
        <f>'[36]Budget 2022'!F37</f>
        <v>0</v>
      </c>
      <c r="D20" s="39">
        <f>'[36]Budget 2022'!G37</f>
        <v>0</v>
      </c>
      <c r="E20" s="39">
        <f t="shared" si="8"/>
        <v>0</v>
      </c>
      <c r="F20" s="39">
        <f>'[36]Budget 2022'!I37</f>
        <v>0</v>
      </c>
      <c r="G20" s="39">
        <f>'[36]Budget 2022'!J37</f>
        <v>0</v>
      </c>
      <c r="H20" s="39">
        <f>'[36]Budget 2022'!K37</f>
        <v>0</v>
      </c>
      <c r="I20" s="39">
        <f t="shared" si="9"/>
        <v>0</v>
      </c>
      <c r="J20" s="39">
        <f>'[36]Budget 2022'!M37</f>
        <v>0</v>
      </c>
      <c r="K20" s="39">
        <f>'[36]Budget 2022'!N37</f>
        <v>0</v>
      </c>
      <c r="L20" s="39">
        <f>'[36]Budget 2022'!O37</f>
        <v>0</v>
      </c>
      <c r="M20" s="39">
        <f t="shared" si="10"/>
        <v>0</v>
      </c>
      <c r="N20" s="39">
        <f>'[36]Budget 2022'!Q37</f>
        <v>0</v>
      </c>
      <c r="O20" s="39">
        <f>'[36]Budget 2022'!R37</f>
        <v>0</v>
      </c>
      <c r="P20" s="39">
        <f>'[36]Budget 2022'!S37</f>
        <v>0</v>
      </c>
      <c r="Q20" s="39">
        <f t="shared" si="11"/>
        <v>0</v>
      </c>
      <c r="R20" s="39">
        <f t="shared" si="12"/>
        <v>0</v>
      </c>
    </row>
    <row r="21" spans="1:20" ht="18" hidden="1" outlineLevel="1">
      <c r="A21" s="38" t="s">
        <v>204</v>
      </c>
      <c r="B21" s="39">
        <f>'[36]Budget 2022'!E48</f>
        <v>500000</v>
      </c>
      <c r="C21" s="39">
        <f>'[36]Budget 2022'!F48</f>
        <v>500000</v>
      </c>
      <c r="D21" s="39">
        <f>'[36]Budget 2022'!G48</f>
        <v>500000</v>
      </c>
      <c r="E21" s="39">
        <f t="shared" si="8"/>
        <v>1500000</v>
      </c>
      <c r="F21" s="39">
        <f>'[36]Budget 2022'!I48</f>
        <v>500000</v>
      </c>
      <c r="G21" s="39">
        <f>'[36]Budget 2022'!J48</f>
        <v>500000</v>
      </c>
      <c r="H21" s="39">
        <f>'[36]Budget 2022'!K48</f>
        <v>500000</v>
      </c>
      <c r="I21" s="39">
        <f t="shared" si="9"/>
        <v>1500000</v>
      </c>
      <c r="J21" s="39">
        <f>'[36]Budget 2022'!M48</f>
        <v>500000</v>
      </c>
      <c r="K21" s="39">
        <f>'[36]Budget 2022'!N48</f>
        <v>500000</v>
      </c>
      <c r="L21" s="39">
        <f>'[36]Budget 2022'!O48</f>
        <v>500000</v>
      </c>
      <c r="M21" s="39">
        <f t="shared" si="10"/>
        <v>1500000</v>
      </c>
      <c r="N21" s="39">
        <f>'[36]Budget 2022'!Q48</f>
        <v>500000</v>
      </c>
      <c r="O21" s="39">
        <f>'[36]Budget 2022'!R48</f>
        <v>500000</v>
      </c>
      <c r="P21" s="39">
        <f>'[36]Budget 2022'!S48</f>
        <v>500000</v>
      </c>
      <c r="Q21" s="39">
        <f t="shared" si="11"/>
        <v>1500000</v>
      </c>
      <c r="R21" s="39">
        <f t="shared" si="12"/>
        <v>6000000</v>
      </c>
    </row>
    <row r="22" spans="1:20" ht="18" hidden="1" outlineLevel="1">
      <c r="A22" s="38" t="s">
        <v>205</v>
      </c>
      <c r="B22" s="39">
        <f>'[36]Budget 2022'!E50</f>
        <v>0</v>
      </c>
      <c r="C22" s="39">
        <f>'[36]Budget 2022'!F50</f>
        <v>0</v>
      </c>
      <c r="D22" s="39">
        <f>'[36]Budget 2022'!G50</f>
        <v>0</v>
      </c>
      <c r="E22" s="39">
        <f t="shared" si="8"/>
        <v>0</v>
      </c>
      <c r="F22" s="39">
        <f>'[36]Budget 2022'!I50</f>
        <v>0</v>
      </c>
      <c r="G22" s="39">
        <f>'[36]Budget 2022'!J50</f>
        <v>0</v>
      </c>
      <c r="H22" s="39">
        <f>'[36]Budget 2022'!K50</f>
        <v>0</v>
      </c>
      <c r="I22" s="39">
        <f t="shared" si="9"/>
        <v>0</v>
      </c>
      <c r="J22" s="39">
        <f>'[36]Budget 2022'!M50</f>
        <v>0</v>
      </c>
      <c r="K22" s="39">
        <f>'[36]Budget 2022'!N50</f>
        <v>0</v>
      </c>
      <c r="L22" s="39">
        <f>'[36]Budget 2022'!O50</f>
        <v>0</v>
      </c>
      <c r="M22" s="39">
        <f t="shared" si="10"/>
        <v>0</v>
      </c>
      <c r="N22" s="39">
        <f>'[36]Budget 2022'!Q50</f>
        <v>0</v>
      </c>
      <c r="O22" s="39">
        <f>'[36]Budget 2022'!R50</f>
        <v>0</v>
      </c>
      <c r="P22" s="39">
        <f>'[36]Budget 2022'!S50</f>
        <v>0</v>
      </c>
      <c r="Q22" s="39">
        <f t="shared" si="11"/>
        <v>0</v>
      </c>
      <c r="R22" s="39">
        <f t="shared" si="12"/>
        <v>0</v>
      </c>
    </row>
    <row r="23" spans="1:20" ht="18" hidden="1" outlineLevel="1">
      <c r="A23" s="38" t="s">
        <v>206</v>
      </c>
      <c r="B23" s="39">
        <f>'[36]Budget 2022'!E61</f>
        <v>416666.67</v>
      </c>
      <c r="C23" s="39">
        <f>'[36]Budget 2022'!F61</f>
        <v>416666.67</v>
      </c>
      <c r="D23" s="39">
        <f>'[36]Budget 2022'!G61</f>
        <v>416666.67</v>
      </c>
      <c r="E23" s="39">
        <f t="shared" si="8"/>
        <v>1250000.01</v>
      </c>
      <c r="F23" s="39">
        <f>'[36]Budget 2022'!I61</f>
        <v>416666.67</v>
      </c>
      <c r="G23" s="39">
        <f>'[36]Budget 2022'!J61</f>
        <v>416666.67</v>
      </c>
      <c r="H23" s="39">
        <f>'[36]Budget 2022'!K61</f>
        <v>416666.67</v>
      </c>
      <c r="I23" s="39">
        <f t="shared" si="9"/>
        <v>1250000.01</v>
      </c>
      <c r="J23" s="39">
        <f>'[36]Budget 2022'!M61</f>
        <v>416666.67</v>
      </c>
      <c r="K23" s="39">
        <f>'[36]Budget 2022'!N61</f>
        <v>416666.67</v>
      </c>
      <c r="L23" s="39">
        <f>'[36]Budget 2022'!O61</f>
        <v>416666.67</v>
      </c>
      <c r="M23" s="39">
        <f t="shared" si="10"/>
        <v>1250000.01</v>
      </c>
      <c r="N23" s="39">
        <f>'[36]Budget 2022'!Q61</f>
        <v>416666.67</v>
      </c>
      <c r="O23" s="39">
        <f>'[36]Budget 2022'!R61</f>
        <v>416666.67</v>
      </c>
      <c r="P23" s="39">
        <f>'[36]Budget 2022'!S61</f>
        <v>416666.67</v>
      </c>
      <c r="Q23" s="39">
        <f t="shared" si="11"/>
        <v>1250000.01</v>
      </c>
      <c r="R23" s="39">
        <f t="shared" si="12"/>
        <v>5000000.04</v>
      </c>
    </row>
    <row r="24" spans="1:20" ht="18" hidden="1" outlineLevel="1">
      <c r="A24" s="38" t="s">
        <v>207</v>
      </c>
      <c r="B24" s="39">
        <f>'[36]Budget 2022'!E63</f>
        <v>0</v>
      </c>
      <c r="C24" s="39">
        <f>'[36]Budget 2022'!F63</f>
        <v>0</v>
      </c>
      <c r="D24" s="39">
        <f>'[36]Budget 2022'!G63</f>
        <v>0</v>
      </c>
      <c r="E24" s="39">
        <f t="shared" si="8"/>
        <v>0</v>
      </c>
      <c r="F24" s="39">
        <f>'[36]Budget 2022'!I63</f>
        <v>0</v>
      </c>
      <c r="G24" s="39">
        <f>'[36]Budget 2022'!J63</f>
        <v>0</v>
      </c>
      <c r="H24" s="39">
        <f>'[36]Budget 2022'!K63</f>
        <v>0</v>
      </c>
      <c r="I24" s="39">
        <f t="shared" si="9"/>
        <v>0</v>
      </c>
      <c r="J24" s="39">
        <f>'[36]Budget 2022'!M63</f>
        <v>0</v>
      </c>
      <c r="K24" s="39">
        <f>'[36]Budget 2022'!N63</f>
        <v>0</v>
      </c>
      <c r="L24" s="39">
        <f>'[36]Budget 2022'!O63</f>
        <v>0</v>
      </c>
      <c r="M24" s="39">
        <f t="shared" si="10"/>
        <v>0</v>
      </c>
      <c r="N24" s="39">
        <f>'[36]Budget 2022'!Q63</f>
        <v>0</v>
      </c>
      <c r="O24" s="39">
        <f>'[36]Budget 2022'!R63</f>
        <v>0</v>
      </c>
      <c r="P24" s="39">
        <f>'[36]Budget 2022'!S63</f>
        <v>0</v>
      </c>
      <c r="Q24" s="39">
        <f t="shared" si="11"/>
        <v>0</v>
      </c>
      <c r="R24" s="39">
        <f t="shared" si="12"/>
        <v>0</v>
      </c>
    </row>
    <row r="25" spans="1:20" ht="18" hidden="1" outlineLevel="1">
      <c r="A25" s="38" t="s">
        <v>208</v>
      </c>
      <c r="B25" s="39">
        <f>'[36]Budget 2022'!E74</f>
        <v>3333333.33</v>
      </c>
      <c r="C25" s="39">
        <f>'[36]Budget 2022'!F74</f>
        <v>3333333.33</v>
      </c>
      <c r="D25" s="39">
        <f>'[36]Budget 2022'!G74</f>
        <v>3333333.33</v>
      </c>
      <c r="E25" s="39">
        <f t="shared" si="8"/>
        <v>9999999.9900000002</v>
      </c>
      <c r="F25" s="39">
        <f>'[36]Budget 2022'!I74</f>
        <v>3333333.33</v>
      </c>
      <c r="G25" s="39">
        <f>'[36]Budget 2022'!J74</f>
        <v>3333333.33</v>
      </c>
      <c r="H25" s="39">
        <f>'[36]Budget 2022'!K74</f>
        <v>3333333.33</v>
      </c>
      <c r="I25" s="39">
        <f t="shared" si="9"/>
        <v>9999999.9900000002</v>
      </c>
      <c r="J25" s="39">
        <f>'[36]Budget 2022'!M74</f>
        <v>3333333.33</v>
      </c>
      <c r="K25" s="39">
        <f>'[36]Budget 2022'!N74</f>
        <v>3333333.33</v>
      </c>
      <c r="L25" s="39">
        <f>'[36]Budget 2022'!O74</f>
        <v>3333333.33</v>
      </c>
      <c r="M25" s="39">
        <f t="shared" si="10"/>
        <v>9999999.9900000002</v>
      </c>
      <c r="N25" s="39">
        <f>'[36]Budget 2022'!Q74</f>
        <v>3333333.33</v>
      </c>
      <c r="O25" s="39">
        <f>'[36]Budget 2022'!R74</f>
        <v>3333333.33</v>
      </c>
      <c r="P25" s="39">
        <f>'[36]Budget 2022'!S74</f>
        <v>3333333.33</v>
      </c>
      <c r="Q25" s="39">
        <f t="shared" si="11"/>
        <v>9999999.9900000002</v>
      </c>
      <c r="R25" s="39">
        <f t="shared" si="12"/>
        <v>39999999.960000001</v>
      </c>
    </row>
    <row r="26" spans="1:20" s="35" customFormat="1" ht="31.2" collapsed="1">
      <c r="A26" s="31" t="s">
        <v>209</v>
      </c>
      <c r="B26" s="32">
        <f>B27+B40</f>
        <v>16289778.326666661</v>
      </c>
      <c r="C26" s="32">
        <f t="shared" ref="C26:D26" si="13">C27+C40</f>
        <v>12544515.326666661</v>
      </c>
      <c r="D26" s="32">
        <f t="shared" si="13"/>
        <v>16959643.266666662</v>
      </c>
      <c r="E26" s="32">
        <f>SUM(B26:D26)</f>
        <v>45793936.919999987</v>
      </c>
      <c r="F26" s="32">
        <f>F27+F40</f>
        <v>16694246.326666661</v>
      </c>
      <c r="G26" s="32">
        <f t="shared" ref="G26:H26" si="14">G27+G40</f>
        <v>13115273.326666661</v>
      </c>
      <c r="H26" s="32">
        <f t="shared" si="14"/>
        <v>12115273.326666661</v>
      </c>
      <c r="I26" s="32">
        <f>SUM(F26:H26)</f>
        <v>41924792.979999982</v>
      </c>
      <c r="J26" s="32">
        <f>J27+J40</f>
        <v>9860553.3266666606</v>
      </c>
      <c r="K26" s="32">
        <f t="shared" ref="K26:L26" si="15">K27+K40</f>
        <v>7225833.3266666606</v>
      </c>
      <c r="L26" s="32">
        <f t="shared" si="15"/>
        <v>7225833.3266666606</v>
      </c>
      <c r="M26" s="32">
        <f>SUM(J26:L26)</f>
        <v>24312219.979999982</v>
      </c>
      <c r="N26" s="32">
        <f>N27+N40</f>
        <v>7225833.3266666606</v>
      </c>
      <c r="O26" s="32">
        <f t="shared" ref="O26:P26" si="16">O27+O40</f>
        <v>7225833.3266666606</v>
      </c>
      <c r="P26" s="32">
        <f t="shared" si="16"/>
        <v>7212317.3266666606</v>
      </c>
      <c r="Q26" s="32">
        <f>SUM(N26:P26)</f>
        <v>21663983.979999982</v>
      </c>
      <c r="R26" s="61">
        <f>R27+R40</f>
        <v>133694933.85999992</v>
      </c>
      <c r="S26" s="40"/>
      <c r="T26" s="40"/>
    </row>
    <row r="27" spans="1:20" s="35" customFormat="1" ht="31.2" hidden="1" outlineLevel="1">
      <c r="A27" s="31" t="s">
        <v>210</v>
      </c>
      <c r="B27" s="32">
        <f>B28+B31</f>
        <v>15969153.326666661</v>
      </c>
      <c r="C27" s="32">
        <f>C28+C31</f>
        <v>12205315.326666661</v>
      </c>
      <c r="D27" s="32">
        <f>D28+D31</f>
        <v>16746628.726666661</v>
      </c>
      <c r="E27" s="32">
        <f>SUM(B27:D27)</f>
        <v>44921097.37999998</v>
      </c>
      <c r="F27" s="32">
        <f>F28+F31</f>
        <v>16590273.326666661</v>
      </c>
      <c r="G27" s="32">
        <f>G28+G31</f>
        <v>13090273.326666661</v>
      </c>
      <c r="H27" s="32">
        <f>H28+H31</f>
        <v>12090273.326666661</v>
      </c>
      <c r="I27" s="32">
        <f>SUM(F27:H27)</f>
        <v>41770819.979999982</v>
      </c>
      <c r="J27" s="32">
        <f>J28+J31</f>
        <v>9835553.3266666606</v>
      </c>
      <c r="K27" s="32">
        <f>K28+K31</f>
        <v>7200833.3266666606</v>
      </c>
      <c r="L27" s="32">
        <f>L28+L31</f>
        <v>7200833.3266666606</v>
      </c>
      <c r="M27" s="32">
        <f>SUM(J27:L27)</f>
        <v>24237219.979999982</v>
      </c>
      <c r="N27" s="32">
        <f>N28+N31</f>
        <v>7200833.3266666606</v>
      </c>
      <c r="O27" s="32">
        <f>O28+O31</f>
        <v>7200833.3266666606</v>
      </c>
      <c r="P27" s="32">
        <f>P28+P31</f>
        <v>7200833.3266666606</v>
      </c>
      <c r="Q27" s="32">
        <f>SUM(N27:P27)</f>
        <v>21602499.979999982</v>
      </c>
      <c r="R27" s="33">
        <f>R28+R31</f>
        <v>132531637.31999992</v>
      </c>
      <c r="S27" s="34"/>
    </row>
    <row r="28" spans="1:20" ht="18" hidden="1" outlineLevel="1">
      <c r="A28" s="36" t="s">
        <v>197</v>
      </c>
      <c r="B28" s="41">
        <f>SUM(B29:B30)</f>
        <v>13261653.33</v>
      </c>
      <c r="C28" s="41">
        <f>SUM(C29:C30)</f>
        <v>9497815.3300000001</v>
      </c>
      <c r="D28" s="41">
        <f>SUM(D29:D30)</f>
        <v>14039128.73</v>
      </c>
      <c r="E28" s="41">
        <f t="shared" si="8"/>
        <v>36798597.390000001</v>
      </c>
      <c r="F28" s="41">
        <f>SUM(F29:F30)</f>
        <v>13982773.33</v>
      </c>
      <c r="G28" s="41">
        <f>SUM(G29:G30)</f>
        <v>10482773.33</v>
      </c>
      <c r="H28" s="41">
        <f>SUM(H29:H30)</f>
        <v>9482773.3300000001</v>
      </c>
      <c r="I28" s="41">
        <f t="shared" si="9"/>
        <v>33948319.990000002</v>
      </c>
      <c r="J28" s="41">
        <f>SUM(J29:J30)</f>
        <v>7348053.3300000001</v>
      </c>
      <c r="K28" s="41">
        <f>SUM(K29:K30)</f>
        <v>4713333.33</v>
      </c>
      <c r="L28" s="41">
        <f>SUM(L29:L30)</f>
        <v>4713333.33</v>
      </c>
      <c r="M28" s="41">
        <f t="shared" si="10"/>
        <v>16774719.99</v>
      </c>
      <c r="N28" s="41">
        <f>SUM(N29:N30)</f>
        <v>4713333.33</v>
      </c>
      <c r="O28" s="41">
        <f>SUM(O29:O30)</f>
        <v>4713333.33</v>
      </c>
      <c r="P28" s="41">
        <f>SUM(P29:P30)</f>
        <v>4713333.33</v>
      </c>
      <c r="Q28" s="41">
        <f t="shared" si="11"/>
        <v>14139999.99</v>
      </c>
      <c r="R28" s="41">
        <f>SUM(R29:R30)</f>
        <v>101661637.36</v>
      </c>
    </row>
    <row r="29" spans="1:20" ht="18" hidden="1" outlineLevel="1">
      <c r="A29" s="38" t="s">
        <v>198</v>
      </c>
      <c r="B29" s="39">
        <f>-'[36]Budget 2022'!V7</f>
        <v>8728320</v>
      </c>
      <c r="C29" s="39">
        <f>-'[36]Budget 2022'!W7</f>
        <v>4964482</v>
      </c>
      <c r="D29" s="39">
        <f>-'[36]Budget 2022'!X7</f>
        <v>10325795.4</v>
      </c>
      <c r="E29" s="39">
        <f t="shared" si="8"/>
        <v>24018597.399999999</v>
      </c>
      <c r="F29" s="39">
        <f>-'[36]Budget 2022'!Z7</f>
        <v>8769440</v>
      </c>
      <c r="G29" s="39">
        <f>-'[36]Budget 2022'!AA7</f>
        <v>5769440</v>
      </c>
      <c r="H29" s="39">
        <f>-'[36]Budget 2022'!AB7</f>
        <v>4769440</v>
      </c>
      <c r="I29" s="39">
        <f>SUM(F29:H29)</f>
        <v>19308320</v>
      </c>
      <c r="J29" s="39">
        <f>-'[36]Budget 2022'!AD7</f>
        <v>2134720</v>
      </c>
      <c r="K29" s="39">
        <f>-'[36]Budget 2022'!AE7</f>
        <v>0</v>
      </c>
      <c r="L29" s="39">
        <f>-'[36]Budget 2022'!AF7</f>
        <v>0</v>
      </c>
      <c r="M29" s="39">
        <f t="shared" si="10"/>
        <v>2134720</v>
      </c>
      <c r="N29" s="39">
        <f>-'[36]Budget 2022'!AH7</f>
        <v>0</v>
      </c>
      <c r="O29" s="39">
        <f>-'[36]Budget 2022'!AI7</f>
        <v>0</v>
      </c>
      <c r="P29" s="39">
        <f>-'[36]Budget 2022'!AJ7</f>
        <v>0</v>
      </c>
      <c r="Q29" s="39">
        <f t="shared" si="11"/>
        <v>0</v>
      </c>
      <c r="R29" s="39">
        <f>SUM(E29,I29,M29,Q29)</f>
        <v>45461637.399999999</v>
      </c>
    </row>
    <row r="30" spans="1:20" ht="18" hidden="1" outlineLevel="1">
      <c r="A30" s="38" t="s">
        <v>199</v>
      </c>
      <c r="B30" s="39">
        <f>-'[36]Budget 2022'!V17</f>
        <v>4533333.33</v>
      </c>
      <c r="C30" s="39">
        <f>-'[36]Budget 2022'!W17</f>
        <v>4533333.33</v>
      </c>
      <c r="D30" s="39">
        <f>-'[36]Budget 2022'!X17</f>
        <v>3713333.33</v>
      </c>
      <c r="E30" s="39">
        <f t="shared" si="8"/>
        <v>12779999.99</v>
      </c>
      <c r="F30" s="39">
        <f>-'[36]Budget 2022'!Z17</f>
        <v>5213333.33</v>
      </c>
      <c r="G30" s="39">
        <f>-'[36]Budget 2022'!AA17</f>
        <v>4713333.33</v>
      </c>
      <c r="H30" s="39">
        <f>-'[36]Budget 2022'!AB17</f>
        <v>4713333.33</v>
      </c>
      <c r="I30" s="39">
        <f t="shared" si="9"/>
        <v>14639999.99</v>
      </c>
      <c r="J30" s="39">
        <f>-'[36]Budget 2022'!AD17</f>
        <v>5213333.33</v>
      </c>
      <c r="K30" s="39">
        <f>-'[36]Budget 2022'!AE17</f>
        <v>4713333.33</v>
      </c>
      <c r="L30" s="39">
        <f>-'[36]Budget 2022'!AF17</f>
        <v>4713333.33</v>
      </c>
      <c r="M30" s="39">
        <f t="shared" si="10"/>
        <v>14639999.99</v>
      </c>
      <c r="N30" s="39">
        <f>-'[36]Budget 2022'!AH17</f>
        <v>4713333.33</v>
      </c>
      <c r="O30" s="39">
        <f>-'[36]Budget 2022'!AI17</f>
        <v>4713333.33</v>
      </c>
      <c r="P30" s="39">
        <f>-'[36]Budget 2022'!AJ17</f>
        <v>4713333.33</v>
      </c>
      <c r="Q30" s="39">
        <f t="shared" si="11"/>
        <v>14139999.99</v>
      </c>
      <c r="R30" s="39">
        <f>SUM(E30,I30,M30,Q30)</f>
        <v>56199999.960000001</v>
      </c>
    </row>
    <row r="31" spans="1:20" ht="18" hidden="1" outlineLevel="1">
      <c r="A31" s="36" t="s">
        <v>200</v>
      </c>
      <c r="B31" s="41">
        <f>SUM(B32:B39)</f>
        <v>2707499.9966666601</v>
      </c>
      <c r="C31" s="41">
        <f>SUM(C32:C39)</f>
        <v>2707499.9966666601</v>
      </c>
      <c r="D31" s="41">
        <f>SUM(D32:D39)</f>
        <v>2707499.9966666601</v>
      </c>
      <c r="E31" s="41">
        <f t="shared" si="8"/>
        <v>8122499.9899999797</v>
      </c>
      <c r="F31" s="41">
        <f>SUM(F32:F39)</f>
        <v>2607499.9966666601</v>
      </c>
      <c r="G31" s="41">
        <f>SUM(G32:G39)</f>
        <v>2607499.9966666601</v>
      </c>
      <c r="H31" s="41">
        <f>SUM(H32:H39)</f>
        <v>2607499.9966666601</v>
      </c>
      <c r="I31" s="41">
        <f t="shared" si="9"/>
        <v>7822499.9899999797</v>
      </c>
      <c r="J31" s="41">
        <f>SUM(J32:J39)</f>
        <v>2487499.9966666601</v>
      </c>
      <c r="K31" s="41">
        <f>SUM(K32:K39)</f>
        <v>2487499.9966666601</v>
      </c>
      <c r="L31" s="41">
        <f>SUM(L32:L39)</f>
        <v>2487499.9966666601</v>
      </c>
      <c r="M31" s="41">
        <f t="shared" si="10"/>
        <v>7462499.9899999797</v>
      </c>
      <c r="N31" s="41">
        <f>SUM(N32:N39)</f>
        <v>2487499.9966666601</v>
      </c>
      <c r="O31" s="41">
        <f>SUM(O32:O39)</f>
        <v>2487499.9966666601</v>
      </c>
      <c r="P31" s="41">
        <f>SUM(P32:P39)</f>
        <v>2487499.9966666601</v>
      </c>
      <c r="Q31" s="41">
        <f t="shared" si="11"/>
        <v>7462499.9899999797</v>
      </c>
      <c r="R31" s="41">
        <f>SUM(R32:R39)</f>
        <v>30869999.959999919</v>
      </c>
      <c r="S31" s="16"/>
    </row>
    <row r="32" spans="1:20" ht="18" hidden="1" outlineLevel="1">
      <c r="A32" s="38" t="s">
        <v>201</v>
      </c>
      <c r="B32" s="39">
        <f>-'[36]Budget 2022'!V24</f>
        <v>220000</v>
      </c>
      <c r="C32" s="39">
        <f>-'[36]Budget 2022'!W24</f>
        <v>220000</v>
      </c>
      <c r="D32" s="39">
        <f>-'[36]Budget 2022'!X24</f>
        <v>220000</v>
      </c>
      <c r="E32" s="39">
        <f t="shared" si="8"/>
        <v>660000</v>
      </c>
      <c r="F32" s="39">
        <f>-'[36]Budget 2022'!Z24</f>
        <v>120000</v>
      </c>
      <c r="G32" s="39">
        <f>-'[36]Budget 2022'!AA24</f>
        <v>120000</v>
      </c>
      <c r="H32" s="39">
        <f>-'[36]Budget 2022'!AB24</f>
        <v>120000</v>
      </c>
      <c r="I32" s="39">
        <f t="shared" si="9"/>
        <v>360000</v>
      </c>
      <c r="J32" s="39">
        <f>-'[36]Budget 2022'!AD24</f>
        <v>0</v>
      </c>
      <c r="K32" s="39">
        <f>-'[36]Budget 2022'!AE24</f>
        <v>0</v>
      </c>
      <c r="L32" s="39">
        <f>-'[36]Budget 2022'!AF24</f>
        <v>0</v>
      </c>
      <c r="M32" s="39">
        <f t="shared" si="10"/>
        <v>0</v>
      </c>
      <c r="N32" s="39">
        <f>-'[36]Budget 2022'!AH24</f>
        <v>0</v>
      </c>
      <c r="O32" s="39">
        <f>-'[36]Budget 2022'!AI24</f>
        <v>0</v>
      </c>
      <c r="P32" s="39">
        <f>-'[36]Budget 2022'!AJ24</f>
        <v>0</v>
      </c>
      <c r="Q32" s="39">
        <f t="shared" si="11"/>
        <v>0</v>
      </c>
      <c r="R32" s="39">
        <f t="shared" ref="R32:R39" si="17">SUM(E32,I32,M32,Q32)</f>
        <v>1020000</v>
      </c>
    </row>
    <row r="33" spans="1:19" ht="18" hidden="1" outlineLevel="1">
      <c r="A33" s="38" t="s">
        <v>202</v>
      </c>
      <c r="B33" s="39">
        <f>-'[36]Budget 2022'!V30</f>
        <v>0</v>
      </c>
      <c r="C33" s="39">
        <f>-'[36]Budget 2022'!W30</f>
        <v>0</v>
      </c>
      <c r="D33" s="39">
        <f>-'[36]Budget 2022'!X30</f>
        <v>0</v>
      </c>
      <c r="E33" s="39">
        <f t="shared" si="8"/>
        <v>0</v>
      </c>
      <c r="F33" s="39">
        <f>-'[36]Budget 2022'!Z30</f>
        <v>0</v>
      </c>
      <c r="G33" s="39">
        <f>-'[36]Budget 2022'!AA30</f>
        <v>0</v>
      </c>
      <c r="H33" s="39">
        <f>-'[36]Budget 2022'!AB30</f>
        <v>0</v>
      </c>
      <c r="I33" s="39">
        <f t="shared" si="9"/>
        <v>0</v>
      </c>
      <c r="J33" s="39">
        <f>-'[36]Budget 2022'!AD30</f>
        <v>0</v>
      </c>
      <c r="K33" s="39">
        <f>-'[36]Budget 2022'!AE30</f>
        <v>0</v>
      </c>
      <c r="L33" s="39">
        <f>-'[36]Budget 2022'!AF30</f>
        <v>0</v>
      </c>
      <c r="M33" s="39">
        <f t="shared" si="10"/>
        <v>0</v>
      </c>
      <c r="N33" s="39">
        <f>-'[36]Budget 2022'!AH30</f>
        <v>0</v>
      </c>
      <c r="O33" s="39">
        <f>-'[36]Budget 2022'!AI30</f>
        <v>0</v>
      </c>
      <c r="P33" s="39">
        <f>-'[36]Budget 2022'!AJ30</f>
        <v>0</v>
      </c>
      <c r="Q33" s="39">
        <f t="shared" si="11"/>
        <v>0</v>
      </c>
      <c r="R33" s="39">
        <f t="shared" si="17"/>
        <v>0</v>
      </c>
    </row>
    <row r="34" spans="1:19" ht="18" hidden="1" outlineLevel="1">
      <c r="A34" s="38" t="s">
        <v>203</v>
      </c>
      <c r="B34" s="39">
        <f>-'[36]Budget 2022'!V37</f>
        <v>0</v>
      </c>
      <c r="C34" s="39">
        <f>-'[36]Budget 2022'!W37</f>
        <v>0</v>
      </c>
      <c r="D34" s="39">
        <f>-'[36]Budget 2022'!X37</f>
        <v>0</v>
      </c>
      <c r="E34" s="39">
        <f t="shared" si="8"/>
        <v>0</v>
      </c>
      <c r="F34" s="39">
        <f>-'[36]Budget 2022'!Z37</f>
        <v>0</v>
      </c>
      <c r="G34" s="39">
        <f>-'[36]Budget 2022'!AA37</f>
        <v>0</v>
      </c>
      <c r="H34" s="39">
        <f>-'[36]Budget 2022'!AB37</f>
        <v>0</v>
      </c>
      <c r="I34" s="39">
        <f t="shared" si="9"/>
        <v>0</v>
      </c>
      <c r="J34" s="39">
        <f>-'[36]Budget 2022'!AD37</f>
        <v>0</v>
      </c>
      <c r="K34" s="39">
        <f>-'[36]Budget 2022'!AE37</f>
        <v>0</v>
      </c>
      <c r="L34" s="39">
        <f>-'[36]Budget 2022'!AF37</f>
        <v>0</v>
      </c>
      <c r="M34" s="39">
        <f t="shared" si="10"/>
        <v>0</v>
      </c>
      <c r="N34" s="39">
        <f>-'[36]Budget 2022'!AH37</f>
        <v>0</v>
      </c>
      <c r="O34" s="39">
        <f>-'[36]Budget 2022'!AI37</f>
        <v>0</v>
      </c>
      <c r="P34" s="39">
        <f>-'[36]Budget 2022'!AJ37</f>
        <v>0</v>
      </c>
      <c r="Q34" s="39">
        <f t="shared" si="11"/>
        <v>0</v>
      </c>
      <c r="R34" s="39">
        <f t="shared" si="17"/>
        <v>0</v>
      </c>
    </row>
    <row r="35" spans="1:19" ht="18" hidden="1" outlineLevel="1">
      <c r="A35" s="38" t="s">
        <v>204</v>
      </c>
      <c r="B35" s="39">
        <f>-'[36]Budget 2022'!V48</f>
        <v>112500</v>
      </c>
      <c r="C35" s="39">
        <f>-'[36]Budget 2022'!W48</f>
        <v>112500</v>
      </c>
      <c r="D35" s="39">
        <f>-'[36]Budget 2022'!X48</f>
        <v>112500</v>
      </c>
      <c r="E35" s="39">
        <f t="shared" si="8"/>
        <v>337500</v>
      </c>
      <c r="F35" s="39">
        <f>-'[36]Budget 2022'!Z48</f>
        <v>112500</v>
      </c>
      <c r="G35" s="39">
        <f>-'[36]Budget 2022'!AA48</f>
        <v>112500</v>
      </c>
      <c r="H35" s="39">
        <f>-'[36]Budget 2022'!AB48</f>
        <v>112500</v>
      </c>
      <c r="I35" s="39">
        <f t="shared" si="9"/>
        <v>337500</v>
      </c>
      <c r="J35" s="39">
        <f>-'[36]Budget 2022'!AD48</f>
        <v>112500</v>
      </c>
      <c r="K35" s="39">
        <f>-'[36]Budget 2022'!AE48</f>
        <v>112500</v>
      </c>
      <c r="L35" s="39">
        <f>-'[36]Budget 2022'!AF48</f>
        <v>112500</v>
      </c>
      <c r="M35" s="39">
        <f t="shared" si="10"/>
        <v>337500</v>
      </c>
      <c r="N35" s="39">
        <f>-'[36]Budget 2022'!AH48</f>
        <v>112500</v>
      </c>
      <c r="O35" s="39">
        <f>-'[36]Budget 2022'!AI48</f>
        <v>112500</v>
      </c>
      <c r="P35" s="39">
        <f>-'[36]Budget 2022'!AJ48</f>
        <v>112500</v>
      </c>
      <c r="Q35" s="39">
        <f t="shared" si="11"/>
        <v>337500</v>
      </c>
      <c r="R35" s="39">
        <f t="shared" si="17"/>
        <v>1350000</v>
      </c>
    </row>
    <row r="36" spans="1:19" ht="18" hidden="1" outlineLevel="1">
      <c r="A36" s="38" t="s">
        <v>205</v>
      </c>
      <c r="B36" s="39">
        <f>-'[36]Budget 2022'!V50</f>
        <v>0</v>
      </c>
      <c r="C36" s="39">
        <f>-'[36]Budget 2022'!W50</f>
        <v>0</v>
      </c>
      <c r="D36" s="39">
        <f>-'[36]Budget 2022'!X50</f>
        <v>0</v>
      </c>
      <c r="E36" s="39">
        <f t="shared" si="8"/>
        <v>0</v>
      </c>
      <c r="F36" s="39">
        <f>-'[36]Budget 2022'!Z50</f>
        <v>0</v>
      </c>
      <c r="G36" s="39">
        <f>-'[36]Budget 2022'!AA50</f>
        <v>0</v>
      </c>
      <c r="H36" s="39">
        <f>-'[36]Budget 2022'!AB50</f>
        <v>0</v>
      </c>
      <c r="I36" s="39">
        <f t="shared" si="9"/>
        <v>0</v>
      </c>
      <c r="J36" s="39">
        <f>-'[36]Budget 2022'!AD50</f>
        <v>0</v>
      </c>
      <c r="K36" s="39">
        <f>-'[36]Budget 2022'!AE50</f>
        <v>0</v>
      </c>
      <c r="L36" s="39">
        <f>-'[36]Budget 2022'!AF50</f>
        <v>0</v>
      </c>
      <c r="M36" s="39">
        <f t="shared" si="10"/>
        <v>0</v>
      </c>
      <c r="N36" s="39">
        <f>-'[36]Budget 2022'!AH50</f>
        <v>0</v>
      </c>
      <c r="O36" s="39">
        <f>-'[36]Budget 2022'!AI50</f>
        <v>0</v>
      </c>
      <c r="P36" s="39">
        <f>-'[36]Budget 2022'!AJ50</f>
        <v>0</v>
      </c>
      <c r="Q36" s="39">
        <f t="shared" si="11"/>
        <v>0</v>
      </c>
      <c r="R36" s="39">
        <f t="shared" si="17"/>
        <v>0</v>
      </c>
    </row>
    <row r="37" spans="1:19" ht="18" hidden="1" outlineLevel="1">
      <c r="A37" s="38" t="s">
        <v>206</v>
      </c>
      <c r="B37" s="39">
        <f>-'[36]Budget 2022'!V61</f>
        <v>83333.33</v>
      </c>
      <c r="C37" s="39">
        <f>-'[36]Budget 2022'!W61</f>
        <v>83333.33</v>
      </c>
      <c r="D37" s="39">
        <f>-'[36]Budget 2022'!X61</f>
        <v>83333.33</v>
      </c>
      <c r="E37" s="39">
        <f t="shared" si="8"/>
        <v>249999.99</v>
      </c>
      <c r="F37" s="39">
        <f>-'[36]Budget 2022'!Z61</f>
        <v>83333.33</v>
      </c>
      <c r="G37" s="39">
        <f>-'[36]Budget 2022'!AA61</f>
        <v>83333.33</v>
      </c>
      <c r="H37" s="39">
        <f>-'[36]Budget 2022'!AB61</f>
        <v>83333.33</v>
      </c>
      <c r="I37" s="39">
        <f t="shared" si="9"/>
        <v>249999.99</v>
      </c>
      <c r="J37" s="39">
        <f>-'[36]Budget 2022'!AD61</f>
        <v>83333.33</v>
      </c>
      <c r="K37" s="39">
        <f>-'[36]Budget 2022'!AE61</f>
        <v>83333.33</v>
      </c>
      <c r="L37" s="39">
        <f>-'[36]Budget 2022'!AF61</f>
        <v>83333.33</v>
      </c>
      <c r="M37" s="39">
        <f t="shared" si="10"/>
        <v>249999.99</v>
      </c>
      <c r="N37" s="39">
        <f>-'[36]Budget 2022'!AH61</f>
        <v>83333.33</v>
      </c>
      <c r="O37" s="39">
        <f>-'[36]Budget 2022'!AI61</f>
        <v>83333.33</v>
      </c>
      <c r="P37" s="39">
        <f>-'[36]Budget 2022'!AJ61</f>
        <v>83333.33</v>
      </c>
      <c r="Q37" s="39">
        <f t="shared" si="11"/>
        <v>249999.99</v>
      </c>
      <c r="R37" s="39">
        <f t="shared" si="17"/>
        <v>999999.96</v>
      </c>
    </row>
    <row r="38" spans="1:19" ht="18" hidden="1" outlineLevel="1">
      <c r="A38" s="38" t="s">
        <v>207</v>
      </c>
      <c r="B38" s="39">
        <f>-'[36]Budget 2022'!V63</f>
        <v>0</v>
      </c>
      <c r="C38" s="39">
        <f>-'[36]Budget 2022'!W63</f>
        <v>0</v>
      </c>
      <c r="D38" s="39">
        <f>-'[36]Budget 2022'!X63</f>
        <v>0</v>
      </c>
      <c r="E38" s="39">
        <f t="shared" si="8"/>
        <v>0</v>
      </c>
      <c r="F38" s="39">
        <f>-'[36]Budget 2022'!Z63</f>
        <v>0</v>
      </c>
      <c r="G38" s="39">
        <f>-'[36]Budget 2022'!AA63</f>
        <v>0</v>
      </c>
      <c r="H38" s="39">
        <f>-'[36]Budget 2022'!AB63</f>
        <v>0</v>
      </c>
      <c r="I38" s="39">
        <f t="shared" si="9"/>
        <v>0</v>
      </c>
      <c r="J38" s="39">
        <f>-'[36]Budget 2022'!AD63</f>
        <v>0</v>
      </c>
      <c r="K38" s="39">
        <f>-'[36]Budget 2022'!AE63</f>
        <v>0</v>
      </c>
      <c r="L38" s="39">
        <f>-'[36]Budget 2022'!AF63</f>
        <v>0</v>
      </c>
      <c r="M38" s="39">
        <f t="shared" si="10"/>
        <v>0</v>
      </c>
      <c r="N38" s="39">
        <f>-'[36]Budget 2022'!AH63</f>
        <v>0</v>
      </c>
      <c r="O38" s="39">
        <f>-'[36]Budget 2022'!AI63</f>
        <v>0</v>
      </c>
      <c r="P38" s="39">
        <f>-'[36]Budget 2022'!AJ63</f>
        <v>0</v>
      </c>
      <c r="Q38" s="39">
        <f t="shared" si="11"/>
        <v>0</v>
      </c>
      <c r="R38" s="39">
        <f t="shared" si="17"/>
        <v>0</v>
      </c>
    </row>
    <row r="39" spans="1:19" ht="18" hidden="1" outlineLevel="1">
      <c r="A39" s="38" t="s">
        <v>208</v>
      </c>
      <c r="B39" s="39">
        <f>-'[36]Budget 2022'!V74</f>
        <v>2291666.66666666</v>
      </c>
      <c r="C39" s="39">
        <f>-'[36]Budget 2022'!W74</f>
        <v>2291666.66666666</v>
      </c>
      <c r="D39" s="39">
        <f>-'[36]Budget 2022'!X74</f>
        <v>2291666.66666666</v>
      </c>
      <c r="E39" s="39">
        <f t="shared" si="8"/>
        <v>6874999.9999999795</v>
      </c>
      <c r="F39" s="39">
        <f>-'[36]Budget 2022'!Z74</f>
        <v>2291666.66666666</v>
      </c>
      <c r="G39" s="39">
        <f>-'[36]Budget 2022'!AA74</f>
        <v>2291666.66666666</v>
      </c>
      <c r="H39" s="39">
        <f>-'[36]Budget 2022'!AB74</f>
        <v>2291666.66666666</v>
      </c>
      <c r="I39" s="39">
        <f t="shared" si="9"/>
        <v>6874999.9999999795</v>
      </c>
      <c r="J39" s="39">
        <f>-'[36]Budget 2022'!AD74</f>
        <v>2291666.66666666</v>
      </c>
      <c r="K39" s="39">
        <f>-'[36]Budget 2022'!AE74</f>
        <v>2291666.66666666</v>
      </c>
      <c r="L39" s="39">
        <f>-'[36]Budget 2022'!AF74</f>
        <v>2291666.66666666</v>
      </c>
      <c r="M39" s="39">
        <f t="shared" si="10"/>
        <v>6874999.9999999795</v>
      </c>
      <c r="N39" s="39">
        <f>-'[36]Budget 2022'!AH74</f>
        <v>2291666.66666666</v>
      </c>
      <c r="O39" s="39">
        <f>-'[36]Budget 2022'!AI74</f>
        <v>2291666.66666666</v>
      </c>
      <c r="P39" s="39">
        <f>-'[36]Budget 2022'!AJ74</f>
        <v>2291666.66666666</v>
      </c>
      <c r="Q39" s="39">
        <f t="shared" si="11"/>
        <v>6874999.9999999795</v>
      </c>
      <c r="R39" s="39">
        <f t="shared" si="17"/>
        <v>27499999.999999918</v>
      </c>
    </row>
    <row r="40" spans="1:19" s="35" customFormat="1" ht="31.2" hidden="1" outlineLevel="1">
      <c r="A40" s="31" t="s">
        <v>211</v>
      </c>
      <c r="B40" s="32">
        <f>B41+B44</f>
        <v>320625</v>
      </c>
      <c r="C40" s="32">
        <f t="shared" ref="C40:D40" si="18">C41+C44</f>
        <v>339200</v>
      </c>
      <c r="D40" s="32">
        <f t="shared" si="18"/>
        <v>213014.53999999998</v>
      </c>
      <c r="E40" s="32">
        <f>SUM(B40:D40)</f>
        <v>872839.54</v>
      </c>
      <c r="F40" s="32">
        <f>F41+F44</f>
        <v>103973</v>
      </c>
      <c r="G40" s="32">
        <f t="shared" ref="G40:H40" si="19">G41+G44</f>
        <v>25000</v>
      </c>
      <c r="H40" s="32">
        <f t="shared" si="19"/>
        <v>25000</v>
      </c>
      <c r="I40" s="32">
        <f>SUM(F40:H40)</f>
        <v>153973</v>
      </c>
      <c r="J40" s="32">
        <f>J41+J44</f>
        <v>25000</v>
      </c>
      <c r="K40" s="32">
        <f t="shared" ref="K40:L40" si="20">K41+K44</f>
        <v>25000</v>
      </c>
      <c r="L40" s="32">
        <f t="shared" si="20"/>
        <v>25000</v>
      </c>
      <c r="M40" s="32">
        <f>SUM(J40:L40)</f>
        <v>75000</v>
      </c>
      <c r="N40" s="32">
        <f>N41+N44</f>
        <v>25000</v>
      </c>
      <c r="O40" s="32">
        <f t="shared" ref="O40:P40" si="21">O41+O44</f>
        <v>25000</v>
      </c>
      <c r="P40" s="32">
        <f t="shared" si="21"/>
        <v>11484</v>
      </c>
      <c r="Q40" s="32">
        <f>SUM(N40:P40)</f>
        <v>61484</v>
      </c>
      <c r="R40" s="33">
        <f>R41+R44</f>
        <v>1163296.54</v>
      </c>
      <c r="S40" s="34"/>
    </row>
    <row r="41" spans="1:19" ht="18" hidden="1" outlineLevel="1">
      <c r="A41" s="36" t="s">
        <v>197</v>
      </c>
      <c r="B41" s="41">
        <f>SUM(B42:B43)</f>
        <v>315625</v>
      </c>
      <c r="C41" s="41">
        <f>SUM(C42:C43)</f>
        <v>334200</v>
      </c>
      <c r="D41" s="41">
        <f>SUM(D42:D43)</f>
        <v>208014.53999999998</v>
      </c>
      <c r="E41" s="41">
        <f t="shared" si="8"/>
        <v>857839.54</v>
      </c>
      <c r="F41" s="41">
        <f>SUM(F42:F43)</f>
        <v>98973</v>
      </c>
      <c r="G41" s="41">
        <f>SUM(G42:G43)</f>
        <v>20000</v>
      </c>
      <c r="H41" s="41">
        <f>SUM(H42:H43)</f>
        <v>20000</v>
      </c>
      <c r="I41" s="41">
        <f t="shared" si="9"/>
        <v>138973</v>
      </c>
      <c r="J41" s="41">
        <f>SUM(J42:J43)</f>
        <v>20000</v>
      </c>
      <c r="K41" s="41">
        <f>SUM(K42:K43)</f>
        <v>20000</v>
      </c>
      <c r="L41" s="41">
        <f>SUM(L42:L43)</f>
        <v>20000</v>
      </c>
      <c r="M41" s="41">
        <f t="shared" si="10"/>
        <v>60000</v>
      </c>
      <c r="N41" s="41">
        <f>SUM(N42:N43)</f>
        <v>20000</v>
      </c>
      <c r="O41" s="41">
        <f>SUM(O42:O43)</f>
        <v>20000</v>
      </c>
      <c r="P41" s="41">
        <f>SUM(P42:P43)</f>
        <v>6484</v>
      </c>
      <c r="Q41" s="41">
        <f t="shared" si="11"/>
        <v>46484</v>
      </c>
      <c r="R41" s="42">
        <f>SUM(R42:R43)</f>
        <v>1103296.54</v>
      </c>
      <c r="S41" s="1"/>
    </row>
    <row r="42" spans="1:19" ht="18" hidden="1" outlineLevel="1">
      <c r="A42" s="38" t="s">
        <v>198</v>
      </c>
      <c r="B42" s="39">
        <f>-'[36]Budget 2022'!AM7</f>
        <v>315625</v>
      </c>
      <c r="C42" s="39">
        <f>-'[36]Budget 2022'!AN7</f>
        <v>334200</v>
      </c>
      <c r="D42" s="39">
        <f>-'[36]Budget 2022'!AO7</f>
        <v>208014.53999999998</v>
      </c>
      <c r="E42" s="39">
        <f t="shared" si="8"/>
        <v>857839.54</v>
      </c>
      <c r="F42" s="39">
        <f>-'[36]Budget 2022'!AQ7</f>
        <v>98973</v>
      </c>
      <c r="G42" s="39">
        <f>-'[36]Budget 2022'!AR7</f>
        <v>20000</v>
      </c>
      <c r="H42" s="39">
        <f>-'[36]Budget 2022'!AS7</f>
        <v>20000</v>
      </c>
      <c r="I42" s="39">
        <f t="shared" si="9"/>
        <v>138973</v>
      </c>
      <c r="J42" s="39">
        <f>-'[36]Budget 2022'!AU7</f>
        <v>20000</v>
      </c>
      <c r="K42" s="39">
        <f>-'[36]Budget 2022'!AV7</f>
        <v>20000</v>
      </c>
      <c r="L42" s="39">
        <f>-'[36]Budget 2022'!AW7</f>
        <v>20000</v>
      </c>
      <c r="M42" s="39">
        <f t="shared" si="10"/>
        <v>60000</v>
      </c>
      <c r="N42" s="39">
        <f>-'[36]Budget 2022'!AY7</f>
        <v>20000</v>
      </c>
      <c r="O42" s="39">
        <f>-'[36]Budget 2022'!AZ7</f>
        <v>20000</v>
      </c>
      <c r="P42" s="39">
        <f>-'[36]Budget 2022'!BA7</f>
        <v>6484</v>
      </c>
      <c r="Q42" s="39">
        <f t="shared" si="11"/>
        <v>46484</v>
      </c>
      <c r="R42" s="39">
        <f>SUM(E42,I42,M42,Q42)</f>
        <v>1103296.54</v>
      </c>
      <c r="S42" s="15"/>
    </row>
    <row r="43" spans="1:19" ht="18" hidden="1" outlineLevel="1">
      <c r="A43" s="38" t="s">
        <v>199</v>
      </c>
      <c r="B43" s="39">
        <f>-'[36]Budget 2022'!AM17</f>
        <v>0</v>
      </c>
      <c r="C43" s="39">
        <f>-'[36]Budget 2022'!AN17</f>
        <v>0</v>
      </c>
      <c r="D43" s="39">
        <f>-'[36]Budget 2022'!AO17</f>
        <v>0</v>
      </c>
      <c r="E43" s="39">
        <f t="shared" si="8"/>
        <v>0</v>
      </c>
      <c r="F43" s="39">
        <f>-'[36]Budget 2022'!AQ17</f>
        <v>0</v>
      </c>
      <c r="G43" s="39">
        <f>-'[36]Budget 2022'!AR17</f>
        <v>0</v>
      </c>
      <c r="H43" s="39">
        <f>-'[36]Budget 2022'!AS17</f>
        <v>0</v>
      </c>
      <c r="I43" s="39">
        <f t="shared" si="9"/>
        <v>0</v>
      </c>
      <c r="J43" s="39">
        <f>-'[36]Budget 2022'!AU17</f>
        <v>0</v>
      </c>
      <c r="K43" s="39">
        <f>-'[36]Budget 2022'!AV17</f>
        <v>0</v>
      </c>
      <c r="L43" s="39">
        <f>-'[36]Budget 2022'!AW17</f>
        <v>0</v>
      </c>
      <c r="M43" s="39">
        <f t="shared" si="10"/>
        <v>0</v>
      </c>
      <c r="N43" s="39">
        <f>-'[36]Budget 2022'!AY17</f>
        <v>0</v>
      </c>
      <c r="O43" s="39">
        <f>-'[36]Budget 2022'!AZ17</f>
        <v>0</v>
      </c>
      <c r="P43" s="39">
        <f>-'[36]Budget 2022'!BA17</f>
        <v>0</v>
      </c>
      <c r="Q43" s="39">
        <f t="shared" si="11"/>
        <v>0</v>
      </c>
      <c r="R43" s="39">
        <f>SUM(E43,I43,M43,Q43)</f>
        <v>0</v>
      </c>
      <c r="S43" s="15"/>
    </row>
    <row r="44" spans="1:19" ht="18" hidden="1" outlineLevel="1">
      <c r="A44" s="36" t="s">
        <v>200</v>
      </c>
      <c r="B44" s="41">
        <f>SUM(B45:B52)</f>
        <v>5000</v>
      </c>
      <c r="C44" s="41">
        <f t="shared" ref="C44:D44" si="22">SUM(C45:C52)</f>
        <v>5000</v>
      </c>
      <c r="D44" s="41">
        <f t="shared" si="22"/>
        <v>5000</v>
      </c>
      <c r="E44" s="41">
        <f t="shared" si="8"/>
        <v>15000</v>
      </c>
      <c r="F44" s="41">
        <f>SUM(F45:F52)</f>
        <v>5000</v>
      </c>
      <c r="G44" s="41">
        <f t="shared" ref="G44:H44" si="23">SUM(G45:G52)</f>
        <v>5000</v>
      </c>
      <c r="H44" s="41">
        <f t="shared" si="23"/>
        <v>5000</v>
      </c>
      <c r="I44" s="41">
        <f t="shared" si="9"/>
        <v>15000</v>
      </c>
      <c r="J44" s="41">
        <f>SUM(J45:J52)</f>
        <v>5000</v>
      </c>
      <c r="K44" s="41">
        <f t="shared" ref="K44:L44" si="24">SUM(K45:K52)</f>
        <v>5000</v>
      </c>
      <c r="L44" s="41">
        <f t="shared" si="24"/>
        <v>5000</v>
      </c>
      <c r="M44" s="41">
        <f t="shared" si="10"/>
        <v>15000</v>
      </c>
      <c r="N44" s="41">
        <f>SUM(N45:N52)</f>
        <v>5000</v>
      </c>
      <c r="O44" s="41">
        <f t="shared" ref="O44:P44" si="25">SUM(O45:O52)</f>
        <v>5000</v>
      </c>
      <c r="P44" s="41">
        <f t="shared" si="25"/>
        <v>5000</v>
      </c>
      <c r="Q44" s="41">
        <f t="shared" si="11"/>
        <v>15000</v>
      </c>
      <c r="R44" s="42">
        <f>SUM(R45:R52)</f>
        <v>60000</v>
      </c>
    </row>
    <row r="45" spans="1:19" ht="18" hidden="1" outlineLevel="1">
      <c r="A45" s="38" t="s">
        <v>201</v>
      </c>
      <c r="B45" s="39">
        <f>-'[36]Budget 2022'!AM24</f>
        <v>0</v>
      </c>
      <c r="C45" s="39">
        <f>-'[36]Budget 2022'!AN24</f>
        <v>0</v>
      </c>
      <c r="D45" s="39">
        <f>-'[36]Budget 2022'!AO24</f>
        <v>0</v>
      </c>
      <c r="E45" s="39">
        <f t="shared" si="8"/>
        <v>0</v>
      </c>
      <c r="F45" s="39">
        <f>-'[36]Budget 2022'!AQ24</f>
        <v>0</v>
      </c>
      <c r="G45" s="39">
        <f>-'[36]Budget 2022'!AR24</f>
        <v>0</v>
      </c>
      <c r="H45" s="39">
        <f>-'[36]Budget 2022'!AS24</f>
        <v>0</v>
      </c>
      <c r="I45" s="39">
        <f t="shared" si="9"/>
        <v>0</v>
      </c>
      <c r="J45" s="39">
        <f>-'[36]Budget 2022'!AU24</f>
        <v>0</v>
      </c>
      <c r="K45" s="39">
        <f>-'[36]Budget 2022'!AV24</f>
        <v>0</v>
      </c>
      <c r="L45" s="39">
        <f>-'[36]Budget 2022'!AW24</f>
        <v>0</v>
      </c>
      <c r="M45" s="39">
        <f t="shared" si="10"/>
        <v>0</v>
      </c>
      <c r="N45" s="39">
        <f>-'[36]Budget 2022'!AZ24</f>
        <v>0</v>
      </c>
      <c r="O45" s="39">
        <f>-'[36]Budget 2022'!BA24</f>
        <v>0</v>
      </c>
      <c r="P45" s="39">
        <f>-'[36]Budget 2022'!BB24</f>
        <v>0</v>
      </c>
      <c r="Q45" s="39">
        <f t="shared" si="11"/>
        <v>0</v>
      </c>
      <c r="R45" s="39">
        <f>SUM(E45,I45,M45,Q45)</f>
        <v>0</v>
      </c>
    </row>
    <row r="46" spans="1:19" ht="18" hidden="1" outlineLevel="1">
      <c r="A46" s="38" t="s">
        <v>202</v>
      </c>
      <c r="B46" s="39">
        <f>-'[36]Budget 2022'!AM30</f>
        <v>0</v>
      </c>
      <c r="C46" s="39">
        <f>-'[36]Budget 2022'!AN30</f>
        <v>0</v>
      </c>
      <c r="D46" s="39">
        <f>-'[36]Budget 2022'!AO30</f>
        <v>0</v>
      </c>
      <c r="E46" s="39">
        <f t="shared" si="8"/>
        <v>0</v>
      </c>
      <c r="F46" s="39">
        <f>-'[36]Budget 2022'!AQ30</f>
        <v>0</v>
      </c>
      <c r="G46" s="39">
        <f>-'[36]Budget 2022'!AR30</f>
        <v>0</v>
      </c>
      <c r="H46" s="39">
        <f>-'[36]Budget 2022'!AS30</f>
        <v>0</v>
      </c>
      <c r="I46" s="39">
        <f t="shared" si="9"/>
        <v>0</v>
      </c>
      <c r="J46" s="39">
        <f>-'[36]Budget 2022'!AU30</f>
        <v>0</v>
      </c>
      <c r="K46" s="39">
        <f>-'[36]Budget 2022'!AV30</f>
        <v>0</v>
      </c>
      <c r="L46" s="39">
        <f>-'[36]Budget 2022'!AW30</f>
        <v>0</v>
      </c>
      <c r="M46" s="39">
        <f t="shared" si="10"/>
        <v>0</v>
      </c>
      <c r="N46" s="39">
        <f>-'[36]Budget 2022'!AZ30</f>
        <v>0</v>
      </c>
      <c r="O46" s="39">
        <f>-'[36]Budget 2022'!BA30</f>
        <v>0</v>
      </c>
      <c r="P46" s="39">
        <f>-'[36]Budget 2022'!BB30</f>
        <v>0</v>
      </c>
      <c r="Q46" s="39">
        <f t="shared" si="11"/>
        <v>0</v>
      </c>
      <c r="R46" s="39">
        <f t="shared" ref="R46:R52" si="26">SUM(E46,I46,M46,Q46)</f>
        <v>0</v>
      </c>
    </row>
    <row r="47" spans="1:19" ht="18" hidden="1" outlineLevel="1">
      <c r="A47" s="38" t="s">
        <v>203</v>
      </c>
      <c r="B47" s="39">
        <f>-'[36]Budget 2022'!AM37</f>
        <v>0</v>
      </c>
      <c r="C47" s="39">
        <f>-'[36]Budget 2022'!AN37</f>
        <v>0</v>
      </c>
      <c r="D47" s="39">
        <f>-'[36]Budget 2022'!AO37</f>
        <v>0</v>
      </c>
      <c r="E47" s="39">
        <f t="shared" si="8"/>
        <v>0</v>
      </c>
      <c r="F47" s="39">
        <f>-'[36]Budget 2022'!AQ37</f>
        <v>0</v>
      </c>
      <c r="G47" s="39">
        <f>-'[36]Budget 2022'!AR37</f>
        <v>0</v>
      </c>
      <c r="H47" s="39">
        <f>-'[36]Budget 2022'!AS37</f>
        <v>0</v>
      </c>
      <c r="I47" s="39">
        <f t="shared" si="9"/>
        <v>0</v>
      </c>
      <c r="J47" s="39">
        <f>-'[36]Budget 2022'!AU37</f>
        <v>0</v>
      </c>
      <c r="K47" s="39">
        <f>-'[36]Budget 2022'!AV37</f>
        <v>0</v>
      </c>
      <c r="L47" s="39">
        <f>-'[36]Budget 2022'!AW37</f>
        <v>0</v>
      </c>
      <c r="M47" s="39">
        <f t="shared" si="10"/>
        <v>0</v>
      </c>
      <c r="N47" s="39">
        <f>-'[36]Budget 2022'!AZ37</f>
        <v>0</v>
      </c>
      <c r="O47" s="39">
        <f>-'[36]Budget 2022'!BA37</f>
        <v>0</v>
      </c>
      <c r="P47" s="39">
        <f>-'[36]Budget 2022'!BB37</f>
        <v>0</v>
      </c>
      <c r="Q47" s="39">
        <f t="shared" si="11"/>
        <v>0</v>
      </c>
      <c r="R47" s="39">
        <f t="shared" si="26"/>
        <v>0</v>
      </c>
    </row>
    <row r="48" spans="1:19" ht="18" hidden="1" outlineLevel="1">
      <c r="A48" s="38" t="s">
        <v>204</v>
      </c>
      <c r="B48" s="39">
        <f>-'[36]Budget 2022'!AM48</f>
        <v>0</v>
      </c>
      <c r="C48" s="39">
        <f>-'[36]Budget 2022'!AN48</f>
        <v>0</v>
      </c>
      <c r="D48" s="39">
        <f>-'[36]Budget 2022'!AO48</f>
        <v>0</v>
      </c>
      <c r="E48" s="39">
        <f t="shared" si="8"/>
        <v>0</v>
      </c>
      <c r="F48" s="39">
        <f>-'[36]Budget 2022'!AQ48</f>
        <v>0</v>
      </c>
      <c r="G48" s="39">
        <f>-'[36]Budget 2022'!AR48</f>
        <v>0</v>
      </c>
      <c r="H48" s="39">
        <f>-'[36]Budget 2022'!AS48</f>
        <v>0</v>
      </c>
      <c r="I48" s="39">
        <f t="shared" si="9"/>
        <v>0</v>
      </c>
      <c r="J48" s="39">
        <f>-'[36]Budget 2022'!AU48</f>
        <v>0</v>
      </c>
      <c r="K48" s="39">
        <f>-'[36]Budget 2022'!AV48</f>
        <v>0</v>
      </c>
      <c r="L48" s="39">
        <f>-'[36]Budget 2022'!AW48</f>
        <v>0</v>
      </c>
      <c r="M48" s="39">
        <f t="shared" si="10"/>
        <v>0</v>
      </c>
      <c r="N48" s="39">
        <f>-'[36]Budget 2022'!AZ48</f>
        <v>0</v>
      </c>
      <c r="O48" s="39">
        <f>-'[36]Budget 2022'!BA48</f>
        <v>0</v>
      </c>
      <c r="P48" s="39">
        <f>-'[36]Budget 2022'!BB48</f>
        <v>0</v>
      </c>
      <c r="Q48" s="39">
        <f t="shared" si="11"/>
        <v>0</v>
      </c>
      <c r="R48" s="39">
        <f t="shared" si="26"/>
        <v>0</v>
      </c>
    </row>
    <row r="49" spans="1:19" ht="18" hidden="1" outlineLevel="1">
      <c r="A49" s="38" t="s">
        <v>205</v>
      </c>
      <c r="B49" s="39">
        <f>-'[36]Budget 2022'!AM50</f>
        <v>0</v>
      </c>
      <c r="C49" s="39">
        <f>-'[36]Budget 2022'!AN50</f>
        <v>0</v>
      </c>
      <c r="D49" s="39">
        <f>-'[36]Budget 2022'!AO50</f>
        <v>0</v>
      </c>
      <c r="E49" s="39">
        <f t="shared" si="8"/>
        <v>0</v>
      </c>
      <c r="F49" s="39">
        <f>-'[36]Budget 2022'!AQ50</f>
        <v>0</v>
      </c>
      <c r="G49" s="39">
        <f>-'[36]Budget 2022'!AR50</f>
        <v>0</v>
      </c>
      <c r="H49" s="39">
        <f>-'[36]Budget 2022'!AS50</f>
        <v>0</v>
      </c>
      <c r="I49" s="39">
        <f t="shared" si="9"/>
        <v>0</v>
      </c>
      <c r="J49" s="39">
        <f>-'[36]Budget 2022'!AU50</f>
        <v>0</v>
      </c>
      <c r="K49" s="39">
        <f>-'[36]Budget 2022'!AV50</f>
        <v>0</v>
      </c>
      <c r="L49" s="39">
        <f>-'[36]Budget 2022'!AW50</f>
        <v>0</v>
      </c>
      <c r="M49" s="39">
        <f t="shared" si="10"/>
        <v>0</v>
      </c>
      <c r="N49" s="39">
        <f>-'[36]Budget 2022'!AZ50</f>
        <v>0</v>
      </c>
      <c r="O49" s="39">
        <f>-'[36]Budget 2022'!BA50</f>
        <v>0</v>
      </c>
      <c r="P49" s="39">
        <f>-'[36]Budget 2022'!BB50</f>
        <v>0</v>
      </c>
      <c r="Q49" s="39">
        <f t="shared" si="11"/>
        <v>0</v>
      </c>
      <c r="R49" s="39">
        <f t="shared" si="26"/>
        <v>0</v>
      </c>
    </row>
    <row r="50" spans="1:19" ht="18" hidden="1" outlineLevel="1">
      <c r="A50" s="38" t="s">
        <v>206</v>
      </c>
      <c r="B50" s="39">
        <f>-'[36]Budget 2022'!AM61</f>
        <v>5000</v>
      </c>
      <c r="C50" s="39">
        <f>-'[36]Budget 2022'!AN61</f>
        <v>5000</v>
      </c>
      <c r="D50" s="39">
        <f>-'[36]Budget 2022'!AO61</f>
        <v>5000</v>
      </c>
      <c r="E50" s="39">
        <f t="shared" si="8"/>
        <v>15000</v>
      </c>
      <c r="F50" s="39">
        <f>-'[36]Budget 2022'!AQ61</f>
        <v>5000</v>
      </c>
      <c r="G50" s="39">
        <f>-'[36]Budget 2022'!AR61</f>
        <v>5000</v>
      </c>
      <c r="H50" s="39">
        <f>-'[36]Budget 2022'!AS61</f>
        <v>5000</v>
      </c>
      <c r="I50" s="39">
        <f t="shared" si="9"/>
        <v>15000</v>
      </c>
      <c r="J50" s="39">
        <f>-'[36]Budget 2022'!AU61</f>
        <v>5000</v>
      </c>
      <c r="K50" s="39">
        <f>-'[36]Budget 2022'!AV61</f>
        <v>5000</v>
      </c>
      <c r="L50" s="39">
        <f>-'[36]Budget 2022'!AW61</f>
        <v>5000</v>
      </c>
      <c r="M50" s="39">
        <f t="shared" si="10"/>
        <v>15000</v>
      </c>
      <c r="N50" s="39">
        <f>-'[36]Budget 2022'!AY61</f>
        <v>5000</v>
      </c>
      <c r="O50" s="39">
        <f>-'[36]Budget 2022'!AZ61</f>
        <v>5000</v>
      </c>
      <c r="P50" s="39">
        <f>-'[36]Budget 2022'!BA61</f>
        <v>5000</v>
      </c>
      <c r="Q50" s="39">
        <f t="shared" si="11"/>
        <v>15000</v>
      </c>
      <c r="R50" s="39">
        <f t="shared" si="26"/>
        <v>60000</v>
      </c>
    </row>
    <row r="51" spans="1:19" ht="18" hidden="1" outlineLevel="1">
      <c r="A51" s="38" t="s">
        <v>207</v>
      </c>
      <c r="B51" s="39">
        <f>-'[36]Budget 2022'!AM63</f>
        <v>0</v>
      </c>
      <c r="C51" s="39">
        <f>-'[36]Budget 2022'!AN63</f>
        <v>0</v>
      </c>
      <c r="D51" s="39">
        <f>-'[36]Budget 2022'!AO63</f>
        <v>0</v>
      </c>
      <c r="E51" s="39">
        <f t="shared" si="8"/>
        <v>0</v>
      </c>
      <c r="F51" s="39">
        <f>-'[36]Budget 2022'!AQ63</f>
        <v>0</v>
      </c>
      <c r="G51" s="39">
        <f>-'[36]Budget 2022'!AR63</f>
        <v>0</v>
      </c>
      <c r="H51" s="39">
        <f>-'[36]Budget 2022'!AS63</f>
        <v>0</v>
      </c>
      <c r="I51" s="39">
        <f t="shared" si="9"/>
        <v>0</v>
      </c>
      <c r="J51" s="39">
        <f>-'[36]Budget 2022'!AU63</f>
        <v>0</v>
      </c>
      <c r="K51" s="39">
        <f>-'[36]Budget 2022'!AV63</f>
        <v>0</v>
      </c>
      <c r="L51" s="39">
        <f>-'[36]Budget 2022'!AW63</f>
        <v>0</v>
      </c>
      <c r="M51" s="39">
        <f t="shared" si="10"/>
        <v>0</v>
      </c>
      <c r="N51" s="39">
        <f>-'[36]Budget 2022'!AZ63</f>
        <v>0</v>
      </c>
      <c r="O51" s="39">
        <f>-'[36]Budget 2022'!BA63</f>
        <v>0</v>
      </c>
      <c r="P51" s="39">
        <f>-'[36]Budget 2022'!BB63</f>
        <v>0</v>
      </c>
      <c r="Q51" s="39">
        <f t="shared" si="11"/>
        <v>0</v>
      </c>
      <c r="R51" s="39">
        <f t="shared" si="26"/>
        <v>0</v>
      </c>
    </row>
    <row r="52" spans="1:19" ht="18" hidden="1" outlineLevel="1">
      <c r="A52" s="38" t="s">
        <v>208</v>
      </c>
      <c r="B52" s="39">
        <f>-'[36]Budget 2022'!AM74</f>
        <v>0</v>
      </c>
      <c r="C52" s="39">
        <f>-'[36]Budget 2022'!AN74</f>
        <v>0</v>
      </c>
      <c r="D52" s="39">
        <f>-'[36]Budget 2022'!AO74</f>
        <v>0</v>
      </c>
      <c r="E52" s="39">
        <f t="shared" si="8"/>
        <v>0</v>
      </c>
      <c r="F52" s="39">
        <f>-'[36]Budget 2022'!AQ74</f>
        <v>0</v>
      </c>
      <c r="G52" s="39">
        <f>-'[36]Budget 2022'!AR74</f>
        <v>0</v>
      </c>
      <c r="H52" s="39">
        <f>-'[36]Budget 2022'!AS74</f>
        <v>0</v>
      </c>
      <c r="I52" s="39">
        <f t="shared" si="9"/>
        <v>0</v>
      </c>
      <c r="J52" s="39">
        <f>-'[36]Budget 2022'!AU74</f>
        <v>0</v>
      </c>
      <c r="K52" s="39">
        <f>-'[36]Budget 2022'!AV74</f>
        <v>0</v>
      </c>
      <c r="L52" s="39">
        <f>-'[36]Budget 2022'!AW74</f>
        <v>0</v>
      </c>
      <c r="M52" s="39">
        <f t="shared" si="10"/>
        <v>0</v>
      </c>
      <c r="N52" s="39">
        <f>-'[36]Budget 2022'!AZ74</f>
        <v>0</v>
      </c>
      <c r="O52" s="39">
        <f>-'[36]Budget 2022'!BA74</f>
        <v>0</v>
      </c>
      <c r="P52" s="39">
        <f>-'[36]Budget 2022'!BB74</f>
        <v>0</v>
      </c>
      <c r="Q52" s="39">
        <f t="shared" si="11"/>
        <v>0</v>
      </c>
      <c r="R52" s="39">
        <f t="shared" si="26"/>
        <v>0</v>
      </c>
    </row>
    <row r="53" spans="1:19" s="35" customFormat="1" ht="31.2" collapsed="1">
      <c r="A53" s="31" t="s">
        <v>212</v>
      </c>
      <c r="B53" s="32">
        <f>SUM(B54,B67)</f>
        <v>4230142.0600000005</v>
      </c>
      <c r="C53" s="32">
        <f>SUM(C54,C67)</f>
        <v>7852287.3999999994</v>
      </c>
      <c r="D53" s="32">
        <f>SUM(D54,D67)</f>
        <v>6372431.5199999996</v>
      </c>
      <c r="E53" s="32">
        <f t="shared" si="8"/>
        <v>18454860.98</v>
      </c>
      <c r="F53" s="32">
        <f>SUM(F54,F67)</f>
        <v>6330560.5</v>
      </c>
      <c r="G53" s="32">
        <f>SUM(G54,G67)</f>
        <v>6330560.5</v>
      </c>
      <c r="H53" s="32">
        <f>SUM(H54,H67)</f>
        <v>6330560.5</v>
      </c>
      <c r="I53" s="32">
        <f t="shared" si="9"/>
        <v>18991681.5</v>
      </c>
      <c r="J53" s="32">
        <f>SUM(J54,J67)</f>
        <v>5899023.8599999994</v>
      </c>
      <c r="K53" s="32">
        <f>SUM(K54,K67)</f>
        <v>5899023.8599999994</v>
      </c>
      <c r="L53" s="32">
        <f>SUM(L54,L67)</f>
        <v>4093336.32</v>
      </c>
      <c r="M53" s="32">
        <f t="shared" si="10"/>
        <v>15891384.039999999</v>
      </c>
      <c r="N53" s="32">
        <f>SUM(N54,N67)</f>
        <v>4097523.42</v>
      </c>
      <c r="O53" s="32">
        <f>SUM(O54,O67)</f>
        <v>2569976.6100000003</v>
      </c>
      <c r="P53" s="32">
        <f>SUM(P54,P67)</f>
        <v>2569976.6100000003</v>
      </c>
      <c r="Q53" s="32">
        <f t="shared" si="11"/>
        <v>9237476.6400000006</v>
      </c>
      <c r="R53" s="61">
        <f>SUM(R54,R67)</f>
        <v>62575403.159999996</v>
      </c>
      <c r="S53" s="40"/>
    </row>
    <row r="54" spans="1:19" s="35" customFormat="1" ht="31.2" hidden="1" outlineLevel="1">
      <c r="A54" s="31" t="s">
        <v>213</v>
      </c>
      <c r="B54" s="32">
        <f>B55+B58</f>
        <v>4230142.0600000005</v>
      </c>
      <c r="C54" s="32">
        <f>C55+C58</f>
        <v>7852287.3999999994</v>
      </c>
      <c r="D54" s="32">
        <f>D55+D58</f>
        <v>6372431.5199999996</v>
      </c>
      <c r="E54" s="32">
        <f>SUM(B54:D54)</f>
        <v>18454860.98</v>
      </c>
      <c r="F54" s="32">
        <f>F55+F58</f>
        <v>6330560.5</v>
      </c>
      <c r="G54" s="32">
        <f>G55+G58</f>
        <v>6330560.5</v>
      </c>
      <c r="H54" s="32">
        <f>H55+H58</f>
        <v>6330560.5</v>
      </c>
      <c r="I54" s="32">
        <f>SUM(F54:H54)</f>
        <v>18991681.5</v>
      </c>
      <c r="J54" s="32">
        <f>J55+J58</f>
        <v>5899023.8599999994</v>
      </c>
      <c r="K54" s="32">
        <f>K55+K58</f>
        <v>5899023.8599999994</v>
      </c>
      <c r="L54" s="32">
        <f>L55+L58</f>
        <v>4093336.32</v>
      </c>
      <c r="M54" s="32">
        <f>SUM(J54:L54)</f>
        <v>15891384.039999999</v>
      </c>
      <c r="N54" s="32">
        <f>N55+N58</f>
        <v>4097523.42</v>
      </c>
      <c r="O54" s="32">
        <f>O55+O58</f>
        <v>2569976.6100000003</v>
      </c>
      <c r="P54" s="32">
        <f>P55+P58</f>
        <v>2569976.6100000003</v>
      </c>
      <c r="Q54" s="32">
        <f>SUM(N54:P54)</f>
        <v>9237476.6400000006</v>
      </c>
      <c r="R54" s="33">
        <f>R55+R58</f>
        <v>62575403.159999996</v>
      </c>
      <c r="S54" s="34"/>
    </row>
    <row r="55" spans="1:19" ht="18" hidden="1" outlineLevel="1">
      <c r="A55" s="43" t="s">
        <v>197</v>
      </c>
      <c r="B55" s="42">
        <f>SUM(B56:B57)</f>
        <v>2196483.6800000002</v>
      </c>
      <c r="C55" s="42">
        <f>SUM(C56:C57)</f>
        <v>5818629.0199999996</v>
      </c>
      <c r="D55" s="42">
        <f>SUM(D56:D57)</f>
        <v>4338773.1399999997</v>
      </c>
      <c r="E55" s="42">
        <f t="shared" si="8"/>
        <v>12353885.84</v>
      </c>
      <c r="F55" s="42">
        <f>SUM(F56:F57)</f>
        <v>4338773.1399999997</v>
      </c>
      <c r="G55" s="42">
        <f>SUM(G56:G57)</f>
        <v>4338773.1399999997</v>
      </c>
      <c r="H55" s="42">
        <f>SUM(H56:H57)</f>
        <v>4338773.1399999997</v>
      </c>
      <c r="I55" s="42">
        <f t="shared" si="9"/>
        <v>13016319.419999998</v>
      </c>
      <c r="J55" s="42">
        <f>SUM(J56:J57)</f>
        <v>4094525.55</v>
      </c>
      <c r="K55" s="42">
        <f>SUM(K56:K57)</f>
        <v>4094525.55</v>
      </c>
      <c r="L55" s="42">
        <f>SUM(L56:L57)</f>
        <v>2288838.0099999998</v>
      </c>
      <c r="M55" s="42">
        <f t="shared" si="10"/>
        <v>10477889.109999999</v>
      </c>
      <c r="N55" s="42">
        <f>SUM(N56:N57)</f>
        <v>2288838.0099999998</v>
      </c>
      <c r="O55" s="42">
        <f>SUM(O56:O57)</f>
        <v>761291.2</v>
      </c>
      <c r="P55" s="42">
        <f>SUM(P56:P57)</f>
        <v>761291.2</v>
      </c>
      <c r="Q55" s="42">
        <f t="shared" si="11"/>
        <v>3811420.41</v>
      </c>
      <c r="R55" s="42">
        <f>SUM(R56:R57)</f>
        <v>39659514.779999994</v>
      </c>
    </row>
    <row r="56" spans="1:19" ht="18" hidden="1" outlineLevel="1">
      <c r="A56" s="38" t="s">
        <v>198</v>
      </c>
      <c r="B56" s="39">
        <f>-'[36]Budget 2022'!BD7</f>
        <v>390796.14</v>
      </c>
      <c r="C56" s="39">
        <f>-'[36]Budget 2022'!BE7</f>
        <v>3251650.28</v>
      </c>
      <c r="D56" s="39">
        <f>-'[36]Budget 2022'!BF7</f>
        <v>1771794.4</v>
      </c>
      <c r="E56" s="39">
        <f t="shared" si="8"/>
        <v>5414240.8200000003</v>
      </c>
      <c r="F56" s="39">
        <f>-'[36]Budget 2022'!BH7</f>
        <v>1771794.4</v>
      </c>
      <c r="G56" s="39">
        <f>-'[36]Budget 2022'!BI7</f>
        <v>1771794.4</v>
      </c>
      <c r="H56" s="39">
        <f>-'[36]Budget 2022'!BJ7</f>
        <v>1771794.4</v>
      </c>
      <c r="I56" s="39">
        <f t="shared" si="9"/>
        <v>5315383.1999999993</v>
      </c>
      <c r="J56" s="39">
        <f>-'[36]Budget 2022'!BL7</f>
        <v>1527546.81</v>
      </c>
      <c r="K56" s="39">
        <f>-'[36]Budget 2022'!BM7</f>
        <v>1527546.81</v>
      </c>
      <c r="L56" s="39">
        <f>-'[36]Budget 2022'!BN7</f>
        <v>1527546.81</v>
      </c>
      <c r="M56" s="39">
        <f t="shared" si="10"/>
        <v>4582640.43</v>
      </c>
      <c r="N56" s="39">
        <f>-'[36]Budget 2022'!BP7</f>
        <v>1527546.81</v>
      </c>
      <c r="O56" s="39">
        <f>-'[36]Budget 2022'!BQ7</f>
        <v>0</v>
      </c>
      <c r="P56" s="39">
        <f>-'[36]Budget 2022'!BR7</f>
        <v>0</v>
      </c>
      <c r="Q56" s="39">
        <f t="shared" si="11"/>
        <v>1527546.81</v>
      </c>
      <c r="R56" s="39">
        <f>SUM(E56,I56,M56,Q56)</f>
        <v>16839811.259999998</v>
      </c>
    </row>
    <row r="57" spans="1:19" ht="18" hidden="1" outlineLevel="1">
      <c r="A57" s="38" t="s">
        <v>199</v>
      </c>
      <c r="B57" s="39">
        <f>-'[36]Budget 2022'!BD17</f>
        <v>1805687.54</v>
      </c>
      <c r="C57" s="39">
        <f>-'[36]Budget 2022'!BE17</f>
        <v>2566978.7399999998</v>
      </c>
      <c r="D57" s="39">
        <f>-'[36]Budget 2022'!BF17</f>
        <v>2566978.7399999998</v>
      </c>
      <c r="E57" s="39">
        <f t="shared" si="8"/>
        <v>6939645.0199999996</v>
      </c>
      <c r="F57" s="39">
        <f>-'[36]Budget 2022'!BH17</f>
        <v>2566978.7399999998</v>
      </c>
      <c r="G57" s="39">
        <f>-'[36]Budget 2022'!BI17</f>
        <v>2566978.7399999998</v>
      </c>
      <c r="H57" s="39">
        <f>-'[36]Budget 2022'!BJ17</f>
        <v>2566978.7399999998</v>
      </c>
      <c r="I57" s="39">
        <f t="shared" si="9"/>
        <v>7700936.2199999988</v>
      </c>
      <c r="J57" s="39">
        <f>-'[36]Budget 2022'!BL17</f>
        <v>2566978.7399999998</v>
      </c>
      <c r="K57" s="39">
        <f>-'[36]Budget 2022'!BM17</f>
        <v>2566978.7399999998</v>
      </c>
      <c r="L57" s="39">
        <f>-'[36]Budget 2022'!BN17</f>
        <v>761291.2</v>
      </c>
      <c r="M57" s="39">
        <f t="shared" si="10"/>
        <v>5895248.6799999997</v>
      </c>
      <c r="N57" s="39">
        <f>-'[36]Budget 2022'!BP17</f>
        <v>761291.2</v>
      </c>
      <c r="O57" s="39">
        <f>-'[36]Budget 2022'!BQ17</f>
        <v>761291.2</v>
      </c>
      <c r="P57" s="39">
        <f>-'[36]Budget 2022'!BR17</f>
        <v>761291.2</v>
      </c>
      <c r="Q57" s="39">
        <f t="shared" si="11"/>
        <v>2283873.5999999996</v>
      </c>
      <c r="R57" s="39">
        <f>SUM(E57,I57,M57,Q57)</f>
        <v>22819703.519999996</v>
      </c>
    </row>
    <row r="58" spans="1:19" ht="18" hidden="1" outlineLevel="1">
      <c r="A58" s="36" t="s">
        <v>200</v>
      </c>
      <c r="B58" s="41">
        <f>SUM(B59:B66)</f>
        <v>2033658.3800000001</v>
      </c>
      <c r="C58" s="41">
        <f t="shared" ref="C58:D58" si="27">SUM(C59:C66)</f>
        <v>2033658.3800000001</v>
      </c>
      <c r="D58" s="41">
        <f t="shared" si="27"/>
        <v>2033658.3800000001</v>
      </c>
      <c r="E58" s="41">
        <f t="shared" si="8"/>
        <v>6100975.1400000006</v>
      </c>
      <c r="F58" s="41">
        <f>SUM(F59:F66)</f>
        <v>1991787.36</v>
      </c>
      <c r="G58" s="41">
        <f t="shared" ref="G58:H58" si="28">SUM(G59:G66)</f>
        <v>1991787.36</v>
      </c>
      <c r="H58" s="41">
        <f t="shared" si="28"/>
        <v>1991787.36</v>
      </c>
      <c r="I58" s="41">
        <f t="shared" si="9"/>
        <v>5975362.0800000001</v>
      </c>
      <c r="J58" s="41">
        <f>SUM(J59:J66)</f>
        <v>1804498.31</v>
      </c>
      <c r="K58" s="41">
        <f t="shared" ref="K58:L58" si="29">SUM(K59:K66)</f>
        <v>1804498.31</v>
      </c>
      <c r="L58" s="41">
        <f t="shared" si="29"/>
        <v>1804498.31</v>
      </c>
      <c r="M58" s="41">
        <f t="shared" si="10"/>
        <v>5413494.9299999997</v>
      </c>
      <c r="N58" s="41">
        <f>SUM(N59:N66)</f>
        <v>1808685.4100000001</v>
      </c>
      <c r="O58" s="41">
        <f t="shared" ref="O58:P58" si="30">SUM(O59:O66)</f>
        <v>1808685.4100000001</v>
      </c>
      <c r="P58" s="41">
        <f t="shared" si="30"/>
        <v>1808685.4100000001</v>
      </c>
      <c r="Q58" s="41">
        <f t="shared" si="11"/>
        <v>5426056.2300000004</v>
      </c>
      <c r="R58" s="42">
        <f>SUM(R59:R66)</f>
        <v>22915888.379999999</v>
      </c>
    </row>
    <row r="59" spans="1:19" ht="18" hidden="1" outlineLevel="1">
      <c r="A59" s="38" t="s">
        <v>201</v>
      </c>
      <c r="B59" s="39">
        <f>-'[36]Budget 2022'!BD24</f>
        <v>410119.47</v>
      </c>
      <c r="C59" s="39">
        <f>-'[36]Budget 2022'!BE24</f>
        <v>410119.47</v>
      </c>
      <c r="D59" s="39">
        <f>-'[36]Budget 2022'!BF24</f>
        <v>410119.47</v>
      </c>
      <c r="E59" s="39">
        <f t="shared" si="8"/>
        <v>1230358.4099999999</v>
      </c>
      <c r="F59" s="39">
        <f>-'[36]Budget 2022'!BH24</f>
        <v>368248.44999999995</v>
      </c>
      <c r="G59" s="39">
        <f>-'[36]Budget 2022'!BI24</f>
        <v>368248.44999999995</v>
      </c>
      <c r="H59" s="39">
        <f>-'[36]Budget 2022'!BJ24</f>
        <v>368248.44999999995</v>
      </c>
      <c r="I59" s="39">
        <f t="shared" si="9"/>
        <v>1104745.3499999999</v>
      </c>
      <c r="J59" s="39">
        <f>-'[36]Budget 2022'!BL24</f>
        <v>180959.4</v>
      </c>
      <c r="K59" s="39">
        <f>-'[36]Budget 2022'!BM24</f>
        <v>180959.4</v>
      </c>
      <c r="L59" s="39">
        <f>-'[36]Budget 2022'!BN24</f>
        <v>180959.4</v>
      </c>
      <c r="M59" s="39">
        <f t="shared" si="10"/>
        <v>542878.19999999995</v>
      </c>
      <c r="N59" s="39">
        <f>-'[36]Budget 2022'!BP24</f>
        <v>94209.78</v>
      </c>
      <c r="O59" s="39">
        <f>-'[36]Budget 2022'!BQ24</f>
        <v>94209.78</v>
      </c>
      <c r="P59" s="39">
        <f>-'[36]Budget 2022'!BR24</f>
        <v>94209.78</v>
      </c>
      <c r="Q59" s="39">
        <f t="shared" si="11"/>
        <v>282629.33999999997</v>
      </c>
      <c r="R59" s="39">
        <f>SUM(E59,I59,M59,Q59)</f>
        <v>3160611.3</v>
      </c>
    </row>
    <row r="60" spans="1:19" ht="18" hidden="1" outlineLevel="1">
      <c r="A60" s="38" t="s">
        <v>202</v>
      </c>
      <c r="B60" s="39">
        <f>-'[36]Budget 2022'!BD30</f>
        <v>751226.09</v>
      </c>
      <c r="C60" s="39">
        <f>-'[36]Budget 2022'!BE30</f>
        <v>751226.09</v>
      </c>
      <c r="D60" s="39">
        <f>-'[36]Budget 2022'!BF30</f>
        <v>751226.09</v>
      </c>
      <c r="E60" s="39">
        <f t="shared" si="8"/>
        <v>2253678.27</v>
      </c>
      <c r="F60" s="39">
        <f>-'[36]Budget 2022'!BH30</f>
        <v>751226.09</v>
      </c>
      <c r="G60" s="39">
        <f>-'[36]Budget 2022'!BI30</f>
        <v>751226.09</v>
      </c>
      <c r="H60" s="39">
        <f>-'[36]Budget 2022'!BJ30</f>
        <v>751226.09</v>
      </c>
      <c r="I60" s="39">
        <f t="shared" si="9"/>
        <v>2253678.27</v>
      </c>
      <c r="J60" s="39">
        <f>-'[36]Budget 2022'!BL30</f>
        <v>751226.09</v>
      </c>
      <c r="K60" s="39">
        <f>-'[36]Budget 2022'!BM30</f>
        <v>751226.09</v>
      </c>
      <c r="L60" s="39">
        <f>-'[36]Budget 2022'!BN30</f>
        <v>751226.09</v>
      </c>
      <c r="M60" s="39">
        <f t="shared" si="10"/>
        <v>2253678.27</v>
      </c>
      <c r="N60" s="39">
        <f>-'[36]Budget 2022'!BP30</f>
        <v>842162.81</v>
      </c>
      <c r="O60" s="39">
        <f>-'[36]Budget 2022'!BQ30</f>
        <v>842162.81</v>
      </c>
      <c r="P60" s="39">
        <f>-'[36]Budget 2022'!BR30</f>
        <v>842162.81</v>
      </c>
      <c r="Q60" s="39">
        <f t="shared" si="11"/>
        <v>2526488.4300000002</v>
      </c>
      <c r="R60" s="39">
        <f t="shared" ref="R60:R66" si="31">SUM(E60,I60,M60,Q60)</f>
        <v>9287523.2400000002</v>
      </c>
    </row>
    <row r="61" spans="1:19" ht="18" hidden="1" outlineLevel="1">
      <c r="A61" s="38" t="s">
        <v>203</v>
      </c>
      <c r="B61" s="39">
        <f>-'[36]Budget 2022'!BD37</f>
        <v>0</v>
      </c>
      <c r="C61" s="39">
        <f>-'[36]Budget 2022'!BE37</f>
        <v>0</v>
      </c>
      <c r="D61" s="39">
        <f>-'[36]Budget 2022'!BF37</f>
        <v>0</v>
      </c>
      <c r="E61" s="39">
        <f t="shared" si="8"/>
        <v>0</v>
      </c>
      <c r="F61" s="39">
        <f>-'[36]Budget 2022'!BH37</f>
        <v>0</v>
      </c>
      <c r="G61" s="39">
        <f>-'[36]Budget 2022'!BI37</f>
        <v>0</v>
      </c>
      <c r="H61" s="39">
        <f>-'[36]Budget 2022'!BJ37</f>
        <v>0</v>
      </c>
      <c r="I61" s="39">
        <f t="shared" si="9"/>
        <v>0</v>
      </c>
      <c r="J61" s="39">
        <f>-'[36]Budget 2022'!BL37</f>
        <v>0</v>
      </c>
      <c r="K61" s="39">
        <f>-'[36]Budget 2022'!BM37</f>
        <v>0</v>
      </c>
      <c r="L61" s="39">
        <f>-'[36]Budget 2022'!BN37</f>
        <v>0</v>
      </c>
      <c r="M61" s="39">
        <f t="shared" si="10"/>
        <v>0</v>
      </c>
      <c r="N61" s="39">
        <f>-'[36]Budget 2022'!BP37</f>
        <v>0</v>
      </c>
      <c r="O61" s="39">
        <f>-'[36]Budget 2022'!BQ37</f>
        <v>0</v>
      </c>
      <c r="P61" s="39">
        <f>-'[36]Budget 2022'!BR37</f>
        <v>0</v>
      </c>
      <c r="Q61" s="39">
        <f t="shared" si="11"/>
        <v>0</v>
      </c>
      <c r="R61" s="39">
        <f t="shared" si="31"/>
        <v>0</v>
      </c>
    </row>
    <row r="62" spans="1:19" ht="18" hidden="1" outlineLevel="1">
      <c r="A62" s="38" t="s">
        <v>204</v>
      </c>
      <c r="B62" s="39">
        <f>-'[36]Budget 2022'!BD48</f>
        <v>87231.28</v>
      </c>
      <c r="C62" s="39">
        <f>-'[36]Budget 2022'!BE48</f>
        <v>87231.28</v>
      </c>
      <c r="D62" s="39">
        <f>-'[36]Budget 2022'!BF48</f>
        <v>87231.28</v>
      </c>
      <c r="E62" s="39">
        <f t="shared" si="8"/>
        <v>261693.84</v>
      </c>
      <c r="F62" s="39">
        <f>-'[36]Budget 2022'!BH48</f>
        <v>87231.28</v>
      </c>
      <c r="G62" s="39">
        <f>-'[36]Budget 2022'!BI48</f>
        <v>87231.28</v>
      </c>
      <c r="H62" s="39">
        <f>-'[36]Budget 2022'!BJ48</f>
        <v>87231.28</v>
      </c>
      <c r="I62" s="39">
        <f t="shared" si="9"/>
        <v>261693.84</v>
      </c>
      <c r="J62" s="39">
        <f>-'[36]Budget 2022'!BL48</f>
        <v>87231.28</v>
      </c>
      <c r="K62" s="39">
        <f>-'[36]Budget 2022'!BM48</f>
        <v>87231.28</v>
      </c>
      <c r="L62" s="39">
        <f>-'[36]Budget 2022'!BN48</f>
        <v>87231.28</v>
      </c>
      <c r="M62" s="39">
        <f t="shared" si="10"/>
        <v>261693.84</v>
      </c>
      <c r="N62" s="39">
        <f>-'[36]Budget 2022'!BP48</f>
        <v>87231.28</v>
      </c>
      <c r="O62" s="39">
        <f>-'[36]Budget 2022'!BQ48</f>
        <v>87231.28</v>
      </c>
      <c r="P62" s="39">
        <f>-'[36]Budget 2022'!BR48</f>
        <v>87231.28</v>
      </c>
      <c r="Q62" s="39">
        <f t="shared" si="11"/>
        <v>261693.84</v>
      </c>
      <c r="R62" s="39">
        <f t="shared" si="31"/>
        <v>1046775.36</v>
      </c>
    </row>
    <row r="63" spans="1:19" ht="18" hidden="1" outlineLevel="1">
      <c r="A63" s="38" t="s">
        <v>205</v>
      </c>
      <c r="B63" s="39">
        <f>-'[36]Budget 2022'!BD50</f>
        <v>0</v>
      </c>
      <c r="C63" s="39">
        <f>-'[36]Budget 2022'!BE50</f>
        <v>0</v>
      </c>
      <c r="D63" s="39">
        <f>-'[36]Budget 2022'!BF50</f>
        <v>0</v>
      </c>
      <c r="E63" s="39">
        <f t="shared" si="8"/>
        <v>0</v>
      </c>
      <c r="F63" s="39">
        <f>-'[36]Budget 2022'!BH50</f>
        <v>0</v>
      </c>
      <c r="G63" s="39">
        <f>-'[36]Budget 2022'!BI50</f>
        <v>0</v>
      </c>
      <c r="H63" s="39">
        <f>-'[36]Budget 2022'!BJ50</f>
        <v>0</v>
      </c>
      <c r="I63" s="39">
        <f t="shared" si="9"/>
        <v>0</v>
      </c>
      <c r="J63" s="39">
        <f>-'[36]Budget 2022'!BL50</f>
        <v>0</v>
      </c>
      <c r="K63" s="39">
        <f>-'[36]Budget 2022'!BM50</f>
        <v>0</v>
      </c>
      <c r="L63" s="39">
        <f>-'[36]Budget 2022'!BN50</f>
        <v>0</v>
      </c>
      <c r="M63" s="39">
        <f t="shared" si="10"/>
        <v>0</v>
      </c>
      <c r="N63" s="39">
        <f>-'[36]Budget 2022'!BP50</f>
        <v>0</v>
      </c>
      <c r="O63" s="39">
        <f>-'[36]Budget 2022'!BQ50</f>
        <v>0</v>
      </c>
      <c r="P63" s="39">
        <f>-'[36]Budget 2022'!BR50</f>
        <v>0</v>
      </c>
      <c r="Q63" s="39">
        <f t="shared" si="11"/>
        <v>0</v>
      </c>
      <c r="R63" s="39">
        <f t="shared" si="31"/>
        <v>0</v>
      </c>
    </row>
    <row r="64" spans="1:19" ht="18" hidden="1" outlineLevel="1">
      <c r="A64" s="38" t="s">
        <v>206</v>
      </c>
      <c r="B64" s="39">
        <f>-'[36]Budget 2022'!BD61</f>
        <v>87231.28</v>
      </c>
      <c r="C64" s="39">
        <f>-'[36]Budget 2022'!BE61</f>
        <v>87231.28</v>
      </c>
      <c r="D64" s="39">
        <f>-'[36]Budget 2022'!BF61</f>
        <v>87231.28</v>
      </c>
      <c r="E64" s="39">
        <f t="shared" si="8"/>
        <v>261693.84</v>
      </c>
      <c r="F64" s="39">
        <f>-'[36]Budget 2022'!BH61</f>
        <v>87231.28</v>
      </c>
      <c r="G64" s="39">
        <f>-'[36]Budget 2022'!BI61</f>
        <v>87231.28</v>
      </c>
      <c r="H64" s="39">
        <f>-'[36]Budget 2022'!BJ61</f>
        <v>87231.28</v>
      </c>
      <c r="I64" s="39">
        <f t="shared" si="9"/>
        <v>261693.84</v>
      </c>
      <c r="J64" s="39">
        <f>-'[36]Budget 2022'!BL61</f>
        <v>87231.28</v>
      </c>
      <c r="K64" s="39">
        <f>-'[36]Budget 2022'!BM61</f>
        <v>87231.28</v>
      </c>
      <c r="L64" s="39">
        <f>-'[36]Budget 2022'!BN61</f>
        <v>87231.28</v>
      </c>
      <c r="M64" s="39">
        <f t="shared" si="10"/>
        <v>261693.84</v>
      </c>
      <c r="N64" s="39">
        <f>-'[36]Budget 2022'!BP61</f>
        <v>87231.28</v>
      </c>
      <c r="O64" s="39">
        <f>-'[36]Budget 2022'!BQ61</f>
        <v>87231.28</v>
      </c>
      <c r="P64" s="39">
        <f>-'[36]Budget 2022'!BR61</f>
        <v>87231.28</v>
      </c>
      <c r="Q64" s="39">
        <f t="shared" si="11"/>
        <v>261693.84</v>
      </c>
      <c r="R64" s="39">
        <f t="shared" si="31"/>
        <v>1046775.36</v>
      </c>
    </row>
    <row r="65" spans="1:19" ht="18" hidden="1" outlineLevel="1">
      <c r="A65" s="38" t="s">
        <v>207</v>
      </c>
      <c r="B65" s="39">
        <f>-'[36]Budget 2022'!BD63</f>
        <v>0</v>
      </c>
      <c r="C65" s="39">
        <f>-'[36]Budget 2022'!BE63</f>
        <v>0</v>
      </c>
      <c r="D65" s="39">
        <f>-'[36]Budget 2022'!BF63</f>
        <v>0</v>
      </c>
      <c r="E65" s="39">
        <f t="shared" si="8"/>
        <v>0</v>
      </c>
      <c r="F65" s="39">
        <f>-'[36]Budget 2022'!BH63</f>
        <v>0</v>
      </c>
      <c r="G65" s="39">
        <f>-'[36]Budget 2022'!BI63</f>
        <v>0</v>
      </c>
      <c r="H65" s="39">
        <f>-'[36]Budget 2022'!BJ63</f>
        <v>0</v>
      </c>
      <c r="I65" s="39">
        <f t="shared" si="9"/>
        <v>0</v>
      </c>
      <c r="J65" s="39">
        <f>-'[36]Budget 2022'!BL63</f>
        <v>0</v>
      </c>
      <c r="K65" s="39">
        <f>-'[36]Budget 2022'!BM63</f>
        <v>0</v>
      </c>
      <c r="L65" s="39">
        <f>-'[36]Budget 2022'!BN63</f>
        <v>0</v>
      </c>
      <c r="M65" s="39">
        <f t="shared" si="10"/>
        <v>0</v>
      </c>
      <c r="N65" s="39">
        <f>-'[36]Budget 2022'!BP63</f>
        <v>0</v>
      </c>
      <c r="O65" s="39">
        <f>-'[36]Budget 2022'!BQ63</f>
        <v>0</v>
      </c>
      <c r="P65" s="39">
        <f>-'[36]Budget 2022'!BR63</f>
        <v>0</v>
      </c>
      <c r="Q65" s="39">
        <f t="shared" si="11"/>
        <v>0</v>
      </c>
      <c r="R65" s="39">
        <f t="shared" si="31"/>
        <v>0</v>
      </c>
    </row>
    <row r="66" spans="1:19" ht="18" hidden="1" outlineLevel="1">
      <c r="A66" s="38" t="s">
        <v>208</v>
      </c>
      <c r="B66" s="39">
        <f>-'[36]Budget 2022'!BD74</f>
        <v>697850.26</v>
      </c>
      <c r="C66" s="39">
        <f>-'[36]Budget 2022'!BE74</f>
        <v>697850.26</v>
      </c>
      <c r="D66" s="39">
        <f>-'[36]Budget 2022'!BF74</f>
        <v>697850.26</v>
      </c>
      <c r="E66" s="39">
        <f t="shared" si="8"/>
        <v>2093550.78</v>
      </c>
      <c r="F66" s="39">
        <f>-'[36]Budget 2022'!BH74</f>
        <v>697850.26</v>
      </c>
      <c r="G66" s="39">
        <f>-'[36]Budget 2022'!BI74</f>
        <v>697850.26</v>
      </c>
      <c r="H66" s="39">
        <f>-'[36]Budget 2022'!BJ74</f>
        <v>697850.26</v>
      </c>
      <c r="I66" s="39">
        <f t="shared" si="9"/>
        <v>2093550.78</v>
      </c>
      <c r="J66" s="39">
        <f>-'[36]Budget 2022'!BL74</f>
        <v>697850.26</v>
      </c>
      <c r="K66" s="39">
        <f>-'[36]Budget 2022'!BM74</f>
        <v>697850.26</v>
      </c>
      <c r="L66" s="39">
        <f>-'[36]Budget 2022'!BN74</f>
        <v>697850.26</v>
      </c>
      <c r="M66" s="39">
        <f t="shared" si="10"/>
        <v>2093550.78</v>
      </c>
      <c r="N66" s="39">
        <f>-'[36]Budget 2022'!BP74</f>
        <v>697850.26</v>
      </c>
      <c r="O66" s="39">
        <f>-'[36]Budget 2022'!BQ74</f>
        <v>697850.26</v>
      </c>
      <c r="P66" s="39">
        <f>-'[36]Budget 2022'!BR74</f>
        <v>697850.26</v>
      </c>
      <c r="Q66" s="39">
        <f t="shared" si="11"/>
        <v>2093550.78</v>
      </c>
      <c r="R66" s="39">
        <f t="shared" si="31"/>
        <v>8374203.1200000001</v>
      </c>
    </row>
    <row r="67" spans="1:19" s="35" customFormat="1" ht="31.2" hidden="1" outlineLevel="1">
      <c r="A67" s="31" t="s">
        <v>214</v>
      </c>
      <c r="B67" s="32">
        <f>B68+B71</f>
        <v>0</v>
      </c>
      <c r="C67" s="32">
        <f>C68+C71</f>
        <v>0</v>
      </c>
      <c r="D67" s="32">
        <f>D68+D71</f>
        <v>0</v>
      </c>
      <c r="E67" s="32">
        <f>SUM(B67:D67)</f>
        <v>0</v>
      </c>
      <c r="F67" s="32">
        <f>F68+F71</f>
        <v>0</v>
      </c>
      <c r="G67" s="32">
        <f>G68+G71</f>
        <v>0</v>
      </c>
      <c r="H67" s="32">
        <f>H68+H71</f>
        <v>0</v>
      </c>
      <c r="I67" s="32">
        <f>SUM(F67:H67)</f>
        <v>0</v>
      </c>
      <c r="J67" s="32">
        <f>J68+J71</f>
        <v>0</v>
      </c>
      <c r="K67" s="32">
        <f>K68+K71</f>
        <v>0</v>
      </c>
      <c r="L67" s="32">
        <f>L68+L71</f>
        <v>0</v>
      </c>
      <c r="M67" s="32">
        <f>SUM(J67:L67)</f>
        <v>0</v>
      </c>
      <c r="N67" s="32">
        <f>N68+N71</f>
        <v>0</v>
      </c>
      <c r="O67" s="32">
        <f>O68+O71</f>
        <v>0</v>
      </c>
      <c r="P67" s="32">
        <f>P68+P71</f>
        <v>0</v>
      </c>
      <c r="Q67" s="32">
        <f>SUM(N67:P67)</f>
        <v>0</v>
      </c>
      <c r="R67" s="33">
        <f>R68+R71</f>
        <v>0</v>
      </c>
      <c r="S67" s="34"/>
    </row>
    <row r="68" spans="1:19" ht="18" hidden="1" outlineLevel="1">
      <c r="A68" s="43" t="s">
        <v>197</v>
      </c>
      <c r="B68" s="42">
        <f>SUM(B69:B70)</f>
        <v>0</v>
      </c>
      <c r="C68" s="42">
        <f>SUM(C69:C70)</f>
        <v>0</v>
      </c>
      <c r="D68" s="42">
        <f>SUM(D69:D70)</f>
        <v>0</v>
      </c>
      <c r="E68" s="42">
        <f t="shared" ref="E68:E80" si="32">SUM(B68:D68)</f>
        <v>0</v>
      </c>
      <c r="F68" s="42">
        <f>SUM(F69:F70)</f>
        <v>0</v>
      </c>
      <c r="G68" s="42">
        <f>SUM(G69:G70)</f>
        <v>0</v>
      </c>
      <c r="H68" s="42">
        <f>SUM(H69:H70)</f>
        <v>0</v>
      </c>
      <c r="I68" s="42">
        <f t="shared" ref="I68:I80" si="33">SUM(F68:H68)</f>
        <v>0</v>
      </c>
      <c r="J68" s="42">
        <f>SUM(J69:J70)</f>
        <v>0</v>
      </c>
      <c r="K68" s="42">
        <f>SUM(K69:K70)</f>
        <v>0</v>
      </c>
      <c r="L68" s="42">
        <f>SUM(L69:L70)</f>
        <v>0</v>
      </c>
      <c r="M68" s="42">
        <f t="shared" ref="M68:M80" si="34">SUM(J68:L68)</f>
        <v>0</v>
      </c>
      <c r="N68" s="42">
        <f>SUM(N69:N70)</f>
        <v>0</v>
      </c>
      <c r="O68" s="42">
        <f>SUM(O69:O70)</f>
        <v>0</v>
      </c>
      <c r="P68" s="42">
        <f>SUM(P69:P70)</f>
        <v>0</v>
      </c>
      <c r="Q68" s="42">
        <f t="shared" ref="Q68:Q80" si="35">SUM(N68:P68)</f>
        <v>0</v>
      </c>
      <c r="R68" s="42">
        <f>SUM(R69:R70)</f>
        <v>0</v>
      </c>
    </row>
    <row r="69" spans="1:19" ht="18" hidden="1" outlineLevel="1">
      <c r="A69" s="38" t="s">
        <v>198</v>
      </c>
      <c r="B69" s="39">
        <f>-'[36]Budget 2022'!BU7</f>
        <v>0</v>
      </c>
      <c r="C69" s="39">
        <f>-'[36]Budget 2022'!BV7</f>
        <v>0</v>
      </c>
      <c r="D69" s="39">
        <f>-'[36]Budget 2022'!BW7</f>
        <v>0</v>
      </c>
      <c r="E69" s="39">
        <f t="shared" si="32"/>
        <v>0</v>
      </c>
      <c r="F69" s="39">
        <f>-'[36]Budget 2022'!BY7</f>
        <v>0</v>
      </c>
      <c r="G69" s="39">
        <f>-'[36]Budget 2022'!BZ7</f>
        <v>0</v>
      </c>
      <c r="H69" s="39">
        <f>-'[36]Budget 2022'!CA7</f>
        <v>0</v>
      </c>
      <c r="I69" s="39">
        <f t="shared" si="33"/>
        <v>0</v>
      </c>
      <c r="J69" s="39">
        <f>-'[36]Budget 2022'!CC7</f>
        <v>0</v>
      </c>
      <c r="K69" s="39">
        <f>-'[36]Budget 2022'!CD7</f>
        <v>0</v>
      </c>
      <c r="L69" s="39">
        <f>-'[36]Budget 2022'!CE7</f>
        <v>0</v>
      </c>
      <c r="M69" s="39">
        <f t="shared" si="34"/>
        <v>0</v>
      </c>
      <c r="N69" s="39">
        <f>-'[36]Budget 2022'!CG7</f>
        <v>0</v>
      </c>
      <c r="O69" s="39">
        <f>-'[36]Budget 2022'!CH7</f>
        <v>0</v>
      </c>
      <c r="P69" s="39">
        <f>-'[36]Budget 2022'!CI7</f>
        <v>0</v>
      </c>
      <c r="Q69" s="39">
        <f t="shared" si="35"/>
        <v>0</v>
      </c>
      <c r="R69" s="39">
        <f>SUM(E69,I69,M69,Q69)</f>
        <v>0</v>
      </c>
    </row>
    <row r="70" spans="1:19" ht="18" hidden="1" outlineLevel="1">
      <c r="A70" s="38" t="s">
        <v>199</v>
      </c>
      <c r="B70" s="39">
        <f>-'[36]Budget 2022'!BU17</f>
        <v>0</v>
      </c>
      <c r="C70" s="39">
        <f>-'[36]Budget 2022'!BV17</f>
        <v>0</v>
      </c>
      <c r="D70" s="39">
        <f>-'[36]Budget 2022'!BW17</f>
        <v>0</v>
      </c>
      <c r="E70" s="39">
        <f t="shared" si="32"/>
        <v>0</v>
      </c>
      <c r="F70" s="39">
        <f>-'[36]Budget 2022'!BY17</f>
        <v>0</v>
      </c>
      <c r="G70" s="39">
        <f>-'[36]Budget 2022'!BZ17</f>
        <v>0</v>
      </c>
      <c r="H70" s="39">
        <f>-'[36]Budget 2022'!CA17</f>
        <v>0</v>
      </c>
      <c r="I70" s="39">
        <f t="shared" si="33"/>
        <v>0</v>
      </c>
      <c r="J70" s="39">
        <f>-'[36]Budget 2022'!CC17</f>
        <v>0</v>
      </c>
      <c r="K70" s="39">
        <f>-'[36]Budget 2022'!CD17</f>
        <v>0</v>
      </c>
      <c r="L70" s="39">
        <f>-'[36]Budget 2022'!CE17</f>
        <v>0</v>
      </c>
      <c r="M70" s="39">
        <f t="shared" si="34"/>
        <v>0</v>
      </c>
      <c r="N70" s="39">
        <f>-'[36]Budget 2022'!CG17</f>
        <v>0</v>
      </c>
      <c r="O70" s="39">
        <f>-'[36]Budget 2022'!CH17</f>
        <v>0</v>
      </c>
      <c r="P70" s="39">
        <f>-'[36]Budget 2022'!CI17</f>
        <v>0</v>
      </c>
      <c r="Q70" s="39">
        <f t="shared" si="35"/>
        <v>0</v>
      </c>
      <c r="R70" s="39">
        <f>SUM(E70,I70,M70,Q70)</f>
        <v>0</v>
      </c>
    </row>
    <row r="71" spans="1:19" ht="18" hidden="1" outlineLevel="1">
      <c r="A71" s="36" t="s">
        <v>200</v>
      </c>
      <c r="B71" s="41">
        <f>SUM(B72:B79)</f>
        <v>0</v>
      </c>
      <c r="C71" s="41">
        <f t="shared" ref="C71:D71" si="36">SUM(C72:C79)</f>
        <v>0</v>
      </c>
      <c r="D71" s="41">
        <f t="shared" si="36"/>
        <v>0</v>
      </c>
      <c r="E71" s="41">
        <f t="shared" si="32"/>
        <v>0</v>
      </c>
      <c r="F71" s="41">
        <f>SUM(F72:F79)</f>
        <v>0</v>
      </c>
      <c r="G71" s="41">
        <f t="shared" ref="G71:H71" si="37">SUM(G72:G79)</f>
        <v>0</v>
      </c>
      <c r="H71" s="41">
        <f t="shared" si="37"/>
        <v>0</v>
      </c>
      <c r="I71" s="41">
        <f t="shared" si="33"/>
        <v>0</v>
      </c>
      <c r="J71" s="41">
        <f>SUM(J72:J79)</f>
        <v>0</v>
      </c>
      <c r="K71" s="41">
        <f t="shared" ref="K71:L71" si="38">SUM(K72:K79)</f>
        <v>0</v>
      </c>
      <c r="L71" s="41">
        <f t="shared" si="38"/>
        <v>0</v>
      </c>
      <c r="M71" s="41">
        <f t="shared" si="34"/>
        <v>0</v>
      </c>
      <c r="N71" s="41">
        <f>SUM(N72:N79)</f>
        <v>0</v>
      </c>
      <c r="O71" s="41">
        <f t="shared" ref="O71:P71" si="39">SUM(O72:O79)</f>
        <v>0</v>
      </c>
      <c r="P71" s="41">
        <f t="shared" si="39"/>
        <v>0</v>
      </c>
      <c r="Q71" s="41">
        <f t="shared" si="35"/>
        <v>0</v>
      </c>
      <c r="R71" s="42">
        <f>SUM(R72:R79)</f>
        <v>0</v>
      </c>
    </row>
    <row r="72" spans="1:19" ht="18" hidden="1" outlineLevel="1">
      <c r="A72" s="38" t="s">
        <v>201</v>
      </c>
      <c r="B72" s="39">
        <f>-'[36]Budget 2022'!BU24</f>
        <v>0</v>
      </c>
      <c r="C72" s="39">
        <f>-'[36]Budget 2022'!BV24</f>
        <v>0</v>
      </c>
      <c r="D72" s="39">
        <f>-'[36]Budget 2022'!BW24</f>
        <v>0</v>
      </c>
      <c r="E72" s="39">
        <f t="shared" si="32"/>
        <v>0</v>
      </c>
      <c r="F72" s="39">
        <f>-'[36]Budget 2022'!BY24</f>
        <v>0</v>
      </c>
      <c r="G72" s="39">
        <f>-'[36]Budget 2022'!BZ24</f>
        <v>0</v>
      </c>
      <c r="H72" s="39">
        <f>-'[36]Budget 2022'!CA24</f>
        <v>0</v>
      </c>
      <c r="I72" s="39">
        <f t="shared" si="33"/>
        <v>0</v>
      </c>
      <c r="J72" s="39">
        <f>-'[36]Budget 2022'!CC24</f>
        <v>0</v>
      </c>
      <c r="K72" s="39">
        <f>-'[36]Budget 2022'!CD24</f>
        <v>0</v>
      </c>
      <c r="L72" s="39">
        <f>-'[36]Budget 2022'!CE24</f>
        <v>0</v>
      </c>
      <c r="M72" s="39">
        <f t="shared" si="34"/>
        <v>0</v>
      </c>
      <c r="N72" s="39">
        <f>-'[36]Budget 2022'!CG24</f>
        <v>0</v>
      </c>
      <c r="O72" s="39">
        <f>-'[36]Budget 2022'!CH24</f>
        <v>0</v>
      </c>
      <c r="P72" s="39">
        <f>-'[36]Budget 2022'!CI24</f>
        <v>0</v>
      </c>
      <c r="Q72" s="39">
        <f t="shared" si="35"/>
        <v>0</v>
      </c>
      <c r="R72" s="39">
        <f>SUM(E72,I72,M72,Q72)</f>
        <v>0</v>
      </c>
    </row>
    <row r="73" spans="1:19" ht="18" hidden="1" outlineLevel="1">
      <c r="A73" s="38" t="s">
        <v>202</v>
      </c>
      <c r="B73" s="39">
        <f>-'[36]Budget 2022'!BU30</f>
        <v>0</v>
      </c>
      <c r="C73" s="39">
        <f>-'[36]Budget 2022'!BV30</f>
        <v>0</v>
      </c>
      <c r="D73" s="39">
        <f>-'[36]Budget 2022'!BW30</f>
        <v>0</v>
      </c>
      <c r="E73" s="39">
        <f t="shared" si="32"/>
        <v>0</v>
      </c>
      <c r="F73" s="39">
        <f>-'[36]Budget 2022'!BY30</f>
        <v>0</v>
      </c>
      <c r="G73" s="39">
        <f>-'[36]Budget 2022'!BZ30</f>
        <v>0</v>
      </c>
      <c r="H73" s="39">
        <f>-'[36]Budget 2022'!CA30</f>
        <v>0</v>
      </c>
      <c r="I73" s="39">
        <f t="shared" si="33"/>
        <v>0</v>
      </c>
      <c r="J73" s="39">
        <f>-'[36]Budget 2022'!CC30</f>
        <v>0</v>
      </c>
      <c r="K73" s="39">
        <f>-'[36]Budget 2022'!CD30</f>
        <v>0</v>
      </c>
      <c r="L73" s="39">
        <f>-'[36]Budget 2022'!CE30</f>
        <v>0</v>
      </c>
      <c r="M73" s="39">
        <f t="shared" si="34"/>
        <v>0</v>
      </c>
      <c r="N73" s="39">
        <f>-'[36]Budget 2022'!CG30</f>
        <v>0</v>
      </c>
      <c r="O73" s="39">
        <f>-'[36]Budget 2022'!CH30</f>
        <v>0</v>
      </c>
      <c r="P73" s="39">
        <f>-'[36]Budget 2022'!CI30</f>
        <v>0</v>
      </c>
      <c r="Q73" s="39">
        <f t="shared" si="35"/>
        <v>0</v>
      </c>
      <c r="R73" s="39">
        <f t="shared" ref="R73:R79" si="40">SUM(E73,I73,M73,Q73)</f>
        <v>0</v>
      </c>
    </row>
    <row r="74" spans="1:19" ht="18" hidden="1" outlineLevel="1">
      <c r="A74" s="38" t="s">
        <v>203</v>
      </c>
      <c r="B74" s="39">
        <f>-'[36]Budget 2022'!BU37</f>
        <v>0</v>
      </c>
      <c r="C74" s="39">
        <f>-'[36]Budget 2022'!BV37</f>
        <v>0</v>
      </c>
      <c r="D74" s="39">
        <f>-'[36]Budget 2022'!BW37</f>
        <v>0</v>
      </c>
      <c r="E74" s="39">
        <f t="shared" si="32"/>
        <v>0</v>
      </c>
      <c r="F74" s="39">
        <f>-'[36]Budget 2022'!BY37</f>
        <v>0</v>
      </c>
      <c r="G74" s="39">
        <f>-'[36]Budget 2022'!BZ37</f>
        <v>0</v>
      </c>
      <c r="H74" s="39">
        <f>-'[36]Budget 2022'!CA37</f>
        <v>0</v>
      </c>
      <c r="I74" s="39">
        <f t="shared" si="33"/>
        <v>0</v>
      </c>
      <c r="J74" s="39">
        <f>-'[36]Budget 2022'!CC37</f>
        <v>0</v>
      </c>
      <c r="K74" s="39">
        <f>-'[36]Budget 2022'!CD37</f>
        <v>0</v>
      </c>
      <c r="L74" s="39">
        <f>-'[36]Budget 2022'!CE37</f>
        <v>0</v>
      </c>
      <c r="M74" s="39">
        <f t="shared" si="34"/>
        <v>0</v>
      </c>
      <c r="N74" s="39">
        <f>-'[36]Budget 2022'!CG37</f>
        <v>0</v>
      </c>
      <c r="O74" s="39">
        <f>-'[36]Budget 2022'!CH37</f>
        <v>0</v>
      </c>
      <c r="P74" s="39">
        <f>-'[36]Budget 2022'!CI37</f>
        <v>0</v>
      </c>
      <c r="Q74" s="39">
        <f t="shared" si="35"/>
        <v>0</v>
      </c>
      <c r="R74" s="39">
        <f t="shared" si="40"/>
        <v>0</v>
      </c>
    </row>
    <row r="75" spans="1:19" ht="18" hidden="1" outlineLevel="1">
      <c r="A75" s="38" t="s">
        <v>204</v>
      </c>
      <c r="B75" s="39">
        <f>-'[36]Budget 2022'!BU48</f>
        <v>0</v>
      </c>
      <c r="C75" s="39">
        <f>-'[36]Budget 2022'!BV48</f>
        <v>0</v>
      </c>
      <c r="D75" s="39">
        <f>-'[36]Budget 2022'!BW48</f>
        <v>0</v>
      </c>
      <c r="E75" s="39">
        <f t="shared" si="32"/>
        <v>0</v>
      </c>
      <c r="F75" s="39">
        <f>-'[36]Budget 2022'!BY48</f>
        <v>0</v>
      </c>
      <c r="G75" s="39">
        <f>-'[36]Budget 2022'!BZ48</f>
        <v>0</v>
      </c>
      <c r="H75" s="39">
        <f>-'[36]Budget 2022'!CA48</f>
        <v>0</v>
      </c>
      <c r="I75" s="39">
        <f t="shared" si="33"/>
        <v>0</v>
      </c>
      <c r="J75" s="39">
        <f>-'[36]Budget 2022'!CC48</f>
        <v>0</v>
      </c>
      <c r="K75" s="39">
        <f>-'[36]Budget 2022'!CD48</f>
        <v>0</v>
      </c>
      <c r="L75" s="39">
        <f>-'[36]Budget 2022'!CE48</f>
        <v>0</v>
      </c>
      <c r="M75" s="39">
        <f t="shared" si="34"/>
        <v>0</v>
      </c>
      <c r="N75" s="39">
        <f>-'[36]Budget 2022'!CG48</f>
        <v>0</v>
      </c>
      <c r="O75" s="39">
        <f>-'[36]Budget 2022'!CH48</f>
        <v>0</v>
      </c>
      <c r="P75" s="39">
        <f>-'[36]Budget 2022'!CI48</f>
        <v>0</v>
      </c>
      <c r="Q75" s="39">
        <f t="shared" si="35"/>
        <v>0</v>
      </c>
      <c r="R75" s="39">
        <f t="shared" si="40"/>
        <v>0</v>
      </c>
    </row>
    <row r="76" spans="1:19" ht="18" hidden="1" outlineLevel="1">
      <c r="A76" s="38" t="s">
        <v>205</v>
      </c>
      <c r="B76" s="39">
        <f>-'[36]Budget 2022'!BU50</f>
        <v>0</v>
      </c>
      <c r="C76" s="39">
        <f>-'[36]Budget 2022'!BV50</f>
        <v>0</v>
      </c>
      <c r="D76" s="39">
        <f>-'[36]Budget 2022'!BW50</f>
        <v>0</v>
      </c>
      <c r="E76" s="39">
        <f t="shared" si="32"/>
        <v>0</v>
      </c>
      <c r="F76" s="39">
        <f>-'[36]Budget 2022'!BY50</f>
        <v>0</v>
      </c>
      <c r="G76" s="39">
        <f>-'[36]Budget 2022'!BZ50</f>
        <v>0</v>
      </c>
      <c r="H76" s="39">
        <f>-'[36]Budget 2022'!CA50</f>
        <v>0</v>
      </c>
      <c r="I76" s="39">
        <f t="shared" si="33"/>
        <v>0</v>
      </c>
      <c r="J76" s="39">
        <f>-'[36]Budget 2022'!CC50</f>
        <v>0</v>
      </c>
      <c r="K76" s="39">
        <f>-'[36]Budget 2022'!CD50</f>
        <v>0</v>
      </c>
      <c r="L76" s="39">
        <f>-'[36]Budget 2022'!CE50</f>
        <v>0</v>
      </c>
      <c r="M76" s="39">
        <f t="shared" si="34"/>
        <v>0</v>
      </c>
      <c r="N76" s="39">
        <f>-'[36]Budget 2022'!CG50</f>
        <v>0</v>
      </c>
      <c r="O76" s="39">
        <f>-'[36]Budget 2022'!CH50</f>
        <v>0</v>
      </c>
      <c r="P76" s="39">
        <f>-'[36]Budget 2022'!CI50</f>
        <v>0</v>
      </c>
      <c r="Q76" s="39">
        <f t="shared" si="35"/>
        <v>0</v>
      </c>
      <c r="R76" s="39">
        <f t="shared" si="40"/>
        <v>0</v>
      </c>
    </row>
    <row r="77" spans="1:19" ht="18" hidden="1" outlineLevel="1">
      <c r="A77" s="38" t="s">
        <v>206</v>
      </c>
      <c r="B77" s="39">
        <f>-'[36]Budget 2022'!BU61</f>
        <v>0</v>
      </c>
      <c r="C77" s="39">
        <f>-'[36]Budget 2022'!BV61</f>
        <v>0</v>
      </c>
      <c r="D77" s="39">
        <f>-'[36]Budget 2022'!BW61</f>
        <v>0</v>
      </c>
      <c r="E77" s="39">
        <f t="shared" si="32"/>
        <v>0</v>
      </c>
      <c r="F77" s="39">
        <f>-'[36]Budget 2022'!BY61</f>
        <v>0</v>
      </c>
      <c r="G77" s="39">
        <f>-'[36]Budget 2022'!BZ61</f>
        <v>0</v>
      </c>
      <c r="H77" s="39">
        <f>-'[36]Budget 2022'!CA61</f>
        <v>0</v>
      </c>
      <c r="I77" s="39">
        <f t="shared" si="33"/>
        <v>0</v>
      </c>
      <c r="J77" s="39">
        <f>-'[36]Budget 2022'!CC61</f>
        <v>0</v>
      </c>
      <c r="K77" s="39">
        <f>-'[36]Budget 2022'!CD61</f>
        <v>0</v>
      </c>
      <c r="L77" s="39">
        <f>-'[36]Budget 2022'!CE61</f>
        <v>0</v>
      </c>
      <c r="M77" s="39">
        <f t="shared" si="34"/>
        <v>0</v>
      </c>
      <c r="N77" s="39">
        <f>-'[36]Budget 2022'!CG61</f>
        <v>0</v>
      </c>
      <c r="O77" s="39">
        <f>-'[36]Budget 2022'!CH61</f>
        <v>0</v>
      </c>
      <c r="P77" s="39">
        <f>-'[36]Budget 2022'!CI61</f>
        <v>0</v>
      </c>
      <c r="Q77" s="39">
        <f t="shared" si="35"/>
        <v>0</v>
      </c>
      <c r="R77" s="39">
        <f t="shared" si="40"/>
        <v>0</v>
      </c>
    </row>
    <row r="78" spans="1:19" ht="18" hidden="1" outlineLevel="1">
      <c r="A78" s="38" t="s">
        <v>207</v>
      </c>
      <c r="B78" s="39">
        <f>-'[36]Budget 2022'!BU63</f>
        <v>0</v>
      </c>
      <c r="C78" s="39">
        <f>-'[36]Budget 2022'!BV63</f>
        <v>0</v>
      </c>
      <c r="D78" s="39">
        <f>-'[36]Budget 2022'!BW63</f>
        <v>0</v>
      </c>
      <c r="E78" s="39">
        <f t="shared" si="32"/>
        <v>0</v>
      </c>
      <c r="F78" s="39">
        <f>-'[36]Budget 2022'!BY63</f>
        <v>0</v>
      </c>
      <c r="G78" s="39">
        <f>-'[36]Budget 2022'!BZ63</f>
        <v>0</v>
      </c>
      <c r="H78" s="39">
        <f>-'[36]Budget 2022'!CA63</f>
        <v>0</v>
      </c>
      <c r="I78" s="39">
        <f t="shared" si="33"/>
        <v>0</v>
      </c>
      <c r="J78" s="39">
        <f>-'[36]Budget 2022'!CC63</f>
        <v>0</v>
      </c>
      <c r="K78" s="39">
        <f>-'[36]Budget 2022'!CD63</f>
        <v>0</v>
      </c>
      <c r="L78" s="39">
        <f>-'[36]Budget 2022'!CE63</f>
        <v>0</v>
      </c>
      <c r="M78" s="39">
        <f t="shared" si="34"/>
        <v>0</v>
      </c>
      <c r="N78" s="39">
        <f>-'[36]Budget 2022'!CG63</f>
        <v>0</v>
      </c>
      <c r="O78" s="39">
        <f>-'[36]Budget 2022'!CH63</f>
        <v>0</v>
      </c>
      <c r="P78" s="39">
        <f>-'[36]Budget 2022'!CI63</f>
        <v>0</v>
      </c>
      <c r="Q78" s="39">
        <f t="shared" si="35"/>
        <v>0</v>
      </c>
      <c r="R78" s="39">
        <f t="shared" si="40"/>
        <v>0</v>
      </c>
    </row>
    <row r="79" spans="1:19" ht="18" hidden="1" outlineLevel="1">
      <c r="A79" s="38" t="s">
        <v>208</v>
      </c>
      <c r="B79" s="39">
        <f>-'[36]Budget 2022'!BU74</f>
        <v>0</v>
      </c>
      <c r="C79" s="39">
        <f>-'[36]Budget 2022'!BV74</f>
        <v>0</v>
      </c>
      <c r="D79" s="39">
        <f>-'[36]Budget 2022'!BW74</f>
        <v>0</v>
      </c>
      <c r="E79" s="39">
        <f t="shared" si="32"/>
        <v>0</v>
      </c>
      <c r="F79" s="39">
        <f>-'[36]Budget 2022'!BY74</f>
        <v>0</v>
      </c>
      <c r="G79" s="39">
        <f>-'[36]Budget 2022'!BZ74</f>
        <v>0</v>
      </c>
      <c r="H79" s="39">
        <f>-'[36]Budget 2022'!CA74</f>
        <v>0</v>
      </c>
      <c r="I79" s="39">
        <f t="shared" si="33"/>
        <v>0</v>
      </c>
      <c r="J79" s="39">
        <f>-'[36]Budget 2022'!CC74</f>
        <v>0</v>
      </c>
      <c r="K79" s="39">
        <f>-'[36]Budget 2022'!CD74</f>
        <v>0</v>
      </c>
      <c r="L79" s="39">
        <f>-'[36]Budget 2022'!CE74</f>
        <v>0</v>
      </c>
      <c r="M79" s="39">
        <f t="shared" si="34"/>
        <v>0</v>
      </c>
      <c r="N79" s="39">
        <f>-'[36]Budget 2022'!CG74</f>
        <v>0</v>
      </c>
      <c r="O79" s="39">
        <f>-'[36]Budget 2022'!CH74</f>
        <v>0</v>
      </c>
      <c r="P79" s="39">
        <f>-'[36]Budget 2022'!CI74</f>
        <v>0</v>
      </c>
      <c r="Q79" s="39">
        <f t="shared" si="35"/>
        <v>0</v>
      </c>
      <c r="R79" s="39">
        <f t="shared" si="40"/>
        <v>0</v>
      </c>
    </row>
    <row r="80" spans="1:19" s="35" customFormat="1" ht="31.2" collapsed="1">
      <c r="A80" s="31" t="s">
        <v>215</v>
      </c>
      <c r="B80" s="32">
        <f>SUM(B81,B84)</f>
        <v>2016666.67</v>
      </c>
      <c r="C80" s="32">
        <f>SUM(C81,C84)</f>
        <v>1678287.47</v>
      </c>
      <c r="D80" s="32">
        <f>SUM(D81,D84)</f>
        <v>1610611.63</v>
      </c>
      <c r="E80" s="32">
        <f t="shared" si="32"/>
        <v>5305565.7699999996</v>
      </c>
      <c r="F80" s="32">
        <f>SUM(F81,F84)</f>
        <v>1610611.63</v>
      </c>
      <c r="G80" s="32">
        <f>SUM(G81,G84)</f>
        <v>1610611.63</v>
      </c>
      <c r="H80" s="32">
        <f>SUM(H81,H84)</f>
        <v>1642935.79</v>
      </c>
      <c r="I80" s="32">
        <f t="shared" si="33"/>
        <v>4864159.05</v>
      </c>
      <c r="J80" s="32">
        <f>SUM(J81,J84)</f>
        <v>976269.12</v>
      </c>
      <c r="K80" s="32">
        <f>SUM(K81,K84)</f>
        <v>976269.12</v>
      </c>
      <c r="L80" s="32">
        <f>SUM(L81,L84)</f>
        <v>976269.12</v>
      </c>
      <c r="M80" s="32">
        <f t="shared" si="34"/>
        <v>2928807.36</v>
      </c>
      <c r="N80" s="32">
        <f>SUM(N81,N84)</f>
        <v>907522.87</v>
      </c>
      <c r="O80" s="32">
        <f>SUM(O81,O84)</f>
        <v>846972.48</v>
      </c>
      <c r="P80" s="32">
        <f>SUM(P81,P84)</f>
        <v>846972.48</v>
      </c>
      <c r="Q80" s="32">
        <f t="shared" si="35"/>
        <v>2601467.83</v>
      </c>
      <c r="R80" s="61">
        <f>SUM(R81,R84)</f>
        <v>15700000.01</v>
      </c>
    </row>
    <row r="81" spans="1:18" ht="18" hidden="1" outlineLevel="1">
      <c r="A81" s="36" t="s">
        <v>197</v>
      </c>
      <c r="B81" s="42">
        <f>SUM(B82:B83)</f>
        <v>2016666.67</v>
      </c>
      <c r="C81" s="42">
        <f>SUM(C82:C83)</f>
        <v>1678287.47</v>
      </c>
      <c r="D81" s="42">
        <f>SUM(D82:D83)</f>
        <v>1610611.63</v>
      </c>
      <c r="E81" s="42">
        <f t="shared" si="8"/>
        <v>5305565.7699999996</v>
      </c>
      <c r="F81" s="42">
        <f>SUM(F82:F83)</f>
        <v>1610611.63</v>
      </c>
      <c r="G81" s="42">
        <f>SUM(G82:G83)</f>
        <v>1610611.63</v>
      </c>
      <c r="H81" s="42">
        <f>SUM(H82:H83)</f>
        <v>1642935.79</v>
      </c>
      <c r="I81" s="42">
        <f t="shared" si="9"/>
        <v>4864159.05</v>
      </c>
      <c r="J81" s="42">
        <f>SUM(J82:J83)</f>
        <v>976269.12</v>
      </c>
      <c r="K81" s="42">
        <f>SUM(K82:K83)</f>
        <v>976269.12</v>
      </c>
      <c r="L81" s="42">
        <f>SUM(L82:L83)</f>
        <v>976269.12</v>
      </c>
      <c r="M81" s="42">
        <f t="shared" si="10"/>
        <v>2928807.36</v>
      </c>
      <c r="N81" s="42">
        <f>SUM(N82:N83)</f>
        <v>907522.87</v>
      </c>
      <c r="O81" s="42">
        <f>SUM(O82:O83)</f>
        <v>846972.48</v>
      </c>
      <c r="P81" s="42">
        <f>SUM(P82:P83)</f>
        <v>846972.48</v>
      </c>
      <c r="Q81" s="42">
        <f t="shared" si="11"/>
        <v>2601467.83</v>
      </c>
      <c r="R81" s="42">
        <f>SUM(R82:R83)</f>
        <v>15700000.01</v>
      </c>
    </row>
    <row r="82" spans="1:18" ht="18" hidden="1" outlineLevel="1">
      <c r="A82" s="38" t="s">
        <v>198</v>
      </c>
      <c r="B82" s="39">
        <f>-'[36]Budget 2022'!DC7</f>
        <v>1266666.67</v>
      </c>
      <c r="C82" s="39">
        <f>-'[36]Budget 2022'!DD7</f>
        <v>928287.47</v>
      </c>
      <c r="D82" s="39">
        <f>-'[36]Budget 2022'!DE7</f>
        <v>860611.63</v>
      </c>
      <c r="E82" s="39">
        <f t="shared" si="8"/>
        <v>3055565.7699999996</v>
      </c>
      <c r="F82" s="39">
        <f>-'[36]Budget 2022'!DG7</f>
        <v>860611.63</v>
      </c>
      <c r="G82" s="39">
        <f>-'[36]Budget 2022'!DH7</f>
        <v>860611.63</v>
      </c>
      <c r="H82" s="39">
        <f>-'[36]Budget 2022'!DI7</f>
        <v>892935.79</v>
      </c>
      <c r="I82" s="39">
        <f t="shared" si="9"/>
        <v>2614159.0499999998</v>
      </c>
      <c r="J82" s="39">
        <f>-'[36]Budget 2022'!DK7</f>
        <v>226269.12</v>
      </c>
      <c r="K82" s="39">
        <f>-'[36]Budget 2022'!DL7</f>
        <v>226269.12</v>
      </c>
      <c r="L82" s="39">
        <f>-'[36]Budget 2022'!DM7</f>
        <v>226269.12</v>
      </c>
      <c r="M82" s="39">
        <f t="shared" si="10"/>
        <v>678807.36</v>
      </c>
      <c r="N82" s="39">
        <f>-'[36]Budget 2022'!DO7</f>
        <v>157522.87</v>
      </c>
      <c r="O82" s="39">
        <f>-'[36]Budget 2022'!DP7</f>
        <v>96972.479999999996</v>
      </c>
      <c r="P82" s="39">
        <f>-'[36]Budget 2022'!DQ7</f>
        <v>96972.479999999996</v>
      </c>
      <c r="Q82" s="39">
        <f t="shared" si="11"/>
        <v>351467.82999999996</v>
      </c>
      <c r="R82" s="39">
        <f t="shared" ref="R82:R92" si="41">SUM(E82,I82,M82,Q82)</f>
        <v>6700000.0099999998</v>
      </c>
    </row>
    <row r="83" spans="1:18" ht="18" hidden="1" outlineLevel="1">
      <c r="A83" s="38" t="s">
        <v>199</v>
      </c>
      <c r="B83" s="39">
        <f>-'[36]Budget 2022'!DC17</f>
        <v>750000</v>
      </c>
      <c r="C83" s="39">
        <f>-'[36]Budget 2022'!DD17</f>
        <v>750000</v>
      </c>
      <c r="D83" s="39">
        <f>-'[36]Budget 2022'!DE17</f>
        <v>750000</v>
      </c>
      <c r="E83" s="39">
        <f>SUM(B83:D83)</f>
        <v>2250000</v>
      </c>
      <c r="F83" s="39">
        <f>-'[36]Budget 2022'!DG17</f>
        <v>750000</v>
      </c>
      <c r="G83" s="39">
        <f>-'[36]Budget 2022'!DH17</f>
        <v>750000</v>
      </c>
      <c r="H83" s="39">
        <f>-'[36]Budget 2022'!DI17</f>
        <v>750000</v>
      </c>
      <c r="I83" s="39">
        <f t="shared" si="9"/>
        <v>2250000</v>
      </c>
      <c r="J83" s="39">
        <f>-'[36]Budget 2022'!DK17</f>
        <v>750000</v>
      </c>
      <c r="K83" s="39">
        <f>-'[36]Budget 2022'!DL17</f>
        <v>750000</v>
      </c>
      <c r="L83" s="39">
        <f>-'[36]Budget 2022'!DM17</f>
        <v>750000</v>
      </c>
      <c r="M83" s="39">
        <f t="shared" si="10"/>
        <v>2250000</v>
      </c>
      <c r="N83" s="39">
        <f>-'[36]Budget 2022'!DO17</f>
        <v>750000</v>
      </c>
      <c r="O83" s="39">
        <f>-'[36]Budget 2022'!DP17</f>
        <v>750000</v>
      </c>
      <c r="P83" s="39">
        <f>-'[36]Budget 2022'!DQ17</f>
        <v>750000</v>
      </c>
      <c r="Q83" s="39">
        <f t="shared" si="11"/>
        <v>2250000</v>
      </c>
      <c r="R83" s="39">
        <f t="shared" si="41"/>
        <v>9000000</v>
      </c>
    </row>
    <row r="84" spans="1:18" ht="18" hidden="1" outlineLevel="1">
      <c r="A84" s="36" t="s">
        <v>200</v>
      </c>
      <c r="B84" s="42">
        <f>SUM(B85:B92)</f>
        <v>0</v>
      </c>
      <c r="C84" s="42">
        <f>SUM(C85:C92)</f>
        <v>0</v>
      </c>
      <c r="D84" s="42">
        <f>SUM(D85:D92)</f>
        <v>0</v>
      </c>
      <c r="E84" s="42">
        <f t="shared" si="8"/>
        <v>0</v>
      </c>
      <c r="F84" s="42">
        <f>SUM(F85:F92)</f>
        <v>0</v>
      </c>
      <c r="G84" s="42">
        <f>SUM(G85:G92)</f>
        <v>0</v>
      </c>
      <c r="H84" s="42">
        <f>SUM(H85:H92)</f>
        <v>0</v>
      </c>
      <c r="I84" s="42">
        <f t="shared" si="9"/>
        <v>0</v>
      </c>
      <c r="J84" s="42">
        <f>SUM(J85:J92)</f>
        <v>0</v>
      </c>
      <c r="K84" s="42">
        <f>SUM(K85:K92)</f>
        <v>0</v>
      </c>
      <c r="L84" s="42">
        <f>SUM(L85:L92)</f>
        <v>0</v>
      </c>
      <c r="M84" s="42">
        <f t="shared" si="10"/>
        <v>0</v>
      </c>
      <c r="N84" s="42">
        <f>SUM(N85:N92)</f>
        <v>0</v>
      </c>
      <c r="O84" s="42">
        <f>SUM(O85:O92)</f>
        <v>0</v>
      </c>
      <c r="P84" s="42">
        <f>SUM(P85:P92)</f>
        <v>0</v>
      </c>
      <c r="Q84" s="42">
        <f t="shared" si="11"/>
        <v>0</v>
      </c>
      <c r="R84" s="42">
        <f>SUM(R85:R92)</f>
        <v>0</v>
      </c>
    </row>
    <row r="85" spans="1:18" ht="18" hidden="1" outlineLevel="1">
      <c r="A85" s="38" t="s">
        <v>201</v>
      </c>
      <c r="B85" s="39">
        <f>-'[36]Budget 2022'!DC24</f>
        <v>0</v>
      </c>
      <c r="C85" s="39">
        <f>-'[36]Budget 2022'!DD24</f>
        <v>0</v>
      </c>
      <c r="D85" s="39">
        <f>-'[36]Budget 2022'!DE24</f>
        <v>0</v>
      </c>
      <c r="E85" s="39">
        <f t="shared" si="8"/>
        <v>0</v>
      </c>
      <c r="F85" s="39">
        <f>-'[36]Budget 2022'!DG24</f>
        <v>0</v>
      </c>
      <c r="G85" s="39">
        <f>-'[36]Budget 2022'!DH24</f>
        <v>0</v>
      </c>
      <c r="H85" s="39">
        <f>-'[36]Budget 2022'!DI24</f>
        <v>0</v>
      </c>
      <c r="I85" s="39">
        <f t="shared" si="9"/>
        <v>0</v>
      </c>
      <c r="J85" s="39">
        <f>-'[36]Budget 2022'!DK24</f>
        <v>0</v>
      </c>
      <c r="K85" s="39">
        <f>-'[36]Budget 2022'!DL24</f>
        <v>0</v>
      </c>
      <c r="L85" s="39">
        <f>-'[36]Budget 2022'!DM24</f>
        <v>0</v>
      </c>
      <c r="M85" s="39">
        <f t="shared" si="10"/>
        <v>0</v>
      </c>
      <c r="N85" s="39">
        <f>-'[36]Budget 2022'!DO24</f>
        <v>0</v>
      </c>
      <c r="O85" s="39">
        <f>-'[36]Budget 2022'!DP24</f>
        <v>0</v>
      </c>
      <c r="P85" s="39">
        <f>-'[36]Budget 2022'!DQ24</f>
        <v>0</v>
      </c>
      <c r="Q85" s="39">
        <f t="shared" si="11"/>
        <v>0</v>
      </c>
      <c r="R85" s="39">
        <f t="shared" si="41"/>
        <v>0</v>
      </c>
    </row>
    <row r="86" spans="1:18" ht="18" hidden="1" outlineLevel="1">
      <c r="A86" s="38" t="s">
        <v>202</v>
      </c>
      <c r="B86" s="39">
        <f>-'[36]Budget 2022'!DC30</f>
        <v>0</v>
      </c>
      <c r="C86" s="39">
        <f>-'[36]Budget 2022'!DD30</f>
        <v>0</v>
      </c>
      <c r="D86" s="39">
        <f>-'[36]Budget 2022'!DE30</f>
        <v>0</v>
      </c>
      <c r="E86" s="39">
        <f t="shared" si="8"/>
        <v>0</v>
      </c>
      <c r="F86" s="39">
        <f>-'[36]Budget 2022'!DG30</f>
        <v>0</v>
      </c>
      <c r="G86" s="39">
        <f>-'[36]Budget 2022'!DH30</f>
        <v>0</v>
      </c>
      <c r="H86" s="39">
        <f>-'[36]Budget 2022'!DI30</f>
        <v>0</v>
      </c>
      <c r="I86" s="39">
        <f t="shared" si="9"/>
        <v>0</v>
      </c>
      <c r="J86" s="39">
        <f>-'[36]Budget 2022'!DK30</f>
        <v>0</v>
      </c>
      <c r="K86" s="39">
        <f>-'[36]Budget 2022'!DL30</f>
        <v>0</v>
      </c>
      <c r="L86" s="39">
        <f>-'[36]Budget 2022'!DM30</f>
        <v>0</v>
      </c>
      <c r="M86" s="39">
        <f t="shared" si="10"/>
        <v>0</v>
      </c>
      <c r="N86" s="39">
        <f>-'[36]Budget 2022'!DO30</f>
        <v>0</v>
      </c>
      <c r="O86" s="39">
        <f>-'[36]Budget 2022'!DP30</f>
        <v>0</v>
      </c>
      <c r="P86" s="39">
        <f>-'[36]Budget 2022'!DQ30</f>
        <v>0</v>
      </c>
      <c r="Q86" s="39">
        <f t="shared" si="11"/>
        <v>0</v>
      </c>
      <c r="R86" s="39">
        <f t="shared" si="41"/>
        <v>0</v>
      </c>
    </row>
    <row r="87" spans="1:18" ht="18" hidden="1" outlineLevel="1">
      <c r="A87" s="38" t="s">
        <v>203</v>
      </c>
      <c r="B87" s="39">
        <f>-'[36]Budget 2022'!DC37</f>
        <v>0</v>
      </c>
      <c r="C87" s="39">
        <f>-'[36]Budget 2022'!DD37</f>
        <v>0</v>
      </c>
      <c r="D87" s="39">
        <f>-'[36]Budget 2022'!DE37</f>
        <v>0</v>
      </c>
      <c r="E87" s="39">
        <f t="shared" si="8"/>
        <v>0</v>
      </c>
      <c r="F87" s="39">
        <f>-'[36]Budget 2022'!DG37</f>
        <v>0</v>
      </c>
      <c r="G87" s="39">
        <f>-'[36]Budget 2022'!DH37</f>
        <v>0</v>
      </c>
      <c r="H87" s="39">
        <f>-'[36]Budget 2022'!DI37</f>
        <v>0</v>
      </c>
      <c r="I87" s="39">
        <f t="shared" si="9"/>
        <v>0</v>
      </c>
      <c r="J87" s="39">
        <f>-'[36]Budget 2022'!DK37</f>
        <v>0</v>
      </c>
      <c r="K87" s="39">
        <f>-'[36]Budget 2022'!DL37</f>
        <v>0</v>
      </c>
      <c r="L87" s="39">
        <f>-'[36]Budget 2022'!DM37</f>
        <v>0</v>
      </c>
      <c r="M87" s="39">
        <f t="shared" si="10"/>
        <v>0</v>
      </c>
      <c r="N87" s="39">
        <f>-'[36]Budget 2022'!DO37</f>
        <v>0</v>
      </c>
      <c r="O87" s="39">
        <f>-'[36]Budget 2022'!DP37</f>
        <v>0</v>
      </c>
      <c r="P87" s="39">
        <f>-'[36]Budget 2022'!DQ37</f>
        <v>0</v>
      </c>
      <c r="Q87" s="39">
        <f t="shared" si="11"/>
        <v>0</v>
      </c>
      <c r="R87" s="39">
        <f t="shared" si="41"/>
        <v>0</v>
      </c>
    </row>
    <row r="88" spans="1:18" ht="18" hidden="1" outlineLevel="1">
      <c r="A88" s="38" t="s">
        <v>204</v>
      </c>
      <c r="B88" s="39">
        <f>-'[36]Budget 2022'!DC48</f>
        <v>0</v>
      </c>
      <c r="C88" s="39">
        <f>-'[36]Budget 2022'!DD48</f>
        <v>0</v>
      </c>
      <c r="D88" s="39">
        <f>-'[36]Budget 2022'!DE48</f>
        <v>0</v>
      </c>
      <c r="E88" s="39">
        <f t="shared" si="8"/>
        <v>0</v>
      </c>
      <c r="F88" s="39">
        <f>-'[36]Budget 2022'!DG48</f>
        <v>0</v>
      </c>
      <c r="G88" s="39">
        <f>-'[36]Budget 2022'!DH48</f>
        <v>0</v>
      </c>
      <c r="H88" s="39">
        <f>-'[36]Budget 2022'!DI48</f>
        <v>0</v>
      </c>
      <c r="I88" s="39">
        <f t="shared" si="9"/>
        <v>0</v>
      </c>
      <c r="J88" s="39">
        <f>-'[36]Budget 2022'!DK48</f>
        <v>0</v>
      </c>
      <c r="K88" s="39">
        <f>-'[36]Budget 2022'!DL48</f>
        <v>0</v>
      </c>
      <c r="L88" s="39">
        <f>-'[36]Budget 2022'!DM48</f>
        <v>0</v>
      </c>
      <c r="M88" s="39">
        <f t="shared" si="10"/>
        <v>0</v>
      </c>
      <c r="N88" s="39">
        <f>-'[36]Budget 2022'!DO48</f>
        <v>0</v>
      </c>
      <c r="O88" s="39">
        <f>-'[36]Budget 2022'!DP48</f>
        <v>0</v>
      </c>
      <c r="P88" s="39">
        <f>-'[36]Budget 2022'!DQ48</f>
        <v>0</v>
      </c>
      <c r="Q88" s="39">
        <f t="shared" si="11"/>
        <v>0</v>
      </c>
      <c r="R88" s="39">
        <f t="shared" si="41"/>
        <v>0</v>
      </c>
    </row>
    <row r="89" spans="1:18" ht="18" hidden="1" outlineLevel="1">
      <c r="A89" s="38" t="s">
        <v>205</v>
      </c>
      <c r="B89" s="39">
        <f>-'[36]Budget 2022'!DC50</f>
        <v>0</v>
      </c>
      <c r="C89" s="39">
        <f>-'[36]Budget 2022'!DD50</f>
        <v>0</v>
      </c>
      <c r="D89" s="39">
        <f>-'[36]Budget 2022'!DE50</f>
        <v>0</v>
      </c>
      <c r="E89" s="39">
        <f t="shared" si="8"/>
        <v>0</v>
      </c>
      <c r="F89" s="39">
        <f>-'[36]Budget 2022'!DG50</f>
        <v>0</v>
      </c>
      <c r="G89" s="39">
        <f>-'[36]Budget 2022'!DH50</f>
        <v>0</v>
      </c>
      <c r="H89" s="39">
        <f>-'[36]Budget 2022'!DI50</f>
        <v>0</v>
      </c>
      <c r="I89" s="39">
        <f t="shared" si="9"/>
        <v>0</v>
      </c>
      <c r="J89" s="39">
        <f>-'[36]Budget 2022'!DK50</f>
        <v>0</v>
      </c>
      <c r="K89" s="39">
        <f>-'[36]Budget 2022'!DL50</f>
        <v>0</v>
      </c>
      <c r="L89" s="39">
        <f>-'[36]Budget 2022'!DM50</f>
        <v>0</v>
      </c>
      <c r="M89" s="39">
        <f t="shared" si="10"/>
        <v>0</v>
      </c>
      <c r="N89" s="39">
        <f>-'[36]Budget 2022'!DO50</f>
        <v>0</v>
      </c>
      <c r="O89" s="39">
        <f>-'[36]Budget 2022'!DP50</f>
        <v>0</v>
      </c>
      <c r="P89" s="39">
        <f>-'[36]Budget 2022'!DQ50</f>
        <v>0</v>
      </c>
      <c r="Q89" s="39">
        <f t="shared" si="11"/>
        <v>0</v>
      </c>
      <c r="R89" s="39">
        <f t="shared" si="41"/>
        <v>0</v>
      </c>
    </row>
    <row r="90" spans="1:18" ht="18" hidden="1" outlineLevel="1">
      <c r="A90" s="38" t="s">
        <v>206</v>
      </c>
      <c r="B90" s="39">
        <f>-'[36]Budget 2022'!DC61</f>
        <v>0</v>
      </c>
      <c r="C90" s="39">
        <f>-'[36]Budget 2022'!DD61</f>
        <v>0</v>
      </c>
      <c r="D90" s="39">
        <f>-'[36]Budget 2022'!DE61</f>
        <v>0</v>
      </c>
      <c r="E90" s="39">
        <f t="shared" si="8"/>
        <v>0</v>
      </c>
      <c r="F90" s="39">
        <f>-'[36]Budget 2022'!DG61</f>
        <v>0</v>
      </c>
      <c r="G90" s="39">
        <f>-'[36]Budget 2022'!DH61</f>
        <v>0</v>
      </c>
      <c r="H90" s="39">
        <f>-'[36]Budget 2022'!DI61</f>
        <v>0</v>
      </c>
      <c r="I90" s="39">
        <f t="shared" si="9"/>
        <v>0</v>
      </c>
      <c r="J90" s="39">
        <f>-'[36]Budget 2022'!DK61</f>
        <v>0</v>
      </c>
      <c r="K90" s="39">
        <f>-'[36]Budget 2022'!DL61</f>
        <v>0</v>
      </c>
      <c r="L90" s="39">
        <f>-'[36]Budget 2022'!DM61</f>
        <v>0</v>
      </c>
      <c r="M90" s="39">
        <f t="shared" si="10"/>
        <v>0</v>
      </c>
      <c r="N90" s="39">
        <f>-'[36]Budget 2022'!DO61</f>
        <v>0</v>
      </c>
      <c r="O90" s="39">
        <f>-'[36]Budget 2022'!DP61</f>
        <v>0</v>
      </c>
      <c r="P90" s="39">
        <f>-'[36]Budget 2022'!DQ61</f>
        <v>0</v>
      </c>
      <c r="Q90" s="39">
        <f t="shared" si="11"/>
        <v>0</v>
      </c>
      <c r="R90" s="39">
        <f t="shared" si="41"/>
        <v>0</v>
      </c>
    </row>
    <row r="91" spans="1:18" ht="18" hidden="1" outlineLevel="1">
      <c r="A91" s="38" t="s">
        <v>207</v>
      </c>
      <c r="B91" s="39">
        <f>-'[36]Budget 2022'!DC63</f>
        <v>0</v>
      </c>
      <c r="C91" s="39">
        <f>-'[36]Budget 2022'!DD63</f>
        <v>0</v>
      </c>
      <c r="D91" s="39">
        <f>-'[36]Budget 2022'!DE63</f>
        <v>0</v>
      </c>
      <c r="E91" s="39">
        <f t="shared" si="8"/>
        <v>0</v>
      </c>
      <c r="F91" s="39">
        <f>-'[36]Budget 2022'!DG63</f>
        <v>0</v>
      </c>
      <c r="G91" s="39">
        <f>-'[36]Budget 2022'!DH63</f>
        <v>0</v>
      </c>
      <c r="H91" s="39">
        <f>-'[36]Budget 2022'!DI63</f>
        <v>0</v>
      </c>
      <c r="I91" s="39">
        <f t="shared" si="9"/>
        <v>0</v>
      </c>
      <c r="J91" s="39">
        <f>-'[36]Budget 2022'!DK63</f>
        <v>0</v>
      </c>
      <c r="K91" s="39">
        <f>-'[36]Budget 2022'!DL63</f>
        <v>0</v>
      </c>
      <c r="L91" s="39">
        <f>-'[36]Budget 2022'!DM63</f>
        <v>0</v>
      </c>
      <c r="M91" s="39">
        <f t="shared" si="10"/>
        <v>0</v>
      </c>
      <c r="N91" s="39">
        <f>-'[36]Budget 2022'!DO63</f>
        <v>0</v>
      </c>
      <c r="O91" s="39">
        <f>-'[36]Budget 2022'!DP63</f>
        <v>0</v>
      </c>
      <c r="P91" s="39">
        <f>-'[36]Budget 2022'!DQ63</f>
        <v>0</v>
      </c>
      <c r="Q91" s="39">
        <f t="shared" si="11"/>
        <v>0</v>
      </c>
      <c r="R91" s="39">
        <f t="shared" si="41"/>
        <v>0</v>
      </c>
    </row>
    <row r="92" spans="1:18" ht="18" hidden="1" outlineLevel="1">
      <c r="A92" s="38" t="s">
        <v>208</v>
      </c>
      <c r="B92" s="39">
        <f>-'[36]Budget 2022'!DC74</f>
        <v>0</v>
      </c>
      <c r="C92" s="39">
        <f>-'[36]Budget 2022'!DD74</f>
        <v>0</v>
      </c>
      <c r="D92" s="39">
        <f>-'[36]Budget 2022'!DE74</f>
        <v>0</v>
      </c>
      <c r="E92" s="39">
        <f t="shared" si="8"/>
        <v>0</v>
      </c>
      <c r="F92" s="39">
        <f>-'[36]Budget 2022'!DG74</f>
        <v>0</v>
      </c>
      <c r="G92" s="39">
        <f>-'[36]Budget 2022'!DH74</f>
        <v>0</v>
      </c>
      <c r="H92" s="39">
        <f>-'[36]Budget 2022'!DI74</f>
        <v>0</v>
      </c>
      <c r="I92" s="39">
        <f t="shared" si="9"/>
        <v>0</v>
      </c>
      <c r="J92" s="39">
        <f>-'[36]Budget 2022'!DK74</f>
        <v>0</v>
      </c>
      <c r="K92" s="39">
        <f>-'[36]Budget 2022'!DL74</f>
        <v>0</v>
      </c>
      <c r="L92" s="39">
        <f>-'[36]Budget 2022'!DM74</f>
        <v>0</v>
      </c>
      <c r="M92" s="39">
        <f t="shared" si="10"/>
        <v>0</v>
      </c>
      <c r="N92" s="39">
        <f>-'[36]Budget 2022'!DO74</f>
        <v>0</v>
      </c>
      <c r="O92" s="39">
        <f>-'[36]Budget 2022'!DP74</f>
        <v>0</v>
      </c>
      <c r="P92" s="39">
        <f>-'[36]Budget 2022'!DQ74</f>
        <v>0</v>
      </c>
      <c r="Q92" s="39">
        <f t="shared" si="11"/>
        <v>0</v>
      </c>
      <c r="R92" s="39">
        <f t="shared" si="41"/>
        <v>0</v>
      </c>
    </row>
    <row r="93" spans="1:18" s="35" customFormat="1" ht="31.2" collapsed="1">
      <c r="A93" s="31" t="s">
        <v>216</v>
      </c>
      <c r="B93" s="32">
        <f>SUM(B94,B97)</f>
        <v>503125.29000000004</v>
      </c>
      <c r="C93" s="32">
        <f>SUM(C94,C97)</f>
        <v>503125.29000000004</v>
      </c>
      <c r="D93" s="32">
        <f>SUM(D94,D97)</f>
        <v>560674.29</v>
      </c>
      <c r="E93" s="32">
        <f t="shared" si="8"/>
        <v>1566924.87</v>
      </c>
      <c r="F93" s="32">
        <f>SUM(F94,F97)</f>
        <v>428559.38</v>
      </c>
      <c r="G93" s="32">
        <f>SUM(G94,G97)</f>
        <v>418559.35</v>
      </c>
      <c r="H93" s="32">
        <f>SUM(H94,H97)</f>
        <v>466108.35</v>
      </c>
      <c r="I93" s="32">
        <f t="shared" si="9"/>
        <v>1313227.08</v>
      </c>
      <c r="J93" s="32">
        <f>SUM(J94,J97)</f>
        <v>288582.34999999998</v>
      </c>
      <c r="K93" s="32">
        <f>SUM(K94,K97)</f>
        <v>288582.34999999998</v>
      </c>
      <c r="L93" s="32">
        <f>SUM(L94,L97)</f>
        <v>336131.35</v>
      </c>
      <c r="M93" s="32">
        <f t="shared" si="10"/>
        <v>913296.04999999993</v>
      </c>
      <c r="N93" s="32">
        <f>SUM(N94,N97)</f>
        <v>288582.34999999998</v>
      </c>
      <c r="O93" s="32">
        <f>SUM(O94,O97)</f>
        <v>288582.34999999998</v>
      </c>
      <c r="P93" s="32">
        <f>SUM(P94,P97)</f>
        <v>336131.35</v>
      </c>
      <c r="Q93" s="32">
        <f t="shared" si="11"/>
        <v>913296.04999999993</v>
      </c>
      <c r="R93" s="61">
        <f>SUM(R94,R97)</f>
        <v>4706744.05</v>
      </c>
    </row>
    <row r="94" spans="1:18" ht="18" hidden="1" outlineLevel="1">
      <c r="A94" s="36" t="s">
        <v>197</v>
      </c>
      <c r="B94" s="42">
        <f>SUM(B95:B96)</f>
        <v>301941.29000000004</v>
      </c>
      <c r="C94" s="42">
        <f>SUM(C95:C96)</f>
        <v>301941.29000000004</v>
      </c>
      <c r="D94" s="42">
        <f>SUM(D95:D96)</f>
        <v>311941.29000000004</v>
      </c>
      <c r="E94" s="42">
        <f t="shared" si="8"/>
        <v>915823.87000000011</v>
      </c>
      <c r="F94" s="42">
        <f>SUM(F95:F96)</f>
        <v>253457.38</v>
      </c>
      <c r="G94" s="42">
        <f>SUM(G95:G96)</f>
        <v>243457.35</v>
      </c>
      <c r="H94" s="42">
        <f>SUM(H95:H96)</f>
        <v>243457.35</v>
      </c>
      <c r="I94" s="42">
        <f t="shared" si="9"/>
        <v>740372.08</v>
      </c>
      <c r="J94" s="42">
        <f>SUM(J95:J96)</f>
        <v>233457.35</v>
      </c>
      <c r="K94" s="42">
        <f>SUM(K95:K96)</f>
        <v>233457.35</v>
      </c>
      <c r="L94" s="42">
        <f>SUM(L95:L96)</f>
        <v>233457.35</v>
      </c>
      <c r="M94" s="42">
        <f t="shared" si="10"/>
        <v>700372.05</v>
      </c>
      <c r="N94" s="42">
        <f>SUM(N95:N96)</f>
        <v>233457.35</v>
      </c>
      <c r="O94" s="42">
        <f>SUM(O95:O96)</f>
        <v>233457.35</v>
      </c>
      <c r="P94" s="42">
        <f>SUM(P95:P96)</f>
        <v>233457.35</v>
      </c>
      <c r="Q94" s="42">
        <f t="shared" si="11"/>
        <v>700372.05</v>
      </c>
      <c r="R94" s="42">
        <f>SUM(R95:R96)</f>
        <v>3056940.05</v>
      </c>
    </row>
    <row r="95" spans="1:18" ht="18" hidden="1" outlineLevel="1">
      <c r="A95" s="38" t="s">
        <v>198</v>
      </c>
      <c r="B95" s="39">
        <f>-'[36]Budget 2022'!DT7</f>
        <v>281941.30000000005</v>
      </c>
      <c r="C95" s="39">
        <f>-'[36]Budget 2022'!DU7</f>
        <v>281941.30000000005</v>
      </c>
      <c r="D95" s="39">
        <f>-'[36]Budget 2022'!DV7</f>
        <v>281941.30000000005</v>
      </c>
      <c r="E95" s="39">
        <f t="shared" si="8"/>
        <v>845823.90000000014</v>
      </c>
      <c r="F95" s="39">
        <f>-'[36]Budget 2022'!DX7</f>
        <v>223457.35</v>
      </c>
      <c r="G95" s="39">
        <f>-'[36]Budget 2022'!DY7</f>
        <v>223457.35</v>
      </c>
      <c r="H95" s="39">
        <f>-'[36]Budget 2022'!DZ7</f>
        <v>223457.35</v>
      </c>
      <c r="I95" s="39">
        <f t="shared" si="9"/>
        <v>670372.05000000005</v>
      </c>
      <c r="J95" s="39">
        <f>-'[36]Budget 2022'!EB7</f>
        <v>223457.35</v>
      </c>
      <c r="K95" s="39">
        <f>-'[36]Budget 2022'!EC7</f>
        <v>223457.35</v>
      </c>
      <c r="L95" s="39">
        <f>-'[36]Budget 2022'!ED7</f>
        <v>223457.35</v>
      </c>
      <c r="M95" s="39">
        <f t="shared" si="10"/>
        <v>670372.05000000005</v>
      </c>
      <c r="N95" s="39">
        <f>-'[36]Budget 2022'!EF7</f>
        <v>223457.35</v>
      </c>
      <c r="O95" s="39">
        <f>-'[36]Budget 2022'!EG7</f>
        <v>223457.35</v>
      </c>
      <c r="P95" s="39">
        <f>-'[36]Budget 2022'!EH7</f>
        <v>223457.35</v>
      </c>
      <c r="Q95" s="39">
        <f t="shared" si="11"/>
        <v>670372.05000000005</v>
      </c>
      <c r="R95" s="39">
        <f t="shared" ref="R95:R96" si="42">SUM(E95,I95,M95,Q95)</f>
        <v>2856940.05</v>
      </c>
    </row>
    <row r="96" spans="1:18" ht="18" hidden="1" outlineLevel="1">
      <c r="A96" s="38" t="s">
        <v>199</v>
      </c>
      <c r="B96" s="39">
        <f>-'[36]Budget 2022'!DT17</f>
        <v>19999.989999999998</v>
      </c>
      <c r="C96" s="39">
        <f>-'[36]Budget 2022'!DU17</f>
        <v>19999.989999999998</v>
      </c>
      <c r="D96" s="39">
        <f>-'[36]Budget 2022'!DV17</f>
        <v>29999.989999999998</v>
      </c>
      <c r="E96" s="39">
        <f>SUM(B96:D96)</f>
        <v>69999.97</v>
      </c>
      <c r="F96" s="39">
        <f>-'[36]Budget 2022'!DX17</f>
        <v>30000.030000000002</v>
      </c>
      <c r="G96" s="39">
        <f>-'[36]Budget 2022'!DY17</f>
        <v>20000</v>
      </c>
      <c r="H96" s="39">
        <f>-'[36]Budget 2022'!DZ17</f>
        <v>20000</v>
      </c>
      <c r="I96" s="39">
        <f t="shared" si="9"/>
        <v>70000.03</v>
      </c>
      <c r="J96" s="39">
        <f>-'[36]Budget 2022'!EB17</f>
        <v>10000</v>
      </c>
      <c r="K96" s="39">
        <f>-'[36]Budget 2022'!EC17</f>
        <v>10000</v>
      </c>
      <c r="L96" s="39">
        <f>-'[36]Budget 2022'!ED17</f>
        <v>10000</v>
      </c>
      <c r="M96" s="39">
        <f t="shared" si="10"/>
        <v>30000</v>
      </c>
      <c r="N96" s="39">
        <f>-'[36]Budget 2022'!EF17</f>
        <v>10000</v>
      </c>
      <c r="O96" s="39">
        <f>-'[36]Budget 2022'!EG17</f>
        <v>10000</v>
      </c>
      <c r="P96" s="39">
        <f>-'[36]Budget 2022'!EH17</f>
        <v>10000</v>
      </c>
      <c r="Q96" s="39">
        <f t="shared" si="11"/>
        <v>30000</v>
      </c>
      <c r="R96" s="39">
        <f t="shared" si="42"/>
        <v>200000</v>
      </c>
    </row>
    <row r="97" spans="1:19" ht="18" hidden="1" outlineLevel="1">
      <c r="A97" s="36" t="s">
        <v>200</v>
      </c>
      <c r="B97" s="42">
        <f>SUM(B98:B105)</f>
        <v>201184</v>
      </c>
      <c r="C97" s="42">
        <f>SUM(C98:C105)</f>
        <v>201184</v>
      </c>
      <c r="D97" s="42">
        <f>SUM(D98:D105)</f>
        <v>248733</v>
      </c>
      <c r="E97" s="42">
        <f t="shared" ref="E97:E105" si="43">SUM(B97:D97)</f>
        <v>651101</v>
      </c>
      <c r="F97" s="42">
        <f>SUM(F98:F105)</f>
        <v>175102</v>
      </c>
      <c r="G97" s="42">
        <f>SUM(G98:G105)</f>
        <v>175102</v>
      </c>
      <c r="H97" s="42">
        <f>SUM(H98:H105)</f>
        <v>222651</v>
      </c>
      <c r="I97" s="42">
        <f t="shared" si="9"/>
        <v>572855</v>
      </c>
      <c r="J97" s="42">
        <f>SUM(J98:J105)</f>
        <v>55125</v>
      </c>
      <c r="K97" s="42">
        <f>SUM(K98:K105)</f>
        <v>55125</v>
      </c>
      <c r="L97" s="42">
        <f>SUM(L98:L105)</f>
        <v>102674</v>
      </c>
      <c r="M97" s="42">
        <f t="shared" si="10"/>
        <v>212924</v>
      </c>
      <c r="N97" s="42">
        <f>SUM(N98:N105)</f>
        <v>55125</v>
      </c>
      <c r="O97" s="42">
        <f>SUM(O98:O105)</f>
        <v>55125</v>
      </c>
      <c r="P97" s="42">
        <f>SUM(P98:P105)</f>
        <v>102674</v>
      </c>
      <c r="Q97" s="42">
        <f t="shared" si="11"/>
        <v>212924</v>
      </c>
      <c r="R97" s="42">
        <f>SUM(R98:R105)</f>
        <v>1649804</v>
      </c>
    </row>
    <row r="98" spans="1:19" ht="18" hidden="1" outlineLevel="1">
      <c r="A98" s="38" t="s">
        <v>201</v>
      </c>
      <c r="B98" s="39">
        <f>-'[36]Budget 2022'!DT24</f>
        <v>146059</v>
      </c>
      <c r="C98" s="39">
        <f>-'[36]Budget 2022'!DU24</f>
        <v>146059</v>
      </c>
      <c r="D98" s="39">
        <f>-'[36]Budget 2022'!DV24</f>
        <v>193608</v>
      </c>
      <c r="E98" s="39">
        <f t="shared" si="43"/>
        <v>485726</v>
      </c>
      <c r="F98" s="39">
        <f>-'[36]Budget 2022'!DX24</f>
        <v>119977</v>
      </c>
      <c r="G98" s="39">
        <f>-'[36]Budget 2022'!DY24</f>
        <v>119977</v>
      </c>
      <c r="H98" s="39">
        <f>-'[36]Budget 2022'!DZ24</f>
        <v>167526</v>
      </c>
      <c r="I98" s="39">
        <f t="shared" si="9"/>
        <v>407480</v>
      </c>
      <c r="J98" s="39">
        <f>-'[36]Budget 2022'!EB24</f>
        <v>0</v>
      </c>
      <c r="K98" s="39">
        <f>-'[36]Budget 2022'!EC24</f>
        <v>0</v>
      </c>
      <c r="L98" s="39">
        <f>-'[36]Budget 2022'!ED24</f>
        <v>0</v>
      </c>
      <c r="M98" s="39">
        <f t="shared" si="10"/>
        <v>0</v>
      </c>
      <c r="N98" s="39">
        <f>-'[36]Budget 2022'!EF24</f>
        <v>0</v>
      </c>
      <c r="O98" s="39">
        <f>-'[36]Budget 2022'!EG24</f>
        <v>0</v>
      </c>
      <c r="P98" s="39">
        <f>-'[36]Budget 2022'!EH24</f>
        <v>0</v>
      </c>
      <c r="Q98" s="39">
        <f t="shared" si="11"/>
        <v>0</v>
      </c>
      <c r="R98" s="39">
        <f t="shared" ref="R98:R105" si="44">SUM(E98,I98,M98,Q98)</f>
        <v>893206</v>
      </c>
    </row>
    <row r="99" spans="1:19" ht="18" hidden="1" outlineLevel="1">
      <c r="A99" s="38" t="s">
        <v>202</v>
      </c>
      <c r="B99" s="39">
        <f>-'[36]Budget 2022'!DT30</f>
        <v>30000</v>
      </c>
      <c r="C99" s="39">
        <f>-'[36]Budget 2022'!DU30</f>
        <v>30000</v>
      </c>
      <c r="D99" s="39">
        <f>-'[36]Budget 2022'!DV30</f>
        <v>30000</v>
      </c>
      <c r="E99" s="39">
        <f t="shared" si="43"/>
        <v>90000</v>
      </c>
      <c r="F99" s="39">
        <f>-'[36]Budget 2022'!DX30</f>
        <v>30000</v>
      </c>
      <c r="G99" s="39">
        <f>-'[36]Budget 2022'!DY30</f>
        <v>30000</v>
      </c>
      <c r="H99" s="39">
        <f>-'[36]Budget 2022'!DZ30</f>
        <v>30000</v>
      </c>
      <c r="I99" s="39">
        <f t="shared" si="9"/>
        <v>90000</v>
      </c>
      <c r="J99" s="39">
        <f>-'[36]Budget 2022'!EB30</f>
        <v>30000</v>
      </c>
      <c r="K99" s="39">
        <f>-'[36]Budget 2022'!EC30</f>
        <v>30000</v>
      </c>
      <c r="L99" s="39">
        <f>-'[36]Budget 2022'!ED30</f>
        <v>77549</v>
      </c>
      <c r="M99" s="39">
        <f t="shared" si="10"/>
        <v>137549</v>
      </c>
      <c r="N99" s="39">
        <f>-'[36]Budget 2022'!EF30</f>
        <v>30000</v>
      </c>
      <c r="O99" s="39">
        <f>-'[36]Budget 2022'!EG30</f>
        <v>30000</v>
      </c>
      <c r="P99" s="39">
        <f>-'[36]Budget 2022'!EH30</f>
        <v>77549</v>
      </c>
      <c r="Q99" s="39">
        <f t="shared" si="11"/>
        <v>137549</v>
      </c>
      <c r="R99" s="39">
        <f t="shared" si="44"/>
        <v>455098</v>
      </c>
    </row>
    <row r="100" spans="1:19" ht="18" hidden="1" outlineLevel="1">
      <c r="A100" s="38" t="s">
        <v>203</v>
      </c>
      <c r="B100" s="39">
        <f>-'[36]Budget 2022'!DT37</f>
        <v>0</v>
      </c>
      <c r="C100" s="39">
        <f>-'[36]Budget 2022'!DU37</f>
        <v>0</v>
      </c>
      <c r="D100" s="39">
        <f>-'[36]Budget 2022'!DV37</f>
        <v>0</v>
      </c>
      <c r="E100" s="39">
        <f t="shared" si="43"/>
        <v>0</v>
      </c>
      <c r="F100" s="39">
        <f>-'[36]Budget 2022'!DX37</f>
        <v>0</v>
      </c>
      <c r="G100" s="39">
        <f>-'[36]Budget 2022'!DY37</f>
        <v>0</v>
      </c>
      <c r="H100" s="39">
        <f>-'[36]Budget 2022'!DZ37</f>
        <v>0</v>
      </c>
      <c r="I100" s="39">
        <f t="shared" si="9"/>
        <v>0</v>
      </c>
      <c r="J100" s="39">
        <f>-'[36]Budget 2022'!EB37</f>
        <v>0</v>
      </c>
      <c r="K100" s="39">
        <f>-'[36]Budget 2022'!EC37</f>
        <v>0</v>
      </c>
      <c r="L100" s="39">
        <f>-'[36]Budget 2022'!ED37</f>
        <v>0</v>
      </c>
      <c r="M100" s="39">
        <f t="shared" si="10"/>
        <v>0</v>
      </c>
      <c r="N100" s="39">
        <f>-'[36]Budget 2022'!EF37</f>
        <v>0</v>
      </c>
      <c r="O100" s="39">
        <f>-'[36]Budget 2022'!EG37</f>
        <v>0</v>
      </c>
      <c r="P100" s="39">
        <f>-'[36]Budget 2022'!EH37</f>
        <v>0</v>
      </c>
      <c r="Q100" s="39">
        <f t="shared" si="11"/>
        <v>0</v>
      </c>
      <c r="R100" s="39">
        <f t="shared" si="44"/>
        <v>0</v>
      </c>
    </row>
    <row r="101" spans="1:19" ht="18" hidden="1" outlineLevel="1">
      <c r="A101" s="38" t="s">
        <v>204</v>
      </c>
      <c r="B101" s="39">
        <f>-'[36]Budget 2022'!DT48</f>
        <v>0</v>
      </c>
      <c r="C101" s="39">
        <f>-'[36]Budget 2022'!DU48</f>
        <v>0</v>
      </c>
      <c r="D101" s="39">
        <f>-'[36]Budget 2022'!DV48</f>
        <v>0</v>
      </c>
      <c r="E101" s="39">
        <f t="shared" si="43"/>
        <v>0</v>
      </c>
      <c r="F101" s="39">
        <f>-'[36]Budget 2022'!DX48</f>
        <v>0</v>
      </c>
      <c r="G101" s="39">
        <f>-'[36]Budget 2022'!DY48</f>
        <v>0</v>
      </c>
      <c r="H101" s="39">
        <f>-'[36]Budget 2022'!DZ48</f>
        <v>0</v>
      </c>
      <c r="I101" s="39">
        <f t="shared" si="9"/>
        <v>0</v>
      </c>
      <c r="J101" s="39">
        <f>-'[36]Budget 2022'!EB48</f>
        <v>0</v>
      </c>
      <c r="K101" s="39">
        <f>-'[36]Budget 2022'!EC48</f>
        <v>0</v>
      </c>
      <c r="L101" s="39">
        <f>-'[36]Budget 2022'!ED48</f>
        <v>0</v>
      </c>
      <c r="M101" s="39">
        <f t="shared" si="10"/>
        <v>0</v>
      </c>
      <c r="N101" s="39">
        <f>-'[36]Budget 2022'!EF48</f>
        <v>0</v>
      </c>
      <c r="O101" s="39">
        <f>-'[36]Budget 2022'!EG48</f>
        <v>0</v>
      </c>
      <c r="P101" s="39">
        <f>-'[36]Budget 2022'!EH48</f>
        <v>0</v>
      </c>
      <c r="Q101" s="39">
        <f t="shared" si="11"/>
        <v>0</v>
      </c>
      <c r="R101" s="39">
        <f t="shared" si="44"/>
        <v>0</v>
      </c>
    </row>
    <row r="102" spans="1:19" ht="18" hidden="1" outlineLevel="1">
      <c r="A102" s="38" t="s">
        <v>205</v>
      </c>
      <c r="B102" s="39">
        <f>-'[36]Budget 2022'!DT50</f>
        <v>0</v>
      </c>
      <c r="C102" s="39">
        <f>-'[36]Budget 2022'!DU50</f>
        <v>0</v>
      </c>
      <c r="D102" s="39">
        <f>-'[36]Budget 2022'!DV50</f>
        <v>0</v>
      </c>
      <c r="E102" s="39">
        <f t="shared" si="43"/>
        <v>0</v>
      </c>
      <c r="F102" s="39">
        <f>-'[36]Budget 2022'!DX50</f>
        <v>0</v>
      </c>
      <c r="G102" s="39">
        <f>-'[36]Budget 2022'!DY50</f>
        <v>0</v>
      </c>
      <c r="H102" s="39">
        <f>-'[36]Budget 2022'!DZ50</f>
        <v>0</v>
      </c>
      <c r="I102" s="39">
        <f t="shared" si="9"/>
        <v>0</v>
      </c>
      <c r="J102" s="39">
        <f>-'[36]Budget 2022'!EB50</f>
        <v>0</v>
      </c>
      <c r="K102" s="39">
        <f>-'[36]Budget 2022'!EC50</f>
        <v>0</v>
      </c>
      <c r="L102" s="39">
        <f>-'[36]Budget 2022'!ED50</f>
        <v>0</v>
      </c>
      <c r="M102" s="39">
        <f t="shared" si="10"/>
        <v>0</v>
      </c>
      <c r="N102" s="39">
        <f>-'[36]Budget 2022'!EF50</f>
        <v>0</v>
      </c>
      <c r="O102" s="39">
        <f>-'[36]Budget 2022'!EG50</f>
        <v>0</v>
      </c>
      <c r="P102" s="39">
        <f>-'[36]Budget 2022'!EH50</f>
        <v>0</v>
      </c>
      <c r="Q102" s="39">
        <f t="shared" si="11"/>
        <v>0</v>
      </c>
      <c r="R102" s="39">
        <f t="shared" si="44"/>
        <v>0</v>
      </c>
    </row>
    <row r="103" spans="1:19" ht="18" hidden="1" outlineLevel="1">
      <c r="A103" s="38" t="s">
        <v>206</v>
      </c>
      <c r="B103" s="39">
        <f>-'[36]Budget 2022'!DT61</f>
        <v>25125</v>
      </c>
      <c r="C103" s="39">
        <f>-'[36]Budget 2022'!DU61</f>
        <v>25125</v>
      </c>
      <c r="D103" s="39">
        <f>-'[36]Budget 2022'!DV61</f>
        <v>25125</v>
      </c>
      <c r="E103" s="39">
        <f t="shared" si="43"/>
        <v>75375</v>
      </c>
      <c r="F103" s="39">
        <f>-'[36]Budget 2022'!DX61</f>
        <v>25125</v>
      </c>
      <c r="G103" s="39">
        <f>-'[36]Budget 2022'!DY61</f>
        <v>25125</v>
      </c>
      <c r="H103" s="39">
        <f>-'[36]Budget 2022'!DZ61</f>
        <v>25125</v>
      </c>
      <c r="I103" s="39">
        <f t="shared" si="9"/>
        <v>75375</v>
      </c>
      <c r="J103" s="39">
        <f>-'[36]Budget 2022'!EB61</f>
        <v>25125</v>
      </c>
      <c r="K103" s="39">
        <f>-'[36]Budget 2022'!EC61</f>
        <v>25125</v>
      </c>
      <c r="L103" s="39">
        <f>-'[36]Budget 2022'!ED61</f>
        <v>25125</v>
      </c>
      <c r="M103" s="39">
        <f t="shared" si="10"/>
        <v>75375</v>
      </c>
      <c r="N103" s="39">
        <f>-'[36]Budget 2022'!EF61</f>
        <v>25125</v>
      </c>
      <c r="O103" s="39">
        <f>-'[36]Budget 2022'!EG61</f>
        <v>25125</v>
      </c>
      <c r="P103" s="39">
        <f>-'[36]Budget 2022'!EH61</f>
        <v>25125</v>
      </c>
      <c r="Q103" s="39">
        <f t="shared" si="11"/>
        <v>75375</v>
      </c>
      <c r="R103" s="39">
        <f t="shared" si="44"/>
        <v>301500</v>
      </c>
    </row>
    <row r="104" spans="1:19" ht="18" hidden="1" outlineLevel="1">
      <c r="A104" s="38" t="s">
        <v>207</v>
      </c>
      <c r="B104" s="39">
        <f>-'[36]Budget 2022'!DT63</f>
        <v>0</v>
      </c>
      <c r="C104" s="39">
        <f>-'[36]Budget 2022'!DU63</f>
        <v>0</v>
      </c>
      <c r="D104" s="39">
        <f>-'[36]Budget 2022'!DV63</f>
        <v>0</v>
      </c>
      <c r="E104" s="39">
        <f t="shared" si="43"/>
        <v>0</v>
      </c>
      <c r="F104" s="39">
        <f>-'[36]Budget 2022'!DX63</f>
        <v>0</v>
      </c>
      <c r="G104" s="39">
        <f>-'[36]Budget 2022'!DY63</f>
        <v>0</v>
      </c>
      <c r="H104" s="39">
        <f>-'[36]Budget 2022'!DZ63</f>
        <v>0</v>
      </c>
      <c r="I104" s="39">
        <f t="shared" si="9"/>
        <v>0</v>
      </c>
      <c r="J104" s="39">
        <f>-'[36]Budget 2022'!EB63</f>
        <v>0</v>
      </c>
      <c r="K104" s="39">
        <f>-'[36]Budget 2022'!EC63</f>
        <v>0</v>
      </c>
      <c r="L104" s="39">
        <f>-'[36]Budget 2022'!ED63</f>
        <v>0</v>
      </c>
      <c r="M104" s="39">
        <f t="shared" si="10"/>
        <v>0</v>
      </c>
      <c r="N104" s="39">
        <f>-'[36]Budget 2022'!EF63</f>
        <v>0</v>
      </c>
      <c r="O104" s="39">
        <f>-'[36]Budget 2022'!EG63</f>
        <v>0</v>
      </c>
      <c r="P104" s="39">
        <f>-'[36]Budget 2022'!EH63</f>
        <v>0</v>
      </c>
      <c r="Q104" s="39">
        <f t="shared" si="11"/>
        <v>0</v>
      </c>
      <c r="R104" s="39">
        <f t="shared" si="44"/>
        <v>0</v>
      </c>
    </row>
    <row r="105" spans="1:19" ht="18" hidden="1" outlineLevel="1">
      <c r="A105" s="38" t="s">
        <v>208</v>
      </c>
      <c r="B105" s="39">
        <f>-'[36]Budget 2022'!DT74</f>
        <v>0</v>
      </c>
      <c r="C105" s="39">
        <f>-'[36]Budget 2022'!DU74</f>
        <v>0</v>
      </c>
      <c r="D105" s="39">
        <f>-'[36]Budget 2022'!DV74</f>
        <v>0</v>
      </c>
      <c r="E105" s="39">
        <f t="shared" si="43"/>
        <v>0</v>
      </c>
      <c r="F105" s="39">
        <f>-'[36]Budget 2022'!DX74</f>
        <v>0</v>
      </c>
      <c r="G105" s="39">
        <f>-'[36]Budget 2022'!DY74</f>
        <v>0</v>
      </c>
      <c r="H105" s="39">
        <f>-'[36]Budget 2022'!DZ74</f>
        <v>0</v>
      </c>
      <c r="I105" s="39">
        <f t="shared" si="9"/>
        <v>0</v>
      </c>
      <c r="J105" s="39">
        <f>-'[36]Budget 2022'!EB74</f>
        <v>0</v>
      </c>
      <c r="K105" s="39">
        <f>-'[36]Budget 2022'!EC74</f>
        <v>0</v>
      </c>
      <c r="L105" s="39">
        <f>-'[36]Budget 2022'!ED74</f>
        <v>0</v>
      </c>
      <c r="M105" s="39">
        <f t="shared" si="10"/>
        <v>0</v>
      </c>
      <c r="N105" s="39">
        <f>-'[36]Budget 2022'!EF74</f>
        <v>0</v>
      </c>
      <c r="O105" s="39">
        <f>-'[36]Budget 2022'!EG74</f>
        <v>0</v>
      </c>
      <c r="P105" s="39">
        <f>-'[36]Budget 2022'!EH74</f>
        <v>0</v>
      </c>
      <c r="Q105" s="39">
        <f t="shared" si="11"/>
        <v>0</v>
      </c>
      <c r="R105" s="39">
        <f t="shared" si="44"/>
        <v>0</v>
      </c>
    </row>
    <row r="106" spans="1:19" s="35" customFormat="1" ht="31.8" collapsed="1" thickBot="1">
      <c r="A106" s="31" t="s">
        <v>217</v>
      </c>
      <c r="B106" s="32">
        <f>SUM(B107,B110)</f>
        <v>1009808.49</v>
      </c>
      <c r="C106" s="32">
        <f>SUM(C107,C110)</f>
        <v>1868999.61</v>
      </c>
      <c r="D106" s="32">
        <f>SUM(D107,D110)</f>
        <v>1517970.35</v>
      </c>
      <c r="E106" s="32">
        <f t="shared" si="8"/>
        <v>4396778.45</v>
      </c>
      <c r="F106" s="32">
        <f>SUM(F107,F110)</f>
        <v>1508038.33</v>
      </c>
      <c r="G106" s="32">
        <f>SUM(G107,G110)</f>
        <v>1508038.33</v>
      </c>
      <c r="H106" s="32">
        <f>SUM(H107,H110)</f>
        <v>1508038.33</v>
      </c>
      <c r="I106" s="32">
        <f t="shared" si="9"/>
        <v>4524114.99</v>
      </c>
      <c r="J106" s="32">
        <f>SUM(J107,J110)</f>
        <v>1405675.6600000001</v>
      </c>
      <c r="K106" s="32">
        <f>SUM(K107,K110)</f>
        <v>1405675.6600000001</v>
      </c>
      <c r="L106" s="32">
        <f>SUM(L107,L110)</f>
        <v>977357.49</v>
      </c>
      <c r="M106" s="32">
        <f t="shared" si="10"/>
        <v>3788708.8100000005</v>
      </c>
      <c r="N106" s="32">
        <f>SUM(N107,N110)</f>
        <v>978350.69000000006</v>
      </c>
      <c r="O106" s="32">
        <f>SUM(O107,O110)</f>
        <v>616008.9</v>
      </c>
      <c r="P106" s="32">
        <f>SUM(P107,P110)</f>
        <v>616008.9</v>
      </c>
      <c r="Q106" s="32">
        <f t="shared" si="11"/>
        <v>2210368.4900000002</v>
      </c>
      <c r="R106" s="61">
        <f>SUM(R107,R110)</f>
        <v>14919970.74</v>
      </c>
      <c r="S106" s="34"/>
    </row>
    <row r="107" spans="1:19" ht="18.75" hidden="1" customHeight="1" outlineLevel="1">
      <c r="A107" s="36" t="s">
        <v>197</v>
      </c>
      <c r="B107" s="42">
        <f>SUM(B108:B109)</f>
        <v>521016.98</v>
      </c>
      <c r="C107" s="42">
        <f t="shared" ref="C107:D107" si="45">SUM(C108:C109)</f>
        <v>1380208.1</v>
      </c>
      <c r="D107" s="42">
        <f t="shared" si="45"/>
        <v>1029178.8400000001</v>
      </c>
      <c r="E107" s="42">
        <f t="shared" si="8"/>
        <v>2930403.92</v>
      </c>
      <c r="F107" s="42">
        <f>SUM(F108:F109)</f>
        <v>1029178.8400000001</v>
      </c>
      <c r="G107" s="42">
        <f>SUM(G108:G109)</f>
        <v>1029178.8400000001</v>
      </c>
      <c r="H107" s="42">
        <f>SUM(H108:H109)</f>
        <v>1029178.8400000001</v>
      </c>
      <c r="I107" s="42">
        <f t="shared" si="9"/>
        <v>3087536.5200000005</v>
      </c>
      <c r="J107" s="42">
        <f>SUM(J108:J109)</f>
        <v>971242.08000000007</v>
      </c>
      <c r="K107" s="42">
        <f>SUM(K108:K109)</f>
        <v>971242.08000000007</v>
      </c>
      <c r="L107" s="42">
        <f>SUM(L108:L109)</f>
        <v>542923.91</v>
      </c>
      <c r="M107" s="42">
        <f t="shared" si="10"/>
        <v>2485408.0700000003</v>
      </c>
      <c r="N107" s="42">
        <f>SUM(N108:N109)</f>
        <v>542923.91</v>
      </c>
      <c r="O107" s="42">
        <f>SUM(O108:O109)</f>
        <v>180582.12</v>
      </c>
      <c r="P107" s="42">
        <f>SUM(P108:P109)</f>
        <v>180582.12</v>
      </c>
      <c r="Q107" s="42">
        <f t="shared" si="11"/>
        <v>904088.15</v>
      </c>
      <c r="R107" s="42">
        <f>SUM(R108:R109)</f>
        <v>9407436.6600000001</v>
      </c>
    </row>
    <row r="108" spans="1:19" ht="18.75" hidden="1" customHeight="1" outlineLevel="1">
      <c r="A108" s="38" t="s">
        <v>198</v>
      </c>
      <c r="B108" s="39">
        <f>-'[36]Budget 2022'!CL7</f>
        <v>92698.81</v>
      </c>
      <c r="C108" s="39">
        <f>-'[36]Budget 2022'!CM7</f>
        <v>771307.81</v>
      </c>
      <c r="D108" s="39">
        <f>-'[36]Budget 2022'!CN7</f>
        <v>420278.55000000005</v>
      </c>
      <c r="E108" s="39">
        <f t="shared" si="8"/>
        <v>1284285.1700000002</v>
      </c>
      <c r="F108" s="39">
        <f>-'[36]Budget 2022'!CP7</f>
        <v>420278.55000000005</v>
      </c>
      <c r="G108" s="39">
        <f>-'[36]Budget 2022'!CQ7</f>
        <v>420278.55000000005</v>
      </c>
      <c r="H108" s="39">
        <f>-'[36]Budget 2022'!CR7</f>
        <v>420278.55000000005</v>
      </c>
      <c r="I108" s="39">
        <f t="shared" si="9"/>
        <v>1260835.6500000001</v>
      </c>
      <c r="J108" s="39">
        <f>-'[36]Budget 2022'!CT7</f>
        <v>362341.79000000004</v>
      </c>
      <c r="K108" s="39">
        <f>-'[36]Budget 2022'!CU7</f>
        <v>362341.79000000004</v>
      </c>
      <c r="L108" s="39">
        <f>-'[36]Budget 2022'!CV7</f>
        <v>362341.79000000004</v>
      </c>
      <c r="M108" s="39">
        <f t="shared" si="10"/>
        <v>1087025.3700000001</v>
      </c>
      <c r="N108" s="39">
        <f>-'[36]Budget 2022'!CX7</f>
        <v>362341.79000000004</v>
      </c>
      <c r="O108" s="39">
        <f>-'[36]Budget 2022'!CY7</f>
        <v>0</v>
      </c>
      <c r="P108" s="39">
        <f>-'[36]Budget 2022'!CZ7</f>
        <v>0</v>
      </c>
      <c r="Q108" s="39">
        <f t="shared" si="11"/>
        <v>362341.79000000004</v>
      </c>
      <c r="R108" s="39">
        <f>SUM(E108,I108,M108,Q108)</f>
        <v>3994487.9800000004</v>
      </c>
    </row>
    <row r="109" spans="1:19" ht="18.75" hidden="1" customHeight="1" outlineLevel="1">
      <c r="A109" s="38" t="s">
        <v>199</v>
      </c>
      <c r="B109" s="39">
        <f>-'[36]Budget 2022'!CL17</f>
        <v>428318.17</v>
      </c>
      <c r="C109" s="39">
        <f>-'[36]Budget 2022'!CM17</f>
        <v>608900.29</v>
      </c>
      <c r="D109" s="39">
        <f>-'[36]Budget 2022'!CN17</f>
        <v>608900.29</v>
      </c>
      <c r="E109" s="39">
        <f t="shared" si="8"/>
        <v>1646118.75</v>
      </c>
      <c r="F109" s="39">
        <f>-'[36]Budget 2022'!CP17</f>
        <v>608900.29</v>
      </c>
      <c r="G109" s="39">
        <f>-'[36]Budget 2022'!CQ17</f>
        <v>608900.29</v>
      </c>
      <c r="H109" s="39">
        <f>-'[36]Budget 2022'!CR17</f>
        <v>608900.29</v>
      </c>
      <c r="I109" s="39">
        <f t="shared" si="9"/>
        <v>1826700.87</v>
      </c>
      <c r="J109" s="39">
        <f>-'[36]Budget 2022'!CT17</f>
        <v>608900.29</v>
      </c>
      <c r="K109" s="39">
        <f>-'[36]Budget 2022'!CU17</f>
        <v>608900.29</v>
      </c>
      <c r="L109" s="39">
        <f>-'[36]Budget 2022'!CV17</f>
        <v>180582.12</v>
      </c>
      <c r="M109" s="39">
        <f t="shared" si="10"/>
        <v>1398382.7000000002</v>
      </c>
      <c r="N109" s="39">
        <f>-'[36]Budget 2022'!CX17</f>
        <v>180582.12</v>
      </c>
      <c r="O109" s="39">
        <f>-'[36]Budget 2022'!CY17</f>
        <v>180582.12</v>
      </c>
      <c r="P109" s="39">
        <f>-'[36]Budget 2022'!CZ17</f>
        <v>180582.12</v>
      </c>
      <c r="Q109" s="39">
        <f t="shared" si="11"/>
        <v>541746.36</v>
      </c>
      <c r="R109" s="39">
        <f>SUM(E109,I109,M109,Q109)</f>
        <v>5412948.6800000006</v>
      </c>
    </row>
    <row r="110" spans="1:19" ht="18.75" hidden="1" customHeight="1" outlineLevel="1">
      <c r="A110" s="36" t="s">
        <v>200</v>
      </c>
      <c r="B110" s="42">
        <f>SUM(B111:B118)</f>
        <v>488791.51</v>
      </c>
      <c r="C110" s="42">
        <f>SUM(C111:C118)</f>
        <v>488791.51</v>
      </c>
      <c r="D110" s="42">
        <f>SUM(D111:D118)</f>
        <v>488791.51</v>
      </c>
      <c r="E110" s="42">
        <f t="shared" si="8"/>
        <v>1466374.53</v>
      </c>
      <c r="F110" s="42">
        <f>SUM(F111:F118)</f>
        <v>478859.49</v>
      </c>
      <c r="G110" s="42">
        <f>SUM(G111:G118)</f>
        <v>478859.49</v>
      </c>
      <c r="H110" s="42">
        <f>SUM(H111:H118)</f>
        <v>478859.49</v>
      </c>
      <c r="I110" s="42">
        <f t="shared" si="9"/>
        <v>1436578.47</v>
      </c>
      <c r="J110" s="42">
        <f>SUM(J111:J118)</f>
        <v>434433.57999999996</v>
      </c>
      <c r="K110" s="42">
        <f>SUM(K111:K118)</f>
        <v>434433.57999999996</v>
      </c>
      <c r="L110" s="42">
        <f>SUM(L111:L118)</f>
        <v>434433.57999999996</v>
      </c>
      <c r="M110" s="42">
        <f t="shared" si="10"/>
        <v>1303300.7399999998</v>
      </c>
      <c r="N110" s="42">
        <f>SUM(N111:N118)</f>
        <v>435426.78</v>
      </c>
      <c r="O110" s="42">
        <f>SUM(O111:O118)</f>
        <v>435426.78</v>
      </c>
      <c r="P110" s="42">
        <f>SUM(P111:P118)</f>
        <v>435426.78</v>
      </c>
      <c r="Q110" s="42">
        <f t="shared" si="11"/>
        <v>1306280.3400000001</v>
      </c>
      <c r="R110" s="42">
        <f>SUM(R111:R118)</f>
        <v>5512534.0800000001</v>
      </c>
    </row>
    <row r="111" spans="1:19" ht="18.75" hidden="1" customHeight="1" outlineLevel="1">
      <c r="A111" s="38" t="s">
        <v>201</v>
      </c>
      <c r="B111" s="39">
        <f>-'[36]Budget 2022'!CL24</f>
        <v>97282.420000000013</v>
      </c>
      <c r="C111" s="39">
        <f>-'[36]Budget 2022'!CM24</f>
        <v>97282.420000000013</v>
      </c>
      <c r="D111" s="39">
        <f>-'[36]Budget 2022'!CN24</f>
        <v>97282.420000000013</v>
      </c>
      <c r="E111" s="39">
        <f t="shared" si="8"/>
        <v>291847.26</v>
      </c>
      <c r="F111" s="39">
        <f>-'[36]Budget 2022'!CP24</f>
        <v>87350.399999999994</v>
      </c>
      <c r="G111" s="39">
        <f>-'[36]Budget 2022'!CQ24</f>
        <v>87350.399999999994</v>
      </c>
      <c r="H111" s="39">
        <f>-'[36]Budget 2022'!CR24</f>
        <v>87350.399999999994</v>
      </c>
      <c r="I111" s="39">
        <f t="shared" si="9"/>
        <v>262051.19999999998</v>
      </c>
      <c r="J111" s="39">
        <f>-'[36]Budget 2022'!CT24</f>
        <v>42924.490000000005</v>
      </c>
      <c r="K111" s="39">
        <f>-'[36]Budget 2022'!CU24</f>
        <v>42924.490000000005</v>
      </c>
      <c r="L111" s="39">
        <f>-'[36]Budget 2022'!CV24</f>
        <v>42924.490000000005</v>
      </c>
      <c r="M111" s="39">
        <f t="shared" si="10"/>
        <v>128773.47000000002</v>
      </c>
      <c r="N111" s="39">
        <f>-'[36]Budget 2022'!CX24</f>
        <v>22347.040000000001</v>
      </c>
      <c r="O111" s="39">
        <f>-'[36]Budget 2022'!CY24</f>
        <v>22347.040000000001</v>
      </c>
      <c r="P111" s="39">
        <f>-'[36]Budget 2022'!CZ24</f>
        <v>22347.040000000001</v>
      </c>
      <c r="Q111" s="39">
        <f t="shared" si="11"/>
        <v>67041.119999999995</v>
      </c>
      <c r="R111" s="39">
        <f>SUM(E111,I111,M111,Q111)</f>
        <v>749713.04999999993</v>
      </c>
    </row>
    <row r="112" spans="1:19" ht="18.75" hidden="1" customHeight="1" outlineLevel="1">
      <c r="A112" s="38" t="s">
        <v>202</v>
      </c>
      <c r="B112" s="39">
        <f>-'[36]Budget 2022'!CL30</f>
        <v>184592.09999999998</v>
      </c>
      <c r="C112" s="39">
        <f>-'[36]Budget 2022'!CM30</f>
        <v>184592.09999999998</v>
      </c>
      <c r="D112" s="39">
        <f>-'[36]Budget 2022'!CN30</f>
        <v>184592.09999999998</v>
      </c>
      <c r="E112" s="39">
        <f t="shared" si="8"/>
        <v>553776.29999999993</v>
      </c>
      <c r="F112" s="39">
        <f>-'[36]Budget 2022'!CP30</f>
        <v>184592.09999999998</v>
      </c>
      <c r="G112" s="39">
        <f>-'[36]Budget 2022'!CQ30</f>
        <v>184592.09999999998</v>
      </c>
      <c r="H112" s="39">
        <f>-'[36]Budget 2022'!CR30</f>
        <v>184592.09999999998</v>
      </c>
      <c r="I112" s="39">
        <f t="shared" si="9"/>
        <v>553776.29999999993</v>
      </c>
      <c r="J112" s="39">
        <f>-'[36]Budget 2022'!CT30</f>
        <v>184592.09999999998</v>
      </c>
      <c r="K112" s="39">
        <f>-'[36]Budget 2022'!CU30</f>
        <v>184592.09999999998</v>
      </c>
      <c r="L112" s="39">
        <f>-'[36]Budget 2022'!CV30</f>
        <v>184592.09999999998</v>
      </c>
      <c r="M112" s="39">
        <f t="shared" si="10"/>
        <v>553776.29999999993</v>
      </c>
      <c r="N112" s="39">
        <f>-'[36]Budget 2022'!CX30</f>
        <v>206162.75</v>
      </c>
      <c r="O112" s="39">
        <f>-'[36]Budget 2022'!CY30</f>
        <v>206162.75</v>
      </c>
      <c r="P112" s="39">
        <f>-'[36]Budget 2022'!CZ30</f>
        <v>206162.75</v>
      </c>
      <c r="Q112" s="39">
        <f t="shared" si="11"/>
        <v>618488.25</v>
      </c>
      <c r="R112" s="39">
        <f t="shared" ref="R112:R113" si="46">SUM(E112,I112,M112,Q112)</f>
        <v>2279817.15</v>
      </c>
    </row>
    <row r="113" spans="1:28" ht="18.75" hidden="1" customHeight="1" outlineLevel="1">
      <c r="A113" s="38" t="s">
        <v>203</v>
      </c>
      <c r="B113" s="39">
        <f>-'[36]Budget 2022'!CL37</f>
        <v>0</v>
      </c>
      <c r="C113" s="39">
        <f>-'[36]Budget 2022'!CM37</f>
        <v>0</v>
      </c>
      <c r="D113" s="39">
        <f>-'[36]Budget 2022'!CN37</f>
        <v>0</v>
      </c>
      <c r="E113" s="39">
        <f t="shared" si="8"/>
        <v>0</v>
      </c>
      <c r="F113" s="39">
        <f>-'[36]Budget 2022'!CP37</f>
        <v>0</v>
      </c>
      <c r="G113" s="39">
        <f>-'[36]Budget 2022'!CQ37</f>
        <v>0</v>
      </c>
      <c r="H113" s="39">
        <f>-'[36]Budget 2022'!CR37</f>
        <v>0</v>
      </c>
      <c r="I113" s="39">
        <f t="shared" si="9"/>
        <v>0</v>
      </c>
      <c r="J113" s="39">
        <f>-'[36]Budget 2022'!CT37</f>
        <v>0</v>
      </c>
      <c r="K113" s="39">
        <f>-'[36]Budget 2022'!CU37</f>
        <v>0</v>
      </c>
      <c r="L113" s="39">
        <f>-'[36]Budget 2022'!CV37</f>
        <v>0</v>
      </c>
      <c r="M113" s="39">
        <f t="shared" si="10"/>
        <v>0</v>
      </c>
      <c r="N113" s="39">
        <f>-'[36]Budget 2022'!CX37</f>
        <v>0</v>
      </c>
      <c r="O113" s="39">
        <f>-'[36]Budget 2022'!CY37</f>
        <v>0</v>
      </c>
      <c r="P113" s="39">
        <f>-'[36]Budget 2022'!CZ37</f>
        <v>0</v>
      </c>
      <c r="Q113" s="39">
        <f t="shared" si="11"/>
        <v>0</v>
      </c>
      <c r="R113" s="39">
        <f t="shared" si="46"/>
        <v>0</v>
      </c>
    </row>
    <row r="114" spans="1:28" ht="18.75" hidden="1" customHeight="1" outlineLevel="1">
      <c r="A114" s="38" t="s">
        <v>204</v>
      </c>
      <c r="B114" s="39">
        <f>-'[36]Budget 2022'!CL48</f>
        <v>20691.7</v>
      </c>
      <c r="C114" s="39">
        <f>-'[36]Budget 2022'!CM48</f>
        <v>20691.7</v>
      </c>
      <c r="D114" s="39">
        <f>-'[36]Budget 2022'!CN48</f>
        <v>20691.7</v>
      </c>
      <c r="E114" s="39">
        <f t="shared" si="8"/>
        <v>62075.100000000006</v>
      </c>
      <c r="F114" s="39">
        <f>-'[36]Budget 2022'!CP48</f>
        <v>20691.7</v>
      </c>
      <c r="G114" s="39">
        <f>-'[36]Budget 2022'!CQ48</f>
        <v>20691.7</v>
      </c>
      <c r="H114" s="39">
        <f>-'[36]Budget 2022'!CR48</f>
        <v>20691.7</v>
      </c>
      <c r="I114" s="39">
        <f t="shared" si="9"/>
        <v>62075.100000000006</v>
      </c>
      <c r="J114" s="39">
        <f>-'[36]Budget 2022'!CT48</f>
        <v>20691.7</v>
      </c>
      <c r="K114" s="39">
        <f>-'[36]Budget 2022'!CU48</f>
        <v>20691.7</v>
      </c>
      <c r="L114" s="39">
        <f>-'[36]Budget 2022'!CV48</f>
        <v>20691.7</v>
      </c>
      <c r="M114" s="39">
        <f t="shared" si="10"/>
        <v>62075.100000000006</v>
      </c>
      <c r="N114" s="39">
        <f>-'[36]Budget 2022'!CX48</f>
        <v>20691.7</v>
      </c>
      <c r="O114" s="39">
        <f>-'[36]Budget 2022'!CY48</f>
        <v>20691.7</v>
      </c>
      <c r="P114" s="39">
        <f>-'[36]Budget 2022'!CZ48</f>
        <v>20691.7</v>
      </c>
      <c r="Q114" s="39">
        <f t="shared" si="11"/>
        <v>62075.100000000006</v>
      </c>
      <c r="R114" s="39">
        <f>SUM(E114,I114,M114,Q114)</f>
        <v>248300.40000000002</v>
      </c>
    </row>
    <row r="115" spans="1:28" ht="18.75" hidden="1" customHeight="1" outlineLevel="1">
      <c r="A115" s="38" t="s">
        <v>205</v>
      </c>
      <c r="B115" s="39">
        <f>-'[36]Budget 2022'!CL50</f>
        <v>0</v>
      </c>
      <c r="C115" s="39">
        <f>-'[36]Budget 2022'!CM50</f>
        <v>0</v>
      </c>
      <c r="D115" s="39">
        <f>-'[36]Budget 2022'!CN50</f>
        <v>0</v>
      </c>
      <c r="E115" s="39">
        <f t="shared" si="8"/>
        <v>0</v>
      </c>
      <c r="F115" s="39">
        <f>-'[36]Budget 2022'!CP50</f>
        <v>0</v>
      </c>
      <c r="G115" s="39">
        <f>-'[36]Budget 2022'!CQ50</f>
        <v>0</v>
      </c>
      <c r="H115" s="39">
        <f>-'[36]Budget 2022'!CR50</f>
        <v>0</v>
      </c>
      <c r="I115" s="39">
        <f t="shared" si="9"/>
        <v>0</v>
      </c>
      <c r="J115" s="39">
        <f>-'[36]Budget 2022'!CT50</f>
        <v>0</v>
      </c>
      <c r="K115" s="39">
        <f>-'[36]Budget 2022'!CU50</f>
        <v>0</v>
      </c>
      <c r="L115" s="39">
        <f>-'[36]Budget 2022'!CV50</f>
        <v>0</v>
      </c>
      <c r="M115" s="39">
        <f t="shared" si="10"/>
        <v>0</v>
      </c>
      <c r="N115" s="39">
        <f>-'[36]Budget 2022'!CX50</f>
        <v>0</v>
      </c>
      <c r="O115" s="39">
        <f>-'[36]Budget 2022'!CY50</f>
        <v>0</v>
      </c>
      <c r="P115" s="39">
        <f>-'[36]Budget 2022'!CZ50</f>
        <v>0</v>
      </c>
      <c r="Q115" s="39">
        <f t="shared" si="11"/>
        <v>0</v>
      </c>
      <c r="R115" s="39">
        <f>SUM(E115,I115,M115,Q115)</f>
        <v>0</v>
      </c>
    </row>
    <row r="116" spans="1:28" ht="18.75" hidden="1" customHeight="1" outlineLevel="1">
      <c r="A116" s="38" t="s">
        <v>206</v>
      </c>
      <c r="B116" s="39">
        <f>-'[36]Budget 2022'!CL61</f>
        <v>20691.7</v>
      </c>
      <c r="C116" s="39">
        <f>-'[36]Budget 2022'!CM61</f>
        <v>20691.7</v>
      </c>
      <c r="D116" s="39">
        <f>-'[36]Budget 2022'!CN61</f>
        <v>20691.7</v>
      </c>
      <c r="E116" s="39">
        <f t="shared" si="8"/>
        <v>62075.100000000006</v>
      </c>
      <c r="F116" s="39">
        <f>-'[36]Budget 2022'!CP61</f>
        <v>20691.7</v>
      </c>
      <c r="G116" s="39">
        <f>-'[36]Budget 2022'!CQ61</f>
        <v>20691.7</v>
      </c>
      <c r="H116" s="39">
        <f>-'[36]Budget 2022'!CR61</f>
        <v>20691.7</v>
      </c>
      <c r="I116" s="39">
        <f t="shared" si="9"/>
        <v>62075.100000000006</v>
      </c>
      <c r="J116" s="39">
        <f>-'[36]Budget 2022'!CT61</f>
        <v>20691.7</v>
      </c>
      <c r="K116" s="39">
        <f>-'[36]Budget 2022'!CU61</f>
        <v>20691.7</v>
      </c>
      <c r="L116" s="39">
        <f>-'[36]Budget 2022'!CV61</f>
        <v>20691.7</v>
      </c>
      <c r="M116" s="39">
        <f t="shared" si="10"/>
        <v>62075.100000000006</v>
      </c>
      <c r="N116" s="39">
        <f>-'[36]Budget 2022'!CX61</f>
        <v>20691.7</v>
      </c>
      <c r="O116" s="39">
        <f>-'[36]Budget 2022'!CY61</f>
        <v>20691.7</v>
      </c>
      <c r="P116" s="39">
        <f>-'[36]Budget 2022'!CZ61</f>
        <v>20691.7</v>
      </c>
      <c r="Q116" s="39">
        <f t="shared" si="11"/>
        <v>62075.100000000006</v>
      </c>
      <c r="R116" s="39">
        <f>SUM(E116,I116,M116,Q116)</f>
        <v>248300.40000000002</v>
      </c>
    </row>
    <row r="117" spans="1:28" ht="18.75" hidden="1" customHeight="1" outlineLevel="1">
      <c r="A117" s="38" t="s">
        <v>207</v>
      </c>
      <c r="B117" s="39">
        <f>-'[36]Budget 2022'!CL63</f>
        <v>0</v>
      </c>
      <c r="C117" s="39">
        <f>-'[36]Budget 2022'!CM63</f>
        <v>0</v>
      </c>
      <c r="D117" s="39">
        <f>-'[36]Budget 2022'!CN63</f>
        <v>0</v>
      </c>
      <c r="E117" s="39">
        <f t="shared" si="8"/>
        <v>0</v>
      </c>
      <c r="F117" s="39">
        <f>-'[36]Budget 2022'!CP63</f>
        <v>0</v>
      </c>
      <c r="G117" s="39">
        <f>-'[36]Budget 2022'!CQ63</f>
        <v>0</v>
      </c>
      <c r="H117" s="39">
        <f>-'[36]Budget 2022'!CR63</f>
        <v>0</v>
      </c>
      <c r="I117" s="39">
        <f t="shared" si="9"/>
        <v>0</v>
      </c>
      <c r="J117" s="39">
        <f>-'[36]Budget 2022'!CT63</f>
        <v>0</v>
      </c>
      <c r="K117" s="39">
        <f>-'[36]Budget 2022'!CU63</f>
        <v>0</v>
      </c>
      <c r="L117" s="39">
        <f>-'[36]Budget 2022'!CV63</f>
        <v>0</v>
      </c>
      <c r="M117" s="39">
        <f t="shared" si="10"/>
        <v>0</v>
      </c>
      <c r="N117" s="39">
        <f>-'[36]Budget 2022'!CX63</f>
        <v>0</v>
      </c>
      <c r="O117" s="39">
        <f>-'[36]Budget 2022'!CY63</f>
        <v>0</v>
      </c>
      <c r="P117" s="39">
        <f>-'[36]Budget 2022'!CZ63</f>
        <v>0</v>
      </c>
      <c r="Q117" s="39">
        <f t="shared" si="11"/>
        <v>0</v>
      </c>
      <c r="R117" s="39">
        <f>SUM(E117,I117,M117,Q117)</f>
        <v>0</v>
      </c>
    </row>
    <row r="118" spans="1:28" ht="19.5" hidden="1" customHeight="1" outlineLevel="1" thickBot="1">
      <c r="A118" s="38" t="s">
        <v>208</v>
      </c>
      <c r="B118" s="39">
        <f>-'[36]Budget 2022'!CL74</f>
        <v>165533.59</v>
      </c>
      <c r="C118" s="39">
        <f>-'[36]Budget 2022'!CM74</f>
        <v>165533.59</v>
      </c>
      <c r="D118" s="39">
        <f>-'[36]Budget 2022'!CN74</f>
        <v>165533.59</v>
      </c>
      <c r="E118" s="39">
        <f>SUM(B118:D118)</f>
        <v>496600.77</v>
      </c>
      <c r="F118" s="39">
        <f>-'[36]Budget 2022'!CP74</f>
        <v>165533.59</v>
      </c>
      <c r="G118" s="39">
        <f>-'[36]Budget 2022'!CQ74</f>
        <v>165533.59</v>
      </c>
      <c r="H118" s="39">
        <f>-'[36]Budget 2022'!CR74</f>
        <v>165533.59</v>
      </c>
      <c r="I118" s="39">
        <f t="shared" si="9"/>
        <v>496600.77</v>
      </c>
      <c r="J118" s="39">
        <f>-'[36]Budget 2022'!CT74</f>
        <v>165533.59</v>
      </c>
      <c r="K118" s="39">
        <f>-'[36]Budget 2022'!CU74</f>
        <v>165533.59</v>
      </c>
      <c r="L118" s="39">
        <f>-'[36]Budget 2022'!CV74</f>
        <v>165533.59</v>
      </c>
      <c r="M118" s="39">
        <f t="shared" si="10"/>
        <v>496600.77</v>
      </c>
      <c r="N118" s="39">
        <f>-'[36]Budget 2022'!CX74</f>
        <v>165533.59</v>
      </c>
      <c r="O118" s="39">
        <f>-'[36]Budget 2022'!CY74</f>
        <v>165533.59</v>
      </c>
      <c r="P118" s="39">
        <f>-'[36]Budget 2022'!CZ74</f>
        <v>165533.59</v>
      </c>
      <c r="Q118" s="39">
        <f t="shared" si="11"/>
        <v>496600.77</v>
      </c>
      <c r="R118" s="39">
        <f>SUM(E118,I118,M118,Q118)</f>
        <v>1986403.08</v>
      </c>
    </row>
    <row r="119" spans="1:28" ht="24.6" collapsed="1" thickTop="1" thickBot="1">
      <c r="A119" s="44" t="s">
        <v>218</v>
      </c>
      <c r="B119" s="45">
        <f>SUM(B26,B53,B80,B93,B106)</f>
        <v>24049520.836666662</v>
      </c>
      <c r="C119" s="45">
        <f t="shared" ref="C119" si="47">SUM(C26,C53,C80,C93,C106)</f>
        <v>24447215.096666656</v>
      </c>
      <c r="D119" s="45">
        <f>SUM(D26,D53,D80,D93,D106)</f>
        <v>27021331.056666661</v>
      </c>
      <c r="E119" s="45">
        <f t="shared" si="8"/>
        <v>75518066.98999998</v>
      </c>
      <c r="F119" s="45">
        <f>SUM(F26,F53,F80,F93,F106)</f>
        <v>26572016.166666657</v>
      </c>
      <c r="G119" s="45">
        <f t="shared" ref="G119:H119" si="48">SUM(G26,G53,G80,G93,G106)</f>
        <v>22983043.136666663</v>
      </c>
      <c r="H119" s="45">
        <f t="shared" si="48"/>
        <v>22062916.296666659</v>
      </c>
      <c r="I119" s="45">
        <f t="shared" si="9"/>
        <v>71617975.599999979</v>
      </c>
      <c r="J119" s="45">
        <f>SUM(J26,J53,J80,J93,J106)</f>
        <v>18430104.316666659</v>
      </c>
      <c r="K119" s="45">
        <f t="shared" ref="K119:L119" si="49">SUM(K26,K53,K80,K93,K106)</f>
        <v>15795384.316666659</v>
      </c>
      <c r="L119" s="45">
        <f t="shared" si="49"/>
        <v>13608927.60666666</v>
      </c>
      <c r="M119" s="45">
        <f t="shared" si="10"/>
        <v>47834416.23999998</v>
      </c>
      <c r="N119" s="45">
        <f>SUM(N26,N53,N80,N93,N106)</f>
        <v>13497812.656666659</v>
      </c>
      <c r="O119" s="45">
        <f>SUM(O26,O53,O80,O93,O106)</f>
        <v>11547373.66666666</v>
      </c>
      <c r="P119" s="45">
        <f t="shared" ref="P119" si="50">SUM(P26,P53,P80,P93,P106)</f>
        <v>11581406.66666666</v>
      </c>
      <c r="Q119" s="45">
        <f t="shared" si="11"/>
        <v>36626592.98999998</v>
      </c>
      <c r="R119" s="45">
        <f>SUM(R26,R53,R80,R93,R106)</f>
        <v>231597051.81999993</v>
      </c>
    </row>
    <row r="120" spans="1:28" ht="30" thickTop="1" thickBot="1">
      <c r="A120" s="46" t="s">
        <v>219</v>
      </c>
      <c r="B120" s="47">
        <f>B13-B119</f>
        <v>1948003.4866666608</v>
      </c>
      <c r="C120" s="47">
        <f>C13-C119</f>
        <v>3300309.2266666666</v>
      </c>
      <c r="D120" s="47">
        <f>D13-D119</f>
        <v>2586193.2666666619</v>
      </c>
      <c r="E120" s="47">
        <f t="shared" si="8"/>
        <v>7834505.9799999893</v>
      </c>
      <c r="F120" s="47">
        <f>F13-F119</f>
        <v>2277562.4833333418</v>
      </c>
      <c r="G120" s="47">
        <f>G13-G119</f>
        <v>5097252.5133333355</v>
      </c>
      <c r="H120" s="47">
        <f>H13-H119</f>
        <v>6508423.3533333391</v>
      </c>
      <c r="I120" s="47">
        <f t="shared" si="9"/>
        <v>13883238.350000016</v>
      </c>
      <c r="J120" s="47">
        <f>J13-J119</f>
        <v>1467595.0000000075</v>
      </c>
      <c r="K120" s="47">
        <f>K13-K119</f>
        <v>4102315.0000000075</v>
      </c>
      <c r="L120" s="47">
        <f>L13-L119</f>
        <v>6288771.7100000065</v>
      </c>
      <c r="M120" s="47">
        <f t="shared" si="10"/>
        <v>11858681.710000021</v>
      </c>
      <c r="N120" s="47">
        <f>N13-N119</f>
        <v>5356498.6600000076</v>
      </c>
      <c r="O120" s="47">
        <f>O13-O119</f>
        <v>6370325.650000006</v>
      </c>
      <c r="P120" s="47">
        <f>P13-P119</f>
        <v>6336292.650000006</v>
      </c>
      <c r="Q120" s="47">
        <f t="shared" si="11"/>
        <v>18063116.96000002</v>
      </c>
      <c r="R120" s="47">
        <f>R13-R119</f>
        <v>51639543.00000006</v>
      </c>
    </row>
    <row r="121" spans="1:28" ht="30" thickTop="1" thickBot="1">
      <c r="A121" s="46" t="s">
        <v>220</v>
      </c>
      <c r="B121" s="48">
        <f t="shared" ref="B121:Q121" si="51">B120/B13</f>
        <v>7.4930345768280976E-2</v>
      </c>
      <c r="C121" s="48">
        <f t="shared" si="51"/>
        <v>0.1189406733447346</v>
      </c>
      <c r="D121" s="48">
        <f t="shared" si="51"/>
        <v>8.734918997021697E-2</v>
      </c>
      <c r="E121" s="48">
        <f t="shared" si="51"/>
        <v>9.3992371211141415E-2</v>
      </c>
      <c r="F121" s="48">
        <f t="shared" si="51"/>
        <v>7.8946126422312302E-2</v>
      </c>
      <c r="G121" s="48">
        <f t="shared" si="51"/>
        <v>0.1815241754170539</v>
      </c>
      <c r="H121" s="48">
        <f t="shared" si="51"/>
        <v>0.22779552632329367</v>
      </c>
      <c r="I121" s="48">
        <f t="shared" si="51"/>
        <v>0.16237475128854609</v>
      </c>
      <c r="J121" s="48">
        <f t="shared" si="51"/>
        <v>7.3757019675672941E-2</v>
      </c>
      <c r="K121" s="48">
        <f t="shared" si="51"/>
        <v>0.20617031822185772</v>
      </c>
      <c r="L121" s="48">
        <f t="shared" si="51"/>
        <v>0.3160552187424211</v>
      </c>
      <c r="M121" s="48">
        <f t="shared" si="51"/>
        <v>0.19866085221331725</v>
      </c>
      <c r="N121" s="48">
        <f t="shared" si="51"/>
        <v>0.28409940676353518</v>
      </c>
      <c r="O121" s="48">
        <f t="shared" si="51"/>
        <v>0.35553256796057869</v>
      </c>
      <c r="P121" s="48">
        <f t="shared" si="51"/>
        <v>0.35363316115624954</v>
      </c>
      <c r="Q121" s="48">
        <f t="shared" si="51"/>
        <v>0.33028364890788781</v>
      </c>
      <c r="R121" s="49">
        <f>R120/R13</f>
        <v>0.18231945993001916</v>
      </c>
    </row>
    <row r="122" spans="1:28" ht="24" thickTop="1">
      <c r="A122" s="50" t="str">
        <f>A176</f>
        <v>GA,  SM , OSS , DMCC and Depreciation</v>
      </c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1"/>
      <c r="T122" s="1"/>
      <c r="U122" s="1"/>
      <c r="V122" s="1"/>
      <c r="W122" s="1"/>
      <c r="X122" s="1"/>
      <c r="Y122" s="1"/>
      <c r="Z122" s="1"/>
      <c r="AA122" s="15"/>
      <c r="AB122" s="15"/>
    </row>
    <row r="123" spans="1:28" ht="23.4">
      <c r="A123" s="51" t="s">
        <v>221</v>
      </c>
      <c r="B123" s="42">
        <f>SUM(B124,B128,B132,B136,B140)</f>
        <v>999625.77</v>
      </c>
      <c r="C123" s="42">
        <f>SUM(C124,C128,C132,C136,C140)</f>
        <v>1025225.77</v>
      </c>
      <c r="D123" s="42">
        <f>SUM(D124,D128,D132,D136,D140)</f>
        <v>999625.77</v>
      </c>
      <c r="E123" s="42">
        <f t="shared" si="8"/>
        <v>3024477.31</v>
      </c>
      <c r="F123" s="42">
        <f>SUM(F124,F128,F132,F136,F140)</f>
        <v>974025.77</v>
      </c>
      <c r="G123" s="42">
        <f>SUM(G124,G128,G132,G136,G140)</f>
        <v>999625.77</v>
      </c>
      <c r="H123" s="42">
        <f>SUM(H124,H128,H132,H136,H140)</f>
        <v>941200.77</v>
      </c>
      <c r="I123" s="42">
        <f t="shared" si="9"/>
        <v>2914852.31</v>
      </c>
      <c r="J123" s="42">
        <f>SUM(J124,J128,J132,J136,J140)</f>
        <v>1058050.77</v>
      </c>
      <c r="K123" s="42">
        <f>SUM(K124,K128,K132,K136,K140)</f>
        <v>999625.77</v>
      </c>
      <c r="L123" s="42">
        <f>SUM(L124,L128,L132,L136,L140)</f>
        <v>999625.77</v>
      </c>
      <c r="M123" s="42">
        <f t="shared" si="10"/>
        <v>3057302.31</v>
      </c>
      <c r="N123" s="42">
        <f>SUM(N124,N128,N132,N136,N140)</f>
        <v>999625.77</v>
      </c>
      <c r="O123" s="42">
        <f>SUM(O124,O128,O132,O136,O140)</f>
        <v>999625.77</v>
      </c>
      <c r="P123" s="42">
        <f>SUM(P124,P128,P132,P136,P140)</f>
        <v>999625.77</v>
      </c>
      <c r="Q123" s="42">
        <f t="shared" si="11"/>
        <v>2998877.31</v>
      </c>
      <c r="R123" s="42">
        <f t="shared" ref="R123:R142" si="52">SUM(E123,I123,M123,Q123)</f>
        <v>11995509.24</v>
      </c>
      <c r="S123" s="15"/>
      <c r="T123" s="15"/>
      <c r="U123" s="15"/>
      <c r="V123" s="15"/>
      <c r="W123" s="15"/>
      <c r="X123" s="15"/>
      <c r="Y123" s="15"/>
      <c r="Z123" s="15"/>
      <c r="AA123" s="15"/>
      <c r="AB123" s="15"/>
    </row>
    <row r="124" spans="1:28" s="35" customFormat="1" ht="31.2" hidden="1" outlineLevel="1">
      <c r="A124" s="31" t="s">
        <v>222</v>
      </c>
      <c r="B124" s="32">
        <f>SUM(B125:B127)</f>
        <v>999625.77</v>
      </c>
      <c r="C124" s="32">
        <f>SUM(C125:C127)</f>
        <v>1025225.77</v>
      </c>
      <c r="D124" s="32">
        <f>SUM(D125:D127)</f>
        <v>999625.77</v>
      </c>
      <c r="E124" s="32">
        <f t="shared" si="8"/>
        <v>3024477.31</v>
      </c>
      <c r="F124" s="32">
        <f>SUM(F125:F127)</f>
        <v>974025.77</v>
      </c>
      <c r="G124" s="32">
        <f>SUM(G125:G127)</f>
        <v>999625.77</v>
      </c>
      <c r="H124" s="32">
        <f>SUM(H125:H127)</f>
        <v>941200.77</v>
      </c>
      <c r="I124" s="32">
        <f t="shared" si="9"/>
        <v>2914852.31</v>
      </c>
      <c r="J124" s="32">
        <f>SUM(J125:J127)</f>
        <v>1058050.77</v>
      </c>
      <c r="K124" s="32">
        <f>SUM(K125:K127)</f>
        <v>999625.77</v>
      </c>
      <c r="L124" s="32">
        <f>SUM(L125:L127)</f>
        <v>999625.77</v>
      </c>
      <c r="M124" s="32">
        <f t="shared" si="10"/>
        <v>3057302.31</v>
      </c>
      <c r="N124" s="32">
        <f>SUM(N125:N127)</f>
        <v>999625.77</v>
      </c>
      <c r="O124" s="32">
        <f>SUM(O125:O127)</f>
        <v>999625.77</v>
      </c>
      <c r="P124" s="32">
        <f>SUM(P125:P127)</f>
        <v>999625.77</v>
      </c>
      <c r="Q124" s="32">
        <f t="shared" si="11"/>
        <v>2998877.31</v>
      </c>
      <c r="R124" s="33">
        <f t="shared" si="52"/>
        <v>11995509.24</v>
      </c>
    </row>
    <row r="125" spans="1:28" ht="21" hidden="1" outlineLevel="1">
      <c r="A125" s="52" t="s">
        <v>212</v>
      </c>
      <c r="B125" s="39">
        <f>'[36]Budget Forms'!E289</f>
        <v>620875.11</v>
      </c>
      <c r="C125" s="39">
        <f>'[36]Budget Forms'!F289</f>
        <v>646475.11</v>
      </c>
      <c r="D125" s="39">
        <f>'[36]Budget Forms'!G289</f>
        <v>620875.11</v>
      </c>
      <c r="E125" s="39">
        <f t="shared" si="8"/>
        <v>1888225.33</v>
      </c>
      <c r="F125" s="39">
        <f>'[36]Budget Forms'!H289</f>
        <v>595275.11</v>
      </c>
      <c r="G125" s="39">
        <f>'[36]Budget Forms'!I289</f>
        <v>620875.11</v>
      </c>
      <c r="H125" s="39">
        <f>'[36]Budget Forms'!J289</f>
        <v>562450.11</v>
      </c>
      <c r="I125" s="39">
        <f t="shared" si="9"/>
        <v>1778600.33</v>
      </c>
      <c r="J125" s="39">
        <f>'[36]Budget Forms'!K289</f>
        <v>679300.11</v>
      </c>
      <c r="K125" s="39">
        <f>'[36]Budget Forms'!L289</f>
        <v>620875.11</v>
      </c>
      <c r="L125" s="39">
        <f>'[36]Budget Forms'!M289</f>
        <v>620875.11</v>
      </c>
      <c r="M125" s="39">
        <f t="shared" si="10"/>
        <v>1921050.33</v>
      </c>
      <c r="N125" s="39">
        <f>'[36]Budget Forms'!N289</f>
        <v>620875.11</v>
      </c>
      <c r="O125" s="39">
        <f>'[36]Budget Forms'!O289</f>
        <v>620875.11</v>
      </c>
      <c r="P125" s="39">
        <f>'[36]Budget Forms'!P289</f>
        <v>620875.11</v>
      </c>
      <c r="Q125" s="39">
        <f t="shared" si="11"/>
        <v>1862625.33</v>
      </c>
      <c r="R125" s="39">
        <f t="shared" si="52"/>
        <v>7450501.3200000003</v>
      </c>
      <c r="S125" s="16"/>
      <c r="T125" s="16"/>
      <c r="U125" s="16"/>
      <c r="V125" s="16"/>
      <c r="W125" s="16"/>
      <c r="X125" s="16"/>
      <c r="Y125" s="16"/>
      <c r="Z125" s="16"/>
    </row>
    <row r="126" spans="1:28" ht="21" hidden="1" outlineLevel="1">
      <c r="A126" s="52" t="s">
        <v>216</v>
      </c>
      <c r="B126" s="39">
        <f>'[36]Budget Forms'!E290</f>
        <v>22500</v>
      </c>
      <c r="C126" s="39">
        <f>'[36]Budget Forms'!F290</f>
        <v>22500</v>
      </c>
      <c r="D126" s="39">
        <f>'[36]Budget Forms'!G290</f>
        <v>22500</v>
      </c>
      <c r="E126" s="39">
        <f t="shared" ref="E126:E144" si="53">SUM(B126:D126)</f>
        <v>67500</v>
      </c>
      <c r="F126" s="39">
        <f>'[36]Budget Forms'!H290</f>
        <v>22500</v>
      </c>
      <c r="G126" s="39">
        <f>'[36]Budget Forms'!I290</f>
        <v>22500</v>
      </c>
      <c r="H126" s="39">
        <f>'[36]Budget Forms'!J290</f>
        <v>22500</v>
      </c>
      <c r="I126" s="39">
        <f t="shared" ref="I126:I144" si="54">SUM(F126:H126)</f>
        <v>67500</v>
      </c>
      <c r="J126" s="39">
        <f>'[36]Budget Forms'!K290</f>
        <v>22500</v>
      </c>
      <c r="K126" s="39">
        <f>'[36]Budget Forms'!L290</f>
        <v>22500</v>
      </c>
      <c r="L126" s="39">
        <f>'[36]Budget Forms'!M290</f>
        <v>22500</v>
      </c>
      <c r="M126" s="39">
        <f t="shared" ref="M126:M144" si="55">SUM(J126:L126)</f>
        <v>67500</v>
      </c>
      <c r="N126" s="39">
        <f>'[36]Budget Forms'!N290</f>
        <v>22500</v>
      </c>
      <c r="O126" s="39">
        <f>'[36]Budget Forms'!O290</f>
        <v>22500</v>
      </c>
      <c r="P126" s="39">
        <f>'[36]Budget Forms'!P290</f>
        <v>22500</v>
      </c>
      <c r="Q126" s="39">
        <f t="shared" ref="Q126:Q144" si="56">SUM(N126:P126)</f>
        <v>67500</v>
      </c>
      <c r="R126" s="39">
        <f t="shared" si="52"/>
        <v>270000</v>
      </c>
      <c r="S126" s="16"/>
      <c r="T126" s="16"/>
      <c r="U126" s="16"/>
      <c r="V126" s="16"/>
      <c r="W126" s="16"/>
      <c r="X126" s="16"/>
      <c r="Y126" s="16"/>
      <c r="Z126" s="16"/>
    </row>
    <row r="127" spans="1:28" ht="21" hidden="1" outlineLevel="1">
      <c r="A127" s="52" t="s">
        <v>112</v>
      </c>
      <c r="B127" s="39">
        <f>'[36]Budget Forms'!E291</f>
        <v>356250.66</v>
      </c>
      <c r="C127" s="39">
        <f>'[36]Budget Forms'!F291</f>
        <v>356250.66</v>
      </c>
      <c r="D127" s="39">
        <f>'[36]Budget Forms'!G291</f>
        <v>356250.66</v>
      </c>
      <c r="E127" s="39">
        <f t="shared" si="53"/>
        <v>1068751.98</v>
      </c>
      <c r="F127" s="39">
        <f>'[36]Budget Forms'!H291</f>
        <v>356250.66</v>
      </c>
      <c r="G127" s="39">
        <f>'[36]Budget Forms'!I291</f>
        <v>356250.66</v>
      </c>
      <c r="H127" s="39">
        <f>'[36]Budget Forms'!J291</f>
        <v>356250.66</v>
      </c>
      <c r="I127" s="39">
        <f t="shared" si="54"/>
        <v>1068751.98</v>
      </c>
      <c r="J127" s="39">
        <f>'[36]Budget Forms'!K291</f>
        <v>356250.66</v>
      </c>
      <c r="K127" s="39">
        <f>'[36]Budget Forms'!L291</f>
        <v>356250.66</v>
      </c>
      <c r="L127" s="39">
        <f>'[36]Budget Forms'!M291</f>
        <v>356250.66</v>
      </c>
      <c r="M127" s="39">
        <f t="shared" si="55"/>
        <v>1068751.98</v>
      </c>
      <c r="N127" s="39">
        <f>'[36]Budget Forms'!N291</f>
        <v>356250.66</v>
      </c>
      <c r="O127" s="39">
        <f>'[36]Budget Forms'!O291</f>
        <v>356250.66</v>
      </c>
      <c r="P127" s="39">
        <f>'[36]Budget Forms'!P291</f>
        <v>356250.66</v>
      </c>
      <c r="Q127" s="39">
        <f t="shared" si="56"/>
        <v>1068751.98</v>
      </c>
      <c r="R127" s="39">
        <f t="shared" si="52"/>
        <v>4275007.92</v>
      </c>
      <c r="S127" s="16"/>
      <c r="T127" s="16"/>
      <c r="U127" s="16"/>
      <c r="V127" s="16"/>
      <c r="W127" s="16"/>
      <c r="X127" s="16"/>
      <c r="Y127" s="16"/>
      <c r="Z127" s="16"/>
    </row>
    <row r="128" spans="1:28" s="35" customFormat="1" ht="31.2" hidden="1" outlineLevel="1">
      <c r="A128" s="31" t="s">
        <v>223</v>
      </c>
      <c r="B128" s="32">
        <f>SUM(B129:B131)</f>
        <v>0</v>
      </c>
      <c r="C128" s="32">
        <f>SUM(C129:C131)</f>
        <v>0</v>
      </c>
      <c r="D128" s="32">
        <f>SUM(D129:D131)</f>
        <v>0</v>
      </c>
      <c r="E128" s="32">
        <f t="shared" si="53"/>
        <v>0</v>
      </c>
      <c r="F128" s="32">
        <f>SUM(F129:F131)</f>
        <v>0</v>
      </c>
      <c r="G128" s="32">
        <f>SUM(G129:G131)</f>
        <v>0</v>
      </c>
      <c r="H128" s="32">
        <f>SUM(H129:H131)</f>
        <v>0</v>
      </c>
      <c r="I128" s="32">
        <f t="shared" si="54"/>
        <v>0</v>
      </c>
      <c r="J128" s="32">
        <f>SUM(J129:J131)</f>
        <v>0</v>
      </c>
      <c r="K128" s="32">
        <f>SUM(K129:K131)</f>
        <v>0</v>
      </c>
      <c r="L128" s="32">
        <f>SUM(L129:L131)</f>
        <v>0</v>
      </c>
      <c r="M128" s="32">
        <f t="shared" si="55"/>
        <v>0</v>
      </c>
      <c r="N128" s="32">
        <f>SUM(N129:N131)</f>
        <v>0</v>
      </c>
      <c r="O128" s="32">
        <f>SUM(O129:O131)</f>
        <v>0</v>
      </c>
      <c r="P128" s="32">
        <f>SUM(P129:P131)</f>
        <v>0</v>
      </c>
      <c r="Q128" s="32">
        <f t="shared" si="56"/>
        <v>0</v>
      </c>
      <c r="R128" s="33">
        <f t="shared" si="52"/>
        <v>0</v>
      </c>
    </row>
    <row r="129" spans="1:28" ht="21" hidden="1" outlineLevel="1">
      <c r="A129" s="52" t="s">
        <v>212</v>
      </c>
      <c r="B129" s="39">
        <f>'[36]Budget Forms'!E292</f>
        <v>0</v>
      </c>
      <c r="C129" s="39">
        <f>'[36]Budget Forms'!F292</f>
        <v>0</v>
      </c>
      <c r="D129" s="39">
        <f>'[36]Budget Forms'!G292</f>
        <v>0</v>
      </c>
      <c r="E129" s="39">
        <f t="shared" si="53"/>
        <v>0</v>
      </c>
      <c r="F129" s="39">
        <f>'[36]Budget Forms'!H293</f>
        <v>0</v>
      </c>
      <c r="G129" s="39">
        <f>'[36]Budget Forms'!I293</f>
        <v>0</v>
      </c>
      <c r="H129" s="39">
        <f>'[36]Budget Forms'!J293</f>
        <v>0</v>
      </c>
      <c r="I129" s="39">
        <f t="shared" si="54"/>
        <v>0</v>
      </c>
      <c r="J129" s="39">
        <f>'[36]Budget Forms'!K293</f>
        <v>0</v>
      </c>
      <c r="K129" s="39">
        <f>'[36]Budget Forms'!L293</f>
        <v>0</v>
      </c>
      <c r="L129" s="39">
        <f>'[36]Budget Forms'!M293</f>
        <v>0</v>
      </c>
      <c r="M129" s="39">
        <f t="shared" si="55"/>
        <v>0</v>
      </c>
      <c r="N129" s="39">
        <f>'[36]Budget Forms'!N293</f>
        <v>0</v>
      </c>
      <c r="O129" s="39">
        <f>'[36]Budget Forms'!O293</f>
        <v>0</v>
      </c>
      <c r="P129" s="39">
        <f>'[36]Budget Forms'!P293</f>
        <v>0</v>
      </c>
      <c r="Q129" s="39">
        <f t="shared" si="56"/>
        <v>0</v>
      </c>
      <c r="R129" s="39">
        <f t="shared" si="52"/>
        <v>0</v>
      </c>
      <c r="S129" s="16"/>
      <c r="T129" s="16"/>
      <c r="U129" s="16"/>
      <c r="V129" s="16"/>
      <c r="W129" s="16"/>
      <c r="X129" s="16"/>
      <c r="Y129" s="16"/>
      <c r="Z129" s="16"/>
    </row>
    <row r="130" spans="1:28" ht="21" hidden="1" outlineLevel="1">
      <c r="A130" s="52" t="s">
        <v>216</v>
      </c>
      <c r="B130" s="39">
        <f>'[36]Budget Forms'!E293</f>
        <v>0</v>
      </c>
      <c r="C130" s="39">
        <f>'[36]Budget Forms'!F293</f>
        <v>0</v>
      </c>
      <c r="D130" s="39">
        <f>'[36]Budget Forms'!G293</f>
        <v>0</v>
      </c>
      <c r="E130" s="39">
        <f t="shared" si="53"/>
        <v>0</v>
      </c>
      <c r="F130" s="39">
        <f>'[36]Budget Forms'!H294</f>
        <v>0</v>
      </c>
      <c r="G130" s="39">
        <f>'[36]Budget Forms'!I294</f>
        <v>0</v>
      </c>
      <c r="H130" s="39">
        <f>'[36]Budget Forms'!J294</f>
        <v>0</v>
      </c>
      <c r="I130" s="39">
        <f t="shared" si="54"/>
        <v>0</v>
      </c>
      <c r="J130" s="39">
        <f>'[36]Budget Forms'!K294</f>
        <v>0</v>
      </c>
      <c r="K130" s="39">
        <f>'[36]Budget Forms'!L294</f>
        <v>0</v>
      </c>
      <c r="L130" s="39">
        <f>'[36]Budget Forms'!M294</f>
        <v>0</v>
      </c>
      <c r="M130" s="39">
        <f t="shared" si="55"/>
        <v>0</v>
      </c>
      <c r="N130" s="39">
        <f>'[36]Budget Forms'!N294</f>
        <v>0</v>
      </c>
      <c r="O130" s="39">
        <f>'[36]Budget Forms'!O294</f>
        <v>0</v>
      </c>
      <c r="P130" s="39">
        <f>'[36]Budget Forms'!P294</f>
        <v>0</v>
      </c>
      <c r="Q130" s="39">
        <f t="shared" si="56"/>
        <v>0</v>
      </c>
      <c r="R130" s="39">
        <f t="shared" si="52"/>
        <v>0</v>
      </c>
      <c r="S130" s="16"/>
      <c r="T130" s="16"/>
      <c r="U130" s="16"/>
      <c r="V130" s="16"/>
      <c r="W130" s="16"/>
      <c r="X130" s="16"/>
      <c r="Y130" s="16"/>
      <c r="Z130" s="16"/>
    </row>
    <row r="131" spans="1:28" ht="21" hidden="1" outlineLevel="1">
      <c r="A131" s="52" t="s">
        <v>112</v>
      </c>
      <c r="B131" s="39">
        <f>'[36]Budget Forms'!E294</f>
        <v>0</v>
      </c>
      <c r="C131" s="39">
        <f>'[36]Budget Forms'!F294</f>
        <v>0</v>
      </c>
      <c r="D131" s="39">
        <f>'[36]Budget Forms'!G294</f>
        <v>0</v>
      </c>
      <c r="E131" s="39">
        <f t="shared" si="53"/>
        <v>0</v>
      </c>
      <c r="F131" s="39">
        <f>'[36]Budget Forms'!H295</f>
        <v>0</v>
      </c>
      <c r="G131" s="39">
        <f>'[36]Budget Forms'!I295</f>
        <v>0</v>
      </c>
      <c r="H131" s="39">
        <f>'[36]Budget Forms'!J295</f>
        <v>0</v>
      </c>
      <c r="I131" s="39">
        <f t="shared" si="54"/>
        <v>0</v>
      </c>
      <c r="J131" s="39">
        <f>'[36]Budget Forms'!K295</f>
        <v>0</v>
      </c>
      <c r="K131" s="39">
        <f>'[36]Budget Forms'!L295</f>
        <v>0</v>
      </c>
      <c r="L131" s="39">
        <f>'[36]Budget Forms'!M295</f>
        <v>0</v>
      </c>
      <c r="M131" s="39">
        <f t="shared" si="55"/>
        <v>0</v>
      </c>
      <c r="N131" s="39">
        <f>'[36]Budget Forms'!N295</f>
        <v>0</v>
      </c>
      <c r="O131" s="39">
        <f>'[36]Budget Forms'!O295</f>
        <v>0</v>
      </c>
      <c r="P131" s="39">
        <f>'[36]Budget Forms'!P295</f>
        <v>0</v>
      </c>
      <c r="Q131" s="39">
        <f t="shared" si="56"/>
        <v>0</v>
      </c>
      <c r="R131" s="39"/>
      <c r="S131" s="16"/>
      <c r="T131" s="16"/>
      <c r="U131" s="16"/>
      <c r="V131" s="16"/>
      <c r="W131" s="16"/>
      <c r="X131" s="16"/>
      <c r="Y131" s="16"/>
      <c r="Z131" s="16"/>
    </row>
    <row r="132" spans="1:28" s="35" customFormat="1" ht="31.2" hidden="1" outlineLevel="1">
      <c r="A132" s="31" t="s">
        <v>224</v>
      </c>
      <c r="B132" s="32">
        <f>SUM(B133:B135)</f>
        <v>0</v>
      </c>
      <c r="C132" s="32">
        <f>SUM(C133:C135)</f>
        <v>0</v>
      </c>
      <c r="D132" s="32">
        <f>SUM(D133:D135)</f>
        <v>0</v>
      </c>
      <c r="E132" s="32">
        <f t="shared" si="53"/>
        <v>0</v>
      </c>
      <c r="F132" s="32">
        <f>SUM(F133:F135)</f>
        <v>0</v>
      </c>
      <c r="G132" s="32">
        <f>SUM(G133:G135)</f>
        <v>0</v>
      </c>
      <c r="H132" s="32">
        <f>SUM(H133:H135)</f>
        <v>0</v>
      </c>
      <c r="I132" s="32">
        <f t="shared" si="54"/>
        <v>0</v>
      </c>
      <c r="J132" s="32">
        <f>SUM(J133:J135)</f>
        <v>0</v>
      </c>
      <c r="K132" s="32">
        <f>SUM(K133:K135)</f>
        <v>0</v>
      </c>
      <c r="L132" s="32">
        <f>SUM(L133:L135)</f>
        <v>0</v>
      </c>
      <c r="M132" s="32">
        <f t="shared" si="55"/>
        <v>0</v>
      </c>
      <c r="N132" s="32">
        <f>SUM(N133:N135)</f>
        <v>0</v>
      </c>
      <c r="O132" s="32">
        <f>SUM(O133:O135)</f>
        <v>0</v>
      </c>
      <c r="P132" s="32">
        <f>SUM(P133:P135)</f>
        <v>0</v>
      </c>
      <c r="Q132" s="32">
        <f t="shared" si="56"/>
        <v>0</v>
      </c>
      <c r="R132" s="33">
        <f t="shared" ref="R132" si="57">SUM(E132,I132,M132,Q132)</f>
        <v>0</v>
      </c>
    </row>
    <row r="133" spans="1:28" ht="21" hidden="1" outlineLevel="1">
      <c r="A133" s="52" t="s">
        <v>212</v>
      </c>
      <c r="B133" s="39">
        <f>'[36]Budget Forms'!E296</f>
        <v>0</v>
      </c>
      <c r="C133" s="39">
        <f>'[36]Budget Forms'!F296</f>
        <v>0</v>
      </c>
      <c r="D133" s="39">
        <f>'[36]Budget Forms'!G296</f>
        <v>0</v>
      </c>
      <c r="E133" s="39">
        <f t="shared" si="53"/>
        <v>0</v>
      </c>
      <c r="F133" s="39">
        <f>'[36]Budget Forms'!H297</f>
        <v>0</v>
      </c>
      <c r="G133" s="39">
        <f>'[36]Budget Forms'!I297</f>
        <v>0</v>
      </c>
      <c r="H133" s="39">
        <f>'[36]Budget Forms'!J297</f>
        <v>0</v>
      </c>
      <c r="I133" s="39">
        <f t="shared" si="54"/>
        <v>0</v>
      </c>
      <c r="J133" s="39">
        <f>'[36]Budget Forms'!K297</f>
        <v>0</v>
      </c>
      <c r="K133" s="39">
        <f>'[36]Budget Forms'!L297</f>
        <v>0</v>
      </c>
      <c r="L133" s="39">
        <f>'[36]Budget Forms'!M297</f>
        <v>0</v>
      </c>
      <c r="M133" s="39">
        <f t="shared" si="55"/>
        <v>0</v>
      </c>
      <c r="N133" s="39">
        <f>'[36]Budget Forms'!N297</f>
        <v>0</v>
      </c>
      <c r="O133" s="39">
        <f>'[36]Budget Forms'!O297</f>
        <v>0</v>
      </c>
      <c r="P133" s="39">
        <f>'[36]Budget Forms'!P297</f>
        <v>0</v>
      </c>
      <c r="Q133" s="39">
        <f t="shared" si="56"/>
        <v>0</v>
      </c>
      <c r="R133" s="39"/>
      <c r="S133" s="16"/>
      <c r="T133" s="16"/>
      <c r="U133" s="16"/>
      <c r="V133" s="16"/>
      <c r="W133" s="16"/>
      <c r="X133" s="16"/>
      <c r="Y133" s="16"/>
      <c r="Z133" s="16"/>
    </row>
    <row r="134" spans="1:28" ht="21" hidden="1" outlineLevel="1">
      <c r="A134" s="52" t="s">
        <v>216</v>
      </c>
      <c r="B134" s="39">
        <f>'[36]Budget Forms'!E297</f>
        <v>0</v>
      </c>
      <c r="C134" s="39">
        <f>'[36]Budget Forms'!F297</f>
        <v>0</v>
      </c>
      <c r="D134" s="39">
        <f>'[36]Budget Forms'!G297</f>
        <v>0</v>
      </c>
      <c r="E134" s="39">
        <f t="shared" si="53"/>
        <v>0</v>
      </c>
      <c r="F134" s="39">
        <f>'[36]Budget Forms'!H298</f>
        <v>0</v>
      </c>
      <c r="G134" s="39">
        <f>'[36]Budget Forms'!I298</f>
        <v>0</v>
      </c>
      <c r="H134" s="39">
        <f>'[36]Budget Forms'!J298</f>
        <v>0</v>
      </c>
      <c r="I134" s="39">
        <f t="shared" si="54"/>
        <v>0</v>
      </c>
      <c r="J134" s="39">
        <f>'[36]Budget Forms'!K298</f>
        <v>0</v>
      </c>
      <c r="K134" s="39">
        <f>'[36]Budget Forms'!L298</f>
        <v>0</v>
      </c>
      <c r="L134" s="39">
        <f>'[36]Budget Forms'!M298</f>
        <v>0</v>
      </c>
      <c r="M134" s="39">
        <f t="shared" si="55"/>
        <v>0</v>
      </c>
      <c r="N134" s="39">
        <f>'[36]Budget Forms'!N298</f>
        <v>0</v>
      </c>
      <c r="O134" s="39">
        <f>'[36]Budget Forms'!O298</f>
        <v>0</v>
      </c>
      <c r="P134" s="39">
        <f>'[36]Budget Forms'!P298</f>
        <v>0</v>
      </c>
      <c r="Q134" s="39">
        <f t="shared" si="56"/>
        <v>0</v>
      </c>
      <c r="R134" s="39"/>
      <c r="S134" s="16"/>
      <c r="T134" s="16"/>
      <c r="U134" s="16"/>
      <c r="V134" s="16"/>
      <c r="W134" s="16"/>
      <c r="X134" s="16"/>
      <c r="Y134" s="16"/>
      <c r="Z134" s="16"/>
    </row>
    <row r="135" spans="1:28" ht="21" hidden="1" outlineLevel="1">
      <c r="A135" s="52" t="s">
        <v>112</v>
      </c>
      <c r="B135" s="39">
        <f>'[36]Budget Forms'!E298</f>
        <v>0</v>
      </c>
      <c r="C135" s="39">
        <f>'[36]Budget Forms'!F298</f>
        <v>0</v>
      </c>
      <c r="D135" s="39">
        <f>'[36]Budget Forms'!G298</f>
        <v>0</v>
      </c>
      <c r="E135" s="39">
        <f t="shared" si="53"/>
        <v>0</v>
      </c>
      <c r="F135" s="39">
        <f>'[36]Budget Forms'!H299</f>
        <v>0</v>
      </c>
      <c r="G135" s="39">
        <f>'[36]Budget Forms'!I299</f>
        <v>0</v>
      </c>
      <c r="H135" s="39">
        <f>'[36]Budget Forms'!J299</f>
        <v>0</v>
      </c>
      <c r="I135" s="39">
        <f t="shared" si="54"/>
        <v>0</v>
      </c>
      <c r="J135" s="39">
        <f>'[36]Budget Forms'!K299</f>
        <v>0</v>
      </c>
      <c r="K135" s="39">
        <f>'[36]Budget Forms'!L299</f>
        <v>0</v>
      </c>
      <c r="L135" s="39">
        <f>'[36]Budget Forms'!M299</f>
        <v>0</v>
      </c>
      <c r="M135" s="39">
        <f t="shared" si="55"/>
        <v>0</v>
      </c>
      <c r="N135" s="39">
        <f>'[36]Budget Forms'!N299</f>
        <v>0</v>
      </c>
      <c r="O135" s="39">
        <f>'[36]Budget Forms'!O299</f>
        <v>0</v>
      </c>
      <c r="P135" s="39">
        <f>'[36]Budget Forms'!P299</f>
        <v>0</v>
      </c>
      <c r="Q135" s="39">
        <f t="shared" si="56"/>
        <v>0</v>
      </c>
      <c r="R135" s="39"/>
      <c r="S135" s="16"/>
      <c r="T135" s="16"/>
      <c r="U135" s="16"/>
      <c r="V135" s="16"/>
      <c r="W135" s="16"/>
      <c r="X135" s="16"/>
      <c r="Y135" s="16"/>
      <c r="Z135" s="16"/>
    </row>
    <row r="136" spans="1:28" s="35" customFormat="1" ht="31.2" hidden="1" outlineLevel="1">
      <c r="A136" s="31" t="s">
        <v>225</v>
      </c>
      <c r="B136" s="32">
        <f>SUM(B137:B139)</f>
        <v>0</v>
      </c>
      <c r="C136" s="32">
        <f>SUM(C137:C139)</f>
        <v>0</v>
      </c>
      <c r="D136" s="32">
        <f>SUM(D137:D139)</f>
        <v>0</v>
      </c>
      <c r="E136" s="32">
        <f t="shared" si="53"/>
        <v>0</v>
      </c>
      <c r="F136" s="32">
        <f>SUM(F137:F139)</f>
        <v>0</v>
      </c>
      <c r="G136" s="32">
        <f>SUM(G137:G139)</f>
        <v>0</v>
      </c>
      <c r="H136" s="32">
        <f>SUM(H137:H139)</f>
        <v>0</v>
      </c>
      <c r="I136" s="32">
        <f t="shared" si="54"/>
        <v>0</v>
      </c>
      <c r="J136" s="32">
        <f>SUM(J137:J139)</f>
        <v>0</v>
      </c>
      <c r="K136" s="32">
        <f>SUM(K137:K139)</f>
        <v>0</v>
      </c>
      <c r="L136" s="32">
        <f>SUM(L137:L139)</f>
        <v>0</v>
      </c>
      <c r="M136" s="32">
        <f t="shared" si="55"/>
        <v>0</v>
      </c>
      <c r="N136" s="32">
        <f>SUM(N137:N139)</f>
        <v>0</v>
      </c>
      <c r="O136" s="32">
        <f>SUM(O137:O139)</f>
        <v>0</v>
      </c>
      <c r="P136" s="32">
        <f>SUM(P137:P139)</f>
        <v>0</v>
      </c>
      <c r="Q136" s="32">
        <f t="shared" si="56"/>
        <v>0</v>
      </c>
      <c r="R136" s="33">
        <f t="shared" ref="R136" si="58">SUM(E136,I136,M136,Q136)</f>
        <v>0</v>
      </c>
    </row>
    <row r="137" spans="1:28" ht="21" hidden="1" outlineLevel="1">
      <c r="A137" s="52" t="s">
        <v>212</v>
      </c>
      <c r="B137" s="39">
        <f>'[36]Budget Forms'!E300</f>
        <v>0</v>
      </c>
      <c r="C137" s="39">
        <f>'[36]Budget Forms'!F300</f>
        <v>0</v>
      </c>
      <c r="D137" s="39">
        <f>'[36]Budget Forms'!G300</f>
        <v>0</v>
      </c>
      <c r="E137" s="39">
        <f t="shared" si="53"/>
        <v>0</v>
      </c>
      <c r="F137" s="39">
        <f>'[36]Budget Forms'!H301</f>
        <v>0</v>
      </c>
      <c r="G137" s="39">
        <f>'[36]Budget Forms'!I301</f>
        <v>0</v>
      </c>
      <c r="H137" s="39">
        <f>'[36]Budget Forms'!J301</f>
        <v>0</v>
      </c>
      <c r="I137" s="39">
        <f t="shared" si="54"/>
        <v>0</v>
      </c>
      <c r="J137" s="39">
        <f>'[36]Budget Forms'!K301</f>
        <v>0</v>
      </c>
      <c r="K137" s="39">
        <f>'[36]Budget Forms'!L301</f>
        <v>0</v>
      </c>
      <c r="L137" s="39">
        <f>'[36]Budget Forms'!M301</f>
        <v>0</v>
      </c>
      <c r="M137" s="39">
        <f t="shared" si="55"/>
        <v>0</v>
      </c>
      <c r="N137" s="39">
        <f>'[36]Budget Forms'!N301</f>
        <v>0</v>
      </c>
      <c r="O137" s="39">
        <f>'[36]Budget Forms'!O301</f>
        <v>0</v>
      </c>
      <c r="P137" s="39">
        <f>'[36]Budget Forms'!P301</f>
        <v>0</v>
      </c>
      <c r="Q137" s="39">
        <f t="shared" si="56"/>
        <v>0</v>
      </c>
      <c r="R137" s="39">
        <f t="shared" si="52"/>
        <v>0</v>
      </c>
      <c r="S137" s="16"/>
      <c r="T137" s="16"/>
      <c r="U137" s="16"/>
      <c r="V137" s="16"/>
      <c r="W137" s="16"/>
      <c r="X137" s="16"/>
      <c r="Y137" s="16"/>
      <c r="Z137" s="16"/>
    </row>
    <row r="138" spans="1:28" ht="21" hidden="1" outlineLevel="1">
      <c r="A138" s="52" t="s">
        <v>216</v>
      </c>
      <c r="B138" s="39">
        <f>'[36]Budget Forms'!E301</f>
        <v>0</v>
      </c>
      <c r="C138" s="39">
        <f>'[36]Budget Forms'!F301</f>
        <v>0</v>
      </c>
      <c r="D138" s="39">
        <f>'[36]Budget Forms'!G301</f>
        <v>0</v>
      </c>
      <c r="E138" s="39">
        <f t="shared" si="53"/>
        <v>0</v>
      </c>
      <c r="F138" s="39">
        <f>'[36]Budget Forms'!H302</f>
        <v>0</v>
      </c>
      <c r="G138" s="39">
        <f>'[36]Budget Forms'!I302</f>
        <v>0</v>
      </c>
      <c r="H138" s="39">
        <f>'[36]Budget Forms'!J302</f>
        <v>0</v>
      </c>
      <c r="I138" s="39">
        <f t="shared" si="54"/>
        <v>0</v>
      </c>
      <c r="J138" s="39">
        <f>'[36]Budget Forms'!K302</f>
        <v>0</v>
      </c>
      <c r="K138" s="39">
        <f>'[36]Budget Forms'!L302</f>
        <v>0</v>
      </c>
      <c r="L138" s="39">
        <f>'[36]Budget Forms'!M302</f>
        <v>0</v>
      </c>
      <c r="M138" s="39">
        <f t="shared" si="55"/>
        <v>0</v>
      </c>
      <c r="N138" s="39">
        <f>'[36]Budget Forms'!N302</f>
        <v>0</v>
      </c>
      <c r="O138" s="39">
        <f>'[36]Budget Forms'!O302</f>
        <v>0</v>
      </c>
      <c r="P138" s="39">
        <f>'[36]Budget Forms'!P302</f>
        <v>0</v>
      </c>
      <c r="Q138" s="39">
        <f t="shared" si="56"/>
        <v>0</v>
      </c>
      <c r="R138" s="39">
        <f t="shared" si="52"/>
        <v>0</v>
      </c>
      <c r="S138" s="16"/>
      <c r="T138" s="16"/>
      <c r="U138" s="16"/>
      <c r="V138" s="16"/>
      <c r="W138" s="16"/>
      <c r="X138" s="16"/>
      <c r="Y138" s="16"/>
      <c r="Z138" s="16"/>
    </row>
    <row r="139" spans="1:28" ht="21" hidden="1" outlineLevel="1">
      <c r="A139" s="52" t="s">
        <v>112</v>
      </c>
      <c r="B139" s="39">
        <f>'[36]Budget Forms'!E302</f>
        <v>0</v>
      </c>
      <c r="C139" s="39">
        <f>'[36]Budget Forms'!F302</f>
        <v>0</v>
      </c>
      <c r="D139" s="39">
        <f>'[36]Budget Forms'!G302</f>
        <v>0</v>
      </c>
      <c r="E139" s="39">
        <f t="shared" si="53"/>
        <v>0</v>
      </c>
      <c r="F139" s="39">
        <f>'[36]Budget Forms'!H303</f>
        <v>0</v>
      </c>
      <c r="G139" s="39">
        <f>'[36]Budget Forms'!I303</f>
        <v>0</v>
      </c>
      <c r="H139" s="39">
        <f>'[36]Budget Forms'!J303</f>
        <v>0</v>
      </c>
      <c r="I139" s="39">
        <f t="shared" si="54"/>
        <v>0</v>
      </c>
      <c r="J139" s="39">
        <f>'[36]Budget Forms'!K303</f>
        <v>0</v>
      </c>
      <c r="K139" s="39">
        <f>'[36]Budget Forms'!L303</f>
        <v>0</v>
      </c>
      <c r="L139" s="39">
        <f>'[36]Budget Forms'!M303</f>
        <v>0</v>
      </c>
      <c r="M139" s="39">
        <f t="shared" si="55"/>
        <v>0</v>
      </c>
      <c r="N139" s="39">
        <f>'[36]Budget Forms'!N303</f>
        <v>0</v>
      </c>
      <c r="O139" s="39">
        <f>'[36]Budget Forms'!O303</f>
        <v>0</v>
      </c>
      <c r="P139" s="39">
        <f>'[36]Budget Forms'!P303</f>
        <v>0</v>
      </c>
      <c r="Q139" s="39">
        <f t="shared" si="56"/>
        <v>0</v>
      </c>
      <c r="R139" s="39">
        <f t="shared" si="52"/>
        <v>0</v>
      </c>
      <c r="S139" s="16"/>
      <c r="T139" s="16"/>
      <c r="U139" s="16"/>
      <c r="V139" s="16"/>
      <c r="W139" s="16"/>
      <c r="X139" s="16"/>
      <c r="Y139" s="16"/>
      <c r="Z139" s="16"/>
    </row>
    <row r="140" spans="1:28" s="35" customFormat="1" ht="31.2" hidden="1" outlineLevel="1">
      <c r="A140" s="31" t="s">
        <v>226</v>
      </c>
      <c r="B140" s="32">
        <f>SUM(B141:B143)</f>
        <v>0</v>
      </c>
      <c r="C140" s="32">
        <f>SUM(C141:C143)</f>
        <v>0</v>
      </c>
      <c r="D140" s="32">
        <f>SUM(D141:D143)</f>
        <v>0</v>
      </c>
      <c r="E140" s="32">
        <f t="shared" si="53"/>
        <v>0</v>
      </c>
      <c r="F140" s="32">
        <f>SUM(F141:F143)</f>
        <v>0</v>
      </c>
      <c r="G140" s="32">
        <f>SUM(G141:G143)</f>
        <v>0</v>
      </c>
      <c r="H140" s="32">
        <f>SUM(H141:H143)</f>
        <v>0</v>
      </c>
      <c r="I140" s="32">
        <f t="shared" si="54"/>
        <v>0</v>
      </c>
      <c r="J140" s="32">
        <f>SUM(J141:J143)</f>
        <v>0</v>
      </c>
      <c r="K140" s="32">
        <f>SUM(K141:K143)</f>
        <v>0</v>
      </c>
      <c r="L140" s="32">
        <f>SUM(L141:L143)</f>
        <v>0</v>
      </c>
      <c r="M140" s="32">
        <f t="shared" si="55"/>
        <v>0</v>
      </c>
      <c r="N140" s="32">
        <f>SUM(N141:N143)</f>
        <v>0</v>
      </c>
      <c r="O140" s="32">
        <f>SUM(O141:O143)</f>
        <v>0</v>
      </c>
      <c r="P140" s="32">
        <f>SUM(P141:P143)</f>
        <v>0</v>
      </c>
      <c r="Q140" s="32">
        <f t="shared" si="56"/>
        <v>0</v>
      </c>
      <c r="R140" s="33">
        <f t="shared" si="52"/>
        <v>0</v>
      </c>
    </row>
    <row r="141" spans="1:28" ht="21" hidden="1" outlineLevel="1">
      <c r="A141" s="52" t="s">
        <v>212</v>
      </c>
      <c r="B141" s="39">
        <f>'[36]Budget Forms'!E304</f>
        <v>0</v>
      </c>
      <c r="C141" s="39">
        <f>'[36]Budget Forms'!F304</f>
        <v>0</v>
      </c>
      <c r="D141" s="39">
        <f>'[36]Budget Forms'!G304</f>
        <v>0</v>
      </c>
      <c r="E141" s="39">
        <f t="shared" si="53"/>
        <v>0</v>
      </c>
      <c r="F141" s="39">
        <f>'[36]Budget Forms'!H305</f>
        <v>0</v>
      </c>
      <c r="G141" s="39">
        <f>'[36]Budget Forms'!I305</f>
        <v>0</v>
      </c>
      <c r="H141" s="39">
        <f>'[36]Budget Forms'!J305</f>
        <v>0</v>
      </c>
      <c r="I141" s="39">
        <f t="shared" si="54"/>
        <v>0</v>
      </c>
      <c r="J141" s="39">
        <f>'[36]Budget Forms'!K305</f>
        <v>0</v>
      </c>
      <c r="K141" s="39">
        <f>'[36]Budget Forms'!L305</f>
        <v>0</v>
      </c>
      <c r="L141" s="39">
        <f>'[36]Budget Forms'!M305</f>
        <v>0</v>
      </c>
      <c r="M141" s="39">
        <f t="shared" si="55"/>
        <v>0</v>
      </c>
      <c r="N141" s="39">
        <f>'[36]Budget Forms'!N305</f>
        <v>0</v>
      </c>
      <c r="O141" s="39">
        <f>'[36]Budget Forms'!O305</f>
        <v>0</v>
      </c>
      <c r="P141" s="39">
        <f>'[36]Budget Forms'!P305</f>
        <v>0</v>
      </c>
      <c r="Q141" s="39">
        <f t="shared" si="56"/>
        <v>0</v>
      </c>
      <c r="R141" s="39">
        <f t="shared" si="52"/>
        <v>0</v>
      </c>
      <c r="S141" s="16"/>
      <c r="T141" s="16"/>
      <c r="U141" s="16"/>
      <c r="V141" s="16"/>
      <c r="W141" s="16"/>
      <c r="X141" s="16"/>
      <c r="Y141" s="16"/>
      <c r="Z141" s="16"/>
    </row>
    <row r="142" spans="1:28" ht="21" hidden="1" outlineLevel="1">
      <c r="A142" s="52" t="s">
        <v>216</v>
      </c>
      <c r="B142" s="39">
        <f>'[36]Budget Forms'!E305</f>
        <v>0</v>
      </c>
      <c r="C142" s="39">
        <f>'[36]Budget Forms'!F305</f>
        <v>0</v>
      </c>
      <c r="D142" s="39">
        <f>'[36]Budget Forms'!G305</f>
        <v>0</v>
      </c>
      <c r="E142" s="39">
        <f t="shared" si="53"/>
        <v>0</v>
      </c>
      <c r="F142" s="39">
        <f>'[36]Budget Forms'!H306</f>
        <v>0</v>
      </c>
      <c r="G142" s="39">
        <f>'[36]Budget Forms'!I306</f>
        <v>0</v>
      </c>
      <c r="H142" s="39">
        <f>'[36]Budget Forms'!J306</f>
        <v>0</v>
      </c>
      <c r="I142" s="39">
        <f t="shared" si="54"/>
        <v>0</v>
      </c>
      <c r="J142" s="39">
        <f>'[36]Budget Forms'!K306</f>
        <v>0</v>
      </c>
      <c r="K142" s="39">
        <f>'[36]Budget Forms'!L306</f>
        <v>0</v>
      </c>
      <c r="L142" s="39">
        <f>'[36]Budget Forms'!M306</f>
        <v>0</v>
      </c>
      <c r="M142" s="39">
        <f t="shared" si="55"/>
        <v>0</v>
      </c>
      <c r="N142" s="39">
        <f>'[36]Budget Forms'!N306</f>
        <v>0</v>
      </c>
      <c r="O142" s="39">
        <f>'[36]Budget Forms'!O306</f>
        <v>0</v>
      </c>
      <c r="P142" s="39">
        <f>'[36]Budget Forms'!P306</f>
        <v>0</v>
      </c>
      <c r="Q142" s="39">
        <f t="shared" si="56"/>
        <v>0</v>
      </c>
      <c r="R142" s="39">
        <f t="shared" si="52"/>
        <v>0</v>
      </c>
      <c r="S142" s="16"/>
      <c r="T142" s="16"/>
      <c r="U142" s="16"/>
      <c r="V142" s="16"/>
      <c r="W142" s="16"/>
      <c r="X142" s="16"/>
      <c r="Y142" s="16"/>
      <c r="Z142" s="16"/>
    </row>
    <row r="143" spans="1:28" ht="21" hidden="1" outlineLevel="1">
      <c r="A143" s="52" t="s">
        <v>112</v>
      </c>
      <c r="B143" s="39">
        <f>'[36]Budget Forms'!E306</f>
        <v>0</v>
      </c>
      <c r="C143" s="39">
        <f>'[36]Budget Forms'!F306</f>
        <v>0</v>
      </c>
      <c r="D143" s="39">
        <f>'[36]Budget Forms'!G306</f>
        <v>0</v>
      </c>
      <c r="E143" s="39">
        <f t="shared" si="53"/>
        <v>0</v>
      </c>
      <c r="F143" s="39">
        <f>'[36]Budget Forms'!H307</f>
        <v>0</v>
      </c>
      <c r="G143" s="39">
        <f>'[36]Budget Forms'!I307</f>
        <v>0</v>
      </c>
      <c r="H143" s="39">
        <f>'[36]Budget Forms'!J307</f>
        <v>0</v>
      </c>
      <c r="I143" s="39">
        <f t="shared" si="54"/>
        <v>0</v>
      </c>
      <c r="J143" s="39">
        <f>'[36]Budget Forms'!K307</f>
        <v>0</v>
      </c>
      <c r="K143" s="39">
        <f>'[36]Budget Forms'!L307</f>
        <v>0</v>
      </c>
      <c r="L143" s="39">
        <f>'[36]Budget Forms'!M307</f>
        <v>0</v>
      </c>
      <c r="M143" s="39">
        <f t="shared" si="55"/>
        <v>0</v>
      </c>
      <c r="N143" s="39">
        <f>'[36]Budget Forms'!N307</f>
        <v>0</v>
      </c>
      <c r="O143" s="39">
        <f>'[36]Budget Forms'!O307</f>
        <v>0</v>
      </c>
      <c r="P143" s="39">
        <f>'[36]Budget Forms'!P307</f>
        <v>0</v>
      </c>
      <c r="Q143" s="39">
        <f t="shared" si="56"/>
        <v>0</v>
      </c>
      <c r="R143" s="39">
        <f>SUM(E143,I143,M143,Q143)</f>
        <v>0</v>
      </c>
      <c r="S143" s="16"/>
      <c r="T143" s="16"/>
      <c r="U143" s="16"/>
      <c r="V143" s="16"/>
      <c r="W143" s="16"/>
      <c r="X143" s="16"/>
      <c r="Y143" s="16"/>
      <c r="Z143" s="16"/>
    </row>
    <row r="144" spans="1:28" ht="23.4" collapsed="1">
      <c r="A144" s="51" t="s">
        <v>30</v>
      </c>
      <c r="B144" s="42">
        <v>416666.67</v>
      </c>
      <c r="C144" s="42">
        <v>416666.67</v>
      </c>
      <c r="D144" s="42">
        <v>416666.67</v>
      </c>
      <c r="E144" s="42">
        <f t="shared" si="53"/>
        <v>1250000.01</v>
      </c>
      <c r="F144" s="42">
        <v>416666.67</v>
      </c>
      <c r="G144" s="42">
        <v>416666.67</v>
      </c>
      <c r="H144" s="42">
        <v>416666.67</v>
      </c>
      <c r="I144" s="42">
        <f t="shared" si="54"/>
        <v>1250000.01</v>
      </c>
      <c r="J144" s="42">
        <v>416666.67</v>
      </c>
      <c r="K144" s="42">
        <v>416666.67</v>
      </c>
      <c r="L144" s="42">
        <v>416666.67</v>
      </c>
      <c r="M144" s="42">
        <f t="shared" si="55"/>
        <v>1250000.01</v>
      </c>
      <c r="N144" s="42">
        <v>416666.67</v>
      </c>
      <c r="O144" s="42">
        <v>416666.67</v>
      </c>
      <c r="P144" s="42">
        <v>416666.67</v>
      </c>
      <c r="Q144" s="42">
        <f t="shared" si="56"/>
        <v>1250000.01</v>
      </c>
      <c r="R144" s="42">
        <f t="shared" ref="R144:R148" si="59">SUM(E144,I144,M144,Q144)</f>
        <v>5000000.04</v>
      </c>
      <c r="S144" s="15"/>
      <c r="T144" s="15"/>
      <c r="U144" s="15"/>
      <c r="V144" s="15"/>
      <c r="W144" s="15"/>
      <c r="X144" s="15"/>
      <c r="Y144" s="15"/>
      <c r="Z144" s="15"/>
      <c r="AA144" s="15"/>
      <c r="AB144" s="15"/>
    </row>
    <row r="145" spans="1:28" ht="23.4">
      <c r="A145" s="51" t="s">
        <v>227</v>
      </c>
      <c r="B145" s="42">
        <f>SUM(B146,B150,B154)</f>
        <v>422634.27</v>
      </c>
      <c r="C145" s="42">
        <f>SUM(C146,C150,C154)</f>
        <v>397234.27</v>
      </c>
      <c r="D145" s="42">
        <f>SUM(D146,D150,D154)</f>
        <v>492154.27</v>
      </c>
      <c r="E145" s="42">
        <f>SUM(B145:D145)</f>
        <v>1312022.81</v>
      </c>
      <c r="F145" s="42">
        <f>SUM(F146,F150,F154)</f>
        <v>422634.27</v>
      </c>
      <c r="G145" s="42">
        <f>SUM(G146,G150,G154)</f>
        <v>353114.27</v>
      </c>
      <c r="H145" s="42">
        <f>SUM(H146,H150,H154)</f>
        <v>422634.27</v>
      </c>
      <c r="I145" s="42">
        <f>SUM(F145:H145)</f>
        <v>1198382.81</v>
      </c>
      <c r="J145" s="42">
        <f>SUM(J146,J150,J154)</f>
        <v>422634.27</v>
      </c>
      <c r="K145" s="42">
        <f>SUM(K146,K150,K154)</f>
        <v>422634.27</v>
      </c>
      <c r="L145" s="42">
        <f>SUM(L146,L150,L154)</f>
        <v>448034.27</v>
      </c>
      <c r="M145" s="42">
        <f>SUM(J145:L145)</f>
        <v>1293302.81</v>
      </c>
      <c r="N145" s="42">
        <f>SUM(N146,N150,N154)</f>
        <v>422634.27</v>
      </c>
      <c r="O145" s="42">
        <f>SUM(O146,O150,O154)</f>
        <v>422634.27</v>
      </c>
      <c r="P145" s="42">
        <f>SUM(P146,P150,P154)</f>
        <v>422634.27</v>
      </c>
      <c r="Q145" s="42">
        <f>SUM(N145:P145)</f>
        <v>1267902.81</v>
      </c>
      <c r="R145" s="42">
        <f t="shared" si="59"/>
        <v>5071611.24</v>
      </c>
      <c r="S145" s="15"/>
      <c r="T145" s="15"/>
      <c r="U145" s="15"/>
      <c r="V145" s="15"/>
      <c r="W145" s="15"/>
      <c r="X145" s="15"/>
      <c r="Y145" s="15"/>
      <c r="Z145" s="15"/>
      <c r="AA145" s="15"/>
      <c r="AB145" s="15"/>
    </row>
    <row r="146" spans="1:28" s="35" customFormat="1" ht="31.2" hidden="1" outlineLevel="1">
      <c r="A146" s="31" t="s">
        <v>228</v>
      </c>
      <c r="B146" s="32">
        <f>SUM(B147:B149)</f>
        <v>422634.27</v>
      </c>
      <c r="C146" s="32">
        <f>SUM(C147:C149)</f>
        <v>397234.27</v>
      </c>
      <c r="D146" s="32">
        <f>SUM(D147:D149)</f>
        <v>492154.27</v>
      </c>
      <c r="E146" s="32">
        <f t="shared" ref="E146:E174" si="60">SUM(B146:D146)</f>
        <v>1312022.81</v>
      </c>
      <c r="F146" s="32">
        <f>SUM(F147:F149)</f>
        <v>422634.27</v>
      </c>
      <c r="G146" s="32">
        <f>SUM(G147:G149)</f>
        <v>353114.27</v>
      </c>
      <c r="H146" s="32">
        <f>SUM(H147:H149)</f>
        <v>422634.27</v>
      </c>
      <c r="I146" s="32">
        <f t="shared" ref="I146:I192" si="61">SUM(F146:H146)</f>
        <v>1198382.81</v>
      </c>
      <c r="J146" s="32">
        <f>SUM(J147:J149)</f>
        <v>422634.27</v>
      </c>
      <c r="K146" s="32">
        <f>SUM(K147:K149)</f>
        <v>422634.27</v>
      </c>
      <c r="L146" s="32">
        <f>SUM(L147:L149)</f>
        <v>448034.27</v>
      </c>
      <c r="M146" s="32">
        <f t="shared" ref="M146:M192" si="62">SUM(J146:L146)</f>
        <v>1293302.81</v>
      </c>
      <c r="N146" s="32">
        <f>SUM(N147:N149)</f>
        <v>422634.27</v>
      </c>
      <c r="O146" s="32">
        <f>SUM(O147:O149)</f>
        <v>422634.27</v>
      </c>
      <c r="P146" s="32">
        <f>SUM(P147:P149)</f>
        <v>422634.27</v>
      </c>
      <c r="Q146" s="32">
        <f t="shared" ref="Q146:Q192" si="63">SUM(N146:P146)</f>
        <v>1267902.81</v>
      </c>
      <c r="R146" s="33">
        <f t="shared" si="59"/>
        <v>5071611.24</v>
      </c>
    </row>
    <row r="147" spans="1:28" ht="21" hidden="1" outlineLevel="1">
      <c r="A147" s="52" t="s">
        <v>212</v>
      </c>
      <c r="B147" s="39">
        <f>'[36]Budget Forms'!E308</f>
        <v>375459.71</v>
      </c>
      <c r="C147" s="39">
        <f>'[36]Budget Forms'!F308</f>
        <v>350059.71</v>
      </c>
      <c r="D147" s="39">
        <f>'[36]Budget Forms'!G308</f>
        <v>444979.71</v>
      </c>
      <c r="E147" s="39">
        <f t="shared" si="60"/>
        <v>1170499.1300000001</v>
      </c>
      <c r="F147" s="39">
        <f>'[36]Budget Forms'!H308</f>
        <v>375459.71</v>
      </c>
      <c r="G147" s="39">
        <f>'[36]Budget Forms'!I308</f>
        <v>305939.71000000002</v>
      </c>
      <c r="H147" s="39">
        <f>'[36]Budget Forms'!J308</f>
        <v>375459.71</v>
      </c>
      <c r="I147" s="39">
        <f t="shared" si="61"/>
        <v>1056859.1300000001</v>
      </c>
      <c r="J147" s="39">
        <f>'[36]Budget Forms'!K308</f>
        <v>375459.71</v>
      </c>
      <c r="K147" s="39">
        <f>'[36]Budget Forms'!L308</f>
        <v>375459.71</v>
      </c>
      <c r="L147" s="39">
        <f>'[36]Budget Forms'!M308</f>
        <v>400859.71</v>
      </c>
      <c r="M147" s="39">
        <f t="shared" si="62"/>
        <v>1151779.1300000001</v>
      </c>
      <c r="N147" s="39">
        <f>'[36]Budget Forms'!N308</f>
        <v>375459.71</v>
      </c>
      <c r="O147" s="39">
        <f>'[36]Budget Forms'!O308</f>
        <v>375459.71</v>
      </c>
      <c r="P147" s="39">
        <f>'[36]Budget Forms'!P308</f>
        <v>375459.71</v>
      </c>
      <c r="Q147" s="39">
        <f t="shared" si="63"/>
        <v>1126379.1300000001</v>
      </c>
      <c r="R147" s="39">
        <f t="shared" si="59"/>
        <v>4505516.5200000005</v>
      </c>
      <c r="S147" s="16"/>
      <c r="T147" s="16"/>
      <c r="U147" s="16"/>
      <c r="V147" s="16"/>
      <c r="W147" s="16"/>
      <c r="X147" s="16"/>
      <c r="Y147" s="16"/>
      <c r="Z147" s="16"/>
    </row>
    <row r="148" spans="1:28" ht="21" hidden="1" outlineLevel="1">
      <c r="A148" s="52" t="s">
        <v>216</v>
      </c>
      <c r="B148" s="39">
        <f>'[36]Budget Forms'!E309</f>
        <v>0</v>
      </c>
      <c r="C148" s="39">
        <f>'[36]Budget Forms'!F309</f>
        <v>0</v>
      </c>
      <c r="D148" s="39">
        <f>'[36]Budget Forms'!G309</f>
        <v>0</v>
      </c>
      <c r="E148" s="39">
        <f t="shared" si="60"/>
        <v>0</v>
      </c>
      <c r="F148" s="39">
        <f>'[36]Budget Forms'!H309</f>
        <v>0</v>
      </c>
      <c r="G148" s="39">
        <f>'[36]Budget Forms'!I309</f>
        <v>0</v>
      </c>
      <c r="H148" s="39">
        <f>'[36]Budget Forms'!J309</f>
        <v>0</v>
      </c>
      <c r="I148" s="39">
        <f t="shared" si="61"/>
        <v>0</v>
      </c>
      <c r="J148" s="39">
        <f>'[36]Budget Forms'!K309</f>
        <v>0</v>
      </c>
      <c r="K148" s="39">
        <f>'[36]Budget Forms'!L309</f>
        <v>0</v>
      </c>
      <c r="L148" s="39">
        <f>'[36]Budget Forms'!M309</f>
        <v>0</v>
      </c>
      <c r="M148" s="39">
        <f t="shared" si="62"/>
        <v>0</v>
      </c>
      <c r="N148" s="39">
        <f>'[36]Budget Forms'!N309</f>
        <v>0</v>
      </c>
      <c r="O148" s="39">
        <f>'[36]Budget Forms'!O309</f>
        <v>0</v>
      </c>
      <c r="P148" s="39">
        <f>'[36]Budget Forms'!P309</f>
        <v>0</v>
      </c>
      <c r="Q148" s="39">
        <f t="shared" si="63"/>
        <v>0</v>
      </c>
      <c r="R148" s="39">
        <f t="shared" si="59"/>
        <v>0</v>
      </c>
      <c r="S148" s="16"/>
      <c r="T148" s="16"/>
      <c r="U148" s="16"/>
      <c r="V148" s="16"/>
      <c r="W148" s="16"/>
      <c r="X148" s="16"/>
      <c r="Y148" s="16"/>
      <c r="Z148" s="16"/>
    </row>
    <row r="149" spans="1:28" ht="21" hidden="1" outlineLevel="1">
      <c r="A149" s="52" t="s">
        <v>112</v>
      </c>
      <c r="B149" s="39">
        <f>'[36]Budget Forms'!E310</f>
        <v>47174.559999999998</v>
      </c>
      <c r="C149" s="39">
        <f>'[36]Budget Forms'!F310</f>
        <v>47174.559999999998</v>
      </c>
      <c r="D149" s="39">
        <f>'[36]Budget Forms'!G310</f>
        <v>47174.559999999998</v>
      </c>
      <c r="E149" s="39">
        <f t="shared" si="60"/>
        <v>141523.68</v>
      </c>
      <c r="F149" s="39">
        <f>'[36]Budget Forms'!H310</f>
        <v>47174.559999999998</v>
      </c>
      <c r="G149" s="39">
        <f>'[36]Budget Forms'!I310</f>
        <v>47174.559999999998</v>
      </c>
      <c r="H149" s="39">
        <f>'[36]Budget Forms'!J310</f>
        <v>47174.559999999998</v>
      </c>
      <c r="I149" s="39">
        <f t="shared" si="61"/>
        <v>141523.68</v>
      </c>
      <c r="J149" s="39">
        <f>'[36]Budget Forms'!K310</f>
        <v>47174.559999999998</v>
      </c>
      <c r="K149" s="39">
        <f>'[36]Budget Forms'!L310</f>
        <v>47174.559999999998</v>
      </c>
      <c r="L149" s="39">
        <f>'[36]Budget Forms'!M310</f>
        <v>47174.559999999998</v>
      </c>
      <c r="M149" s="39">
        <f t="shared" si="62"/>
        <v>141523.68</v>
      </c>
      <c r="N149" s="39">
        <f>'[36]Budget Forms'!N310</f>
        <v>47174.559999999998</v>
      </c>
      <c r="O149" s="39">
        <f>'[36]Budget Forms'!O310</f>
        <v>47174.559999999998</v>
      </c>
      <c r="P149" s="39">
        <f>'[36]Budget Forms'!P310</f>
        <v>47174.559999999998</v>
      </c>
      <c r="Q149" s="39">
        <f t="shared" si="63"/>
        <v>141523.68</v>
      </c>
      <c r="R149" s="39">
        <f>SUM(E149,I149,M149,Q149)</f>
        <v>566094.72</v>
      </c>
      <c r="S149" s="16"/>
      <c r="T149" s="16"/>
      <c r="U149" s="16"/>
      <c r="V149" s="16"/>
      <c r="W149" s="16"/>
      <c r="X149" s="16"/>
      <c r="Y149" s="16"/>
      <c r="Z149" s="16"/>
    </row>
    <row r="150" spans="1:28" s="35" customFormat="1" ht="31.2" hidden="1" outlineLevel="1">
      <c r="A150" s="31" t="s">
        <v>229</v>
      </c>
      <c r="B150" s="32">
        <f>SUM(B151:B153)</f>
        <v>0</v>
      </c>
      <c r="C150" s="32">
        <f>SUM(C151:C153)</f>
        <v>0</v>
      </c>
      <c r="D150" s="32">
        <f>SUM(D151:D153)</f>
        <v>0</v>
      </c>
      <c r="E150" s="32">
        <f t="shared" si="60"/>
        <v>0</v>
      </c>
      <c r="F150" s="32">
        <f>SUM(F151:F153)</f>
        <v>0</v>
      </c>
      <c r="G150" s="32">
        <f>SUM(G151:G153)</f>
        <v>0</v>
      </c>
      <c r="H150" s="32">
        <f>SUM(H151:H153)</f>
        <v>0</v>
      </c>
      <c r="I150" s="32">
        <f t="shared" si="61"/>
        <v>0</v>
      </c>
      <c r="J150" s="32">
        <f>SUM(J151:J153)</f>
        <v>0</v>
      </c>
      <c r="K150" s="32">
        <f>SUM(K151:K153)</f>
        <v>0</v>
      </c>
      <c r="L150" s="32">
        <f>SUM(L151:L153)</f>
        <v>0</v>
      </c>
      <c r="M150" s="32">
        <f t="shared" si="62"/>
        <v>0</v>
      </c>
      <c r="N150" s="32">
        <f>SUM(N151:N153)</f>
        <v>0</v>
      </c>
      <c r="O150" s="32">
        <f>SUM(O151:O153)</f>
        <v>0</v>
      </c>
      <c r="P150" s="32">
        <f>SUM(P151:P153)</f>
        <v>0</v>
      </c>
      <c r="Q150" s="32">
        <f t="shared" si="63"/>
        <v>0</v>
      </c>
      <c r="R150" s="33">
        <f t="shared" ref="R150:R152" si="64">SUM(E150,I150,M150,Q150)</f>
        <v>0</v>
      </c>
    </row>
    <row r="151" spans="1:28" ht="21" hidden="1" outlineLevel="1">
      <c r="A151" s="52" t="s">
        <v>212</v>
      </c>
      <c r="B151" s="39">
        <f>'[36]Budget Forms'!E312</f>
        <v>0</v>
      </c>
      <c r="C151" s="39">
        <f>'[36]Budget Forms'!F312</f>
        <v>0</v>
      </c>
      <c r="D151" s="39">
        <f>'[36]Budget Forms'!G312</f>
        <v>0</v>
      </c>
      <c r="E151" s="39">
        <f t="shared" si="60"/>
        <v>0</v>
      </c>
      <c r="F151" s="39">
        <f>'[36]Budget Forms'!H312</f>
        <v>0</v>
      </c>
      <c r="G151" s="39">
        <f>'[36]Budget Forms'!I312</f>
        <v>0</v>
      </c>
      <c r="H151" s="39">
        <f>'[36]Budget Forms'!J312</f>
        <v>0</v>
      </c>
      <c r="I151" s="39">
        <f t="shared" si="61"/>
        <v>0</v>
      </c>
      <c r="J151" s="39">
        <f>'[36]Budget Forms'!K312</f>
        <v>0</v>
      </c>
      <c r="K151" s="39">
        <f>'[36]Budget Forms'!L312</f>
        <v>0</v>
      </c>
      <c r="L151" s="39">
        <f>'[36]Budget Forms'!M312</f>
        <v>0</v>
      </c>
      <c r="M151" s="39">
        <f t="shared" si="62"/>
        <v>0</v>
      </c>
      <c r="N151" s="39">
        <f>-'[36]Budget Forms'!N311</f>
        <v>0</v>
      </c>
      <c r="O151" s="39">
        <f>'[36]Budget Forms'!O312</f>
        <v>0</v>
      </c>
      <c r="P151" s="39">
        <f>'[36]Budget Forms'!P312</f>
        <v>0</v>
      </c>
      <c r="Q151" s="39">
        <f t="shared" si="63"/>
        <v>0</v>
      </c>
      <c r="R151" s="39">
        <f t="shared" si="64"/>
        <v>0</v>
      </c>
      <c r="S151" s="16"/>
      <c r="T151" s="16"/>
      <c r="U151" s="16"/>
      <c r="V151" s="16"/>
      <c r="W151" s="16"/>
      <c r="X151" s="16"/>
      <c r="Y151" s="16"/>
      <c r="Z151" s="16"/>
    </row>
    <row r="152" spans="1:28" ht="21" hidden="1" outlineLevel="1">
      <c r="A152" s="52" t="s">
        <v>216</v>
      </c>
      <c r="B152" s="39">
        <f>'[36]Budget Forms'!E313</f>
        <v>0</v>
      </c>
      <c r="C152" s="39">
        <f>'[36]Budget Forms'!F313</f>
        <v>0</v>
      </c>
      <c r="D152" s="39">
        <f>'[36]Budget Forms'!G313</f>
        <v>0</v>
      </c>
      <c r="E152" s="39">
        <f t="shared" si="60"/>
        <v>0</v>
      </c>
      <c r="F152" s="39">
        <f>'[36]Budget Forms'!H313</f>
        <v>0</v>
      </c>
      <c r="G152" s="39">
        <f>'[36]Budget Forms'!I313</f>
        <v>0</v>
      </c>
      <c r="H152" s="39">
        <f>'[36]Budget Forms'!J313</f>
        <v>0</v>
      </c>
      <c r="I152" s="39">
        <f t="shared" si="61"/>
        <v>0</v>
      </c>
      <c r="J152" s="39">
        <f>'[36]Budget Forms'!K313</f>
        <v>0</v>
      </c>
      <c r="K152" s="39">
        <f>'[36]Budget Forms'!L313</f>
        <v>0</v>
      </c>
      <c r="L152" s="39">
        <f>'[36]Budget Forms'!M313</f>
        <v>0</v>
      </c>
      <c r="M152" s="39">
        <f t="shared" si="62"/>
        <v>0</v>
      </c>
      <c r="N152" s="39">
        <f>-'[36]Budget Forms'!N312</f>
        <v>0</v>
      </c>
      <c r="O152" s="39">
        <f>'[36]Budget Forms'!O313</f>
        <v>0</v>
      </c>
      <c r="P152" s="39">
        <f>'[36]Budget Forms'!P313</f>
        <v>0</v>
      </c>
      <c r="Q152" s="39">
        <f t="shared" si="63"/>
        <v>0</v>
      </c>
      <c r="R152" s="39">
        <f t="shared" si="64"/>
        <v>0</v>
      </c>
      <c r="S152" s="16"/>
      <c r="T152" s="16"/>
      <c r="U152" s="16"/>
      <c r="V152" s="16"/>
      <c r="W152" s="16"/>
      <c r="X152" s="16"/>
      <c r="Y152" s="16"/>
      <c r="Z152" s="16"/>
    </row>
    <row r="153" spans="1:28" ht="21" hidden="1" outlineLevel="1">
      <c r="A153" s="52" t="s">
        <v>112</v>
      </c>
      <c r="B153" s="39">
        <f>'[36]Budget Forms'!E314</f>
        <v>0</v>
      </c>
      <c r="C153" s="39">
        <f>'[36]Budget Forms'!F314</f>
        <v>0</v>
      </c>
      <c r="D153" s="39">
        <f>'[36]Budget Forms'!G314</f>
        <v>0</v>
      </c>
      <c r="E153" s="39">
        <f t="shared" si="60"/>
        <v>0</v>
      </c>
      <c r="F153" s="39">
        <f>'[36]Budget Forms'!H314</f>
        <v>0</v>
      </c>
      <c r="G153" s="39">
        <f>'[36]Budget Forms'!I314</f>
        <v>0</v>
      </c>
      <c r="H153" s="39">
        <f>'[36]Budget Forms'!J314</f>
        <v>0</v>
      </c>
      <c r="I153" s="39">
        <f t="shared" si="61"/>
        <v>0</v>
      </c>
      <c r="J153" s="39">
        <f>'[36]Budget Forms'!K314</f>
        <v>0</v>
      </c>
      <c r="K153" s="39">
        <f>'[36]Budget Forms'!L314</f>
        <v>0</v>
      </c>
      <c r="L153" s="39">
        <f>'[36]Budget Forms'!M314</f>
        <v>0</v>
      </c>
      <c r="M153" s="39">
        <f t="shared" si="62"/>
        <v>0</v>
      </c>
      <c r="N153" s="39">
        <f>-'[36]Budget Forms'!N313</f>
        <v>0</v>
      </c>
      <c r="O153" s="39">
        <f>'[36]Budget Forms'!O314</f>
        <v>0</v>
      </c>
      <c r="P153" s="39">
        <f>'[36]Budget Forms'!P314</f>
        <v>0</v>
      </c>
      <c r="Q153" s="39">
        <f t="shared" si="63"/>
        <v>0</v>
      </c>
      <c r="R153" s="39">
        <f>SUM(E153,I153,M153,Q153)</f>
        <v>0</v>
      </c>
      <c r="S153" s="16"/>
      <c r="T153" s="16"/>
      <c r="U153" s="16"/>
      <c r="V153" s="16"/>
      <c r="W153" s="16"/>
      <c r="X153" s="16"/>
      <c r="Y153" s="16"/>
      <c r="Z153" s="16"/>
    </row>
    <row r="154" spans="1:28" s="35" customFormat="1" ht="31.2" hidden="1" outlineLevel="1">
      <c r="A154" s="31" t="s">
        <v>230</v>
      </c>
      <c r="B154" s="32">
        <f>SUM(B155:B157)</f>
        <v>0</v>
      </c>
      <c r="C154" s="32">
        <f>SUM(C155:C157)</f>
        <v>0</v>
      </c>
      <c r="D154" s="32">
        <f>SUM(D155:D157)</f>
        <v>0</v>
      </c>
      <c r="E154" s="32">
        <f t="shared" si="60"/>
        <v>0</v>
      </c>
      <c r="F154" s="32">
        <f>SUM(F155:F157)</f>
        <v>0</v>
      </c>
      <c r="G154" s="32">
        <f>SUM(G155:G157)</f>
        <v>0</v>
      </c>
      <c r="H154" s="32">
        <f>SUM(H155:H157)</f>
        <v>0</v>
      </c>
      <c r="I154" s="32">
        <f t="shared" si="61"/>
        <v>0</v>
      </c>
      <c r="J154" s="32">
        <f>SUM(J155:J157)</f>
        <v>0</v>
      </c>
      <c r="K154" s="32">
        <f>SUM(K155:K157)</f>
        <v>0</v>
      </c>
      <c r="L154" s="32">
        <f>SUM(L155:L157)</f>
        <v>0</v>
      </c>
      <c r="M154" s="32">
        <f t="shared" si="62"/>
        <v>0</v>
      </c>
      <c r="N154" s="32">
        <f>SUM(N155:N157)</f>
        <v>0</v>
      </c>
      <c r="O154" s="32">
        <f>SUM(O155:O157)</f>
        <v>0</v>
      </c>
      <c r="P154" s="32">
        <f>SUM(P155:P157)</f>
        <v>0</v>
      </c>
      <c r="Q154" s="32">
        <f t="shared" si="63"/>
        <v>0</v>
      </c>
      <c r="R154" s="33">
        <f t="shared" ref="R154:R156" si="65">SUM(E154,I154,M154,Q154)</f>
        <v>0</v>
      </c>
    </row>
    <row r="155" spans="1:28" ht="21" hidden="1" outlineLevel="1">
      <c r="A155" s="52" t="s">
        <v>212</v>
      </c>
      <c r="B155" s="39">
        <f>'[36]Budget Forms'!E316</f>
        <v>0</v>
      </c>
      <c r="C155" s="39">
        <f>'[36]Budget Forms'!F316</f>
        <v>0</v>
      </c>
      <c r="D155" s="39">
        <f>'[36]Budget Forms'!G316</f>
        <v>0</v>
      </c>
      <c r="E155" s="39">
        <f t="shared" si="60"/>
        <v>0</v>
      </c>
      <c r="F155" s="39">
        <f>'[36]Budget Forms'!H316</f>
        <v>0</v>
      </c>
      <c r="G155" s="39">
        <f>'[36]Budget Forms'!I316</f>
        <v>0</v>
      </c>
      <c r="H155" s="39">
        <f>'[36]Budget Forms'!J316</f>
        <v>0</v>
      </c>
      <c r="I155" s="39">
        <f t="shared" si="61"/>
        <v>0</v>
      </c>
      <c r="J155" s="39">
        <f>'[36]Budget Forms'!K316</f>
        <v>0</v>
      </c>
      <c r="K155" s="39">
        <f>'[36]Budget Forms'!L316</f>
        <v>0</v>
      </c>
      <c r="L155" s="39">
        <f>'[36]Budget Forms'!M316</f>
        <v>0</v>
      </c>
      <c r="M155" s="39">
        <f t="shared" si="62"/>
        <v>0</v>
      </c>
      <c r="N155" s="39">
        <f>-'[36]Budget Forms'!N314</f>
        <v>0</v>
      </c>
      <c r="O155" s="39">
        <f>'[36]Budget Forms'!O316</f>
        <v>0</v>
      </c>
      <c r="P155" s="39">
        <f>'[36]Budget Forms'!P316</f>
        <v>0</v>
      </c>
      <c r="Q155" s="39">
        <f t="shared" si="63"/>
        <v>0</v>
      </c>
      <c r="R155" s="39">
        <f t="shared" si="65"/>
        <v>0</v>
      </c>
      <c r="S155" s="16"/>
      <c r="T155" s="16"/>
      <c r="U155" s="16"/>
      <c r="V155" s="16"/>
      <c r="W155" s="16"/>
      <c r="X155" s="16"/>
      <c r="Y155" s="16"/>
      <c r="Z155" s="16"/>
    </row>
    <row r="156" spans="1:28" ht="21" hidden="1" outlineLevel="1">
      <c r="A156" s="52" t="s">
        <v>216</v>
      </c>
      <c r="B156" s="39">
        <f>'[36]Budget Forms'!E317</f>
        <v>0</v>
      </c>
      <c r="C156" s="39">
        <f>'[36]Budget Forms'!F317</f>
        <v>0</v>
      </c>
      <c r="D156" s="39">
        <f>'[36]Budget Forms'!G317</f>
        <v>0</v>
      </c>
      <c r="E156" s="39">
        <f t="shared" si="60"/>
        <v>0</v>
      </c>
      <c r="F156" s="39">
        <f>'[36]Budget Forms'!H317</f>
        <v>0</v>
      </c>
      <c r="G156" s="39">
        <f>'[36]Budget Forms'!I317</f>
        <v>0</v>
      </c>
      <c r="H156" s="39">
        <f>'[36]Budget Forms'!J317</f>
        <v>0</v>
      </c>
      <c r="I156" s="39">
        <f t="shared" si="61"/>
        <v>0</v>
      </c>
      <c r="J156" s="39">
        <f>'[36]Budget Forms'!K317</f>
        <v>0</v>
      </c>
      <c r="K156" s="39">
        <f>'[36]Budget Forms'!L317</f>
        <v>0</v>
      </c>
      <c r="L156" s="39">
        <f>'[36]Budget Forms'!M317</f>
        <v>0</v>
      </c>
      <c r="M156" s="39">
        <f t="shared" si="62"/>
        <v>0</v>
      </c>
      <c r="N156" s="39">
        <f>-'[36]Budget Forms'!N315</f>
        <v>0</v>
      </c>
      <c r="O156" s="39">
        <f>'[36]Budget Forms'!O317</f>
        <v>0</v>
      </c>
      <c r="P156" s="39">
        <f>'[36]Budget Forms'!P317</f>
        <v>0</v>
      </c>
      <c r="Q156" s="39">
        <f t="shared" si="63"/>
        <v>0</v>
      </c>
      <c r="R156" s="39">
        <f t="shared" si="65"/>
        <v>0</v>
      </c>
      <c r="S156" s="16"/>
      <c r="T156" s="16"/>
      <c r="U156" s="16"/>
      <c r="V156" s="16"/>
      <c r="W156" s="16"/>
      <c r="X156" s="16"/>
      <c r="Y156" s="16"/>
      <c r="Z156" s="16"/>
    </row>
    <row r="157" spans="1:28" ht="21" hidden="1" outlineLevel="1">
      <c r="A157" s="52" t="s">
        <v>112</v>
      </c>
      <c r="B157" s="39">
        <f>'[36]Budget Forms'!E318</f>
        <v>0</v>
      </c>
      <c r="C157" s="39">
        <f>'[36]Budget Forms'!F318</f>
        <v>0</v>
      </c>
      <c r="D157" s="39">
        <f>'[36]Budget Forms'!G318</f>
        <v>0</v>
      </c>
      <c r="E157" s="39">
        <f t="shared" si="60"/>
        <v>0</v>
      </c>
      <c r="F157" s="39">
        <f>'[36]Budget Forms'!H318</f>
        <v>0</v>
      </c>
      <c r="G157" s="39">
        <f>'[36]Budget Forms'!I318</f>
        <v>0</v>
      </c>
      <c r="H157" s="39">
        <f>'[36]Budget Forms'!J318</f>
        <v>0</v>
      </c>
      <c r="I157" s="39">
        <f t="shared" si="61"/>
        <v>0</v>
      </c>
      <c r="J157" s="39">
        <f>'[36]Budget Forms'!K318</f>
        <v>0</v>
      </c>
      <c r="K157" s="39">
        <f>'[36]Budget Forms'!L318</f>
        <v>0</v>
      </c>
      <c r="L157" s="39">
        <f>'[36]Budget Forms'!M318</f>
        <v>0</v>
      </c>
      <c r="M157" s="39">
        <f t="shared" si="62"/>
        <v>0</v>
      </c>
      <c r="N157" s="39">
        <f>-'[36]Budget Forms'!N316</f>
        <v>0</v>
      </c>
      <c r="O157" s="39">
        <f>'[36]Budget Forms'!O318</f>
        <v>0</v>
      </c>
      <c r="P157" s="39">
        <f>'[36]Budget Forms'!P318</f>
        <v>0</v>
      </c>
      <c r="Q157" s="39">
        <f t="shared" si="63"/>
        <v>0</v>
      </c>
      <c r="R157" s="39">
        <f>SUM(E157,I157,M157,Q157)</f>
        <v>0</v>
      </c>
      <c r="S157" s="16"/>
      <c r="T157" s="16"/>
      <c r="U157" s="16"/>
      <c r="V157" s="16"/>
      <c r="W157" s="16"/>
      <c r="X157" s="16"/>
      <c r="Y157" s="16"/>
      <c r="Z157" s="16"/>
    </row>
    <row r="158" spans="1:28" ht="23.4" hidden="1" collapsed="1">
      <c r="A158" s="51" t="s">
        <v>231</v>
      </c>
      <c r="B158" s="42">
        <f>SUM(B159,B163,B167,B171)</f>
        <v>0</v>
      </c>
      <c r="C158" s="42">
        <f>SUM(C159,C163,C167,C171)</f>
        <v>0</v>
      </c>
      <c r="D158" s="42">
        <f>SUM(D159,D163,D167,D171)</f>
        <v>0</v>
      </c>
      <c r="E158" s="42">
        <f t="shared" si="60"/>
        <v>0</v>
      </c>
      <c r="F158" s="42">
        <f>SUM(F159,F163,F167,F171)</f>
        <v>0</v>
      </c>
      <c r="G158" s="42">
        <f>SUM(G159,G163,G167,G171)</f>
        <v>0</v>
      </c>
      <c r="H158" s="42">
        <f>SUM(H159,H163,H167,H171)</f>
        <v>0</v>
      </c>
      <c r="I158" s="42">
        <f t="shared" si="61"/>
        <v>0</v>
      </c>
      <c r="J158" s="42">
        <f>SUM(J159,J163,J167,J171)</f>
        <v>0</v>
      </c>
      <c r="K158" s="42">
        <f>SUM(K159,K163,K167,K171)</f>
        <v>0</v>
      </c>
      <c r="L158" s="42">
        <f>SUM(L159,L163,L167,L171)</f>
        <v>0</v>
      </c>
      <c r="M158" s="42">
        <f t="shared" si="62"/>
        <v>0</v>
      </c>
      <c r="N158" s="42">
        <f>SUM(N159,N163,N167,N171)</f>
        <v>0</v>
      </c>
      <c r="O158" s="42">
        <f>SUM(O159,O163,O167,O171)</f>
        <v>0</v>
      </c>
      <c r="P158" s="42">
        <f>SUM(P159,P163,P167,P171)</f>
        <v>0</v>
      </c>
      <c r="Q158" s="42">
        <f t="shared" si="63"/>
        <v>0</v>
      </c>
      <c r="R158" s="42">
        <f>SUM(E158,I158,M158,Q158)</f>
        <v>0</v>
      </c>
    </row>
    <row r="159" spans="1:28" s="35" customFormat="1" ht="31.2" hidden="1" outlineLevel="1">
      <c r="A159" s="31" t="s">
        <v>232</v>
      </c>
      <c r="B159" s="32">
        <f>SUM(B160:B162)</f>
        <v>0</v>
      </c>
      <c r="C159" s="32">
        <f>SUM(C160:C162)</f>
        <v>0</v>
      </c>
      <c r="D159" s="32">
        <f>SUM(D160:D162)</f>
        <v>0</v>
      </c>
      <c r="E159" s="32">
        <f t="shared" si="60"/>
        <v>0</v>
      </c>
      <c r="F159" s="32">
        <f>SUM(F160:F162)</f>
        <v>0</v>
      </c>
      <c r="G159" s="32">
        <f>SUM(G160:G162)</f>
        <v>0</v>
      </c>
      <c r="H159" s="32">
        <f>SUM(H160:H162)</f>
        <v>0</v>
      </c>
      <c r="I159" s="32">
        <f t="shared" si="61"/>
        <v>0</v>
      </c>
      <c r="J159" s="32">
        <f>SUM(J160:J162)</f>
        <v>0</v>
      </c>
      <c r="K159" s="32">
        <f>SUM(K160:K162)</f>
        <v>0</v>
      </c>
      <c r="L159" s="32">
        <f>SUM(L160:L162)</f>
        <v>0</v>
      </c>
      <c r="M159" s="32">
        <f t="shared" si="62"/>
        <v>0</v>
      </c>
      <c r="N159" s="32">
        <f>SUM(N160:N162)</f>
        <v>0</v>
      </c>
      <c r="O159" s="32">
        <f>SUM(O160:O162)</f>
        <v>0</v>
      </c>
      <c r="P159" s="32">
        <f>SUM(P160:P162)</f>
        <v>0</v>
      </c>
      <c r="Q159" s="32">
        <f t="shared" si="63"/>
        <v>0</v>
      </c>
      <c r="R159" s="33">
        <f t="shared" ref="R159:R161" si="66">SUM(E159,I159,M159,Q159)</f>
        <v>0</v>
      </c>
    </row>
    <row r="160" spans="1:28" ht="21" hidden="1" outlineLevel="1">
      <c r="A160" s="52" t="s">
        <v>212</v>
      </c>
      <c r="B160" s="39">
        <f>-'[36]Budget Forms'!E318</f>
        <v>0</v>
      </c>
      <c r="C160" s="39">
        <f>-'[36]Budget Forms'!F318</f>
        <v>0</v>
      </c>
      <c r="D160" s="39">
        <f>-'[36]Budget Forms'!G318</f>
        <v>0</v>
      </c>
      <c r="E160" s="39">
        <f t="shared" si="60"/>
        <v>0</v>
      </c>
      <c r="F160" s="39">
        <f>-'[36]Budget Forms'!H318</f>
        <v>0</v>
      </c>
      <c r="G160" s="39">
        <f>-'[36]Budget Forms'!I318</f>
        <v>0</v>
      </c>
      <c r="H160" s="39">
        <f>-'[36]Budget Forms'!J318</f>
        <v>0</v>
      </c>
      <c r="I160" s="39">
        <f t="shared" si="61"/>
        <v>0</v>
      </c>
      <c r="J160" s="39">
        <f>-'[36]Budget Forms'!K318</f>
        <v>0</v>
      </c>
      <c r="K160" s="39">
        <f>-'[36]Budget Forms'!L318</f>
        <v>0</v>
      </c>
      <c r="L160" s="39">
        <f>-'[36]Budget Forms'!M318</f>
        <v>0</v>
      </c>
      <c r="M160" s="39">
        <f t="shared" si="62"/>
        <v>0</v>
      </c>
      <c r="N160" s="39">
        <f>-'[36]Budget Forms'!N318</f>
        <v>0</v>
      </c>
      <c r="O160" s="39">
        <f>-'[36]Budget Forms'!O318</f>
        <v>0</v>
      </c>
      <c r="P160" s="39">
        <f>-'[36]Budget Forms'!P318</f>
        <v>0</v>
      </c>
      <c r="Q160" s="39">
        <f t="shared" si="63"/>
        <v>0</v>
      </c>
      <c r="R160" s="39">
        <f t="shared" si="66"/>
        <v>0</v>
      </c>
      <c r="S160" s="16"/>
      <c r="T160" s="16"/>
      <c r="U160" s="16"/>
      <c r="V160" s="16"/>
      <c r="W160" s="16"/>
      <c r="X160" s="16"/>
      <c r="Y160" s="16"/>
      <c r="Z160" s="16"/>
    </row>
    <row r="161" spans="1:26" ht="21" hidden="1" outlineLevel="1">
      <c r="A161" s="52" t="s">
        <v>216</v>
      </c>
      <c r="B161" s="39">
        <f>-'[36]Budget Forms'!E319</f>
        <v>0</v>
      </c>
      <c r="C161" s="39">
        <f>-'[36]Budget Forms'!F319</f>
        <v>0</v>
      </c>
      <c r="D161" s="39">
        <f>-'[36]Budget Forms'!G319</f>
        <v>0</v>
      </c>
      <c r="E161" s="39">
        <f t="shared" si="60"/>
        <v>0</v>
      </c>
      <c r="F161" s="39">
        <f>-'[36]Budget Forms'!H319</f>
        <v>0</v>
      </c>
      <c r="G161" s="39">
        <f>-'[36]Budget Forms'!I319</f>
        <v>0</v>
      </c>
      <c r="H161" s="39">
        <f>-'[36]Budget Forms'!J319</f>
        <v>0</v>
      </c>
      <c r="I161" s="39">
        <f t="shared" si="61"/>
        <v>0</v>
      </c>
      <c r="J161" s="39">
        <f>-'[36]Budget Forms'!K319</f>
        <v>0</v>
      </c>
      <c r="K161" s="39">
        <f>-'[36]Budget Forms'!L319</f>
        <v>0</v>
      </c>
      <c r="L161" s="39">
        <f>-'[36]Budget Forms'!M319</f>
        <v>0</v>
      </c>
      <c r="M161" s="39">
        <f t="shared" si="62"/>
        <v>0</v>
      </c>
      <c r="N161" s="39">
        <f>-'[36]Budget Forms'!N319</f>
        <v>0</v>
      </c>
      <c r="O161" s="39">
        <f>-'[36]Budget Forms'!O319</f>
        <v>0</v>
      </c>
      <c r="P161" s="39">
        <f>-'[36]Budget Forms'!P319</f>
        <v>0</v>
      </c>
      <c r="Q161" s="39">
        <f t="shared" si="63"/>
        <v>0</v>
      </c>
      <c r="R161" s="39">
        <f t="shared" si="66"/>
        <v>0</v>
      </c>
      <c r="S161" s="16"/>
      <c r="T161" s="16"/>
      <c r="U161" s="16"/>
      <c r="V161" s="16"/>
      <c r="W161" s="16"/>
      <c r="X161" s="16"/>
      <c r="Y161" s="16"/>
      <c r="Z161" s="16"/>
    </row>
    <row r="162" spans="1:26" ht="21" hidden="1" outlineLevel="1">
      <c r="A162" s="52" t="s">
        <v>112</v>
      </c>
      <c r="B162" s="39">
        <f>-'[36]Budget Forms'!E320</f>
        <v>0</v>
      </c>
      <c r="C162" s="39">
        <f>-'[36]Budget Forms'!F320</f>
        <v>0</v>
      </c>
      <c r="D162" s="39">
        <f>-'[36]Budget Forms'!G320</f>
        <v>0</v>
      </c>
      <c r="E162" s="39">
        <f t="shared" si="60"/>
        <v>0</v>
      </c>
      <c r="F162" s="39">
        <f>-'[36]Budget Forms'!H320</f>
        <v>0</v>
      </c>
      <c r="G162" s="39">
        <f>-'[36]Budget Forms'!I320</f>
        <v>0</v>
      </c>
      <c r="H162" s="39">
        <f>-'[36]Budget Forms'!J320</f>
        <v>0</v>
      </c>
      <c r="I162" s="39">
        <f t="shared" si="61"/>
        <v>0</v>
      </c>
      <c r="J162" s="39">
        <f>-'[36]Budget Forms'!K320</f>
        <v>0</v>
      </c>
      <c r="K162" s="39">
        <f>-'[36]Budget Forms'!L320</f>
        <v>0</v>
      </c>
      <c r="L162" s="39">
        <f>-'[36]Budget Forms'!M320</f>
        <v>0</v>
      </c>
      <c r="M162" s="39">
        <f t="shared" si="62"/>
        <v>0</v>
      </c>
      <c r="N162" s="39">
        <f>-'[36]Budget Forms'!N320</f>
        <v>0</v>
      </c>
      <c r="O162" s="39">
        <f>-'[36]Budget Forms'!O320</f>
        <v>0</v>
      </c>
      <c r="P162" s="39">
        <f>-'[36]Budget Forms'!P320</f>
        <v>0</v>
      </c>
      <c r="Q162" s="39">
        <f t="shared" si="63"/>
        <v>0</v>
      </c>
      <c r="R162" s="39">
        <f>SUM(E162,I162,M162,Q162)</f>
        <v>0</v>
      </c>
      <c r="S162" s="16"/>
      <c r="T162" s="16"/>
      <c r="U162" s="16"/>
      <c r="V162" s="16"/>
      <c r="W162" s="16"/>
      <c r="X162" s="16"/>
      <c r="Y162" s="16"/>
      <c r="Z162" s="16"/>
    </row>
    <row r="163" spans="1:26" s="35" customFormat="1" ht="31.2" hidden="1" outlineLevel="1">
      <c r="A163" s="31" t="s">
        <v>233</v>
      </c>
      <c r="B163" s="32">
        <f>SUM(B164:B166)</f>
        <v>0</v>
      </c>
      <c r="C163" s="32">
        <f>SUM(C164:C166)</f>
        <v>0</v>
      </c>
      <c r="D163" s="32">
        <f>SUM(D164:D166)</f>
        <v>0</v>
      </c>
      <c r="E163" s="32">
        <f t="shared" si="60"/>
        <v>0</v>
      </c>
      <c r="F163" s="32">
        <f>SUM(F164:F166)</f>
        <v>0</v>
      </c>
      <c r="G163" s="32">
        <f>SUM(G164:G166)</f>
        <v>0</v>
      </c>
      <c r="H163" s="32">
        <f>SUM(H164:H166)</f>
        <v>0</v>
      </c>
      <c r="I163" s="32">
        <f t="shared" si="61"/>
        <v>0</v>
      </c>
      <c r="J163" s="32">
        <f>SUM(J164:J166)</f>
        <v>0</v>
      </c>
      <c r="K163" s="32">
        <f>SUM(K164:K166)</f>
        <v>0</v>
      </c>
      <c r="L163" s="32">
        <f>SUM(L164:L166)</f>
        <v>0</v>
      </c>
      <c r="M163" s="32">
        <f t="shared" si="62"/>
        <v>0</v>
      </c>
      <c r="N163" s="32">
        <f>SUM(N164:N166)</f>
        <v>0</v>
      </c>
      <c r="O163" s="32">
        <f>SUM(O164:O166)</f>
        <v>0</v>
      </c>
      <c r="P163" s="32">
        <f>SUM(P164:P166)</f>
        <v>0</v>
      </c>
      <c r="Q163" s="32">
        <f t="shared" si="63"/>
        <v>0</v>
      </c>
      <c r="R163" s="33">
        <f t="shared" ref="R163:R165" si="67">SUM(E163,I163,M163,Q163)</f>
        <v>0</v>
      </c>
    </row>
    <row r="164" spans="1:26" ht="21" hidden="1" outlineLevel="1">
      <c r="A164" s="52" t="s">
        <v>212</v>
      </c>
      <c r="B164" s="39">
        <f>-'[36]Budget Forms'!E321</f>
        <v>0</v>
      </c>
      <c r="C164" s="39">
        <f>-'[36]Budget Forms'!F321</f>
        <v>0</v>
      </c>
      <c r="D164" s="39">
        <f>-'[36]Budget Forms'!G321</f>
        <v>0</v>
      </c>
      <c r="E164" s="39">
        <f t="shared" si="60"/>
        <v>0</v>
      </c>
      <c r="F164" s="39">
        <f>-'[36]Budget Forms'!H321</f>
        <v>0</v>
      </c>
      <c r="G164" s="39">
        <f>-'[36]Budget Forms'!I321</f>
        <v>0</v>
      </c>
      <c r="H164" s="39">
        <f>-'[36]Budget Forms'!J321</f>
        <v>0</v>
      </c>
      <c r="I164" s="39">
        <f t="shared" si="61"/>
        <v>0</v>
      </c>
      <c r="J164" s="39">
        <f>-'[36]Budget Forms'!K321</f>
        <v>0</v>
      </c>
      <c r="K164" s="39">
        <f>-'[36]Budget Forms'!L321</f>
        <v>0</v>
      </c>
      <c r="L164" s="39">
        <f>-'[36]Budget Forms'!M321</f>
        <v>0</v>
      </c>
      <c r="M164" s="39">
        <f t="shared" si="62"/>
        <v>0</v>
      </c>
      <c r="N164" s="39">
        <f>-'[36]Budget Forms'!N321</f>
        <v>0</v>
      </c>
      <c r="O164" s="39">
        <f>-'[36]Budget Forms'!O321</f>
        <v>0</v>
      </c>
      <c r="P164" s="39">
        <f>-'[36]Budget Forms'!P321</f>
        <v>0</v>
      </c>
      <c r="Q164" s="39">
        <f t="shared" si="63"/>
        <v>0</v>
      </c>
      <c r="R164" s="39">
        <f t="shared" si="67"/>
        <v>0</v>
      </c>
      <c r="S164" s="16"/>
      <c r="T164" s="16"/>
      <c r="U164" s="16"/>
      <c r="V164" s="16"/>
      <c r="W164" s="16"/>
      <c r="X164" s="16"/>
      <c r="Y164" s="16"/>
      <c r="Z164" s="16"/>
    </row>
    <row r="165" spans="1:26" ht="21" hidden="1" outlineLevel="1">
      <c r="A165" s="52" t="s">
        <v>216</v>
      </c>
      <c r="B165" s="39">
        <f>-'[36]Budget Forms'!E322</f>
        <v>0</v>
      </c>
      <c r="C165" s="39">
        <f>-'[36]Budget Forms'!F322</f>
        <v>0</v>
      </c>
      <c r="D165" s="39">
        <f>-'[36]Budget Forms'!G322</f>
        <v>0</v>
      </c>
      <c r="E165" s="39">
        <f t="shared" si="60"/>
        <v>0</v>
      </c>
      <c r="F165" s="39">
        <f>-'[36]Budget Forms'!H322</f>
        <v>0</v>
      </c>
      <c r="G165" s="39">
        <f>-'[36]Budget Forms'!I322</f>
        <v>0</v>
      </c>
      <c r="H165" s="39">
        <f>-'[36]Budget Forms'!J322</f>
        <v>0</v>
      </c>
      <c r="I165" s="39">
        <f t="shared" si="61"/>
        <v>0</v>
      </c>
      <c r="J165" s="39">
        <f>-'[36]Budget Forms'!K322</f>
        <v>0</v>
      </c>
      <c r="K165" s="39">
        <f>-'[36]Budget Forms'!L322</f>
        <v>0</v>
      </c>
      <c r="L165" s="39">
        <f>-'[36]Budget Forms'!M322</f>
        <v>0</v>
      </c>
      <c r="M165" s="39">
        <f t="shared" si="62"/>
        <v>0</v>
      </c>
      <c r="N165" s="39">
        <f>-'[36]Budget Forms'!N322</f>
        <v>0</v>
      </c>
      <c r="O165" s="39">
        <f>-'[36]Budget Forms'!O322</f>
        <v>0</v>
      </c>
      <c r="P165" s="39">
        <f>-'[36]Budget Forms'!P322</f>
        <v>0</v>
      </c>
      <c r="Q165" s="39">
        <f t="shared" si="63"/>
        <v>0</v>
      </c>
      <c r="R165" s="39">
        <f t="shared" si="67"/>
        <v>0</v>
      </c>
      <c r="S165" s="16"/>
      <c r="T165" s="16"/>
      <c r="U165" s="16"/>
      <c r="V165" s="16"/>
      <c r="W165" s="16"/>
      <c r="X165" s="16"/>
      <c r="Y165" s="16"/>
      <c r="Z165" s="16"/>
    </row>
    <row r="166" spans="1:26" ht="21" hidden="1" outlineLevel="1">
      <c r="A166" s="52" t="s">
        <v>112</v>
      </c>
      <c r="B166" s="39">
        <f>-'[36]Budget Forms'!E323</f>
        <v>0</v>
      </c>
      <c r="C166" s="39">
        <f>-'[36]Budget Forms'!F323</f>
        <v>0</v>
      </c>
      <c r="D166" s="39">
        <f>-'[36]Budget Forms'!G323</f>
        <v>0</v>
      </c>
      <c r="E166" s="39">
        <f t="shared" si="60"/>
        <v>0</v>
      </c>
      <c r="F166" s="39">
        <f>-'[36]Budget Forms'!H323</f>
        <v>0</v>
      </c>
      <c r="G166" s="39">
        <f>-'[36]Budget Forms'!I323</f>
        <v>0</v>
      </c>
      <c r="H166" s="39">
        <f>-'[36]Budget Forms'!J323</f>
        <v>0</v>
      </c>
      <c r="I166" s="39">
        <f t="shared" si="61"/>
        <v>0</v>
      </c>
      <c r="J166" s="39">
        <f>-'[36]Budget Forms'!K323</f>
        <v>0</v>
      </c>
      <c r="K166" s="39">
        <f>-'[36]Budget Forms'!L323</f>
        <v>0</v>
      </c>
      <c r="L166" s="39">
        <f>-'[36]Budget Forms'!M323</f>
        <v>0</v>
      </c>
      <c r="M166" s="39">
        <f t="shared" si="62"/>
        <v>0</v>
      </c>
      <c r="N166" s="39">
        <f>-'[36]Budget Forms'!N323</f>
        <v>0</v>
      </c>
      <c r="O166" s="39">
        <f>-'[36]Budget Forms'!O323</f>
        <v>0</v>
      </c>
      <c r="P166" s="39">
        <f>-'[36]Budget Forms'!P323</f>
        <v>0</v>
      </c>
      <c r="Q166" s="39">
        <f t="shared" si="63"/>
        <v>0</v>
      </c>
      <c r="R166" s="39">
        <f>SUM(E166,I166,M166,Q166)</f>
        <v>0</v>
      </c>
      <c r="S166" s="16"/>
      <c r="T166" s="16"/>
      <c r="U166" s="16"/>
      <c r="V166" s="16"/>
      <c r="W166" s="16"/>
      <c r="X166" s="16"/>
      <c r="Y166" s="16"/>
      <c r="Z166" s="16"/>
    </row>
    <row r="167" spans="1:26" s="35" customFormat="1" ht="31.2" hidden="1" outlineLevel="1">
      <c r="A167" s="31" t="s">
        <v>234</v>
      </c>
      <c r="B167" s="32">
        <f>SUM(B168:B170)</f>
        <v>0</v>
      </c>
      <c r="C167" s="32">
        <f>SUM(C168:C170)</f>
        <v>0</v>
      </c>
      <c r="D167" s="32">
        <f>SUM(D168:D170)</f>
        <v>0</v>
      </c>
      <c r="E167" s="32">
        <f t="shared" si="60"/>
        <v>0</v>
      </c>
      <c r="F167" s="32">
        <f>SUM(F168:F170)</f>
        <v>0</v>
      </c>
      <c r="G167" s="32">
        <f>SUM(G168:G170)</f>
        <v>0</v>
      </c>
      <c r="H167" s="32">
        <f>SUM(H168:H170)</f>
        <v>0</v>
      </c>
      <c r="I167" s="32">
        <f t="shared" si="61"/>
        <v>0</v>
      </c>
      <c r="J167" s="32">
        <f>SUM(J168:J170)</f>
        <v>0</v>
      </c>
      <c r="K167" s="32">
        <f>SUM(K168:K170)</f>
        <v>0</v>
      </c>
      <c r="L167" s="32">
        <f>SUM(L168:L170)</f>
        <v>0</v>
      </c>
      <c r="M167" s="32">
        <f t="shared" si="62"/>
        <v>0</v>
      </c>
      <c r="N167" s="32">
        <f>SUM(N168:N170)</f>
        <v>0</v>
      </c>
      <c r="O167" s="32">
        <f>SUM(O168:O170)</f>
        <v>0</v>
      </c>
      <c r="P167" s="32">
        <f>SUM(P168:P170)</f>
        <v>0</v>
      </c>
      <c r="Q167" s="32">
        <f t="shared" si="63"/>
        <v>0</v>
      </c>
      <c r="R167" s="33">
        <f t="shared" ref="R167:R169" si="68">SUM(E167,I167,M167,Q167)</f>
        <v>0</v>
      </c>
    </row>
    <row r="168" spans="1:26" ht="21" hidden="1" outlineLevel="1">
      <c r="A168" s="52" t="s">
        <v>212</v>
      </c>
      <c r="B168" s="39">
        <f>-'[36]Budget Forms'!E324</f>
        <v>0</v>
      </c>
      <c r="C168" s="39">
        <f>-'[36]Budget Forms'!F324</f>
        <v>0</v>
      </c>
      <c r="D168" s="39">
        <f>-'[36]Budget Forms'!G324</f>
        <v>0</v>
      </c>
      <c r="E168" s="39">
        <f t="shared" si="60"/>
        <v>0</v>
      </c>
      <c r="F168" s="39">
        <f>-'[36]Budget Forms'!H324</f>
        <v>0</v>
      </c>
      <c r="G168" s="39">
        <f>-'[36]Budget Forms'!I324</f>
        <v>0</v>
      </c>
      <c r="H168" s="39">
        <f>-'[36]Budget Forms'!J324</f>
        <v>0</v>
      </c>
      <c r="I168" s="39">
        <f t="shared" si="61"/>
        <v>0</v>
      </c>
      <c r="J168" s="39">
        <f>-'[36]Budget Forms'!K324</f>
        <v>0</v>
      </c>
      <c r="K168" s="39">
        <f>-'[36]Budget Forms'!L324</f>
        <v>0</v>
      </c>
      <c r="L168" s="39">
        <f>-'[36]Budget Forms'!M324</f>
        <v>0</v>
      </c>
      <c r="M168" s="39">
        <f t="shared" si="62"/>
        <v>0</v>
      </c>
      <c r="N168" s="39">
        <f>-'[36]Budget Forms'!N324</f>
        <v>0</v>
      </c>
      <c r="O168" s="39">
        <f>-'[36]Budget Forms'!O324</f>
        <v>0</v>
      </c>
      <c r="P168" s="39">
        <f>-'[36]Budget Forms'!P324</f>
        <v>0</v>
      </c>
      <c r="Q168" s="39">
        <f t="shared" si="63"/>
        <v>0</v>
      </c>
      <c r="R168" s="39">
        <f t="shared" si="68"/>
        <v>0</v>
      </c>
      <c r="S168" s="16"/>
      <c r="T168" s="16"/>
      <c r="U168" s="16"/>
      <c r="V168" s="16"/>
      <c r="W168" s="16"/>
      <c r="X168" s="16"/>
      <c r="Y168" s="16"/>
      <c r="Z168" s="16"/>
    </row>
    <row r="169" spans="1:26" ht="21" hidden="1" outlineLevel="1">
      <c r="A169" s="52" t="s">
        <v>216</v>
      </c>
      <c r="B169" s="39">
        <f>-'[36]Budget Forms'!E325</f>
        <v>0</v>
      </c>
      <c r="C169" s="39">
        <f>-'[36]Budget Forms'!F325</f>
        <v>0</v>
      </c>
      <c r="D169" s="39">
        <f>-'[36]Budget Forms'!G325</f>
        <v>0</v>
      </c>
      <c r="E169" s="39">
        <f t="shared" si="60"/>
        <v>0</v>
      </c>
      <c r="F169" s="39">
        <f>-'[36]Budget Forms'!H325</f>
        <v>0</v>
      </c>
      <c r="G169" s="39">
        <f>-'[36]Budget Forms'!I325</f>
        <v>0</v>
      </c>
      <c r="H169" s="39">
        <f>-'[36]Budget Forms'!J325</f>
        <v>0</v>
      </c>
      <c r="I169" s="39">
        <f t="shared" si="61"/>
        <v>0</v>
      </c>
      <c r="J169" s="39">
        <f>-'[36]Budget Forms'!K325</f>
        <v>0</v>
      </c>
      <c r="K169" s="39">
        <f>-'[36]Budget Forms'!L325</f>
        <v>0</v>
      </c>
      <c r="L169" s="39">
        <f>-'[36]Budget Forms'!M325</f>
        <v>0</v>
      </c>
      <c r="M169" s="39">
        <f t="shared" si="62"/>
        <v>0</v>
      </c>
      <c r="N169" s="39">
        <f>-'[36]Budget Forms'!N325</f>
        <v>0</v>
      </c>
      <c r="O169" s="39">
        <f>-'[36]Budget Forms'!O325</f>
        <v>0</v>
      </c>
      <c r="P169" s="39">
        <f>-'[36]Budget Forms'!P325</f>
        <v>0</v>
      </c>
      <c r="Q169" s="39">
        <f t="shared" si="63"/>
        <v>0</v>
      </c>
      <c r="R169" s="39">
        <f t="shared" si="68"/>
        <v>0</v>
      </c>
      <c r="S169" s="16"/>
      <c r="T169" s="16"/>
      <c r="U169" s="16"/>
      <c r="V169" s="16"/>
      <c r="W169" s="16"/>
      <c r="X169" s="16"/>
      <c r="Y169" s="16"/>
      <c r="Z169" s="16"/>
    </row>
    <row r="170" spans="1:26" ht="21" hidden="1" outlineLevel="1">
      <c r="A170" s="52" t="s">
        <v>112</v>
      </c>
      <c r="B170" s="39">
        <f>-'[36]Budget Forms'!E326</f>
        <v>0</v>
      </c>
      <c r="C170" s="39">
        <f>-'[36]Budget Forms'!F326</f>
        <v>0</v>
      </c>
      <c r="D170" s="39">
        <f>-'[36]Budget Forms'!G326</f>
        <v>0</v>
      </c>
      <c r="E170" s="39">
        <f t="shared" si="60"/>
        <v>0</v>
      </c>
      <c r="F170" s="39">
        <f>-'[36]Budget Forms'!H326</f>
        <v>0</v>
      </c>
      <c r="G170" s="39">
        <f>-'[36]Budget Forms'!I326</f>
        <v>0</v>
      </c>
      <c r="H170" s="39">
        <f>-'[36]Budget Forms'!J326</f>
        <v>0</v>
      </c>
      <c r="I170" s="39">
        <f t="shared" si="61"/>
        <v>0</v>
      </c>
      <c r="J170" s="39">
        <f>-'[36]Budget Forms'!K326</f>
        <v>0</v>
      </c>
      <c r="K170" s="39">
        <f>-'[36]Budget Forms'!L326</f>
        <v>0</v>
      </c>
      <c r="L170" s="39">
        <f>-'[36]Budget Forms'!M326</f>
        <v>0</v>
      </c>
      <c r="M170" s="39">
        <f t="shared" si="62"/>
        <v>0</v>
      </c>
      <c r="N170" s="39">
        <f>-'[36]Budget Forms'!N326</f>
        <v>0</v>
      </c>
      <c r="O170" s="39">
        <f>-'[36]Budget Forms'!O326</f>
        <v>0</v>
      </c>
      <c r="P170" s="39">
        <f>-'[36]Budget Forms'!P326</f>
        <v>0</v>
      </c>
      <c r="Q170" s="39">
        <f t="shared" si="63"/>
        <v>0</v>
      </c>
      <c r="R170" s="39">
        <f>SUM(E170,I170,M170,Q170)</f>
        <v>0</v>
      </c>
      <c r="S170" s="16"/>
      <c r="T170" s="16"/>
      <c r="U170" s="16"/>
      <c r="V170" s="16"/>
      <c r="W170" s="16"/>
      <c r="X170" s="16"/>
      <c r="Y170" s="16"/>
      <c r="Z170" s="16"/>
    </row>
    <row r="171" spans="1:26" s="35" customFormat="1" ht="31.2" hidden="1" outlineLevel="1">
      <c r="A171" s="31" t="s">
        <v>235</v>
      </c>
      <c r="B171" s="32">
        <f>SUM(B172:B174)</f>
        <v>0</v>
      </c>
      <c r="C171" s="32">
        <f>SUM(C172:C174)</f>
        <v>0</v>
      </c>
      <c r="D171" s="32">
        <f>SUM(D172:D174)</f>
        <v>0</v>
      </c>
      <c r="E171" s="32">
        <f t="shared" si="60"/>
        <v>0</v>
      </c>
      <c r="F171" s="32">
        <f>SUM(F172:F174)</f>
        <v>0</v>
      </c>
      <c r="G171" s="32">
        <f>SUM(G172:G174)</f>
        <v>0</v>
      </c>
      <c r="H171" s="32">
        <f>SUM(H172:H174)</f>
        <v>0</v>
      </c>
      <c r="I171" s="32">
        <f t="shared" si="61"/>
        <v>0</v>
      </c>
      <c r="J171" s="32">
        <f>SUM(J172:J174)</f>
        <v>0</v>
      </c>
      <c r="K171" s="32">
        <f>SUM(K172:K174)</f>
        <v>0</v>
      </c>
      <c r="L171" s="32">
        <f>SUM(L172:L174)</f>
        <v>0</v>
      </c>
      <c r="M171" s="32">
        <f t="shared" si="62"/>
        <v>0</v>
      </c>
      <c r="N171" s="32">
        <f>SUM(N172:N174)</f>
        <v>0</v>
      </c>
      <c r="O171" s="32">
        <f>SUM(O172:O174)</f>
        <v>0</v>
      </c>
      <c r="P171" s="32">
        <f>SUM(P172:P174)</f>
        <v>0</v>
      </c>
      <c r="Q171" s="32">
        <f t="shared" si="63"/>
        <v>0</v>
      </c>
      <c r="R171" s="33">
        <f t="shared" ref="R171:R173" si="69">SUM(E171,I171,M171,Q171)</f>
        <v>0</v>
      </c>
    </row>
    <row r="172" spans="1:26" ht="21" hidden="1" outlineLevel="1">
      <c r="A172" s="52" t="s">
        <v>212</v>
      </c>
      <c r="B172" s="39">
        <f>-'[36]Budget Forms'!E327</f>
        <v>0</v>
      </c>
      <c r="C172" s="39">
        <f>-'[36]Budget Forms'!F327</f>
        <v>0</v>
      </c>
      <c r="D172" s="39">
        <f>-'[36]Budget Forms'!G327</f>
        <v>0</v>
      </c>
      <c r="E172" s="39">
        <f t="shared" si="60"/>
        <v>0</v>
      </c>
      <c r="F172" s="39">
        <f>-'[36]Budget Forms'!H327</f>
        <v>0</v>
      </c>
      <c r="G172" s="39">
        <f>-'[36]Budget Forms'!I327</f>
        <v>0</v>
      </c>
      <c r="H172" s="39">
        <f>-'[36]Budget Forms'!J327</f>
        <v>0</v>
      </c>
      <c r="I172" s="39">
        <f t="shared" si="61"/>
        <v>0</v>
      </c>
      <c r="J172" s="39">
        <f>-'[36]Budget Forms'!K327</f>
        <v>0</v>
      </c>
      <c r="K172" s="39">
        <f>-'[36]Budget Forms'!L327</f>
        <v>0</v>
      </c>
      <c r="L172" s="39">
        <f>-'[36]Budget Forms'!M327</f>
        <v>0</v>
      </c>
      <c r="M172" s="39">
        <f t="shared" si="62"/>
        <v>0</v>
      </c>
      <c r="N172" s="39">
        <f>-'[36]Budget Forms'!N327</f>
        <v>0</v>
      </c>
      <c r="O172" s="39">
        <f>-'[36]Budget Forms'!O327</f>
        <v>0</v>
      </c>
      <c r="P172" s="39">
        <f>-'[36]Budget Forms'!P327</f>
        <v>0</v>
      </c>
      <c r="Q172" s="39">
        <f t="shared" si="63"/>
        <v>0</v>
      </c>
      <c r="R172" s="39">
        <f t="shared" si="69"/>
        <v>0</v>
      </c>
      <c r="S172" s="16"/>
      <c r="T172" s="16"/>
      <c r="U172" s="16"/>
      <c r="V172" s="16"/>
      <c r="W172" s="16"/>
      <c r="X172" s="16"/>
      <c r="Y172" s="16"/>
      <c r="Z172" s="16"/>
    </row>
    <row r="173" spans="1:26" ht="21" hidden="1" outlineLevel="1">
      <c r="A173" s="52" t="s">
        <v>216</v>
      </c>
      <c r="B173" s="39">
        <f>-'[36]Budget Forms'!E328</f>
        <v>0</v>
      </c>
      <c r="C173" s="39">
        <f>-'[36]Budget Forms'!F328</f>
        <v>0</v>
      </c>
      <c r="D173" s="39">
        <f>-'[36]Budget Forms'!G328</f>
        <v>0</v>
      </c>
      <c r="E173" s="39">
        <f t="shared" si="60"/>
        <v>0</v>
      </c>
      <c r="F173" s="39">
        <f>-'[36]Budget Forms'!H328</f>
        <v>0</v>
      </c>
      <c r="G173" s="39">
        <f>-'[36]Budget Forms'!I328</f>
        <v>0</v>
      </c>
      <c r="H173" s="39">
        <f>-'[36]Budget Forms'!J328</f>
        <v>0</v>
      </c>
      <c r="I173" s="39">
        <f t="shared" si="61"/>
        <v>0</v>
      </c>
      <c r="J173" s="39">
        <f>-'[36]Budget Forms'!K328</f>
        <v>0</v>
      </c>
      <c r="K173" s="39">
        <f>-'[36]Budget Forms'!L328</f>
        <v>0</v>
      </c>
      <c r="L173" s="39">
        <f>-'[36]Budget Forms'!M328</f>
        <v>0</v>
      </c>
      <c r="M173" s="39">
        <f t="shared" si="62"/>
        <v>0</v>
      </c>
      <c r="N173" s="39">
        <f>-'[36]Budget Forms'!N328</f>
        <v>0</v>
      </c>
      <c r="O173" s="39">
        <f>-'[36]Budget Forms'!O328</f>
        <v>0</v>
      </c>
      <c r="P173" s="39">
        <f>-'[36]Budget Forms'!P328</f>
        <v>0</v>
      </c>
      <c r="Q173" s="39">
        <f t="shared" si="63"/>
        <v>0</v>
      </c>
      <c r="R173" s="39">
        <f t="shared" si="69"/>
        <v>0</v>
      </c>
      <c r="S173" s="16"/>
      <c r="T173" s="16"/>
      <c r="U173" s="16"/>
      <c r="V173" s="16"/>
      <c r="W173" s="16"/>
      <c r="X173" s="16"/>
      <c r="Y173" s="16"/>
      <c r="Z173" s="16"/>
    </row>
    <row r="174" spans="1:26" ht="21" hidden="1" outlineLevel="1">
      <c r="A174" s="52" t="s">
        <v>112</v>
      </c>
      <c r="B174" s="39">
        <f>-'[36]Budget Forms'!E329</f>
        <v>0</v>
      </c>
      <c r="C174" s="39">
        <f>-'[36]Budget Forms'!F329</f>
        <v>0</v>
      </c>
      <c r="D174" s="39">
        <f>-'[36]Budget Forms'!G329</f>
        <v>0</v>
      </c>
      <c r="E174" s="39">
        <f t="shared" si="60"/>
        <v>0</v>
      </c>
      <c r="F174" s="39">
        <f>-'[36]Budget Forms'!H329</f>
        <v>0</v>
      </c>
      <c r="G174" s="39">
        <f>-'[36]Budget Forms'!I329</f>
        <v>0</v>
      </c>
      <c r="H174" s="39">
        <f>-'[36]Budget Forms'!J329</f>
        <v>0</v>
      </c>
      <c r="I174" s="39">
        <f t="shared" si="61"/>
        <v>0</v>
      </c>
      <c r="J174" s="39">
        <f>-'[36]Budget Forms'!K329</f>
        <v>0</v>
      </c>
      <c r="K174" s="39">
        <f>-'[36]Budget Forms'!L329</f>
        <v>0</v>
      </c>
      <c r="L174" s="39">
        <f>-'[36]Budget Forms'!M329</f>
        <v>0</v>
      </c>
      <c r="M174" s="39">
        <f t="shared" si="62"/>
        <v>0</v>
      </c>
      <c r="N174" s="39">
        <f>-'[36]Budget Forms'!N329</f>
        <v>0</v>
      </c>
      <c r="O174" s="39">
        <f>-'[36]Budget Forms'!O329</f>
        <v>0</v>
      </c>
      <c r="P174" s="39">
        <f>-'[36]Budget Forms'!P329</f>
        <v>0</v>
      </c>
      <c r="Q174" s="39">
        <f t="shared" si="63"/>
        <v>0</v>
      </c>
      <c r="R174" s="39">
        <f>SUM(E174,I174,M174,Q174)</f>
        <v>0</v>
      </c>
      <c r="S174" s="16"/>
      <c r="T174" s="16"/>
      <c r="U174" s="16"/>
      <c r="V174" s="16"/>
      <c r="W174" s="16"/>
      <c r="X174" s="16"/>
      <c r="Y174" s="16"/>
      <c r="Z174" s="16"/>
    </row>
    <row r="175" spans="1:26" ht="21.6" collapsed="1" thickBot="1">
      <c r="A175" s="52" t="s">
        <v>236</v>
      </c>
      <c r="B175" s="39">
        <f>'[36]Budget Forms'!E331</f>
        <v>120000</v>
      </c>
      <c r="C175" s="39">
        <f>'[36]Budget Forms'!F331</f>
        <v>120000</v>
      </c>
      <c r="D175" s="39">
        <f>'[36]Budget Forms'!G331</f>
        <v>120000</v>
      </c>
      <c r="E175" s="39">
        <f>SUM(B175:D175)</f>
        <v>360000</v>
      </c>
      <c r="F175" s="39">
        <f>'[36]Budget Forms'!H331</f>
        <v>120000</v>
      </c>
      <c r="G175" s="39">
        <f>'[36]Budget Forms'!I331</f>
        <v>120000</v>
      </c>
      <c r="H175" s="39">
        <f>'[36]Budget Forms'!J331</f>
        <v>120000</v>
      </c>
      <c r="I175" s="39">
        <f>SUM(F175:H175)</f>
        <v>360000</v>
      </c>
      <c r="J175" s="39">
        <f>'[36]Budget Forms'!K331</f>
        <v>120000</v>
      </c>
      <c r="K175" s="39">
        <f>'[36]Budget Forms'!L331</f>
        <v>120000</v>
      </c>
      <c r="L175" s="39">
        <f>'[36]Budget Forms'!M331</f>
        <v>120000</v>
      </c>
      <c r="M175" s="39">
        <f>SUM(J175:L175)</f>
        <v>360000</v>
      </c>
      <c r="N175" s="39">
        <f>'[36]Budget Forms'!N331</f>
        <v>120000</v>
      </c>
      <c r="O175" s="39">
        <f>'[36]Budget Forms'!O331</f>
        <v>120000</v>
      </c>
      <c r="P175" s="39">
        <f>'[36]Budget Forms'!P331</f>
        <v>120000</v>
      </c>
      <c r="Q175" s="39">
        <f>SUM(N175:P175)</f>
        <v>360000</v>
      </c>
      <c r="R175" s="39">
        <f t="shared" ref="R175" si="70">SUM(E175,I175,M175,Q175)</f>
        <v>1440000</v>
      </c>
      <c r="S175" s="16"/>
      <c r="T175" s="16"/>
      <c r="U175" s="16"/>
      <c r="V175" s="16"/>
      <c r="W175" s="16"/>
      <c r="X175" s="16"/>
      <c r="Y175" s="16"/>
      <c r="Z175" s="16"/>
    </row>
    <row r="176" spans="1:26" ht="24.6" thickTop="1" thickBot="1">
      <c r="A176" s="53" t="s">
        <v>237</v>
      </c>
      <c r="B176" s="45">
        <f>SUM(B145,B123,B144,B158,B175)</f>
        <v>1958926.71</v>
      </c>
      <c r="C176" s="45">
        <f>SUM(C145,C123,C144,C158,C175)</f>
        <v>1959126.71</v>
      </c>
      <c r="D176" s="45">
        <f>SUM(D145,D123,D144,D158,D175)</f>
        <v>2028446.71</v>
      </c>
      <c r="E176" s="45">
        <f t="shared" ref="E176:E192" si="71">SUM(B176:D176)</f>
        <v>5946500.1299999999</v>
      </c>
      <c r="F176" s="45">
        <f>SUM(F145,F123,F144,F158,F175)</f>
        <v>1933326.71</v>
      </c>
      <c r="G176" s="45">
        <f>SUM(G145,G123,G144,G158,G175)</f>
        <v>1889406.71</v>
      </c>
      <c r="H176" s="45">
        <f>SUM(H145,H123,H144,H158,H175)</f>
        <v>1900501.71</v>
      </c>
      <c r="I176" s="45">
        <f t="shared" si="61"/>
        <v>5723235.1299999999</v>
      </c>
      <c r="J176" s="45">
        <f>SUM(J145,J123,J144,J158,J175)</f>
        <v>2017351.71</v>
      </c>
      <c r="K176" s="45">
        <f>SUM(K145,K123,K144,K158,K175)</f>
        <v>1958926.71</v>
      </c>
      <c r="L176" s="45">
        <f>SUM(L145,L123,L144,L158,L175)</f>
        <v>1984326.71</v>
      </c>
      <c r="M176" s="45">
        <f t="shared" si="62"/>
        <v>5960605.1299999999</v>
      </c>
      <c r="N176" s="45">
        <f>SUM(N145,N123,N144,N158,N175)</f>
        <v>1958926.71</v>
      </c>
      <c r="O176" s="45">
        <f>SUM(O145,O123,O144,O158,O175)</f>
        <v>1958926.71</v>
      </c>
      <c r="P176" s="45">
        <f>SUM(P145,P123,P144,P158,P175)</f>
        <v>1958926.71</v>
      </c>
      <c r="Q176" s="45">
        <f>SUM(N176:P176)</f>
        <v>5876780.1299999999</v>
      </c>
      <c r="R176" s="45">
        <f>SUM(R145,R123,R144,R158,R175)</f>
        <v>23507120.52</v>
      </c>
    </row>
    <row r="177" spans="1:26" ht="30" thickTop="1" thickBot="1">
      <c r="A177" s="46" t="s">
        <v>128</v>
      </c>
      <c r="B177" s="47">
        <f>B120-B176</f>
        <v>-10923.223333339207</v>
      </c>
      <c r="C177" s="47">
        <f>C120-C176</f>
        <v>1341182.5166666666</v>
      </c>
      <c r="D177" s="47">
        <f>D120-D176</f>
        <v>557746.55666666199</v>
      </c>
      <c r="E177" s="47">
        <f t="shared" si="71"/>
        <v>1888005.8499999894</v>
      </c>
      <c r="F177" s="47">
        <f>F120-F176</f>
        <v>344235.77333334181</v>
      </c>
      <c r="G177" s="47">
        <f>G120-G176</f>
        <v>3207845.8033333356</v>
      </c>
      <c r="H177" s="47">
        <f>H120-H176</f>
        <v>4607921.6433333391</v>
      </c>
      <c r="I177" s="47">
        <f t="shared" si="61"/>
        <v>8160003.2200000165</v>
      </c>
      <c r="J177" s="47">
        <f>J120-J176</f>
        <v>-549756.70999999251</v>
      </c>
      <c r="K177" s="47">
        <f>K120-K176</f>
        <v>2143388.2900000075</v>
      </c>
      <c r="L177" s="47">
        <f>L120-L176</f>
        <v>4304445.0000000065</v>
      </c>
      <c r="M177" s="47">
        <f t="shared" si="62"/>
        <v>5898076.5800000215</v>
      </c>
      <c r="N177" s="47">
        <f>N120-N176</f>
        <v>3397571.9500000076</v>
      </c>
      <c r="O177" s="47">
        <f>O120-O176</f>
        <v>4411398.940000006</v>
      </c>
      <c r="P177" s="47">
        <f>P120-P176</f>
        <v>4377365.940000006</v>
      </c>
      <c r="Q177" s="47">
        <f t="shared" si="63"/>
        <v>12186336.830000021</v>
      </c>
      <c r="R177" s="47">
        <f>R120-R176</f>
        <v>28132422.48000006</v>
      </c>
    </row>
    <row r="178" spans="1:26" ht="30" thickTop="1" thickBot="1">
      <c r="A178" s="46" t="s">
        <v>123</v>
      </c>
      <c r="B178" s="47">
        <f>B177+B175</f>
        <v>109076.77666666079</v>
      </c>
      <c r="C178" s="47">
        <f>C177+C175</f>
        <v>1461182.5166666666</v>
      </c>
      <c r="D178" s="47">
        <f>D177+D175</f>
        <v>677746.55666666199</v>
      </c>
      <c r="E178" s="47">
        <f t="shared" si="71"/>
        <v>2248005.8499999894</v>
      </c>
      <c r="F178" s="47">
        <f>F177+F175</f>
        <v>464235.77333334181</v>
      </c>
      <c r="G178" s="47">
        <f>G177+G175</f>
        <v>3327845.8033333356</v>
      </c>
      <c r="H178" s="47">
        <f>H177+H175</f>
        <v>4727921.6433333391</v>
      </c>
      <c r="I178" s="47">
        <f t="shared" si="61"/>
        <v>8520003.2200000174</v>
      </c>
      <c r="J178" s="47">
        <f>J177+J175</f>
        <v>-429756.70999999251</v>
      </c>
      <c r="K178" s="47">
        <f>K177+K175</f>
        <v>2263388.2900000075</v>
      </c>
      <c r="L178" s="47">
        <f>L177+L175</f>
        <v>4424445.0000000065</v>
      </c>
      <c r="M178" s="47">
        <f t="shared" si="62"/>
        <v>6258076.5800000215</v>
      </c>
      <c r="N178" s="47">
        <f>N177+N175</f>
        <v>3517571.9500000076</v>
      </c>
      <c r="O178" s="47">
        <f>O177+O175</f>
        <v>4531398.940000006</v>
      </c>
      <c r="P178" s="47">
        <f>P177+P175</f>
        <v>4497365.940000006</v>
      </c>
      <c r="Q178" s="47">
        <f t="shared" si="63"/>
        <v>12546336.830000021</v>
      </c>
      <c r="R178" s="47">
        <f>R177+R175</f>
        <v>29572422.48000006</v>
      </c>
      <c r="S178" s="62">
        <v>0.10440000000000001</v>
      </c>
    </row>
    <row r="179" spans="1:26" ht="26.4" thickTop="1">
      <c r="A179" s="54" t="s">
        <v>238</v>
      </c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</row>
    <row r="180" spans="1:26" ht="21">
      <c r="A180" s="52" t="s">
        <v>239</v>
      </c>
      <c r="B180" s="39">
        <f>'[36]Budget Forms'!E333</f>
        <v>1203384.44</v>
      </c>
      <c r="C180" s="39">
        <f>'[36]Budget Forms'!F333</f>
        <v>1289642.58</v>
      </c>
      <c r="D180" s="39">
        <f>'[36]Budget Forms'!G333</f>
        <v>1381322.67</v>
      </c>
      <c r="E180" s="39">
        <f t="shared" si="71"/>
        <v>3874349.69</v>
      </c>
      <c r="F180" s="39">
        <f>'[36]Budget Forms'!H333</f>
        <v>1376823.49</v>
      </c>
      <c r="G180" s="39">
        <f>'[36]Budget Forms'!I333</f>
        <v>1338905.25</v>
      </c>
      <c r="H180" s="39">
        <f>'[36]Budget Forms'!J333</f>
        <v>1363108.99</v>
      </c>
      <c r="I180" s="39">
        <f t="shared" si="61"/>
        <v>4078837.7300000004</v>
      </c>
      <c r="J180" s="39">
        <f>'[36]Budget Forms'!K333</f>
        <v>935582.07</v>
      </c>
      <c r="K180" s="39">
        <f>'[36]Budget Forms'!L333</f>
        <v>935582.07</v>
      </c>
      <c r="L180" s="39">
        <f>'[36]Budget Forms'!M333</f>
        <v>935582.07</v>
      </c>
      <c r="M180" s="39">
        <f t="shared" si="62"/>
        <v>2806746.21</v>
      </c>
      <c r="N180" s="39">
        <f>'[36]Budget Forms'!L333</f>
        <v>935582.07</v>
      </c>
      <c r="O180" s="39">
        <f>'[36]Budget Forms'!M333</f>
        <v>935582.07</v>
      </c>
      <c r="P180" s="39">
        <f>'[36]Budget Forms'!N333</f>
        <v>884153.09</v>
      </c>
      <c r="Q180" s="39">
        <f t="shared" si="63"/>
        <v>2755317.23</v>
      </c>
      <c r="R180" s="39">
        <f t="shared" ref="R180:R191" si="72">SUM(E180,I180,M180,Q180)</f>
        <v>13515250.859999999</v>
      </c>
      <c r="S180" s="16"/>
      <c r="T180" s="16"/>
      <c r="U180" s="16"/>
      <c r="V180" s="16"/>
      <c r="W180" s="16"/>
      <c r="X180" s="16"/>
      <c r="Y180" s="16"/>
      <c r="Z180" s="16"/>
    </row>
    <row r="181" spans="1:26" ht="21" hidden="1">
      <c r="A181" s="52" t="s">
        <v>240</v>
      </c>
      <c r="B181" s="39">
        <f>'[36]Budget Forms'!E334</f>
        <v>0</v>
      </c>
      <c r="C181" s="39">
        <f>'[36]Budget Forms'!F334</f>
        <v>0</v>
      </c>
      <c r="D181" s="39">
        <f>'[36]Budget Forms'!G334</f>
        <v>0</v>
      </c>
      <c r="E181" s="39">
        <f t="shared" si="71"/>
        <v>0</v>
      </c>
      <c r="F181" s="39">
        <f>'[36]Budget Forms'!H334</f>
        <v>0</v>
      </c>
      <c r="G181" s="39">
        <f>'[36]Budget Forms'!I334</f>
        <v>0</v>
      </c>
      <c r="H181" s="39">
        <f>'[36]Budget Forms'!J334</f>
        <v>0</v>
      </c>
      <c r="I181" s="39">
        <f t="shared" si="61"/>
        <v>0</v>
      </c>
      <c r="J181" s="39">
        <f>'[36]Budget Forms'!K334</f>
        <v>0</v>
      </c>
      <c r="K181" s="39">
        <f>'[36]Budget Forms'!L334</f>
        <v>0</v>
      </c>
      <c r="L181" s="39">
        <f>'[36]Budget Forms'!M334</f>
        <v>0</v>
      </c>
      <c r="M181" s="39">
        <f t="shared" si="62"/>
        <v>0</v>
      </c>
      <c r="N181" s="39">
        <f>'[36]Budget Forms'!N334</f>
        <v>0</v>
      </c>
      <c r="O181" s="39">
        <f>'[36]Budget Forms'!O334</f>
        <v>0</v>
      </c>
      <c r="P181" s="39">
        <f>'[36]Budget Forms'!P334</f>
        <v>0</v>
      </c>
      <c r="Q181" s="39">
        <f t="shared" si="63"/>
        <v>0</v>
      </c>
      <c r="R181" s="39">
        <f t="shared" si="72"/>
        <v>0</v>
      </c>
      <c r="S181" s="16"/>
      <c r="T181" s="16"/>
      <c r="U181" s="16"/>
      <c r="V181" s="16"/>
      <c r="W181" s="16"/>
      <c r="X181" s="16"/>
      <c r="Y181" s="16"/>
      <c r="Z181" s="16"/>
    </row>
    <row r="182" spans="1:26" ht="21">
      <c r="A182" s="52" t="s">
        <v>241</v>
      </c>
      <c r="B182" s="39">
        <f>'[36]Budget Forms'!E335</f>
        <v>361375.05</v>
      </c>
      <c r="C182" s="39">
        <f>'[36]Budget Forms'!F335</f>
        <v>387278.28</v>
      </c>
      <c r="D182" s="39">
        <f>'[36]Budget Forms'!G335</f>
        <v>414809.71</v>
      </c>
      <c r="E182" s="39">
        <f t="shared" si="71"/>
        <v>1163463.04</v>
      </c>
      <c r="F182" s="39">
        <f>'[36]Budget Forms'!H335</f>
        <v>413458.61</v>
      </c>
      <c r="G182" s="39">
        <f>'[36]Budget Forms'!I335</f>
        <v>402071.81</v>
      </c>
      <c r="H182" s="39">
        <f>'[36]Budget Forms'!J335</f>
        <v>409340.15999999997</v>
      </c>
      <c r="I182" s="39">
        <f t="shared" si="61"/>
        <v>1224870.5799999998</v>
      </c>
      <c r="J182" s="39">
        <f>'[36]Budget Forms'!K335</f>
        <v>280954.28999999998</v>
      </c>
      <c r="K182" s="39">
        <f>'[36]Budget Forms'!L335</f>
        <v>280954.28999999998</v>
      </c>
      <c r="L182" s="39">
        <f>'[36]Budget Forms'!M335</f>
        <v>280954.28999999998</v>
      </c>
      <c r="M182" s="39">
        <f t="shared" si="62"/>
        <v>842862.86999999988</v>
      </c>
      <c r="N182" s="39">
        <f>'[36]Budget Forms'!N335</f>
        <v>265510.21999999997</v>
      </c>
      <c r="O182" s="39">
        <f>'[36]Budget Forms'!O335</f>
        <v>251646.64</v>
      </c>
      <c r="P182" s="39">
        <f>'[36]Budget Forms'!P335</f>
        <v>251646.64</v>
      </c>
      <c r="Q182" s="39">
        <f t="shared" si="63"/>
        <v>768803.5</v>
      </c>
      <c r="R182" s="39">
        <f t="shared" si="72"/>
        <v>3999999.99</v>
      </c>
      <c r="S182" s="16"/>
      <c r="T182" s="16"/>
      <c r="U182" s="16"/>
      <c r="V182" s="16"/>
      <c r="W182" s="16"/>
      <c r="X182" s="16"/>
      <c r="Y182" s="16"/>
      <c r="Z182" s="16"/>
    </row>
    <row r="183" spans="1:26" ht="21" hidden="1">
      <c r="A183" s="52" t="s">
        <v>116</v>
      </c>
      <c r="B183" s="39">
        <f>'[36]Budget Forms'!E336</f>
        <v>0</v>
      </c>
      <c r="C183" s="39">
        <f>'[36]Budget Forms'!F336</f>
        <v>0</v>
      </c>
      <c r="D183" s="39">
        <f>'[36]Budget Forms'!G336</f>
        <v>0</v>
      </c>
      <c r="E183" s="39">
        <f t="shared" si="71"/>
        <v>0</v>
      </c>
      <c r="F183" s="39">
        <f>'[36]Budget Forms'!H336</f>
        <v>0</v>
      </c>
      <c r="G183" s="39">
        <f>'[36]Budget Forms'!I336</f>
        <v>0</v>
      </c>
      <c r="H183" s="39">
        <f>'[36]Budget Forms'!J336</f>
        <v>0</v>
      </c>
      <c r="I183" s="39">
        <f t="shared" si="61"/>
        <v>0</v>
      </c>
      <c r="J183" s="39">
        <f>'[36]Budget Forms'!K336</f>
        <v>0</v>
      </c>
      <c r="K183" s="39">
        <f>'[36]Budget Forms'!L336</f>
        <v>0</v>
      </c>
      <c r="L183" s="39">
        <f>'[36]Budget Forms'!M336</f>
        <v>0</v>
      </c>
      <c r="M183" s="39">
        <f t="shared" si="62"/>
        <v>0</v>
      </c>
      <c r="N183" s="39">
        <f>'[36]Budget Forms'!N336</f>
        <v>0</v>
      </c>
      <c r="O183" s="39">
        <f>'[36]Budget Forms'!O336</f>
        <v>0</v>
      </c>
      <c r="P183" s="39">
        <f>'[36]Budget Forms'!P336</f>
        <v>0</v>
      </c>
      <c r="Q183" s="39">
        <f t="shared" si="63"/>
        <v>0</v>
      </c>
      <c r="R183" s="39">
        <f t="shared" si="72"/>
        <v>0</v>
      </c>
      <c r="S183" s="16"/>
      <c r="T183" s="16"/>
      <c r="U183" s="16"/>
      <c r="V183" s="16"/>
      <c r="W183" s="16"/>
      <c r="X183" s="16"/>
      <c r="Y183" s="16"/>
      <c r="Z183" s="16"/>
    </row>
    <row r="184" spans="1:26" ht="21">
      <c r="A184" s="52" t="s">
        <v>242</v>
      </c>
      <c r="B184" s="39">
        <f>'[36]Budget Forms'!E337</f>
        <v>233333.33</v>
      </c>
      <c r="C184" s="39">
        <f>'[36]Budget Forms'!F337</f>
        <v>233333.33</v>
      </c>
      <c r="D184" s="39">
        <f>'[36]Budget Forms'!G337</f>
        <v>233333.33</v>
      </c>
      <c r="E184" s="39">
        <f t="shared" si="71"/>
        <v>699999.99</v>
      </c>
      <c r="F184" s="39">
        <f>'[36]Budget Forms'!H337</f>
        <v>233333.33</v>
      </c>
      <c r="G184" s="39">
        <f>'[36]Budget Forms'!I337</f>
        <v>233333.33</v>
      </c>
      <c r="H184" s="39">
        <f>'[36]Budget Forms'!J337</f>
        <v>233333.33</v>
      </c>
      <c r="I184" s="39">
        <f t="shared" si="61"/>
        <v>699999.99</v>
      </c>
      <c r="J184" s="39">
        <f>'[36]Budget Forms'!K337</f>
        <v>233333.33</v>
      </c>
      <c r="K184" s="39">
        <f>'[36]Budget Forms'!L337</f>
        <v>233333.33</v>
      </c>
      <c r="L184" s="39">
        <f>'[36]Budget Forms'!M337</f>
        <v>233333.34</v>
      </c>
      <c r="M184" s="39">
        <f t="shared" si="62"/>
        <v>700000</v>
      </c>
      <c r="N184" s="39">
        <f>'[36]Budget Forms'!N337</f>
        <v>233333.34</v>
      </c>
      <c r="O184" s="39">
        <f>'[36]Budget Forms'!O337</f>
        <v>233333.34</v>
      </c>
      <c r="P184" s="39">
        <f>'[36]Budget Forms'!P337</f>
        <v>233333.34</v>
      </c>
      <c r="Q184" s="39">
        <f t="shared" si="63"/>
        <v>700000.02</v>
      </c>
      <c r="R184" s="39">
        <f t="shared" si="72"/>
        <v>2800000</v>
      </c>
      <c r="S184" s="16"/>
      <c r="T184" s="16"/>
      <c r="U184" s="16"/>
      <c r="V184" s="16"/>
      <c r="W184" s="16"/>
      <c r="X184" s="16"/>
      <c r="Y184" s="16"/>
      <c r="Z184" s="16"/>
    </row>
    <row r="185" spans="1:26" ht="21.6" thickBot="1">
      <c r="A185" s="52" t="s">
        <v>243</v>
      </c>
      <c r="B185" s="39">
        <f>'[36]Budget Forms'!E338</f>
        <v>342224.63</v>
      </c>
      <c r="C185" s="39">
        <f>'[36]Budget Forms'!F338</f>
        <v>674541.02</v>
      </c>
      <c r="D185" s="39">
        <f>'[36]Budget Forms'!G338</f>
        <v>538770.55000000005</v>
      </c>
      <c r="E185" s="39">
        <f t="shared" si="71"/>
        <v>1555536.2000000002</v>
      </c>
      <c r="F185" s="39">
        <f>'[36]Budget Forms'!H338</f>
        <v>534929.06000000006</v>
      </c>
      <c r="G185" s="39">
        <f>'[36]Budget Forms'!I338</f>
        <v>534929.06000000006</v>
      </c>
      <c r="H185" s="39">
        <f>'[36]Budget Forms'!J338</f>
        <v>534929.06000000006</v>
      </c>
      <c r="I185" s="39">
        <f t="shared" si="61"/>
        <v>1604787.1800000002</v>
      </c>
      <c r="J185" s="39">
        <f>'[36]Budget Forms'!K338</f>
        <v>495337.42</v>
      </c>
      <c r="K185" s="39">
        <f>'[36]Budget Forms'!L338</f>
        <v>495337.42</v>
      </c>
      <c r="L185" s="39">
        <f>'[36]Budget Forms'!M338</f>
        <v>329673.28000000003</v>
      </c>
      <c r="M185" s="39">
        <f t="shared" si="62"/>
        <v>1320348.1200000001</v>
      </c>
      <c r="N185" s="39">
        <f>'[36]Budget Forms'!N338</f>
        <v>330057.43</v>
      </c>
      <c r="O185" s="39">
        <f>'[36]Budget Forms'!O338</f>
        <v>189911.53</v>
      </c>
      <c r="P185" s="39">
        <f>'[36]Budget Forms'!P338</f>
        <v>189911.53</v>
      </c>
      <c r="Q185" s="39">
        <f t="shared" si="63"/>
        <v>709880.49</v>
      </c>
      <c r="R185" s="39">
        <f t="shared" si="72"/>
        <v>5190551.99</v>
      </c>
      <c r="S185" s="16"/>
      <c r="T185" s="16"/>
      <c r="U185" s="16"/>
      <c r="V185" s="16"/>
      <c r="W185" s="16"/>
      <c r="X185" s="16"/>
      <c r="Y185" s="16"/>
      <c r="Z185" s="16"/>
    </row>
    <row r="186" spans="1:26" ht="24.6" thickTop="1" thickBot="1">
      <c r="A186" s="44" t="s">
        <v>238</v>
      </c>
      <c r="B186" s="45">
        <f t="shared" ref="B186:R186" si="73">SUM(B180:B185)</f>
        <v>2140317.4500000002</v>
      </c>
      <c r="C186" s="45">
        <f t="shared" si="73"/>
        <v>2584795.21</v>
      </c>
      <c r="D186" s="45">
        <f t="shared" si="73"/>
        <v>2568236.2599999998</v>
      </c>
      <c r="E186" s="45">
        <f t="shared" si="73"/>
        <v>7293348.9200000009</v>
      </c>
      <c r="F186" s="45">
        <f t="shared" si="73"/>
        <v>2558544.4900000002</v>
      </c>
      <c r="G186" s="45">
        <f t="shared" si="73"/>
        <v>2509239.4500000002</v>
      </c>
      <c r="H186" s="45">
        <f t="shared" si="73"/>
        <v>2540711.54</v>
      </c>
      <c r="I186" s="45">
        <f t="shared" si="73"/>
        <v>7608495.4800000004</v>
      </c>
      <c r="J186" s="45">
        <f t="shared" si="73"/>
        <v>1945207.1099999999</v>
      </c>
      <c r="K186" s="45">
        <f t="shared" si="73"/>
        <v>1945207.1099999999</v>
      </c>
      <c r="L186" s="45">
        <f t="shared" si="73"/>
        <v>1779542.98</v>
      </c>
      <c r="M186" s="45">
        <f t="shared" si="73"/>
        <v>5669957.2000000002</v>
      </c>
      <c r="N186" s="45">
        <f t="shared" si="73"/>
        <v>1764483.06</v>
      </c>
      <c r="O186" s="45">
        <f t="shared" si="73"/>
        <v>1610473.58</v>
      </c>
      <c r="P186" s="45">
        <f t="shared" si="73"/>
        <v>1559044.6</v>
      </c>
      <c r="Q186" s="45">
        <f t="shared" si="73"/>
        <v>4934001.24</v>
      </c>
      <c r="R186" s="45">
        <f t="shared" si="73"/>
        <v>25505802.840000004</v>
      </c>
      <c r="S186" s="21"/>
    </row>
    <row r="187" spans="1:26" ht="30" thickTop="1" thickBot="1">
      <c r="A187" s="46" t="s">
        <v>156</v>
      </c>
      <c r="B187" s="47">
        <f t="shared" ref="B187:Q187" si="74">B177-B186</f>
        <v>-2151240.6733333394</v>
      </c>
      <c r="C187" s="47">
        <f t="shared" si="74"/>
        <v>-1243612.6933333334</v>
      </c>
      <c r="D187" s="47">
        <f t="shared" si="74"/>
        <v>-2010489.7033333378</v>
      </c>
      <c r="E187" s="47">
        <f t="shared" si="74"/>
        <v>-5405343.0700000115</v>
      </c>
      <c r="F187" s="47">
        <f t="shared" si="74"/>
        <v>-2214308.7166666584</v>
      </c>
      <c r="G187" s="47">
        <f t="shared" si="74"/>
        <v>698606.35333333537</v>
      </c>
      <c r="H187" s="47">
        <f t="shared" si="74"/>
        <v>2067210.1033333391</v>
      </c>
      <c r="I187" s="47">
        <f t="shared" si="74"/>
        <v>551507.74000001606</v>
      </c>
      <c r="J187" s="47">
        <f t="shared" si="74"/>
        <v>-2494963.8199999924</v>
      </c>
      <c r="K187" s="47">
        <f t="shared" si="74"/>
        <v>198181.18000000762</v>
      </c>
      <c r="L187" s="47">
        <f t="shared" si="74"/>
        <v>2524902.0200000065</v>
      </c>
      <c r="M187" s="47">
        <f t="shared" si="74"/>
        <v>228119.38000002131</v>
      </c>
      <c r="N187" s="47">
        <f t="shared" si="74"/>
        <v>1633088.8900000076</v>
      </c>
      <c r="O187" s="47">
        <f t="shared" si="74"/>
        <v>2800925.3600000059</v>
      </c>
      <c r="P187" s="47">
        <f t="shared" si="74"/>
        <v>2818321.3400000059</v>
      </c>
      <c r="Q187" s="47">
        <f t="shared" si="74"/>
        <v>7252335.5900000203</v>
      </c>
      <c r="R187" s="47">
        <f>R177-R186</f>
        <v>2626619.6400000565</v>
      </c>
      <c r="S187" s="16"/>
    </row>
    <row r="188" spans="1:26" ht="24.6" thickTop="1" thickBot="1">
      <c r="A188" s="44" t="s">
        <v>244</v>
      </c>
      <c r="B188" s="56">
        <v>0</v>
      </c>
      <c r="C188" s="56">
        <v>0</v>
      </c>
      <c r="D188" s="56">
        <v>0</v>
      </c>
      <c r="E188" s="56">
        <f t="shared" si="71"/>
        <v>0</v>
      </c>
      <c r="F188" s="56"/>
      <c r="G188" s="56"/>
      <c r="H188" s="56"/>
      <c r="I188" s="56">
        <f t="shared" si="61"/>
        <v>0</v>
      </c>
      <c r="J188" s="56"/>
      <c r="K188" s="56"/>
      <c r="L188" s="56"/>
      <c r="M188" s="56">
        <f>SUM(J188:L188)</f>
        <v>0</v>
      </c>
      <c r="N188" s="56">
        <f>N187*0.225</f>
        <v>367445.00025000173</v>
      </c>
      <c r="O188" s="56">
        <f>O187*0.225</f>
        <v>630208.2060000014</v>
      </c>
      <c r="P188" s="56">
        <f>P187*0.225</f>
        <v>634122.30150000134</v>
      </c>
      <c r="Q188" s="56">
        <f>SUM(N188:P188)</f>
        <v>1631775.5077500045</v>
      </c>
      <c r="R188" s="56">
        <f t="shared" si="72"/>
        <v>1631775.5077500045</v>
      </c>
    </row>
    <row r="189" spans="1:26" ht="24.6" hidden="1" thickTop="1" thickBot="1">
      <c r="A189" s="44" t="s">
        <v>160</v>
      </c>
      <c r="B189" s="56">
        <v>0</v>
      </c>
      <c r="C189" s="56">
        <v>0</v>
      </c>
      <c r="D189" s="56">
        <v>0</v>
      </c>
      <c r="E189" s="56">
        <f t="shared" si="71"/>
        <v>0</v>
      </c>
      <c r="F189" s="56">
        <v>0</v>
      </c>
      <c r="G189" s="56">
        <v>0</v>
      </c>
      <c r="H189" s="56">
        <v>0</v>
      </c>
      <c r="I189" s="56">
        <f t="shared" si="61"/>
        <v>0</v>
      </c>
      <c r="J189" s="56">
        <v>0</v>
      </c>
      <c r="K189" s="56">
        <v>0</v>
      </c>
      <c r="L189" s="56">
        <v>0</v>
      </c>
      <c r="M189" s="56">
        <f t="shared" si="62"/>
        <v>0</v>
      </c>
      <c r="N189" s="56">
        <v>0</v>
      </c>
      <c r="O189" s="56">
        <v>0</v>
      </c>
      <c r="P189" s="56">
        <v>0</v>
      </c>
      <c r="Q189" s="56">
        <f t="shared" si="63"/>
        <v>0</v>
      </c>
      <c r="R189" s="56">
        <f t="shared" si="72"/>
        <v>0</v>
      </c>
      <c r="S189" s="16"/>
    </row>
    <row r="190" spans="1:26" ht="24.6" hidden="1" thickTop="1" thickBot="1">
      <c r="A190" s="44" t="s">
        <v>245</v>
      </c>
      <c r="B190" s="57">
        <v>0</v>
      </c>
      <c r="C190" s="57">
        <v>0</v>
      </c>
      <c r="D190" s="57">
        <v>0</v>
      </c>
      <c r="E190" s="57">
        <f t="shared" si="71"/>
        <v>0</v>
      </c>
      <c r="F190" s="56">
        <v>0</v>
      </c>
      <c r="G190" s="56">
        <v>0</v>
      </c>
      <c r="H190" s="56">
        <v>0</v>
      </c>
      <c r="I190" s="57">
        <f t="shared" si="61"/>
        <v>0</v>
      </c>
      <c r="J190" s="56">
        <v>0</v>
      </c>
      <c r="K190" s="56">
        <v>0</v>
      </c>
      <c r="L190" s="56">
        <v>0</v>
      </c>
      <c r="M190" s="57">
        <f t="shared" si="62"/>
        <v>0</v>
      </c>
      <c r="N190" s="56">
        <v>0</v>
      </c>
      <c r="O190" s="56">
        <v>0</v>
      </c>
      <c r="P190" s="56">
        <v>0</v>
      </c>
      <c r="Q190" s="57">
        <f t="shared" si="63"/>
        <v>0</v>
      </c>
      <c r="R190" s="56">
        <f t="shared" si="72"/>
        <v>0</v>
      </c>
    </row>
    <row r="191" spans="1:26" ht="24.6" hidden="1" thickTop="1" thickBot="1">
      <c r="A191" s="44" t="s">
        <v>246</v>
      </c>
      <c r="B191" s="57">
        <v>0</v>
      </c>
      <c r="C191" s="57">
        <v>0</v>
      </c>
      <c r="D191" s="57">
        <v>0</v>
      </c>
      <c r="E191" s="57">
        <f t="shared" si="71"/>
        <v>0</v>
      </c>
      <c r="F191" s="56">
        <v>0</v>
      </c>
      <c r="G191" s="56">
        <v>0</v>
      </c>
      <c r="H191" s="56">
        <v>0</v>
      </c>
      <c r="I191" s="57">
        <f t="shared" si="61"/>
        <v>0</v>
      </c>
      <c r="J191" s="56">
        <v>0</v>
      </c>
      <c r="K191" s="56">
        <v>0</v>
      </c>
      <c r="L191" s="56">
        <v>0</v>
      </c>
      <c r="M191" s="57">
        <f t="shared" si="62"/>
        <v>0</v>
      </c>
      <c r="N191" s="56">
        <v>0</v>
      </c>
      <c r="O191" s="56">
        <v>0</v>
      </c>
      <c r="P191" s="56">
        <v>0</v>
      </c>
      <c r="Q191" s="57">
        <f t="shared" si="63"/>
        <v>0</v>
      </c>
      <c r="R191" s="56">
        <f t="shared" si="72"/>
        <v>0</v>
      </c>
    </row>
    <row r="192" spans="1:26" ht="30" thickTop="1" thickBot="1">
      <c r="A192" s="58" t="s">
        <v>247</v>
      </c>
      <c r="B192" s="59">
        <f>B187-B188-B189-B190-B191</f>
        <v>-2151240.6733333394</v>
      </c>
      <c r="C192" s="59">
        <f>C187-C188-C189-C190-C191</f>
        <v>-1243612.6933333334</v>
      </c>
      <c r="D192" s="59">
        <f>D187-D188-D189-D190-D191</f>
        <v>-2010489.7033333378</v>
      </c>
      <c r="E192" s="59">
        <f t="shared" si="71"/>
        <v>-5405343.0700000105</v>
      </c>
      <c r="F192" s="59">
        <f>F187-F188-F189-F190-F191</f>
        <v>-2214308.7166666584</v>
      </c>
      <c r="G192" s="59">
        <f>G187-G188-G189-G190-G191</f>
        <v>698606.35333333537</v>
      </c>
      <c r="H192" s="59">
        <f>H187-H188-H189-H190-H191</f>
        <v>2067210.1033333391</v>
      </c>
      <c r="I192" s="59">
        <f t="shared" si="61"/>
        <v>551507.74000001606</v>
      </c>
      <c r="J192" s="59">
        <f>J187-J188-J189-J190-J191</f>
        <v>-2494963.8199999924</v>
      </c>
      <c r="K192" s="59">
        <f>K187-K188-K189-K190-K191</f>
        <v>198181.18000000762</v>
      </c>
      <c r="L192" s="59">
        <f>L187-L188-L189-L190-L191</f>
        <v>2524902.0200000065</v>
      </c>
      <c r="M192" s="59">
        <f t="shared" si="62"/>
        <v>228119.38000002177</v>
      </c>
      <c r="N192" s="59">
        <f>N187-N188-N189-N190-N191</f>
        <v>1265643.8897500059</v>
      </c>
      <c r="O192" s="59">
        <f>O187-O188-O189-O190-O191</f>
        <v>2170717.1540000048</v>
      </c>
      <c r="P192" s="59">
        <f>P187-P188-P189-P190-P191</f>
        <v>2184199.0385000044</v>
      </c>
      <c r="Q192" s="59">
        <f t="shared" si="63"/>
        <v>5620560.0822500149</v>
      </c>
      <c r="R192" s="59">
        <f>R187-R188-R189-R190-R191</f>
        <v>994844.13225005195</v>
      </c>
    </row>
    <row r="193" spans="6:18">
      <c r="M193" s="16"/>
      <c r="N193" s="21"/>
      <c r="O193" s="21"/>
      <c r="P193" s="21"/>
      <c r="Q193" s="21"/>
    </row>
    <row r="194" spans="6:18">
      <c r="G194" s="60"/>
      <c r="R194" s="21"/>
    </row>
    <row r="195" spans="6:18">
      <c r="F195" s="12"/>
      <c r="G195" s="12"/>
      <c r="H195" s="12"/>
    </row>
    <row r="196" spans="6:18">
      <c r="H196" s="12"/>
    </row>
    <row r="197" spans="6:18">
      <c r="F197" s="12"/>
      <c r="G197" s="12"/>
      <c r="H197" s="12"/>
    </row>
  </sheetData>
  <printOptions horizontalCentered="1"/>
  <pageMargins left="0" right="0" top="0" bottom="0" header="0" footer="0"/>
  <pageSetup paperSize="9" scale="1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  <outlinePr summaryBelow="0"/>
    <pageSetUpPr fitToPage="1"/>
  </sheetPr>
  <dimension ref="A1:JL166"/>
  <sheetViews>
    <sheetView showGridLines="0" zoomScale="110" zoomScaleNormal="110" workbookViewId="0">
      <pane xSplit="1" ySplit="6" topLeftCell="AU7" activePane="bottomRight" state="frozen"/>
      <selection pane="topRight" activeCell="B1" sqref="B1"/>
      <selection pane="bottomLeft" activeCell="A7" sqref="A7"/>
      <selection pane="bottomRight" activeCell="A2" sqref="A2:AY37"/>
    </sheetView>
  </sheetViews>
  <sheetFormatPr defaultRowHeight="14.4" outlineLevelRow="1" outlineLevelCol="1"/>
  <cols>
    <col min="1" max="1" width="35.88671875" customWidth="1"/>
    <col min="2" max="2" width="4.6640625" hidden="1" customWidth="1"/>
    <col min="3" max="3" width="8.6640625" hidden="1" customWidth="1"/>
    <col min="4" max="11" width="9.109375" hidden="1" customWidth="1"/>
    <col min="12" max="15" width="9.109375" hidden="1" customWidth="1" outlineLevel="1"/>
    <col min="16" max="16" width="9.109375" hidden="1" customWidth="1" collapsed="1"/>
    <col min="17" max="20" width="9.109375" hidden="1" customWidth="1" outlineLevel="1"/>
    <col min="21" max="21" width="9.109375" hidden="1" customWidth="1" collapsed="1"/>
    <col min="22" max="25" width="9.109375" hidden="1" customWidth="1" outlineLevel="1"/>
    <col min="26" max="26" width="9.109375" hidden="1" customWidth="1" collapsed="1"/>
    <col min="27" max="30" width="9.109375" hidden="1" customWidth="1" outlineLevel="1" collapsed="1"/>
    <col min="31" max="31" width="9.109375" hidden="1" customWidth="1" collapsed="1"/>
    <col min="32" max="35" width="9.109375" hidden="1" customWidth="1" outlineLevel="1" collapsed="1"/>
    <col min="36" max="36" width="9.109375" hidden="1" customWidth="1" collapsed="1"/>
    <col min="37" max="40" width="9.109375" hidden="1" customWidth="1" outlineLevel="1"/>
    <col min="41" max="41" width="9.21875" hidden="1" customWidth="1" collapsed="1"/>
    <col min="42" max="45" width="9.21875" hidden="1" customWidth="1" outlineLevel="1"/>
    <col min="46" max="46" width="9.21875" hidden="1" customWidth="1" collapsed="1"/>
    <col min="47" max="50" width="15.77734375" customWidth="1" outlineLevel="1"/>
    <col min="51" max="51" width="15.77734375" customWidth="1"/>
    <col min="52" max="55" width="9.21875" hidden="1" customWidth="1" collapsed="1"/>
    <col min="56" max="64" width="9.21875" hidden="1" customWidth="1"/>
    <col min="65" max="69" width="0" hidden="1" customWidth="1"/>
  </cols>
  <sheetData>
    <row r="1" spans="1:272">
      <c r="A1" s="220"/>
      <c r="B1" s="209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5"/>
      <c r="BI1" s="75"/>
      <c r="BJ1" s="75"/>
      <c r="BK1" s="75"/>
      <c r="BL1" s="75"/>
    </row>
    <row r="2" spans="1:272" s="222" customFormat="1" ht="18">
      <c r="A2" s="259" t="str">
        <f>'[33]Cover &amp; Index'!G7&amp;" "&amp;"Financial Statement Sheet"</f>
        <v>ASA Financial Statement Sheet</v>
      </c>
      <c r="B2" s="260"/>
      <c r="C2" s="221"/>
      <c r="D2" s="221"/>
      <c r="E2" s="221"/>
      <c r="F2" s="221"/>
      <c r="G2" s="221"/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1"/>
      <c r="U2" s="221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22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  <c r="AT2" s="221"/>
      <c r="AU2" s="221"/>
      <c r="AV2" s="221"/>
      <c r="AW2" s="221"/>
      <c r="AX2" s="221"/>
      <c r="AY2" s="221"/>
      <c r="AZ2" s="221"/>
      <c r="BA2" s="221"/>
      <c r="BB2" s="221"/>
      <c r="BC2" s="221"/>
      <c r="BD2" s="221"/>
      <c r="BE2" s="221"/>
      <c r="BF2" s="221"/>
      <c r="BG2" s="221"/>
      <c r="BH2" s="221"/>
      <c r="BI2" s="221"/>
      <c r="BJ2" s="221"/>
      <c r="BK2" s="221"/>
      <c r="BL2" s="221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</row>
    <row r="3" spans="1:272" ht="18" hidden="1">
      <c r="A3" s="28"/>
      <c r="B3" s="261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262"/>
      <c r="Z3" s="262"/>
      <c r="AA3" s="262"/>
      <c r="AB3" s="262"/>
      <c r="AC3" s="262"/>
      <c r="AD3" s="262"/>
      <c r="AE3" s="262"/>
      <c r="AF3" s="262"/>
      <c r="AG3" s="262"/>
      <c r="AH3" s="262"/>
      <c r="AI3" s="262"/>
      <c r="AJ3" s="262"/>
      <c r="AK3" s="262"/>
      <c r="AL3" s="262"/>
      <c r="AM3" s="262"/>
      <c r="AN3" s="262"/>
      <c r="AO3" s="262"/>
      <c r="AP3" s="262"/>
      <c r="AQ3" s="262"/>
      <c r="AR3" s="262"/>
      <c r="AS3" s="262"/>
      <c r="AT3" s="262"/>
      <c r="AU3" s="262"/>
      <c r="AV3" s="262"/>
      <c r="AW3" s="262"/>
      <c r="AX3" s="262"/>
      <c r="AY3" s="262"/>
      <c r="AZ3" s="223"/>
      <c r="BA3" s="223"/>
      <c r="BB3" s="223"/>
      <c r="BC3" s="223"/>
      <c r="BD3" s="223"/>
      <c r="BE3" s="223"/>
      <c r="BF3" s="223"/>
      <c r="BG3" s="223"/>
      <c r="BH3" s="223"/>
      <c r="BI3" s="223"/>
      <c r="BJ3" s="223"/>
      <c r="BK3" s="223"/>
      <c r="BL3" s="223"/>
    </row>
    <row r="4" spans="1:272" s="220" customFormat="1" ht="18" hidden="1">
      <c r="A4" s="263" t="s">
        <v>351</v>
      </c>
      <c r="B4" s="264"/>
      <c r="C4" s="218" t="str">
        <f>'[33]Actual &amp; Assumptions'!C4</f>
        <v>2006 A</v>
      </c>
      <c r="D4" s="218" t="str">
        <f>'[33]Actual &amp; Assumptions'!D4</f>
        <v>2007 A</v>
      </c>
      <c r="E4" s="218" t="str">
        <f>'[33]Actual &amp; Assumptions'!E4</f>
        <v>2008 A</v>
      </c>
      <c r="F4" s="218" t="str">
        <f>'[33]Actual &amp; Assumptions'!F4</f>
        <v>2009 A</v>
      </c>
      <c r="G4" s="218" t="str">
        <f>'[33]Actual &amp; Assumptions'!G4</f>
        <v>2010 A</v>
      </c>
      <c r="H4" s="218" t="str">
        <f>'[33]Actual &amp; Assumptions'!H4</f>
        <v>2011 A</v>
      </c>
      <c r="I4" s="218" t="str">
        <f>'[33]Actual &amp; Assumptions'!I4</f>
        <v>2012 A</v>
      </c>
      <c r="J4" s="218" t="str">
        <f>'[33]Actual &amp; Assumptions'!J4</f>
        <v>2013 A</v>
      </c>
      <c r="K4" s="218" t="str">
        <f>'[33]Actual &amp; Assumptions'!K4</f>
        <v>2014 A</v>
      </c>
      <c r="L4" s="218" t="s">
        <v>352</v>
      </c>
      <c r="M4" s="218" t="s">
        <v>353</v>
      </c>
      <c r="N4" s="218" t="s">
        <v>354</v>
      </c>
      <c r="O4" s="218" t="s">
        <v>355</v>
      </c>
      <c r="P4" s="218" t="str">
        <f>'[33]Actual &amp; Assumptions'!P4</f>
        <v>2015 A</v>
      </c>
      <c r="Q4" s="265" t="s">
        <v>356</v>
      </c>
      <c r="R4" s="265" t="s">
        <v>357</v>
      </c>
      <c r="S4" s="265" t="s">
        <v>358</v>
      </c>
      <c r="T4" s="265" t="s">
        <v>359</v>
      </c>
      <c r="U4" s="218" t="str">
        <f>'[33]Actual &amp; Assumptions'!U4</f>
        <v>2016 A</v>
      </c>
      <c r="V4" s="265" t="s">
        <v>360</v>
      </c>
      <c r="W4" s="265" t="s">
        <v>361</v>
      </c>
      <c r="X4" s="265" t="s">
        <v>362</v>
      </c>
      <c r="Y4" s="265" t="s">
        <v>363</v>
      </c>
      <c r="Z4" s="218" t="str">
        <f>'[33]Actual &amp; Assumptions'!Z4</f>
        <v>2017 A</v>
      </c>
      <c r="AA4" s="218" t="s">
        <v>364</v>
      </c>
      <c r="AB4" s="218" t="s">
        <v>365</v>
      </c>
      <c r="AC4" s="218" t="s">
        <v>366</v>
      </c>
      <c r="AD4" s="218" t="s">
        <v>367</v>
      </c>
      <c r="AE4" s="218" t="str">
        <f>'[33]Actual &amp; Assumptions'!AE4</f>
        <v>2018 A</v>
      </c>
      <c r="AF4" s="218" t="str">
        <f>'[33]Actual &amp; Assumptions'!AF4</f>
        <v>Q1 - 2019</v>
      </c>
      <c r="AG4" s="218" t="str">
        <f>'[33]Actual &amp; Assumptions'!AG4</f>
        <v>Q2 - 2019</v>
      </c>
      <c r="AH4" s="218" t="str">
        <f>'[33]Actual &amp; Assumptions'!AH4</f>
        <v>Q3 - 2019</v>
      </c>
      <c r="AI4" s="218" t="str">
        <f>'[33]Actual &amp; Assumptions'!AI4</f>
        <v>Q4 - 2019</v>
      </c>
      <c r="AJ4" s="218" t="str">
        <f>'[33]Actual &amp; Assumptions'!AJ4</f>
        <v>2019 A</v>
      </c>
      <c r="AK4" s="218" t="s">
        <v>368</v>
      </c>
      <c r="AL4" s="218" t="s">
        <v>369</v>
      </c>
      <c r="AM4" s="218" t="s">
        <v>370</v>
      </c>
      <c r="AN4" s="218" t="s">
        <v>371</v>
      </c>
      <c r="AO4" s="218" t="s">
        <v>293</v>
      </c>
      <c r="AP4" s="218" t="s">
        <v>372</v>
      </c>
      <c r="AQ4" s="218" t="s">
        <v>373</v>
      </c>
      <c r="AR4" s="218" t="s">
        <v>374</v>
      </c>
      <c r="AS4" s="218" t="s">
        <v>375</v>
      </c>
      <c r="AT4" s="218" t="s">
        <v>278</v>
      </c>
      <c r="AU4" s="218" t="s">
        <v>376</v>
      </c>
      <c r="AV4" s="218" t="s">
        <v>377</v>
      </c>
      <c r="AW4" s="218" t="s">
        <v>378</v>
      </c>
      <c r="AX4" s="218" t="s">
        <v>379</v>
      </c>
      <c r="AY4" s="218" t="str">
        <f>'[37]Actual &amp; Assumptions'!AU4</f>
        <v>2022 P</v>
      </c>
      <c r="AZ4" s="85" t="str">
        <f>'[33]Actual &amp; Assumptions'!AZ4</f>
        <v>2023 P</v>
      </c>
      <c r="BA4" s="85" t="str">
        <f>'[33]Actual &amp; Assumptions'!BA4</f>
        <v>2024 P</v>
      </c>
      <c r="BB4" s="85" t="str">
        <f>'[33]Actual &amp; Assumptions'!BB4</f>
        <v>2025 P</v>
      </c>
      <c r="BC4" s="85" t="str">
        <f>'[33]Actual &amp; Assumptions'!BC4</f>
        <v>2026 P</v>
      </c>
      <c r="BD4" s="85" t="str">
        <f>'[33]Actual &amp; Assumptions'!BD4</f>
        <v>2027 P</v>
      </c>
      <c r="BE4" s="85" t="str">
        <f>'[33]Actual &amp; Assumptions'!BE4</f>
        <v>2028 P</v>
      </c>
      <c r="BF4" s="85" t="str">
        <f>'[33]Actual &amp; Assumptions'!BF4</f>
        <v>2029 P</v>
      </c>
      <c r="BG4" s="85" t="str">
        <f>'[33]Actual &amp; Assumptions'!BG4</f>
        <v>2030 P</v>
      </c>
      <c r="BH4" s="85" t="str">
        <f>'[33]Actual &amp; Assumptions'!BH4</f>
        <v>2031 P</v>
      </c>
      <c r="BI4" s="85" t="str">
        <f>'[33]Actual &amp; Assumptions'!BI4</f>
        <v>2032 P</v>
      </c>
      <c r="BJ4" s="85" t="str">
        <f>'[33]Actual &amp; Assumptions'!BJ4</f>
        <v>2033 P</v>
      </c>
      <c r="BK4" s="85" t="str">
        <f>'[33]Actual &amp; Assumptions'!BK4</f>
        <v>2034 P</v>
      </c>
      <c r="BL4" s="85" t="str">
        <f>'[33]Actual &amp; Assumptions'!BL4</f>
        <v>2035 P</v>
      </c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</row>
    <row r="5" spans="1:272" s="225" customFormat="1" ht="18" hidden="1">
      <c r="A5" s="266" t="s">
        <v>380</v>
      </c>
      <c r="B5" s="267"/>
      <c r="C5" s="268">
        <f t="shared" ref="C5:BL5" si="0">ROUND((C70+C90),0)</f>
        <v>0</v>
      </c>
      <c r="D5" s="268">
        <f t="shared" si="0"/>
        <v>-2</v>
      </c>
      <c r="E5" s="268">
        <f t="shared" si="0"/>
        <v>0</v>
      </c>
      <c r="F5" s="268">
        <f t="shared" si="0"/>
        <v>-1</v>
      </c>
      <c r="G5" s="268">
        <f t="shared" si="0"/>
        <v>-3</v>
      </c>
      <c r="H5" s="268">
        <f t="shared" si="0"/>
        <v>2</v>
      </c>
      <c r="I5" s="268">
        <f t="shared" si="0"/>
        <v>0</v>
      </c>
      <c r="J5" s="268">
        <f t="shared" si="0"/>
        <v>1</v>
      </c>
      <c r="K5" s="268">
        <f t="shared" si="0"/>
        <v>3</v>
      </c>
      <c r="L5" s="268">
        <f t="shared" si="0"/>
        <v>2</v>
      </c>
      <c r="M5" s="268">
        <f t="shared" si="0"/>
        <v>2</v>
      </c>
      <c r="N5" s="268">
        <f t="shared" si="0"/>
        <v>0</v>
      </c>
      <c r="O5" s="268">
        <f t="shared" si="0"/>
        <v>1</v>
      </c>
      <c r="P5" s="268">
        <f t="shared" si="0"/>
        <v>3</v>
      </c>
      <c r="Q5" s="268">
        <f t="shared" si="0"/>
        <v>1</v>
      </c>
      <c r="R5" s="268">
        <f t="shared" si="0"/>
        <v>2</v>
      </c>
      <c r="S5" s="268">
        <f t="shared" si="0"/>
        <v>5</v>
      </c>
      <c r="T5" s="268">
        <f t="shared" si="0"/>
        <v>2</v>
      </c>
      <c r="U5" s="268">
        <f t="shared" si="0"/>
        <v>2</v>
      </c>
      <c r="V5" s="268">
        <f t="shared" si="0"/>
        <v>3</v>
      </c>
      <c r="W5" s="268">
        <f t="shared" si="0"/>
        <v>-1</v>
      </c>
      <c r="X5" s="268">
        <f t="shared" si="0"/>
        <v>5</v>
      </c>
      <c r="Y5" s="268">
        <f t="shared" si="0"/>
        <v>-3</v>
      </c>
      <c r="Z5" s="268">
        <f t="shared" si="0"/>
        <v>-3</v>
      </c>
      <c r="AA5" s="268">
        <f t="shared" si="0"/>
        <v>11</v>
      </c>
      <c r="AB5" s="268">
        <f t="shared" si="0"/>
        <v>0</v>
      </c>
      <c r="AC5" s="268">
        <f t="shared" si="0"/>
        <v>0</v>
      </c>
      <c r="AD5" s="268">
        <f t="shared" si="0"/>
        <v>2</v>
      </c>
      <c r="AE5" s="268">
        <f t="shared" si="0"/>
        <v>2</v>
      </c>
      <c r="AF5" s="268">
        <f t="shared" si="0"/>
        <v>0</v>
      </c>
      <c r="AG5" s="268">
        <f t="shared" si="0"/>
        <v>0</v>
      </c>
      <c r="AH5" s="268">
        <f t="shared" si="0"/>
        <v>0</v>
      </c>
      <c r="AI5" s="268">
        <f t="shared" si="0"/>
        <v>0</v>
      </c>
      <c r="AJ5" s="268">
        <f t="shared" si="0"/>
        <v>0</v>
      </c>
      <c r="AK5" s="268">
        <f t="shared" si="0"/>
        <v>0</v>
      </c>
      <c r="AL5" s="268">
        <f t="shared" si="0"/>
        <v>0</v>
      </c>
      <c r="AM5" s="268">
        <f t="shared" si="0"/>
        <v>0</v>
      </c>
      <c r="AN5" s="268">
        <f t="shared" si="0"/>
        <v>0</v>
      </c>
      <c r="AO5" s="268">
        <f t="shared" si="0"/>
        <v>0</v>
      </c>
      <c r="AP5" s="268">
        <f t="shared" si="0"/>
        <v>0</v>
      </c>
      <c r="AQ5" s="268">
        <f t="shared" si="0"/>
        <v>3</v>
      </c>
      <c r="AR5" s="268">
        <f t="shared" si="0"/>
        <v>0</v>
      </c>
      <c r="AS5" s="268">
        <f t="shared" si="0"/>
        <v>0</v>
      </c>
      <c r="AT5" s="268">
        <f t="shared" si="0"/>
        <v>0</v>
      </c>
      <c r="AU5" s="268">
        <f t="shared" si="0"/>
        <v>0</v>
      </c>
      <c r="AV5" s="268">
        <f t="shared" si="0"/>
        <v>0</v>
      </c>
      <c r="AW5" s="268">
        <f t="shared" si="0"/>
        <v>0</v>
      </c>
      <c r="AX5" s="268">
        <f>ROUND((AX70+AX90),0)</f>
        <v>0</v>
      </c>
      <c r="AY5" s="268">
        <f t="shared" ref="AY5" si="1">ROUND((AY70+AY90),0)</f>
        <v>0</v>
      </c>
      <c r="AZ5" s="224">
        <f t="shared" si="0"/>
        <v>0</v>
      </c>
      <c r="BA5" s="224">
        <f t="shared" si="0"/>
        <v>0</v>
      </c>
      <c r="BB5" s="224">
        <f t="shared" si="0"/>
        <v>0</v>
      </c>
      <c r="BC5" s="224">
        <f t="shared" si="0"/>
        <v>0</v>
      </c>
      <c r="BD5" s="224">
        <f t="shared" si="0"/>
        <v>0</v>
      </c>
      <c r="BE5" s="224">
        <f t="shared" si="0"/>
        <v>0</v>
      </c>
      <c r="BF5" s="224">
        <f t="shared" si="0"/>
        <v>0</v>
      </c>
      <c r="BG5" s="224">
        <f t="shared" si="0"/>
        <v>0</v>
      </c>
      <c r="BH5" s="224">
        <f t="shared" si="0"/>
        <v>0</v>
      </c>
      <c r="BI5" s="224">
        <f t="shared" si="0"/>
        <v>0</v>
      </c>
      <c r="BJ5" s="224">
        <f t="shared" si="0"/>
        <v>0</v>
      </c>
      <c r="BK5" s="224">
        <f t="shared" si="0"/>
        <v>0</v>
      </c>
      <c r="BL5" s="224">
        <f t="shared" si="0"/>
        <v>0</v>
      </c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</row>
    <row r="6" spans="1:272" s="225" customFormat="1" ht="18" hidden="1">
      <c r="A6" s="266" t="s">
        <v>381</v>
      </c>
      <c r="B6" s="267"/>
      <c r="C6" s="268">
        <f t="shared" ref="C6:BL6" si="2">ROUND((C56-C132),0)</f>
        <v>0</v>
      </c>
      <c r="D6" s="268">
        <f t="shared" si="2"/>
        <v>-2</v>
      </c>
      <c r="E6" s="268">
        <f t="shared" si="2"/>
        <v>0</v>
      </c>
      <c r="F6" s="268">
        <f t="shared" si="2"/>
        <v>-1</v>
      </c>
      <c r="G6" s="268">
        <f t="shared" si="2"/>
        <v>-3</v>
      </c>
      <c r="H6" s="268">
        <f t="shared" si="2"/>
        <v>2</v>
      </c>
      <c r="I6" s="268">
        <f t="shared" si="2"/>
        <v>1</v>
      </c>
      <c r="J6" s="268">
        <f t="shared" si="2"/>
        <v>1</v>
      </c>
      <c r="K6" s="268">
        <f t="shared" si="2"/>
        <v>4</v>
      </c>
      <c r="L6" s="268">
        <f t="shared" si="2"/>
        <v>4</v>
      </c>
      <c r="M6" s="268">
        <f t="shared" si="2"/>
        <v>5</v>
      </c>
      <c r="N6" s="268">
        <f t="shared" si="2"/>
        <v>2</v>
      </c>
      <c r="O6" s="268">
        <f t="shared" si="2"/>
        <v>2</v>
      </c>
      <c r="P6" s="268">
        <f t="shared" si="2"/>
        <v>4</v>
      </c>
      <c r="Q6" s="268">
        <f t="shared" si="2"/>
        <v>3</v>
      </c>
      <c r="R6" s="268">
        <f t="shared" si="2"/>
        <v>4</v>
      </c>
      <c r="S6" s="268">
        <f t="shared" si="2"/>
        <v>7</v>
      </c>
      <c r="T6" s="268">
        <f t="shared" si="2"/>
        <v>3</v>
      </c>
      <c r="U6" s="268">
        <f t="shared" si="2"/>
        <v>3</v>
      </c>
      <c r="V6" s="268">
        <f t="shared" si="2"/>
        <v>4</v>
      </c>
      <c r="W6" s="268">
        <f t="shared" si="2"/>
        <v>1</v>
      </c>
      <c r="X6" s="268">
        <f t="shared" si="2"/>
        <v>7</v>
      </c>
      <c r="Y6" s="268">
        <f t="shared" si="2"/>
        <v>-2</v>
      </c>
      <c r="Z6" s="268">
        <f t="shared" si="2"/>
        <v>-2</v>
      </c>
      <c r="AA6" s="268">
        <f t="shared" si="2"/>
        <v>13</v>
      </c>
      <c r="AB6" s="268">
        <f t="shared" si="2"/>
        <v>1</v>
      </c>
      <c r="AC6" s="268">
        <f t="shared" si="2"/>
        <v>1</v>
      </c>
      <c r="AD6" s="268">
        <f t="shared" si="2"/>
        <v>3</v>
      </c>
      <c r="AE6" s="268">
        <f t="shared" si="2"/>
        <v>3</v>
      </c>
      <c r="AF6" s="268">
        <f t="shared" si="2"/>
        <v>0</v>
      </c>
      <c r="AG6" s="268">
        <f t="shared" si="2"/>
        <v>1</v>
      </c>
      <c r="AH6" s="268">
        <f t="shared" si="2"/>
        <v>1</v>
      </c>
      <c r="AI6" s="268">
        <f t="shared" si="2"/>
        <v>1</v>
      </c>
      <c r="AJ6" s="268">
        <f t="shared" si="2"/>
        <v>1</v>
      </c>
      <c r="AK6" s="268">
        <f t="shared" si="2"/>
        <v>1</v>
      </c>
      <c r="AL6" s="268">
        <f t="shared" si="2"/>
        <v>1</v>
      </c>
      <c r="AM6" s="268">
        <f t="shared" si="2"/>
        <v>1</v>
      </c>
      <c r="AN6" s="268">
        <f t="shared" si="2"/>
        <v>0</v>
      </c>
      <c r="AO6" s="268">
        <f t="shared" si="2"/>
        <v>0</v>
      </c>
      <c r="AP6" s="268">
        <f t="shared" si="2"/>
        <v>0</v>
      </c>
      <c r="AQ6" s="268">
        <f t="shared" si="2"/>
        <v>3</v>
      </c>
      <c r="AR6" s="268">
        <f t="shared" si="2"/>
        <v>0</v>
      </c>
      <c r="AS6" s="268">
        <f t="shared" si="2"/>
        <v>0</v>
      </c>
      <c r="AT6" s="268">
        <f t="shared" si="2"/>
        <v>0</v>
      </c>
      <c r="AU6" s="268">
        <f t="shared" si="2"/>
        <v>0</v>
      </c>
      <c r="AV6" s="268">
        <f t="shared" si="2"/>
        <v>0</v>
      </c>
      <c r="AW6" s="268">
        <f t="shared" si="2"/>
        <v>0</v>
      </c>
      <c r="AX6" s="268">
        <f t="shared" si="2"/>
        <v>0</v>
      </c>
      <c r="AY6" s="268">
        <f t="shared" si="2"/>
        <v>0</v>
      </c>
      <c r="AZ6" s="224">
        <f t="shared" si="2"/>
        <v>0</v>
      </c>
      <c r="BA6" s="224">
        <f t="shared" si="2"/>
        <v>0</v>
      </c>
      <c r="BB6" s="224">
        <f t="shared" si="2"/>
        <v>0</v>
      </c>
      <c r="BC6" s="224">
        <f t="shared" si="2"/>
        <v>0</v>
      </c>
      <c r="BD6" s="224">
        <f t="shared" si="2"/>
        <v>0</v>
      </c>
      <c r="BE6" s="224">
        <f t="shared" si="2"/>
        <v>0</v>
      </c>
      <c r="BF6" s="224">
        <f t="shared" si="2"/>
        <v>0</v>
      </c>
      <c r="BG6" s="224">
        <f t="shared" si="2"/>
        <v>-1</v>
      </c>
      <c r="BH6" s="224">
        <f t="shared" si="2"/>
        <v>0</v>
      </c>
      <c r="BI6" s="224">
        <f t="shared" si="2"/>
        <v>0</v>
      </c>
      <c r="BJ6" s="224">
        <f t="shared" si="2"/>
        <v>-1</v>
      </c>
      <c r="BK6" s="224">
        <f t="shared" si="2"/>
        <v>-1</v>
      </c>
      <c r="BL6" s="224">
        <f t="shared" si="2"/>
        <v>-1</v>
      </c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</row>
    <row r="7" spans="1:272" ht="18" hidden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</row>
    <row r="8" spans="1:272" s="222" customFormat="1" ht="32.25" customHeight="1">
      <c r="A8" s="281" t="s">
        <v>450</v>
      </c>
      <c r="B8" s="226"/>
      <c r="C8" s="269" t="str">
        <f>C4</f>
        <v>2006 A</v>
      </c>
      <c r="D8" s="269" t="str">
        <f>D4</f>
        <v>2007 A</v>
      </c>
      <c r="E8" s="269" t="str">
        <f t="shared" ref="E8:P8" si="3">E4</f>
        <v>2008 A</v>
      </c>
      <c r="F8" s="269" t="str">
        <f t="shared" si="3"/>
        <v>2009 A</v>
      </c>
      <c r="G8" s="269" t="str">
        <f t="shared" si="3"/>
        <v>2010 A</v>
      </c>
      <c r="H8" s="269" t="str">
        <f t="shared" si="3"/>
        <v>2011 A</v>
      </c>
      <c r="I8" s="269" t="str">
        <f t="shared" si="3"/>
        <v>2012 A</v>
      </c>
      <c r="J8" s="269" t="str">
        <f t="shared" si="3"/>
        <v>2013 A</v>
      </c>
      <c r="K8" s="269" t="str">
        <f t="shared" si="3"/>
        <v>2014 A</v>
      </c>
      <c r="L8" s="269" t="s">
        <v>352</v>
      </c>
      <c r="M8" s="269" t="s">
        <v>353</v>
      </c>
      <c r="N8" s="269" t="s">
        <v>354</v>
      </c>
      <c r="O8" s="269" t="s">
        <v>355</v>
      </c>
      <c r="P8" s="269" t="str">
        <f t="shared" si="3"/>
        <v>2015 A</v>
      </c>
      <c r="Q8" s="269" t="s">
        <v>356</v>
      </c>
      <c r="R8" s="269" t="s">
        <v>357</v>
      </c>
      <c r="S8" s="269" t="s">
        <v>358</v>
      </c>
      <c r="T8" s="269" t="s">
        <v>359</v>
      </c>
      <c r="U8" s="269" t="str">
        <f>U4</f>
        <v>2016 A</v>
      </c>
      <c r="V8" s="269" t="s">
        <v>360</v>
      </c>
      <c r="W8" s="269" t="s">
        <v>361</v>
      </c>
      <c r="X8" s="269" t="s">
        <v>362</v>
      </c>
      <c r="Y8" s="269" t="s">
        <v>363</v>
      </c>
      <c r="Z8" s="269" t="str">
        <f>Z4</f>
        <v>2017 A</v>
      </c>
      <c r="AA8" s="269" t="s">
        <v>364</v>
      </c>
      <c r="AB8" s="269" t="s">
        <v>365</v>
      </c>
      <c r="AC8" s="269" t="s">
        <v>366</v>
      </c>
      <c r="AD8" s="269" t="s">
        <v>367</v>
      </c>
      <c r="AE8" s="269" t="str">
        <f t="shared" ref="AE8:BA8" si="4">AE4</f>
        <v>2018 A</v>
      </c>
      <c r="AF8" s="269" t="str">
        <f t="shared" si="4"/>
        <v>Q1 - 2019</v>
      </c>
      <c r="AG8" s="269" t="str">
        <f t="shared" si="4"/>
        <v>Q2 - 2019</v>
      </c>
      <c r="AH8" s="269" t="str">
        <f t="shared" si="4"/>
        <v>Q3 - 2019</v>
      </c>
      <c r="AI8" s="269" t="str">
        <f t="shared" si="4"/>
        <v>Q4 - 2019</v>
      </c>
      <c r="AJ8" s="269" t="str">
        <f t="shared" si="4"/>
        <v>2019 A</v>
      </c>
      <c r="AK8" s="269" t="s">
        <v>368</v>
      </c>
      <c r="AL8" s="269" t="s">
        <v>369</v>
      </c>
      <c r="AM8" s="269" t="s">
        <v>370</v>
      </c>
      <c r="AN8" s="269" t="s">
        <v>371</v>
      </c>
      <c r="AO8" s="269" t="s">
        <v>293</v>
      </c>
      <c r="AP8" s="269" t="s">
        <v>372</v>
      </c>
      <c r="AQ8" s="269" t="s">
        <v>373</v>
      </c>
      <c r="AR8" s="269" t="s">
        <v>374</v>
      </c>
      <c r="AS8" s="269" t="s">
        <v>375</v>
      </c>
      <c r="AT8" s="269" t="s">
        <v>278</v>
      </c>
      <c r="AU8" s="237" t="s">
        <v>376</v>
      </c>
      <c r="AV8" s="237" t="s">
        <v>377</v>
      </c>
      <c r="AW8" s="237" t="s">
        <v>378</v>
      </c>
      <c r="AX8" s="237" t="s">
        <v>379</v>
      </c>
      <c r="AY8" s="237" t="str">
        <f t="shared" ref="AY8" si="5">AY4</f>
        <v>2022 P</v>
      </c>
      <c r="AZ8" s="227" t="str">
        <f t="shared" si="4"/>
        <v>2023 P</v>
      </c>
      <c r="BA8" s="227" t="str">
        <f t="shared" si="4"/>
        <v>2024 P</v>
      </c>
      <c r="BB8" s="227" t="str">
        <f>BB4</f>
        <v>2025 P</v>
      </c>
      <c r="BC8" s="227" t="str">
        <f>BC4</f>
        <v>2026 P</v>
      </c>
      <c r="BD8" s="227" t="str">
        <f t="shared" ref="BD8:BL8" si="6">BD4</f>
        <v>2027 P</v>
      </c>
      <c r="BE8" s="227" t="str">
        <f t="shared" si="6"/>
        <v>2028 P</v>
      </c>
      <c r="BF8" s="227" t="str">
        <f t="shared" si="6"/>
        <v>2029 P</v>
      </c>
      <c r="BG8" s="227" t="str">
        <f t="shared" si="6"/>
        <v>2030 P</v>
      </c>
      <c r="BH8" s="227" t="str">
        <f t="shared" si="6"/>
        <v>2031 P</v>
      </c>
      <c r="BI8" s="227" t="str">
        <f t="shared" si="6"/>
        <v>2032 P</v>
      </c>
      <c r="BJ8" s="227" t="str">
        <f t="shared" si="6"/>
        <v>2033 P</v>
      </c>
      <c r="BK8" s="227" t="str">
        <f t="shared" si="6"/>
        <v>2034 P</v>
      </c>
      <c r="BL8" s="227" t="str">
        <f t="shared" si="6"/>
        <v>2035 P</v>
      </c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</row>
    <row r="9" spans="1:272" s="228" customFormat="1" ht="18" outlineLevel="1">
      <c r="A9" s="270" t="s">
        <v>188</v>
      </c>
      <c r="B9" s="270"/>
      <c r="C9" s="271">
        <f>[33]Turnover!C6</f>
        <v>81592</v>
      </c>
      <c r="D9" s="271">
        <f>[33]Turnover!D6</f>
        <v>118569</v>
      </c>
      <c r="E9" s="271">
        <f>[33]Turnover!E6</f>
        <v>175817</v>
      </c>
      <c r="F9" s="271">
        <f>[33]Turnover!F6</f>
        <v>199327</v>
      </c>
      <c r="G9" s="271">
        <f>[33]Turnover!G6</f>
        <v>203199.52499999999</v>
      </c>
      <c r="H9" s="271">
        <f>[33]Turnover!H6</f>
        <v>99837</v>
      </c>
      <c r="I9" s="271">
        <f>[33]Turnover!I6</f>
        <v>100659</v>
      </c>
      <c r="J9" s="271">
        <f>[33]Turnover!J6</f>
        <v>66300</v>
      </c>
      <c r="K9" s="271">
        <f>[33]Turnover!K6</f>
        <v>150177.75608000008</v>
      </c>
      <c r="L9" s="271">
        <f>[33]Turnover!L6</f>
        <v>38758</v>
      </c>
      <c r="M9" s="271">
        <f>[33]Turnover!M6</f>
        <v>61858.000000000007</v>
      </c>
      <c r="N9" s="271">
        <f>[33]Turnover!N6</f>
        <v>41104</v>
      </c>
      <c r="O9" s="271">
        <f>[33]Turnover!O6</f>
        <v>72228</v>
      </c>
      <c r="P9" s="271">
        <f>[33]Turnover!P6</f>
        <v>213948</v>
      </c>
      <c r="Q9" s="271">
        <f>[33]Turnover!Q6</f>
        <v>59555.345710000009</v>
      </c>
      <c r="R9" s="271">
        <f>[33]Turnover!R6</f>
        <v>57539</v>
      </c>
      <c r="S9" s="271">
        <f>[33]Turnover!S6</f>
        <v>69535</v>
      </c>
      <c r="T9" s="271">
        <f>[33]Turnover!T6</f>
        <v>68308</v>
      </c>
      <c r="U9" s="271">
        <f>[33]Turnover!U6</f>
        <v>254937.34571000002</v>
      </c>
      <c r="V9" s="271">
        <f>[33]Turnover!V6</f>
        <v>93291</v>
      </c>
      <c r="W9" s="271">
        <f>[33]Turnover!W6</f>
        <v>34196</v>
      </c>
      <c r="X9" s="271">
        <f>[33]Turnover!X6</f>
        <v>58950.451850000005</v>
      </c>
      <c r="Y9" s="271">
        <f>[33]Turnover!Y6</f>
        <v>53643</v>
      </c>
      <c r="Z9" s="271">
        <f>[33]Turnover!Z6</f>
        <v>240080.45185000001</v>
      </c>
      <c r="AA9" s="271">
        <f>[33]Turnover!AA6</f>
        <v>30504.511990000003</v>
      </c>
      <c r="AB9" s="271">
        <f>[33]Turnover!AB6</f>
        <v>22386.849299999998</v>
      </c>
      <c r="AC9" s="271">
        <f>[33]Turnover!AC6</f>
        <v>29592.746080000004</v>
      </c>
      <c r="AD9" s="271">
        <f>[33]Turnover!AD6</f>
        <v>53398.813679999999</v>
      </c>
      <c r="AE9" s="271">
        <f>[33]Turnover!AE6</f>
        <v>135882.92105</v>
      </c>
      <c r="AF9" s="271">
        <f>[33]Turnover!AF6</f>
        <v>17691.54336</v>
      </c>
      <c r="AG9" s="271">
        <f>[33]Turnover!AG6</f>
        <v>26050.103459999998</v>
      </c>
      <c r="AH9" s="271">
        <f>[33]Turnover!AH6</f>
        <v>54184.778869999995</v>
      </c>
      <c r="AI9" s="271">
        <f>[33]Turnover!AI6</f>
        <v>46473</v>
      </c>
      <c r="AJ9" s="271">
        <f>[33]Turnover!AJ6</f>
        <v>144399.42569</v>
      </c>
      <c r="AK9" s="271">
        <f>[33]Turnover!AK6</f>
        <v>16775</v>
      </c>
      <c r="AL9" s="271">
        <f>[33]Turnover!AL6</f>
        <v>17112</v>
      </c>
      <c r="AM9" s="271">
        <f>[33]Turnover!AM6</f>
        <v>8800</v>
      </c>
      <c r="AN9" s="271">
        <f>[33]Turnover!AN6</f>
        <v>29033</v>
      </c>
      <c r="AO9" s="271">
        <f>[33]Turnover!AO6</f>
        <v>71720</v>
      </c>
      <c r="AP9" s="271">
        <f>[33]Turnover!AP6</f>
        <v>28326.457740179285</v>
      </c>
      <c r="AQ9" s="271">
        <f>[33]Turnover!AQ6</f>
        <v>28154.64258840726</v>
      </c>
      <c r="AR9" s="271">
        <f>[33]Turnover!AR6</f>
        <v>20950.480018306633</v>
      </c>
      <c r="AS9" s="271">
        <f>[33]Turnover!AS6</f>
        <v>26943.943600000002</v>
      </c>
      <c r="AT9" s="271">
        <f>[33]Turnover!AT6</f>
        <v>104375.52394689317</v>
      </c>
      <c r="AU9" s="271">
        <f>[33]Turnover!AU6</f>
        <v>79475.674979999952</v>
      </c>
      <c r="AV9" s="271">
        <f>[33]Turnover!AV6</f>
        <v>79224.315960000007</v>
      </c>
      <c r="AW9" s="271">
        <f>[33]Turnover!AW6</f>
        <v>56099.999960000008</v>
      </c>
      <c r="AX9" s="271">
        <f>[33]Turnover!AX6</f>
        <v>55339.709960000007</v>
      </c>
      <c r="AY9" s="271">
        <f>[33]Turnover!AY6</f>
        <v>270139.70085999998</v>
      </c>
      <c r="AZ9" s="229">
        <f>[33]Turnover!AZ6</f>
        <v>289903.62694999995</v>
      </c>
      <c r="BA9" s="229">
        <f>[33]Turnover!BA6</f>
        <v>318531.15418179997</v>
      </c>
      <c r="BB9" s="229">
        <f>[33]Turnover!BB6</f>
        <v>350010.54907288391</v>
      </c>
      <c r="BC9" s="229">
        <f>[33]Turnover!BC6</f>
        <v>384626.67183726345</v>
      </c>
      <c r="BD9" s="229">
        <f>[33]Turnover!BD6</f>
        <v>422692.85891379364</v>
      </c>
      <c r="BE9" s="229">
        <f>[33]Turnover!BE6</f>
        <v>464553.77029476094</v>
      </c>
      <c r="BF9" s="229">
        <f>[33]Turnover!BF6</f>
        <v>510588.52157851268</v>
      </c>
      <c r="BG9" s="229">
        <f>[33]Turnover!BG6</f>
        <v>561214.12921826774</v>
      </c>
      <c r="BH9" s="229">
        <f>[33]Turnover!BH6</f>
        <v>616889.30028645566</v>
      </c>
      <c r="BI9" s="229">
        <f>[33]Turnover!BI6</f>
        <v>678118.60120585305</v>
      </c>
      <c r="BJ9" s="229">
        <f>[33]Turnover!BJ6</f>
        <v>745457.04334391269</v>
      </c>
      <c r="BK9" s="229">
        <f>[33]Turnover!BK6</f>
        <v>819515.12715630245</v>
      </c>
      <c r="BL9" s="229">
        <f>[33]Turnover!BL6</f>
        <v>900964.39073427126</v>
      </c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</row>
    <row r="10" spans="1:272" s="228" customFormat="1" ht="18" outlineLevel="1">
      <c r="A10" s="270" t="s">
        <v>189</v>
      </c>
      <c r="B10" s="270"/>
      <c r="C10" s="271">
        <f>[33]Turnover!C7+[33]Turnover!C8</f>
        <v>28250</v>
      </c>
      <c r="D10" s="271">
        <f>[33]Turnover!D7+[33]Turnover!D8</f>
        <v>72752</v>
      </c>
      <c r="E10" s="271">
        <f>[33]Turnover!E7+[33]Turnover!E8</f>
        <v>158634</v>
      </c>
      <c r="F10" s="271">
        <f>[33]Turnover!F7+[33]Turnover!F8</f>
        <v>79210</v>
      </c>
      <c r="G10" s="271">
        <f>[33]Turnover!G7+[33]Turnover!G8</f>
        <v>60256.533000000003</v>
      </c>
      <c r="H10" s="271">
        <f>[33]Turnover!H7+[33]Turnover!H8</f>
        <v>196727.99300000002</v>
      </c>
      <c r="I10" s="271">
        <f>[33]Turnover!I7+[33]Turnover!I8</f>
        <v>160090</v>
      </c>
      <c r="J10" s="271">
        <f>[33]Turnover!J7+[33]Turnover!J8</f>
        <v>124195</v>
      </c>
      <c r="K10" s="271">
        <f>[33]Turnover!K7+[33]Turnover!K8</f>
        <v>62261.245700000014</v>
      </c>
      <c r="L10" s="271">
        <f>[33]Turnover!L7+[33]Turnover!L8</f>
        <v>12307</v>
      </c>
      <c r="M10" s="271">
        <f>[33]Turnover!M7+[33]Turnover!M8</f>
        <v>16381.507249999708</v>
      </c>
      <c r="N10" s="271">
        <f>[33]Turnover!N7+[33]Turnover!N8</f>
        <v>20312</v>
      </c>
      <c r="O10" s="271">
        <f>[33]Turnover!O7+[33]Turnover!O8</f>
        <v>13952</v>
      </c>
      <c r="P10" s="271">
        <f>[33]Turnover!P7+[33]Turnover!P8</f>
        <v>62952.507249999704</v>
      </c>
      <c r="Q10" s="271">
        <f>[33]Turnover!Q7+[33]Turnover!Q8</f>
        <v>14145.46588</v>
      </c>
      <c r="R10" s="271">
        <f>[33]Turnover!R7+[33]Turnover!R8</f>
        <v>10012</v>
      </c>
      <c r="S10" s="271">
        <f>[33]Turnover!S7+[33]Turnover!S8</f>
        <v>23246</v>
      </c>
      <c r="T10" s="271">
        <f>[33]Turnover!T7+[33]Turnover!T8</f>
        <v>15081</v>
      </c>
      <c r="U10" s="271">
        <f>[33]Turnover!U7+[33]Turnover!U8</f>
        <v>62484.465880000003</v>
      </c>
      <c r="V10" s="271">
        <f>[33]Turnover!V7+[33]Turnover!V8</f>
        <v>17336</v>
      </c>
      <c r="W10" s="271">
        <f>[33]Turnover!W7+[33]Turnover!W8</f>
        <v>18589</v>
      </c>
      <c r="X10" s="271">
        <f>[33]Turnover!X7+[33]Turnover!X8</f>
        <v>22448.56885</v>
      </c>
      <c r="Y10" s="271">
        <f>[33]Turnover!Y7+[33]Turnover!Y8</f>
        <v>13713</v>
      </c>
      <c r="Z10" s="271">
        <f>[33]Turnover!Z7+[33]Turnover!Z8</f>
        <v>72086.568849999996</v>
      </c>
      <c r="AA10" s="271">
        <f>[33]Turnover!AA7+[33]Turnover!AA8</f>
        <v>22097.911459999999</v>
      </c>
      <c r="AB10" s="271">
        <f>[33]Turnover!AB7+[33]Turnover!AB8</f>
        <v>15471.855810000001</v>
      </c>
      <c r="AC10" s="271">
        <f>[33]Turnover!AC7+[33]Turnover!AC8</f>
        <v>17779.988089999999</v>
      </c>
      <c r="AD10" s="271">
        <f>[33]Turnover!AD7+[33]Turnover!AD8</f>
        <v>16978.347139999998</v>
      </c>
      <c r="AE10" s="271">
        <f>[33]Turnover!AE7+[33]Turnover!AE8</f>
        <v>72328.102499999994</v>
      </c>
      <c r="AF10" s="271">
        <f>[33]Turnover!AF7+[33]Turnover!AF8</f>
        <v>17367.092070000002</v>
      </c>
      <c r="AG10" s="271">
        <f>[33]Turnover!AG7+[33]Turnover!AG8</f>
        <v>16300.307649999999</v>
      </c>
      <c r="AH10" s="271">
        <f>[33]Turnover!AH7+[33]Turnover!AH8</f>
        <v>13312.343969999998</v>
      </c>
      <c r="AI10" s="271">
        <f>[33]Turnover!AI7+[33]Turnover!AI8</f>
        <v>12707</v>
      </c>
      <c r="AJ10" s="271">
        <f>[33]Turnover!AJ7+[33]Turnover!AJ8</f>
        <v>59686.743690000003</v>
      </c>
      <c r="AK10" s="271">
        <f>[33]Turnover!AK7+[33]Turnover!AK8</f>
        <v>14251</v>
      </c>
      <c r="AL10" s="271">
        <f>[33]Turnover!AL7+[33]Turnover!AL8</f>
        <v>12844</v>
      </c>
      <c r="AM10" s="271">
        <f>[33]Turnover!AM7+[33]Turnover!AM8</f>
        <v>11703</v>
      </c>
      <c r="AN10" s="271">
        <f>[33]Turnover!AN7+[33]Turnover!AN8</f>
        <v>11543</v>
      </c>
      <c r="AO10" s="271">
        <f>[33]Turnover!AO7+[33]Turnover!AO8</f>
        <v>50341</v>
      </c>
      <c r="AP10" s="271">
        <f>[33]Turnover!AP7+[33]Turnover!AP8</f>
        <v>8041.6265799999992</v>
      </c>
      <c r="AQ10" s="271">
        <f>[33]Turnover!AQ7+[33]Turnover!AQ8</f>
        <v>8932.6944700000004</v>
      </c>
      <c r="AR10" s="271">
        <f>[33]Turnover!AR7+[33]Turnover!AR8</f>
        <v>5672.1650199999995</v>
      </c>
      <c r="AS10" s="271">
        <f>[33]Turnover!AS7+[33]Turnover!AS8</f>
        <v>5250</v>
      </c>
      <c r="AT10" s="271">
        <f>[33]Turnover!AT7+[33]Turnover!AT8</f>
        <v>27896.486069999999</v>
      </c>
      <c r="AU10" s="271">
        <f>[33]Turnover!AU7+[33]Turnover!AU8</f>
        <v>5876.8980000000001</v>
      </c>
      <c r="AV10" s="271">
        <f>[33]Turnover!AV7+[33]Turnover!AV8</f>
        <v>5276.8980000000001</v>
      </c>
      <c r="AW10" s="271">
        <f>[33]Turnover!AW7+[33]Turnover!AW8</f>
        <v>2593.098</v>
      </c>
      <c r="AX10" s="271">
        <f>[33]Turnover!AX7+[33]Turnover!AX8</f>
        <v>1350</v>
      </c>
      <c r="AY10" s="271">
        <f>[33]Turnover!AY7+[33]Turnover!AY8</f>
        <v>15096.894</v>
      </c>
      <c r="AZ10" s="229">
        <f>[33]Turnover!AZ7</f>
        <v>22008.6279588</v>
      </c>
      <c r="BA10" s="229">
        <f>[33]Turnover!BA7</f>
        <v>22668.886797563999</v>
      </c>
      <c r="BB10" s="229">
        <f>[33]Turnover!BB7</f>
        <v>23348.953401490919</v>
      </c>
      <c r="BC10" s="229">
        <f>[33]Turnover!BC7</f>
        <v>24049.422003535645</v>
      </c>
      <c r="BD10" s="229">
        <f>[33]Turnover!BD7</f>
        <v>24770.904663641715</v>
      </c>
      <c r="BE10" s="229">
        <f>[33]Turnover!BE7</f>
        <v>25514.031803550966</v>
      </c>
      <c r="BF10" s="229">
        <f>[33]Turnover!BF7</f>
        <v>26279.452757657495</v>
      </c>
      <c r="BG10" s="229">
        <f>[33]Turnover!BG7</f>
        <v>27067.836340387221</v>
      </c>
      <c r="BH10" s="229">
        <f>[33]Turnover!BH7</f>
        <v>27879.871430598836</v>
      </c>
      <c r="BI10" s="229">
        <f>[33]Turnover!BI7</f>
        <v>28716.267573516801</v>
      </c>
      <c r="BJ10" s="229">
        <f>[33]Turnover!BJ7</f>
        <v>29577.755600722307</v>
      </c>
      <c r="BK10" s="229">
        <f>[33]Turnover!BK7</f>
        <v>30465.088268743977</v>
      </c>
      <c r="BL10" s="229">
        <f>[33]Turnover!BL7</f>
        <v>31379.040916806298</v>
      </c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</row>
    <row r="11" spans="1:272" s="228" customFormat="1" ht="18" outlineLevel="1">
      <c r="A11" s="272" t="s">
        <v>382</v>
      </c>
      <c r="B11" s="272"/>
      <c r="C11" s="273">
        <f>SUM(C9:C10)</f>
        <v>109842</v>
      </c>
      <c r="D11" s="273">
        <f t="shared" ref="D11:BA11" si="7">SUM(D9:D10)</f>
        <v>191321</v>
      </c>
      <c r="E11" s="273">
        <f t="shared" si="7"/>
        <v>334451</v>
      </c>
      <c r="F11" s="273">
        <f t="shared" si="7"/>
        <v>278537</v>
      </c>
      <c r="G11" s="273">
        <f t="shared" si="7"/>
        <v>263456.05800000002</v>
      </c>
      <c r="H11" s="273">
        <f t="shared" si="7"/>
        <v>296564.99300000002</v>
      </c>
      <c r="I11" s="273">
        <f t="shared" si="7"/>
        <v>260749</v>
      </c>
      <c r="J11" s="273">
        <f t="shared" si="7"/>
        <v>190495</v>
      </c>
      <c r="K11" s="273">
        <f t="shared" si="7"/>
        <v>212439.00178000011</v>
      </c>
      <c r="L11" s="273">
        <f>SUM(L9:L10)</f>
        <v>51065</v>
      </c>
      <c r="M11" s="273">
        <f>SUM(M9:M10)</f>
        <v>78239.507249999719</v>
      </c>
      <c r="N11" s="273">
        <f>SUM(N9:N10)</f>
        <v>61416</v>
      </c>
      <c r="O11" s="273">
        <f>SUM(O9:O10)</f>
        <v>86180</v>
      </c>
      <c r="P11" s="273">
        <f t="shared" si="7"/>
        <v>276900.50724999967</v>
      </c>
      <c r="Q11" s="273">
        <f t="shared" si="7"/>
        <v>73700.811590000012</v>
      </c>
      <c r="R11" s="273">
        <f t="shared" si="7"/>
        <v>67551</v>
      </c>
      <c r="S11" s="273">
        <f t="shared" si="7"/>
        <v>92781</v>
      </c>
      <c r="T11" s="273">
        <f t="shared" si="7"/>
        <v>83389</v>
      </c>
      <c r="U11" s="273">
        <f t="shared" si="7"/>
        <v>317421.81159000006</v>
      </c>
      <c r="V11" s="273">
        <f t="shared" si="7"/>
        <v>110627</v>
      </c>
      <c r="W11" s="273">
        <f t="shared" si="7"/>
        <v>52785</v>
      </c>
      <c r="X11" s="273">
        <f t="shared" si="7"/>
        <v>81399.020700000008</v>
      </c>
      <c r="Y11" s="273">
        <f t="shared" si="7"/>
        <v>67356</v>
      </c>
      <c r="Z11" s="273">
        <f t="shared" si="7"/>
        <v>312167.02069999999</v>
      </c>
      <c r="AA11" s="273">
        <f t="shared" si="7"/>
        <v>52602.423450000002</v>
      </c>
      <c r="AB11" s="273">
        <f t="shared" si="7"/>
        <v>37858.705109999995</v>
      </c>
      <c r="AC11" s="273">
        <f t="shared" si="7"/>
        <v>47372.734170000003</v>
      </c>
      <c r="AD11" s="273">
        <f t="shared" si="7"/>
        <v>70377.16081999999</v>
      </c>
      <c r="AE11" s="273">
        <f t="shared" si="7"/>
        <v>208211.02354999998</v>
      </c>
      <c r="AF11" s="273">
        <f t="shared" si="7"/>
        <v>35058.635430000002</v>
      </c>
      <c r="AG11" s="273">
        <f t="shared" si="7"/>
        <v>42350.411110000001</v>
      </c>
      <c r="AH11" s="273">
        <f t="shared" si="7"/>
        <v>67497.122839999996</v>
      </c>
      <c r="AI11" s="273">
        <f t="shared" si="7"/>
        <v>59180</v>
      </c>
      <c r="AJ11" s="273">
        <f t="shared" si="7"/>
        <v>204086.16938000001</v>
      </c>
      <c r="AK11" s="273">
        <f t="shared" si="7"/>
        <v>31026</v>
      </c>
      <c r="AL11" s="273">
        <f t="shared" si="7"/>
        <v>29956</v>
      </c>
      <c r="AM11" s="273">
        <f t="shared" si="7"/>
        <v>20503</v>
      </c>
      <c r="AN11" s="273">
        <f t="shared" si="7"/>
        <v>40576</v>
      </c>
      <c r="AO11" s="273">
        <f t="shared" si="7"/>
        <v>122061</v>
      </c>
      <c r="AP11" s="273">
        <f t="shared" si="7"/>
        <v>36368.084320179281</v>
      </c>
      <c r="AQ11" s="273">
        <f t="shared" si="7"/>
        <v>37087.337058407262</v>
      </c>
      <c r="AR11" s="273">
        <f t="shared" si="7"/>
        <v>26622.645038306633</v>
      </c>
      <c r="AS11" s="273">
        <f t="shared" si="7"/>
        <v>32193.943600000002</v>
      </c>
      <c r="AT11" s="273">
        <f t="shared" si="7"/>
        <v>132272.01001689315</v>
      </c>
      <c r="AU11" s="273">
        <f t="shared" si="7"/>
        <v>85352.572979999954</v>
      </c>
      <c r="AV11" s="273">
        <f t="shared" si="7"/>
        <v>84501.213960000008</v>
      </c>
      <c r="AW11" s="273">
        <f t="shared" si="7"/>
        <v>58693.097960000006</v>
      </c>
      <c r="AX11" s="273">
        <f t="shared" si="7"/>
        <v>56689.709960000007</v>
      </c>
      <c r="AY11" s="273">
        <f t="shared" si="7"/>
        <v>285236.59485999995</v>
      </c>
      <c r="AZ11" s="231">
        <f t="shared" si="7"/>
        <v>311912.25490879995</v>
      </c>
      <c r="BA11" s="231">
        <f t="shared" si="7"/>
        <v>341200.04097936396</v>
      </c>
      <c r="BB11" s="231">
        <f>SUM(BB9:BB10)</f>
        <v>373359.50247437484</v>
      </c>
      <c r="BC11" s="231">
        <f>SUM(BC9:BC10)</f>
        <v>408676.09384079912</v>
      </c>
      <c r="BD11" s="231">
        <f t="shared" ref="BD11:BL11" si="8">SUM(BD9:BD10)</f>
        <v>447463.76357743534</v>
      </c>
      <c r="BE11" s="231">
        <f t="shared" si="8"/>
        <v>490067.80209831189</v>
      </c>
      <c r="BF11" s="231">
        <f t="shared" si="8"/>
        <v>536867.97433617013</v>
      </c>
      <c r="BG11" s="231">
        <f t="shared" si="8"/>
        <v>588281.96555865498</v>
      </c>
      <c r="BH11" s="231">
        <f t="shared" si="8"/>
        <v>644769.17171705444</v>
      </c>
      <c r="BI11" s="231">
        <f t="shared" si="8"/>
        <v>706834.86877936986</v>
      </c>
      <c r="BJ11" s="231">
        <f t="shared" si="8"/>
        <v>775034.79894463497</v>
      </c>
      <c r="BK11" s="231">
        <f t="shared" si="8"/>
        <v>849980.21542504639</v>
      </c>
      <c r="BL11" s="231">
        <f t="shared" si="8"/>
        <v>932343.43165107758</v>
      </c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</row>
    <row r="12" spans="1:272" s="222" customFormat="1" ht="18" outlineLevel="1">
      <c r="A12" s="270" t="str">
        <f>[33]Turnover!B13</f>
        <v>Cost Of Operations</v>
      </c>
      <c r="B12" s="270"/>
      <c r="C12" s="271">
        <f>[33]Turnover!C13</f>
        <v>-79505</v>
      </c>
      <c r="D12" s="271">
        <f>[33]Turnover!D13</f>
        <v>-142439</v>
      </c>
      <c r="E12" s="271">
        <f>[33]Turnover!E13</f>
        <v>-274755</v>
      </c>
      <c r="F12" s="271">
        <f>[33]Turnover!F13</f>
        <v>-224370</v>
      </c>
      <c r="G12" s="271">
        <f>[33]Turnover!G13</f>
        <v>-228336.99999999997</v>
      </c>
      <c r="H12" s="271">
        <f>[33]Turnover!H13</f>
        <v>-248938.99999999997</v>
      </c>
      <c r="I12" s="271">
        <f>[33]Turnover!I13</f>
        <v>-227473</v>
      </c>
      <c r="J12" s="271">
        <f>[33]Turnover!J13</f>
        <v>-167762.41817590056</v>
      </c>
      <c r="K12" s="271">
        <f>[33]Turnover!K13</f>
        <v>-178940.66506</v>
      </c>
      <c r="L12" s="271">
        <f>[33]Turnover!L13</f>
        <v>-44607.010370000018</v>
      </c>
      <c r="M12" s="271">
        <f>[33]Turnover!M13</f>
        <v>-62893.687330000001</v>
      </c>
      <c r="N12" s="271">
        <f>[33]Turnover!N13</f>
        <v>-50533.715939999995</v>
      </c>
      <c r="O12" s="271">
        <f>[33]Turnover!O13</f>
        <v>-76225.887999999977</v>
      </c>
      <c r="P12" s="271">
        <f>[33]Turnover!P13</f>
        <v>-231540.30163999999</v>
      </c>
      <c r="Q12" s="271">
        <f>[33]Turnover!Q13</f>
        <v>-67009.093720000004</v>
      </c>
      <c r="R12" s="271">
        <f>[33]Turnover!R13</f>
        <v>-55555.973259999904</v>
      </c>
      <c r="S12" s="271">
        <f>[33]Turnover!S13</f>
        <v>-85031.028540000101</v>
      </c>
      <c r="T12" s="271">
        <f>[33]Turnover!T13</f>
        <v>-65003.321790000002</v>
      </c>
      <c r="U12" s="271">
        <f>[33]Turnover!U13</f>
        <v>-272599.41730999999</v>
      </c>
      <c r="V12" s="271">
        <f>[33]Turnover!V13</f>
        <v>-95998.999999999985</v>
      </c>
      <c r="W12" s="271">
        <f>[33]Turnover!W13</f>
        <v>-36661.36909</v>
      </c>
      <c r="X12" s="271">
        <f>[33]Turnover!X13</f>
        <v>-74065.394879999891</v>
      </c>
      <c r="Y12" s="271">
        <f>[33]Turnover!Y13</f>
        <v>-61239.236030000102</v>
      </c>
      <c r="Z12" s="271">
        <f>[33]Turnover!Z13</f>
        <v>-267965</v>
      </c>
      <c r="AA12" s="271">
        <f>[33]Turnover!AA13</f>
        <v>-49200.96764000001</v>
      </c>
      <c r="AB12" s="271">
        <f>[33]Turnover!AB13</f>
        <v>-25964.658159999999</v>
      </c>
      <c r="AC12" s="271">
        <f>[33]Turnover!AC13</f>
        <v>-38814.851279999995</v>
      </c>
      <c r="AD12" s="271">
        <f>[33]Turnover!AD13</f>
        <v>-57027.082720000006</v>
      </c>
      <c r="AE12" s="271">
        <f>[33]Turnover!AE13</f>
        <v>-171007.55979999999</v>
      </c>
      <c r="AF12" s="271">
        <f>[33]Turnover!AF13</f>
        <v>-32158.839660000005</v>
      </c>
      <c r="AG12" s="271">
        <f>[33]Turnover!AG13</f>
        <v>-50402.081979999995</v>
      </c>
      <c r="AH12" s="271">
        <f>[33]Turnover!AH13</f>
        <v>-72195.870699999999</v>
      </c>
      <c r="AI12" s="271">
        <f>[33]Turnover!AI13</f>
        <v>-71254</v>
      </c>
      <c r="AJ12" s="271">
        <f>[33]Turnover!AJ13</f>
        <v>-226010.79233999999</v>
      </c>
      <c r="AK12" s="271">
        <f>[33]Turnover!AK13</f>
        <v>-67094</v>
      </c>
      <c r="AL12" s="271">
        <f>[33]Turnover!AL13</f>
        <v>-34238</v>
      </c>
      <c r="AM12" s="271">
        <f>[33]Turnover!AM13</f>
        <v>-31499</v>
      </c>
      <c r="AN12" s="271">
        <f>[33]Turnover!AN13</f>
        <v>-26626</v>
      </c>
      <c r="AO12" s="271">
        <f>[33]Turnover!AO13</f>
        <v>-159457</v>
      </c>
      <c r="AP12" s="271">
        <f>[33]Turnover!AP13</f>
        <v>-32989.773760000004</v>
      </c>
      <c r="AQ12" s="271">
        <f>[33]Turnover!AQ13</f>
        <v>-31777.494290000002</v>
      </c>
      <c r="AR12" s="271">
        <f>[33]Turnover!AR13</f>
        <v>-19382.628580000004</v>
      </c>
      <c r="AS12" s="271">
        <f>[33]Turnover!AS13</f>
        <v>-29737.497353899998</v>
      </c>
      <c r="AT12" s="271">
        <f>[33]Turnover!AT13</f>
        <v>-113887.39398390002</v>
      </c>
      <c r="AU12" s="271">
        <f>[33]Turnover!AU13</f>
        <v>-75518.066989999978</v>
      </c>
      <c r="AV12" s="271">
        <f>[33]Turnover!AV13</f>
        <v>-71617.975599999976</v>
      </c>
      <c r="AW12" s="271">
        <f>[33]Turnover!AW13</f>
        <v>-47834.416239999977</v>
      </c>
      <c r="AX12" s="271">
        <f>[33]Turnover!AX13</f>
        <v>-36626.59298999999</v>
      </c>
      <c r="AY12" s="271">
        <f>[33]Turnover!AY13</f>
        <v>-231597.05181999988</v>
      </c>
      <c r="AZ12" s="229">
        <f>[33]Turnover!AZ13</f>
        <v>-252162.40280416145</v>
      </c>
      <c r="BA12" s="229">
        <f>[33]Turnover!BA13</f>
        <v>-274671.27586519334</v>
      </c>
      <c r="BB12" s="229">
        <f>[33]Turnover!BB13</f>
        <v>-299310.38643871294</v>
      </c>
      <c r="BC12" s="229">
        <f>[33]Turnover!BC13</f>
        <v>-326287.16765696084</v>
      </c>
      <c r="BD12" s="229">
        <f>[33]Turnover!BD13</f>
        <v>-356072.87367966567</v>
      </c>
      <c r="BE12" s="229">
        <f>[33]Turnover!BE13</f>
        <v>-385699.07521448145</v>
      </c>
      <c r="BF12" s="229">
        <f>[33]Turnover!BF13</f>
        <v>-420899.73249569989</v>
      </c>
      <c r="BG12" s="229">
        <f>[33]Turnover!BG13</f>
        <v>-459469.05750680569</v>
      </c>
      <c r="BH12" s="229">
        <f>[33]Turnover!BH13</f>
        <v>-501736.85937009106</v>
      </c>
      <c r="BI12" s="229">
        <f>[33]Turnover!BI13</f>
        <v>-548065.59060501889</v>
      </c>
      <c r="BJ12" s="229">
        <f>[33]Turnover!BJ13</f>
        <v>-598853.59505321155</v>
      </c>
      <c r="BK12" s="229">
        <f>[33]Turnover!BK13</f>
        <v>-654538.67978903221</v>
      </c>
      <c r="BL12" s="229">
        <f>[33]Turnover!BL13</f>
        <v>-715602.04337438883</v>
      </c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</row>
    <row r="13" spans="1:272" s="222" customFormat="1" ht="18" hidden="1" outlineLevel="1">
      <c r="A13" s="270" t="s">
        <v>383</v>
      </c>
      <c r="B13" s="270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29"/>
      <c r="BA13" s="229"/>
      <c r="BB13" s="229"/>
      <c r="BC13" s="229"/>
      <c r="BD13" s="229"/>
      <c r="BE13" s="229"/>
      <c r="BF13" s="229"/>
      <c r="BG13" s="229"/>
      <c r="BH13" s="229"/>
      <c r="BI13" s="229"/>
      <c r="BJ13" s="229"/>
      <c r="BK13" s="229"/>
      <c r="BL13" s="229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</row>
    <row r="14" spans="1:272" s="222" customFormat="1" ht="18" outlineLevel="1">
      <c r="A14" s="272" t="s">
        <v>31</v>
      </c>
      <c r="B14" s="272"/>
      <c r="C14" s="273">
        <f t="shared" ref="C14:BA14" si="9">SUM(C11:C12)</f>
        <v>30337</v>
      </c>
      <c r="D14" s="273">
        <f t="shared" si="9"/>
        <v>48882</v>
      </c>
      <c r="E14" s="273">
        <f t="shared" si="9"/>
        <v>59696</v>
      </c>
      <c r="F14" s="273">
        <f t="shared" si="9"/>
        <v>54167</v>
      </c>
      <c r="G14" s="273">
        <f t="shared" si="9"/>
        <v>35119.058000000048</v>
      </c>
      <c r="H14" s="273">
        <f t="shared" si="9"/>
        <v>47625.993000000046</v>
      </c>
      <c r="I14" s="273">
        <f t="shared" si="9"/>
        <v>33276</v>
      </c>
      <c r="J14" s="273">
        <f t="shared" si="9"/>
        <v>22732.581824099441</v>
      </c>
      <c r="K14" s="273">
        <f t="shared" si="9"/>
        <v>33498.336720000108</v>
      </c>
      <c r="L14" s="273">
        <f t="shared" si="9"/>
        <v>6457.9896299999818</v>
      </c>
      <c r="M14" s="273">
        <f t="shared" si="9"/>
        <v>15345.819919999718</v>
      </c>
      <c r="N14" s="273">
        <f t="shared" si="9"/>
        <v>10882.284060000005</v>
      </c>
      <c r="O14" s="273">
        <f t="shared" si="9"/>
        <v>9954.1120000000228</v>
      </c>
      <c r="P14" s="273">
        <f t="shared" si="9"/>
        <v>45360.205609999684</v>
      </c>
      <c r="Q14" s="273">
        <f t="shared" si="9"/>
        <v>6691.7178700000077</v>
      </c>
      <c r="R14" s="273">
        <f t="shared" si="9"/>
        <v>11995.026740000096</v>
      </c>
      <c r="S14" s="273">
        <f t="shared" si="9"/>
        <v>7749.9714599998988</v>
      </c>
      <c r="T14" s="273">
        <f t="shared" si="9"/>
        <v>18385.678209999998</v>
      </c>
      <c r="U14" s="273">
        <f t="shared" si="9"/>
        <v>44822.394280000066</v>
      </c>
      <c r="V14" s="273">
        <f t="shared" si="9"/>
        <v>14628.000000000015</v>
      </c>
      <c r="W14" s="273">
        <f t="shared" si="9"/>
        <v>16123.63091</v>
      </c>
      <c r="X14" s="273">
        <f t="shared" si="9"/>
        <v>7333.6258200001175</v>
      </c>
      <c r="Y14" s="273">
        <f t="shared" si="9"/>
        <v>6116.7639699998981</v>
      </c>
      <c r="Z14" s="273">
        <f t="shared" si="9"/>
        <v>44202.020699999994</v>
      </c>
      <c r="AA14" s="273">
        <f t="shared" si="9"/>
        <v>3401.4558099999922</v>
      </c>
      <c r="AB14" s="273">
        <f t="shared" si="9"/>
        <v>11894.046949999996</v>
      </c>
      <c r="AC14" s="273">
        <f t="shared" si="9"/>
        <v>8557.882890000008</v>
      </c>
      <c r="AD14" s="273">
        <f t="shared" si="9"/>
        <v>13350.078099999984</v>
      </c>
      <c r="AE14" s="273">
        <f t="shared" si="9"/>
        <v>37203.463749999995</v>
      </c>
      <c r="AF14" s="273">
        <f t="shared" ref="AF14:AI14" si="10">SUM(AF11:AF12)</f>
        <v>2899.795769999997</v>
      </c>
      <c r="AG14" s="273">
        <f t="shared" si="10"/>
        <v>-8051.6708699999945</v>
      </c>
      <c r="AH14" s="273">
        <f t="shared" si="10"/>
        <v>-4698.7478600000031</v>
      </c>
      <c r="AI14" s="273">
        <f t="shared" si="10"/>
        <v>-12074</v>
      </c>
      <c r="AJ14" s="273">
        <f>SUM(AJ11:AJ13)</f>
        <v>-21924.622959999979</v>
      </c>
      <c r="AK14" s="273">
        <f t="shared" ref="AK14:AY14" si="11">SUM(AK11:AK12)</f>
        <v>-36068</v>
      </c>
      <c r="AL14" s="273">
        <f t="shared" si="11"/>
        <v>-4282</v>
      </c>
      <c r="AM14" s="273">
        <f t="shared" si="11"/>
        <v>-10996</v>
      </c>
      <c r="AN14" s="273">
        <f t="shared" si="11"/>
        <v>13950</v>
      </c>
      <c r="AO14" s="273">
        <f t="shared" si="11"/>
        <v>-37396</v>
      </c>
      <c r="AP14" s="273">
        <f t="shared" si="11"/>
        <v>3378.3105601792777</v>
      </c>
      <c r="AQ14" s="273">
        <f t="shared" si="11"/>
        <v>5309.8427684072594</v>
      </c>
      <c r="AR14" s="273">
        <f t="shared" si="11"/>
        <v>7240.0164583066289</v>
      </c>
      <c r="AS14" s="273">
        <f t="shared" si="11"/>
        <v>2456.4462461000039</v>
      </c>
      <c r="AT14" s="273">
        <f t="shared" si="11"/>
        <v>18384.61603299313</v>
      </c>
      <c r="AU14" s="273">
        <f t="shared" si="11"/>
        <v>9834.505989999976</v>
      </c>
      <c r="AV14" s="273">
        <f t="shared" si="11"/>
        <v>12883.238360000032</v>
      </c>
      <c r="AW14" s="273">
        <f t="shared" si="11"/>
        <v>10858.68172000003</v>
      </c>
      <c r="AX14" s="273">
        <f t="shared" si="11"/>
        <v>20063.116970000017</v>
      </c>
      <c r="AY14" s="273">
        <f t="shared" si="11"/>
        <v>53639.543040000077</v>
      </c>
      <c r="AZ14" s="231">
        <f t="shared" si="9"/>
        <v>59749.852104638499</v>
      </c>
      <c r="BA14" s="231">
        <f t="shared" si="9"/>
        <v>66528.765114170616</v>
      </c>
      <c r="BB14" s="231">
        <f>SUM(BB11:BB12)</f>
        <v>74049.116035661893</v>
      </c>
      <c r="BC14" s="231">
        <f>SUM(BC11:BC12)</f>
        <v>82388.926183838281</v>
      </c>
      <c r="BD14" s="231">
        <f t="shared" ref="BD14:BL14" si="12">SUM(BD11:BD12)</f>
        <v>91390.889897769666</v>
      </c>
      <c r="BE14" s="231">
        <f t="shared" si="12"/>
        <v>104368.72688383044</v>
      </c>
      <c r="BF14" s="231">
        <f t="shared" si="12"/>
        <v>115968.24184047023</v>
      </c>
      <c r="BG14" s="231">
        <f t="shared" si="12"/>
        <v>128812.90805184928</v>
      </c>
      <c r="BH14" s="231">
        <f t="shared" si="12"/>
        <v>143032.31234696339</v>
      </c>
      <c r="BI14" s="231">
        <f t="shared" si="12"/>
        <v>158769.27817435097</v>
      </c>
      <c r="BJ14" s="231">
        <f t="shared" si="12"/>
        <v>176181.20389142341</v>
      </c>
      <c r="BK14" s="231">
        <f t="shared" si="12"/>
        <v>195441.53563601419</v>
      </c>
      <c r="BL14" s="231">
        <f t="shared" si="12"/>
        <v>216741.38827668875</v>
      </c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</row>
    <row r="15" spans="1:272" s="222" customFormat="1" ht="18" outlineLevel="1">
      <c r="A15" s="272" t="s">
        <v>384</v>
      </c>
      <c r="B15" s="272"/>
      <c r="C15" s="274">
        <f t="shared" ref="C15:BA15" si="13">C14/C11</f>
        <v>0.27618761493781979</v>
      </c>
      <c r="D15" s="274">
        <f t="shared" si="13"/>
        <v>0.25549730557544648</v>
      </c>
      <c r="E15" s="274">
        <f t="shared" si="13"/>
        <v>0.17848952462393594</v>
      </c>
      <c r="F15" s="274">
        <f t="shared" si="13"/>
        <v>0.19446967548296995</v>
      </c>
      <c r="G15" s="274">
        <f t="shared" si="13"/>
        <v>0.13330138720894413</v>
      </c>
      <c r="H15" s="274">
        <f t="shared" si="13"/>
        <v>0.1605920932144545</v>
      </c>
      <c r="I15" s="274">
        <f t="shared" si="13"/>
        <v>0.12761698031440197</v>
      </c>
      <c r="J15" s="274">
        <f t="shared" si="13"/>
        <v>0.11933427031732823</v>
      </c>
      <c r="K15" s="274">
        <f t="shared" si="13"/>
        <v>0.15768449502832196</v>
      </c>
      <c r="L15" s="274">
        <f t="shared" si="13"/>
        <v>0.12646606540683408</v>
      </c>
      <c r="M15" s="274">
        <f t="shared" si="13"/>
        <v>0.19613901543327744</v>
      </c>
      <c r="N15" s="274">
        <f t="shared" si="13"/>
        <v>0.17718972352481446</v>
      </c>
      <c r="O15" s="274">
        <f t="shared" si="13"/>
        <v>0.11550373636574637</v>
      </c>
      <c r="P15" s="274">
        <f t="shared" si="13"/>
        <v>0.16381409359082977</v>
      </c>
      <c r="Q15" s="274">
        <f t="shared" si="13"/>
        <v>9.0795714804692382E-2</v>
      </c>
      <c r="R15" s="274">
        <f t="shared" si="13"/>
        <v>0.17756993590028416</v>
      </c>
      <c r="S15" s="274">
        <f t="shared" si="13"/>
        <v>8.3529725482586942E-2</v>
      </c>
      <c r="T15" s="274">
        <f t="shared" si="13"/>
        <v>0.2204808573073187</v>
      </c>
      <c r="U15" s="274">
        <f t="shared" si="13"/>
        <v>0.14120766955326688</v>
      </c>
      <c r="V15" s="274">
        <f t="shared" si="13"/>
        <v>0.13222811790973285</v>
      </c>
      <c r="W15" s="274">
        <f t="shared" si="13"/>
        <v>0.30545857554229422</v>
      </c>
      <c r="X15" s="274">
        <f t="shared" si="13"/>
        <v>9.0094767196629386E-2</v>
      </c>
      <c r="Y15" s="274">
        <f t="shared" si="13"/>
        <v>9.0812458726763731E-2</v>
      </c>
      <c r="Z15" s="274">
        <f t="shared" si="13"/>
        <v>0.14159734298928137</v>
      </c>
      <c r="AA15" s="274">
        <f t="shared" si="13"/>
        <v>6.4663481013059521E-2</v>
      </c>
      <c r="AB15" s="274">
        <f t="shared" si="13"/>
        <v>0.31416940741743182</v>
      </c>
      <c r="AC15" s="274">
        <f t="shared" si="13"/>
        <v>0.18064996753806764</v>
      </c>
      <c r="AD15" s="274">
        <f t="shared" si="13"/>
        <v>0.18969333153613266</v>
      </c>
      <c r="AE15" s="274">
        <f t="shared" si="13"/>
        <v>0.17868152759484379</v>
      </c>
      <c r="AF15" s="274">
        <f t="shared" si="13"/>
        <v>8.2712739227682963E-2</v>
      </c>
      <c r="AG15" s="274">
        <f t="shared" si="13"/>
        <v>-0.19012025288460049</v>
      </c>
      <c r="AH15" s="274">
        <f t="shared" si="13"/>
        <v>-6.9614046677785826E-2</v>
      </c>
      <c r="AI15" s="274">
        <f t="shared" si="13"/>
        <v>-0.20402162892869213</v>
      </c>
      <c r="AJ15" s="274">
        <f t="shared" si="13"/>
        <v>-0.10742826437776505</v>
      </c>
      <c r="AK15" s="274">
        <f t="shared" si="13"/>
        <v>-1.1625088635338103</v>
      </c>
      <c r="AL15" s="274">
        <f t="shared" si="13"/>
        <v>-0.14294298304179462</v>
      </c>
      <c r="AM15" s="274">
        <f t="shared" si="13"/>
        <v>-0.53631175925474317</v>
      </c>
      <c r="AN15" s="274">
        <f t="shared" si="13"/>
        <v>0.34379929022082018</v>
      </c>
      <c r="AO15" s="274">
        <f t="shared" si="13"/>
        <v>-0.30637140446170358</v>
      </c>
      <c r="AP15" s="274">
        <f t="shared" si="13"/>
        <v>9.2892177944736573E-2</v>
      </c>
      <c r="AQ15" s="274">
        <f t="shared" si="13"/>
        <v>0.14317131370324634</v>
      </c>
      <c r="AR15" s="274">
        <f t="shared" si="13"/>
        <v>0.27194955451981412</v>
      </c>
      <c r="AS15" s="274">
        <f t="shared" si="13"/>
        <v>7.6301501817254966E-2</v>
      </c>
      <c r="AT15" s="274">
        <f t="shared" si="13"/>
        <v>0.13899097799031809</v>
      </c>
      <c r="AU15" s="274">
        <f t="shared" si="13"/>
        <v>0.11522213855585144</v>
      </c>
      <c r="AV15" s="274">
        <f t="shared" si="13"/>
        <v>0.15246216895888048</v>
      </c>
      <c r="AW15" s="274">
        <f t="shared" si="13"/>
        <v>0.18500781348090267</v>
      </c>
      <c r="AX15" s="274">
        <f t="shared" si="13"/>
        <v>0.35391108869945637</v>
      </c>
      <c r="AY15" s="275">
        <f t="shared" si="13"/>
        <v>0.18805280951529896</v>
      </c>
      <c r="AZ15" s="173">
        <f t="shared" si="13"/>
        <v>0.19155980941533945</v>
      </c>
      <c r="BA15" s="173">
        <f t="shared" si="13"/>
        <v>0.19498463400886382</v>
      </c>
      <c r="BB15" s="173">
        <f>BB14/BB11</f>
        <v>0.19833194426528405</v>
      </c>
      <c r="BC15" s="173">
        <f>BC14/BC11</f>
        <v>0.20159957341652851</v>
      </c>
      <c r="BD15" s="173">
        <f t="shared" ref="BD15:BL15" si="14">BD14/BD11</f>
        <v>0.20424199083096059</v>
      </c>
      <c r="BE15" s="173">
        <f t="shared" si="14"/>
        <v>0.21296793308386575</v>
      </c>
      <c r="BF15" s="173">
        <f t="shared" si="14"/>
        <v>0.2160088650917637</v>
      </c>
      <c r="BG15" s="173">
        <f t="shared" si="14"/>
        <v>0.21896457072166683</v>
      </c>
      <c r="BH15" s="173">
        <f t="shared" si="14"/>
        <v>0.22183491181202222</v>
      </c>
      <c r="BI15" s="173">
        <f t="shared" si="14"/>
        <v>0.22462004237075764</v>
      </c>
      <c r="BJ15" s="173">
        <f t="shared" si="14"/>
        <v>0.22732037855762011</v>
      </c>
      <c r="BK15" s="173">
        <f t="shared" si="14"/>
        <v>0.22993657039214788</v>
      </c>
      <c r="BL15" s="173">
        <f t="shared" si="14"/>
        <v>0.23246947521565484</v>
      </c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</row>
    <row r="16" spans="1:272" s="222" customFormat="1" ht="18" outlineLevel="1">
      <c r="A16" s="270" t="str">
        <f>'[33]Actual &amp; Assumptions'!A19</f>
        <v>G&amp;A</v>
      </c>
      <c r="B16" s="270"/>
      <c r="C16" s="271">
        <f>'[33]Actual &amp; Assumptions'!C20</f>
        <v>-7886</v>
      </c>
      <c r="D16" s="271">
        <f>'[33]Actual &amp; Assumptions'!D20</f>
        <v>-8536</v>
      </c>
      <c r="E16" s="271">
        <f>'[33]Actual &amp; Assumptions'!E20</f>
        <v>-8292</v>
      </c>
      <c r="F16" s="271">
        <f>'[33]Actual &amp; Assumptions'!F20</f>
        <v>-8753</v>
      </c>
      <c r="G16" s="271">
        <f>'[33]Actual &amp; Assumptions'!G20</f>
        <v>-9245</v>
      </c>
      <c r="H16" s="271">
        <f>'[33]Actual &amp; Assumptions'!H20</f>
        <v>-9556</v>
      </c>
      <c r="I16" s="271">
        <f>'[33]Actual &amp; Assumptions'!I20</f>
        <v>-9843</v>
      </c>
      <c r="J16" s="271">
        <f>'[33]Actual &amp; Assumptions'!J20</f>
        <v>-10103</v>
      </c>
      <c r="K16" s="271">
        <f>'[33]Actual &amp; Assumptions'!K20</f>
        <v>-10742.844810000001</v>
      </c>
      <c r="L16" s="271">
        <f>'[33]Actual &amp; Assumptions'!L20</f>
        <v>-2168</v>
      </c>
      <c r="M16" s="271">
        <f>'[33]Actual &amp; Assumptions'!M20</f>
        <v>-2702</v>
      </c>
      <c r="N16" s="271">
        <f>'[33]Actual &amp; Assumptions'!N20</f>
        <v>-2772</v>
      </c>
      <c r="O16" s="271">
        <f>'[33]Actual &amp; Assumptions'!O20</f>
        <v>-4357</v>
      </c>
      <c r="P16" s="271">
        <f>'[33]Actual &amp; Assumptions'!P20</f>
        <v>-12000</v>
      </c>
      <c r="Q16" s="271">
        <f>'[33]Actual &amp; Assumptions'!Q20</f>
        <v>-7824.2282400000004</v>
      </c>
      <c r="R16" s="271">
        <f>'[33]Actual &amp; Assumptions'!R20</f>
        <v>-1146.3406200000002</v>
      </c>
      <c r="S16" s="271">
        <f>'[33]Actual &amp; Assumptions'!S20</f>
        <v>-2709</v>
      </c>
      <c r="T16" s="271">
        <f>'[33]Actual &amp; Assumptions'!T20</f>
        <v>252</v>
      </c>
      <c r="U16" s="271">
        <f>'[33]Actual &amp; Assumptions'!U20</f>
        <v>-11427.568860000001</v>
      </c>
      <c r="V16" s="271">
        <f>'[33]Actual &amp; Assumptions'!V20</f>
        <v>-3741.22334</v>
      </c>
      <c r="W16" s="271">
        <f>'[33]Actual &amp; Assumptions'!W20</f>
        <v>-3776</v>
      </c>
      <c r="X16" s="271">
        <f>'[33]Actual &amp; Assumptions'!X20</f>
        <v>-5116</v>
      </c>
      <c r="Y16" s="271">
        <f>'[33]Actual &amp; Assumptions'!Y20</f>
        <v>-5020</v>
      </c>
      <c r="Z16" s="271">
        <f>'[33]Actual &amp; Assumptions'!Z20</f>
        <v>-17653.22334</v>
      </c>
      <c r="AA16" s="271">
        <f>'[33]Actual &amp; Assumptions'!AA20</f>
        <v>-3813</v>
      </c>
      <c r="AB16" s="271">
        <f>'[33]Actual &amp; Assumptions'!AB20</f>
        <v>-4455</v>
      </c>
      <c r="AC16" s="271">
        <f>'[33]Actual &amp; Assumptions'!AC20</f>
        <v>-4701</v>
      </c>
      <c r="AD16" s="271">
        <f>'[33]Actual &amp; Assumptions'!AD20</f>
        <v>-3254</v>
      </c>
      <c r="AE16" s="271">
        <f>'[33]Actual &amp; Assumptions'!AE20</f>
        <v>-16223</v>
      </c>
      <c r="AF16" s="271">
        <f>'[33]Actual &amp; Assumptions'!AF20</f>
        <v>-2281</v>
      </c>
      <c r="AG16" s="271">
        <f>'[33]Actual &amp; Assumptions'!AG20</f>
        <v>-3335</v>
      </c>
      <c r="AH16" s="271">
        <f>'[33]Actual &amp; Assumptions'!AH20</f>
        <v>-5269</v>
      </c>
      <c r="AI16" s="271">
        <f>'[33]Actual &amp; Assumptions'!AI20</f>
        <v>-3111</v>
      </c>
      <c r="AJ16" s="271">
        <f>'[33]Actual &amp; Assumptions'!AJ20</f>
        <v>-13996</v>
      </c>
      <c r="AK16" s="271">
        <f>'[33]Actual &amp; Assumptions'!AK20</f>
        <v>-5973</v>
      </c>
      <c r="AL16" s="271">
        <f>'[33]Actual &amp; Assumptions'!AL20</f>
        <v>-3082</v>
      </c>
      <c r="AM16" s="271">
        <f>'[33]Actual &amp; Assumptions'!AM20</f>
        <v>-2087</v>
      </c>
      <c r="AN16" s="271">
        <f>'[33]Actual &amp; Assumptions'!AN20</f>
        <v>-3988</v>
      </c>
      <c r="AO16" s="271">
        <f>'[33]Actual &amp; Assumptions'!AO20</f>
        <v>-15130</v>
      </c>
      <c r="AP16" s="271">
        <f>'[33]Actual &amp; Assumptions'!AP20</f>
        <v>-2682.2392999999997</v>
      </c>
      <c r="AQ16" s="271">
        <f>'[33]Actual &amp; Assumptions'!AQ20</f>
        <v>-3378.17371</v>
      </c>
      <c r="AR16" s="271">
        <f>'[33]Actual &amp; Assumptions'!AR20</f>
        <v>-6932.101920000001</v>
      </c>
      <c r="AS16" s="271">
        <f>'[33]Actual &amp; Assumptions'!AS20</f>
        <v>-3331.6129799999994</v>
      </c>
      <c r="AT16" s="271">
        <f>'[33]Actual &amp; Assumptions'!AT20</f>
        <v>-16324.127910000001</v>
      </c>
      <c r="AU16" s="271">
        <f>'[33]Actual &amp; Assumptions'!AU20</f>
        <v>-4274.47732</v>
      </c>
      <c r="AV16" s="271">
        <f>'[33]Actual &amp; Assumptions'!AV20</f>
        <v>-5364.85232</v>
      </c>
      <c r="AW16" s="271">
        <f>'[33]Actual &amp; Assumptions'!AW20</f>
        <v>-5507.3023200000007</v>
      </c>
      <c r="AX16" s="271">
        <f>'[33]Actual &amp; Assumptions'!AX20</f>
        <v>-5448.8773200000005</v>
      </c>
      <c r="AY16" s="271">
        <f>'[33]Actual &amp; Assumptions'!AY20</f>
        <v>-20595.509280000002</v>
      </c>
      <c r="AZ16" s="229">
        <f>'[33]Actual &amp; Assumptions'!AZ20</f>
        <v>-21493.834664399998</v>
      </c>
      <c r="BA16" s="229">
        <f>'[33]Actual &amp; Assumptions'!BA20</f>
        <v>-22431.818314835997</v>
      </c>
      <c r="BB16" s="229">
        <f>'[33]Actual &amp; Assumptions'!BB20</f>
        <v>-23411.232824482442</v>
      </c>
      <c r="BC16" s="229">
        <f>'[33]Actual &amp; Assumptions'!BC20</f>
        <v>-24433.931003367386</v>
      </c>
      <c r="BD16" s="229">
        <f>'[33]Actual &amp; Assumptions'!BD20</f>
        <v>-25501.849552703021</v>
      </c>
      <c r="BE16" s="229">
        <f>'[33]Actual &amp; Assumptions'!BE20</f>
        <v>-26617.012909472123</v>
      </c>
      <c r="BF16" s="229">
        <f>'[33]Actual &amp; Assumptions'!BF20</f>
        <v>-27781.537269245033</v>
      </c>
      <c r="BG16" s="229">
        <f>'[33]Actual &amp; Assumptions'!BG20</f>
        <v>-28997.634795578568</v>
      </c>
      <c r="BH16" s="229">
        <f>'[33]Actual &amp; Assumptions'!BH20</f>
        <v>-30267.618024743628</v>
      </c>
      <c r="BI16" s="229">
        <f>'[33]Actual &amp; Assumptions'!BI20</f>
        <v>-31593.904474942388</v>
      </c>
      <c r="BJ16" s="229">
        <f>'[33]Actual &amp; Assumptions'!BJ20</f>
        <v>-32979.021469609543</v>
      </c>
      <c r="BK16" s="229">
        <f>'[33]Actual &amp; Assumptions'!BK20</f>
        <v>-34425.611184846864</v>
      </c>
      <c r="BL16" s="229">
        <f>'[33]Actual &amp; Assumptions'!BL20</f>
        <v>-35936.435931516324</v>
      </c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</row>
    <row r="17" spans="1:272" s="222" customFormat="1" ht="18" outlineLevel="1">
      <c r="A17" s="270" t="str">
        <f>'[33]Actual &amp; Assumptions'!A29</f>
        <v>S&amp;M</v>
      </c>
      <c r="B17" s="270"/>
      <c r="C17" s="271">
        <f>'[33]Actual &amp; Assumptions'!C30</f>
        <v>-5673</v>
      </c>
      <c r="D17" s="271">
        <f>'[33]Actual &amp; Assumptions'!D30</f>
        <v>-5220</v>
      </c>
      <c r="E17" s="271">
        <f>'[33]Actual &amp; Assumptions'!E30</f>
        <v>-5066</v>
      </c>
      <c r="F17" s="271">
        <f>'[33]Actual &amp; Assumptions'!F30</f>
        <v>-4721</v>
      </c>
      <c r="G17" s="271">
        <f>'[33]Actual &amp; Assumptions'!G30</f>
        <v>-3281</v>
      </c>
      <c r="H17" s="271">
        <f>'[33]Actual &amp; Assumptions'!H30</f>
        <v>-3365</v>
      </c>
      <c r="I17" s="271">
        <f>'[33]Actual &amp; Assumptions'!I30</f>
        <v>-5835</v>
      </c>
      <c r="J17" s="271">
        <f>'[33]Actual &amp; Assumptions'!J30</f>
        <v>-5785</v>
      </c>
      <c r="K17" s="271">
        <f>'[33]Actual &amp; Assumptions'!K30</f>
        <v>-6152.0539399999998</v>
      </c>
      <c r="L17" s="271">
        <f>'[33]Actual &amp; Assumptions'!L30</f>
        <v>-1625</v>
      </c>
      <c r="M17" s="271">
        <f>'[33]Actual &amp; Assumptions'!M30</f>
        <v>-1795</v>
      </c>
      <c r="N17" s="271">
        <f>'[33]Actual &amp; Assumptions'!N30</f>
        <v>-1873</v>
      </c>
      <c r="O17" s="271">
        <f>'[33]Actual &amp; Assumptions'!O30</f>
        <v>-1945</v>
      </c>
      <c r="P17" s="271">
        <f>'[33]Actual &amp; Assumptions'!P30</f>
        <v>-9959</v>
      </c>
      <c r="Q17" s="271">
        <f>'[33]Actual &amp; Assumptions'!Q30</f>
        <v>-2164.4784399999999</v>
      </c>
      <c r="R17" s="271">
        <f>'[33]Actual &amp; Assumptions'!R30</f>
        <v>-1878.4265600000001</v>
      </c>
      <c r="S17" s="271">
        <f>'[33]Actual &amp; Assumptions'!S30</f>
        <v>-967</v>
      </c>
      <c r="T17" s="271">
        <f>'[33]Actual &amp; Assumptions'!T30</f>
        <v>-1602</v>
      </c>
      <c r="U17" s="271">
        <f>'[33]Actual &amp; Assumptions'!U30</f>
        <v>-6611.9049999999997</v>
      </c>
      <c r="V17" s="271">
        <f>'[33]Actual &amp; Assumptions'!V30</f>
        <v>-1897</v>
      </c>
      <c r="W17" s="271">
        <f>'[33]Actual &amp; Assumptions'!W30</f>
        <v>-1913</v>
      </c>
      <c r="X17" s="271">
        <f>'[33]Actual &amp; Assumptions'!X30</f>
        <v>-1969.9196299999999</v>
      </c>
      <c r="Y17" s="271">
        <f>'[33]Actual &amp; Assumptions'!Y30</f>
        <v>-1806</v>
      </c>
      <c r="Z17" s="271">
        <f>'[33]Actual &amp; Assumptions'!Z30</f>
        <v>-7585.9196300000003</v>
      </c>
      <c r="AA17" s="271">
        <f>'[33]Actual &amp; Assumptions'!AA30</f>
        <v>-1785</v>
      </c>
      <c r="AB17" s="271">
        <f>'[33]Actual &amp; Assumptions'!AB30</f>
        <v>-1675</v>
      </c>
      <c r="AC17" s="271">
        <f>'[33]Actual &amp; Assumptions'!AC30</f>
        <v>-792</v>
      </c>
      <c r="AD17" s="271">
        <f>'[33]Actual &amp; Assumptions'!AD30</f>
        <v>-465</v>
      </c>
      <c r="AE17" s="271">
        <f>'[33]Actual &amp; Assumptions'!AE30</f>
        <v>-4717</v>
      </c>
      <c r="AF17" s="271">
        <f>'[33]Actual &amp; Assumptions'!AF30</f>
        <v>-1528</v>
      </c>
      <c r="AG17" s="271">
        <f>'[33]Actual &amp; Assumptions'!AG30</f>
        <v>-246</v>
      </c>
      <c r="AH17" s="271">
        <f>'[33]Actual &amp; Assumptions'!AH30</f>
        <v>-956</v>
      </c>
      <c r="AI17" s="271">
        <f>'[33]Actual &amp; Assumptions'!AI30</f>
        <v>-471</v>
      </c>
      <c r="AJ17" s="271">
        <f>'[33]Actual &amp; Assumptions'!AJ30</f>
        <v>-3201</v>
      </c>
      <c r="AK17" s="271">
        <f>'[33]Actual &amp; Assumptions'!AK30</f>
        <v>-392</v>
      </c>
      <c r="AL17" s="271">
        <f>'[33]Actual &amp; Assumptions'!AL30</f>
        <v>-387</v>
      </c>
      <c r="AM17" s="271">
        <f>'[33]Actual &amp; Assumptions'!AM30</f>
        <v>-542</v>
      </c>
      <c r="AN17" s="271">
        <f>'[33]Actual &amp; Assumptions'!AN30</f>
        <v>-648</v>
      </c>
      <c r="AO17" s="271">
        <f>'[33]Actual &amp; Assumptions'!AO30</f>
        <v>-1969</v>
      </c>
      <c r="AP17" s="271">
        <f>'[33]Actual &amp; Assumptions'!AP30</f>
        <v>-822.23731000000009</v>
      </c>
      <c r="AQ17" s="271">
        <f>'[33]Actual &amp; Assumptions'!AQ30</f>
        <v>-863.05633999999998</v>
      </c>
      <c r="AR17" s="271">
        <f>'[33]Actual &amp; Assumptions'!AR30</f>
        <v>-943.40616000000011</v>
      </c>
      <c r="AS17" s="271">
        <f>'[33]Actual &amp; Assumptions'!AS30</f>
        <v>-933.93114000000003</v>
      </c>
      <c r="AT17" s="271">
        <f>'[33]Actual &amp; Assumptions'!AT30</f>
        <v>-3562.6309500000002</v>
      </c>
      <c r="AU17" s="271">
        <f>'[33]Actual &amp; Assumptions'!AU30</f>
        <v>-1312.0228100000002</v>
      </c>
      <c r="AV17" s="271">
        <f>'[33]Actual &amp; Assumptions'!AV30</f>
        <v>-1198.3828100000001</v>
      </c>
      <c r="AW17" s="271">
        <f>'[33]Actual &amp; Assumptions'!AW30</f>
        <v>-1293.3028100000001</v>
      </c>
      <c r="AX17" s="271">
        <f>'[33]Actual &amp; Assumptions'!AX30</f>
        <v>-1267.90281</v>
      </c>
      <c r="AY17" s="271">
        <f>'[33]Actual &amp; Assumptions'!AY30</f>
        <v>-5071.6112400000002</v>
      </c>
      <c r="AZ17" s="229">
        <f>'[33]Actual &amp; Assumptions'!AZ30</f>
        <v>-5319.5308548000003</v>
      </c>
      <c r="BA17" s="229">
        <f>'[33]Actual &amp; Assumptions'!BA30</f>
        <v>-5579.6200124520001</v>
      </c>
      <c r="BB17" s="229">
        <f>'[33]Actual &amp; Assumptions'!BB30</f>
        <v>-5852.47813258308</v>
      </c>
      <c r="BC17" s="229">
        <f>'[33]Actual &amp; Assumptions'!BC30</f>
        <v>-6138.7342435010532</v>
      </c>
      <c r="BD17" s="229">
        <f>'[33]Actual &amp; Assumptions'!BD30</f>
        <v>-6439.0484481364783</v>
      </c>
      <c r="BE17" s="229">
        <f>'[33]Actual &amp; Assumptions'!BE30</f>
        <v>-6754.1134627020892</v>
      </c>
      <c r="BF17" s="229">
        <f>'[33]Actual &amp; Assumptions'!BF30</f>
        <v>-7084.6562316823329</v>
      </c>
      <c r="BG17" s="229">
        <f>'[33]Actual &amp; Assumptions'!BG30</f>
        <v>-7431.4396229453932</v>
      </c>
      <c r="BH17" s="229">
        <f>'[33]Actual &amp; Assumptions'!BH30</f>
        <v>-7795.2642069587646</v>
      </c>
      <c r="BI17" s="229">
        <f>'[33]Actual &amp; Assumptions'!BI30</f>
        <v>-8176.9701242874489</v>
      </c>
      <c r="BJ17" s="229">
        <f>'[33]Actual &amp; Assumptions'!BJ30</f>
        <v>-8577.4390457617974</v>
      </c>
      <c r="BK17" s="229">
        <f>'[33]Actual &amp; Assumptions'!BK30</f>
        <v>-8997.596229920262</v>
      </c>
      <c r="BL17" s="229">
        <f>'[33]Actual &amp; Assumptions'!BL30</f>
        <v>-9438.412682561464</v>
      </c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</row>
    <row r="18" spans="1:272" s="222" customFormat="1" ht="18" hidden="1" outlineLevel="1">
      <c r="A18" s="270"/>
      <c r="B18" s="270"/>
      <c r="C18" s="271"/>
      <c r="D18" s="271"/>
      <c r="E18" s="271"/>
      <c r="F18" s="271"/>
      <c r="G18" s="271"/>
      <c r="H18" s="271"/>
      <c r="I18" s="271"/>
      <c r="J18" s="271"/>
      <c r="K18" s="271"/>
      <c r="L18" s="271"/>
      <c r="M18" s="271"/>
      <c r="N18" s="271"/>
      <c r="O18" s="271"/>
      <c r="P18" s="271"/>
      <c r="Q18" s="271"/>
      <c r="R18" s="271"/>
      <c r="S18" s="271"/>
      <c r="T18" s="271"/>
      <c r="U18" s="271"/>
      <c r="V18" s="271"/>
      <c r="W18" s="271"/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  <c r="AZ18" s="229"/>
      <c r="BA18" s="229"/>
      <c r="BB18" s="229"/>
      <c r="BC18" s="229"/>
      <c r="BD18" s="229"/>
      <c r="BE18" s="229"/>
      <c r="BF18" s="229"/>
      <c r="BG18" s="229"/>
      <c r="BH18" s="229"/>
      <c r="BI18" s="229"/>
      <c r="BJ18" s="229"/>
      <c r="BK18" s="229"/>
      <c r="BL18" s="229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</row>
    <row r="19" spans="1:272" s="222" customFormat="1" ht="18" hidden="1" outlineLevel="1">
      <c r="A19" s="270" t="str">
        <f>'[33]Actual &amp; Assumptions'!A39</f>
        <v>Equity Investment Revenues / BOD</v>
      </c>
      <c r="B19" s="270"/>
      <c r="C19" s="271">
        <f>'[33]Actual &amp; Assumptions'!C40</f>
        <v>0</v>
      </c>
      <c r="D19" s="271">
        <f>'[33]Actual &amp; Assumptions'!D40</f>
        <v>0</v>
      </c>
      <c r="E19" s="271">
        <f>'[33]Actual &amp; Assumptions'!E40</f>
        <v>0</v>
      </c>
      <c r="F19" s="271">
        <f>'[33]Actual &amp; Assumptions'!F40</f>
        <v>0</v>
      </c>
      <c r="G19" s="271">
        <f>'[33]Actual &amp; Assumptions'!G40</f>
        <v>0</v>
      </c>
      <c r="H19" s="271">
        <f>'[33]Actual &amp; Assumptions'!H40</f>
        <v>0</v>
      </c>
      <c r="I19" s="271"/>
      <c r="J19" s="271">
        <f>'[33]Actual &amp; Assumptions'!J40</f>
        <v>0</v>
      </c>
      <c r="K19" s="271">
        <f>'[33]Actual &amp; Assumptions'!K40</f>
        <v>0</v>
      </c>
      <c r="L19" s="271">
        <f>'[33]Actual &amp; Assumptions'!L40</f>
        <v>0</v>
      </c>
      <c r="M19" s="271">
        <f>'[33]Actual &amp; Assumptions'!M40</f>
        <v>0</v>
      </c>
      <c r="N19" s="271">
        <f>'[33]Actual &amp; Assumptions'!N40</f>
        <v>0</v>
      </c>
      <c r="O19" s="271">
        <f>'[33]Actual &amp; Assumptions'!O40</f>
        <v>0</v>
      </c>
      <c r="P19" s="271">
        <f>'[33]Actual &amp; Assumptions'!P40</f>
        <v>0</v>
      </c>
      <c r="Q19" s="271">
        <f>'[33]Actual &amp; Assumptions'!Q40</f>
        <v>0</v>
      </c>
      <c r="R19" s="271">
        <f>'[33]Actual &amp; Assumptions'!R40</f>
        <v>0</v>
      </c>
      <c r="S19" s="271">
        <f>'[33]Actual &amp; Assumptions'!S40</f>
        <v>0</v>
      </c>
      <c r="T19" s="271">
        <f>'[33]Actual &amp; Assumptions'!T40</f>
        <v>0</v>
      </c>
      <c r="U19" s="271">
        <f>'[33]Actual &amp; Assumptions'!U40</f>
        <v>0</v>
      </c>
      <c r="V19" s="271">
        <f>'[33]Actual &amp; Assumptions'!V40</f>
        <v>0</v>
      </c>
      <c r="W19" s="271">
        <f>'[33]Actual &amp; Assumptions'!W40</f>
        <v>0</v>
      </c>
      <c r="X19" s="271">
        <f>'[33]Actual &amp; Assumptions'!X40</f>
        <v>0</v>
      </c>
      <c r="Y19" s="271">
        <f>'[33]Actual &amp; Assumptions'!Y40</f>
        <v>0</v>
      </c>
      <c r="Z19" s="271">
        <f>'[33]Actual &amp; Assumptions'!Z40</f>
        <v>0</v>
      </c>
      <c r="AA19" s="271">
        <f>'[33]Actual &amp; Assumptions'!AA40</f>
        <v>0</v>
      </c>
      <c r="AB19" s="271">
        <f>'[33]Actual &amp; Assumptions'!AB40</f>
        <v>0</v>
      </c>
      <c r="AC19" s="271">
        <f>'[33]Actual &amp; Assumptions'!AC40</f>
        <v>0</v>
      </c>
      <c r="AD19" s="271">
        <f>'[33]Actual &amp; Assumptions'!AD40</f>
        <v>0</v>
      </c>
      <c r="AE19" s="271">
        <f>'[33]Actual &amp; Assumptions'!AE40</f>
        <v>0</v>
      </c>
      <c r="AF19" s="271">
        <f>'[33]Actual &amp; Assumptions'!AF40</f>
        <v>0</v>
      </c>
      <c r="AG19" s="271">
        <f>'[33]Actual &amp; Assumptions'!AG40</f>
        <v>0</v>
      </c>
      <c r="AH19" s="271">
        <f>'[33]Actual &amp; Assumptions'!AH40</f>
        <v>0</v>
      </c>
      <c r="AI19" s="271">
        <f>'[33]Actual &amp; Assumptions'!AI40</f>
        <v>0</v>
      </c>
      <c r="AJ19" s="271">
        <f>'[33]Actual &amp; Assumptions'!AJ40</f>
        <v>0</v>
      </c>
      <c r="AK19" s="271">
        <f>'[33]Actual &amp; Assumptions'!AK40</f>
        <v>0</v>
      </c>
      <c r="AL19" s="271">
        <f>'[33]Actual &amp; Assumptions'!AL40</f>
        <v>0</v>
      </c>
      <c r="AM19" s="271">
        <f>'[33]Actual &amp; Assumptions'!AM40</f>
        <v>0</v>
      </c>
      <c r="AN19" s="271">
        <f>'[33]Actual &amp; Assumptions'!AN40</f>
        <v>0</v>
      </c>
      <c r="AO19" s="271">
        <f>'[33]Actual &amp; Assumptions'!AO40</f>
        <v>0</v>
      </c>
      <c r="AP19" s="271">
        <f>'[33]Actual &amp; Assumptions'!AP40</f>
        <v>0</v>
      </c>
      <c r="AQ19" s="271">
        <f>'[33]Actual &amp; Assumptions'!AQ40</f>
        <v>0</v>
      </c>
      <c r="AR19" s="271">
        <f>'[33]Actual &amp; Assumptions'!AR40</f>
        <v>0</v>
      </c>
      <c r="AS19" s="271">
        <f>'[33]Actual &amp; Assumptions'!AS40</f>
        <v>0</v>
      </c>
      <c r="AT19" s="271">
        <f>'[33]Actual &amp; Assumptions'!AT40</f>
        <v>0</v>
      </c>
      <c r="AU19" s="271">
        <f>'[33]Actual &amp; Assumptions'!AU40</f>
        <v>0</v>
      </c>
      <c r="AV19" s="271">
        <f>'[33]Actual &amp; Assumptions'!AV40</f>
        <v>0</v>
      </c>
      <c r="AW19" s="271">
        <f>'[33]Actual &amp; Assumptions'!AW40</f>
        <v>0</v>
      </c>
      <c r="AX19" s="271">
        <f>'[33]Actual &amp; Assumptions'!AX40</f>
        <v>0</v>
      </c>
      <c r="AY19" s="271">
        <f>'[33]Actual &amp; Assumptions'!AY40</f>
        <v>0</v>
      </c>
      <c r="AZ19" s="229">
        <f>'[33]Actual &amp; Assumptions'!AZ40</f>
        <v>0</v>
      </c>
      <c r="BA19" s="229">
        <f>'[33]Actual &amp; Assumptions'!BA40</f>
        <v>0</v>
      </c>
      <c r="BB19" s="229">
        <f>'[33]Actual &amp; Assumptions'!BB40</f>
        <v>0</v>
      </c>
      <c r="BC19" s="229">
        <f>'[33]Actual &amp; Assumptions'!BC40</f>
        <v>0</v>
      </c>
      <c r="BD19" s="229">
        <f>'[33]Actual &amp; Assumptions'!BD40</f>
        <v>0</v>
      </c>
      <c r="BE19" s="229">
        <f>'[33]Actual &amp; Assumptions'!BE40</f>
        <v>0</v>
      </c>
      <c r="BF19" s="229">
        <f>'[33]Actual &amp; Assumptions'!BF40</f>
        <v>0</v>
      </c>
      <c r="BG19" s="229">
        <f>'[33]Actual &amp; Assumptions'!BG40</f>
        <v>0</v>
      </c>
      <c r="BH19" s="229">
        <f>'[33]Actual &amp; Assumptions'!BH40</f>
        <v>0</v>
      </c>
      <c r="BI19" s="229">
        <f>'[33]Actual &amp; Assumptions'!BI40</f>
        <v>0</v>
      </c>
      <c r="BJ19" s="229">
        <f>'[33]Actual &amp; Assumptions'!BJ40</f>
        <v>0</v>
      </c>
      <c r="BK19" s="229">
        <f>'[33]Actual &amp; Assumptions'!BK40</f>
        <v>0</v>
      </c>
      <c r="BL19" s="229">
        <f>'[33]Actual &amp; Assumptions'!BL40</f>
        <v>0</v>
      </c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</row>
    <row r="20" spans="1:272" s="222" customFormat="1" ht="18" outlineLevel="1">
      <c r="A20" s="272" t="s">
        <v>123</v>
      </c>
      <c r="B20" s="272"/>
      <c r="C20" s="273">
        <f>C14+SUM(C16:C19)</f>
        <v>16778</v>
      </c>
      <c r="D20" s="273">
        <f>D14+SUM(D16:D19)</f>
        <v>35126</v>
      </c>
      <c r="E20" s="273">
        <f t="shared" ref="E20:BA20" si="15">E14+SUM(E16:E19)</f>
        <v>46338</v>
      </c>
      <c r="F20" s="273">
        <f t="shared" si="15"/>
        <v>40693</v>
      </c>
      <c r="G20" s="273">
        <f t="shared" si="15"/>
        <v>22593.058000000048</v>
      </c>
      <c r="H20" s="273">
        <f t="shared" si="15"/>
        <v>34704.993000000046</v>
      </c>
      <c r="I20" s="273">
        <f t="shared" si="15"/>
        <v>17598</v>
      </c>
      <c r="J20" s="273">
        <f t="shared" si="15"/>
        <v>6844.5818240994413</v>
      </c>
      <c r="K20" s="273">
        <f t="shared" si="15"/>
        <v>16603.437970000108</v>
      </c>
      <c r="L20" s="273">
        <f t="shared" si="15"/>
        <v>2664.9896299999818</v>
      </c>
      <c r="M20" s="273">
        <f t="shared" si="15"/>
        <v>10848.819919999718</v>
      </c>
      <c r="N20" s="273">
        <f t="shared" si="15"/>
        <v>6237.2840600000054</v>
      </c>
      <c r="O20" s="273">
        <f t="shared" si="15"/>
        <v>3652.1120000000228</v>
      </c>
      <c r="P20" s="273">
        <f t="shared" si="15"/>
        <v>23401.205609999684</v>
      </c>
      <c r="Q20" s="273">
        <f t="shared" si="15"/>
        <v>-3296.9888099999916</v>
      </c>
      <c r="R20" s="273">
        <f t="shared" si="15"/>
        <v>8970.259560000095</v>
      </c>
      <c r="S20" s="273">
        <f t="shared" si="15"/>
        <v>4073.9714599998988</v>
      </c>
      <c r="T20" s="273">
        <f t="shared" si="15"/>
        <v>17035.678209999998</v>
      </c>
      <c r="U20" s="273">
        <f t="shared" si="15"/>
        <v>26782.920420000064</v>
      </c>
      <c r="V20" s="273">
        <f t="shared" si="15"/>
        <v>8989.7766600000141</v>
      </c>
      <c r="W20" s="273">
        <f t="shared" si="15"/>
        <v>10434.63091</v>
      </c>
      <c r="X20" s="273">
        <f t="shared" si="15"/>
        <v>247.7061900001172</v>
      </c>
      <c r="Y20" s="273">
        <f t="shared" si="15"/>
        <v>-709.23603000010189</v>
      </c>
      <c r="Z20" s="273">
        <f t="shared" si="15"/>
        <v>18962.877729999993</v>
      </c>
      <c r="AA20" s="273">
        <f t="shared" si="15"/>
        <v>-2196.5441900000078</v>
      </c>
      <c r="AB20" s="273">
        <f t="shared" si="15"/>
        <v>5764.0469499999963</v>
      </c>
      <c r="AC20" s="273">
        <f t="shared" si="15"/>
        <v>3064.882890000008</v>
      </c>
      <c r="AD20" s="273">
        <f t="shared" si="15"/>
        <v>9631.0780999999843</v>
      </c>
      <c r="AE20" s="273">
        <f t="shared" si="15"/>
        <v>16263.463749999995</v>
      </c>
      <c r="AF20" s="273">
        <f t="shared" si="15"/>
        <v>-909.20423000000301</v>
      </c>
      <c r="AG20" s="273">
        <f t="shared" si="15"/>
        <v>-11632.670869999994</v>
      </c>
      <c r="AH20" s="273">
        <f t="shared" si="15"/>
        <v>-10923.747860000003</v>
      </c>
      <c r="AI20" s="273">
        <f t="shared" si="15"/>
        <v>-15656</v>
      </c>
      <c r="AJ20" s="273">
        <f t="shared" si="15"/>
        <v>-39121.622959999979</v>
      </c>
      <c r="AK20" s="273">
        <f t="shared" si="15"/>
        <v>-42433</v>
      </c>
      <c r="AL20" s="273">
        <f t="shared" si="15"/>
        <v>-7751</v>
      </c>
      <c r="AM20" s="273">
        <f t="shared" si="15"/>
        <v>-13625</v>
      </c>
      <c r="AN20" s="273">
        <f t="shared" si="15"/>
        <v>9314</v>
      </c>
      <c r="AO20" s="273">
        <f>AO14+SUM(AO16:AO19)</f>
        <v>-54495</v>
      </c>
      <c r="AP20" s="273">
        <f t="shared" ref="AP20:AS20" si="16">AP14+SUM(AP16:AP19)</f>
        <v>-126.16604982072204</v>
      </c>
      <c r="AQ20" s="273">
        <f t="shared" si="16"/>
        <v>1068.6127184072593</v>
      </c>
      <c r="AR20" s="273">
        <f t="shared" si="16"/>
        <v>-635.49162169337251</v>
      </c>
      <c r="AS20" s="273">
        <f t="shared" si="16"/>
        <v>-1809.0978738999956</v>
      </c>
      <c r="AT20" s="273">
        <f>AT14+SUM(AT16:AT19)</f>
        <v>-1502.1428270068718</v>
      </c>
      <c r="AU20" s="273">
        <f t="shared" ref="AU20:AY20" si="17">AU14+SUM(AU16:AU19)</f>
        <v>4248.0058599999757</v>
      </c>
      <c r="AV20" s="273">
        <f t="shared" si="17"/>
        <v>6320.0032300000321</v>
      </c>
      <c r="AW20" s="273">
        <f t="shared" si="17"/>
        <v>4058.0765900000288</v>
      </c>
      <c r="AX20" s="273">
        <f t="shared" si="17"/>
        <v>13346.336840000016</v>
      </c>
      <c r="AY20" s="273">
        <f t="shared" si="17"/>
        <v>27972.422520000073</v>
      </c>
      <c r="AZ20" s="231">
        <f t="shared" si="15"/>
        <v>32936.486585438499</v>
      </c>
      <c r="BA20" s="231">
        <f t="shared" si="15"/>
        <v>38517.326786882622</v>
      </c>
      <c r="BB20" s="231">
        <f>BB14+SUM(BB16:BB19)</f>
        <v>44785.40507859637</v>
      </c>
      <c r="BC20" s="231">
        <f>BC14+SUM(BC16:BC19)</f>
        <v>51816.26093696984</v>
      </c>
      <c r="BD20" s="231">
        <f t="shared" ref="BD20:BL20" si="18">BD14+SUM(BD16:BD19)</f>
        <v>59449.991896930165</v>
      </c>
      <c r="BE20" s="231">
        <f t="shared" si="18"/>
        <v>70997.60051165623</v>
      </c>
      <c r="BF20" s="231">
        <f t="shared" si="18"/>
        <v>81102.048339542875</v>
      </c>
      <c r="BG20" s="231">
        <f t="shared" si="18"/>
        <v>92383.833633325325</v>
      </c>
      <c r="BH20" s="231">
        <f t="shared" si="18"/>
        <v>104969.430115261</v>
      </c>
      <c r="BI20" s="231">
        <f t="shared" si="18"/>
        <v>118998.40357512113</v>
      </c>
      <c r="BJ20" s="231">
        <f t="shared" si="18"/>
        <v>134624.74337605207</v>
      </c>
      <c r="BK20" s="231">
        <f t="shared" si="18"/>
        <v>152018.32822124707</v>
      </c>
      <c r="BL20" s="231">
        <f t="shared" si="18"/>
        <v>171366.53966261097</v>
      </c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</row>
    <row r="21" spans="1:272" s="222" customFormat="1" ht="18" outlineLevel="1">
      <c r="A21" s="272" t="s">
        <v>322</v>
      </c>
      <c r="B21" s="272"/>
      <c r="C21" s="274">
        <f t="shared" ref="C21:BA21" si="19">C20/C11</f>
        <v>0.15274667249321752</v>
      </c>
      <c r="D21" s="274">
        <f t="shared" si="19"/>
        <v>0.1835972005164096</v>
      </c>
      <c r="E21" s="274">
        <f t="shared" si="19"/>
        <v>0.13854944371522285</v>
      </c>
      <c r="F21" s="274">
        <f t="shared" si="19"/>
        <v>0.14609549180180731</v>
      </c>
      <c r="G21" s="274">
        <f t="shared" si="19"/>
        <v>8.5756456585257365E-2</v>
      </c>
      <c r="H21" s="274">
        <f t="shared" si="19"/>
        <v>0.11702322869914739</v>
      </c>
      <c r="I21" s="274">
        <f t="shared" si="19"/>
        <v>6.7490191716938513E-2</v>
      </c>
      <c r="J21" s="274">
        <f t="shared" si="19"/>
        <v>3.5930506439011217E-2</v>
      </c>
      <c r="K21" s="274">
        <f t="shared" si="19"/>
        <v>7.8156260530702723E-2</v>
      </c>
      <c r="L21" s="274">
        <f t="shared" si="19"/>
        <v>5.2188184274943344E-2</v>
      </c>
      <c r="M21" s="274">
        <f t="shared" si="19"/>
        <v>0.13866165957991455</v>
      </c>
      <c r="N21" s="274">
        <f t="shared" si="19"/>
        <v>0.1015579663279928</v>
      </c>
      <c r="O21" s="274">
        <f t="shared" si="19"/>
        <v>4.2377721048967545E-2</v>
      </c>
      <c r="P21" s="274">
        <f t="shared" si="19"/>
        <v>8.4511241392822373E-2</v>
      </c>
      <c r="Q21" s="274">
        <f t="shared" si="19"/>
        <v>-4.4734769385461406E-2</v>
      </c>
      <c r="R21" s="274">
        <f t="shared" si="19"/>
        <v>0.13279240218501717</v>
      </c>
      <c r="S21" s="274">
        <f t="shared" si="19"/>
        <v>4.3909544626592717E-2</v>
      </c>
      <c r="T21" s="274">
        <f t="shared" si="19"/>
        <v>0.20429167168331552</v>
      </c>
      <c r="U21" s="274">
        <f t="shared" si="19"/>
        <v>8.4376433635236128E-2</v>
      </c>
      <c r="V21" s="274">
        <f t="shared" si="19"/>
        <v>8.1262048686125576E-2</v>
      </c>
      <c r="W21" s="274">
        <f t="shared" si="19"/>
        <v>0.19768174500331534</v>
      </c>
      <c r="X21" s="274">
        <f t="shared" si="19"/>
        <v>3.0431101980090184E-3</v>
      </c>
      <c r="Y21" s="274">
        <f t="shared" si="19"/>
        <v>-1.052966372706369E-2</v>
      </c>
      <c r="Z21" s="274">
        <f t="shared" si="19"/>
        <v>6.0745935581144474E-2</v>
      </c>
      <c r="AA21" s="274">
        <f t="shared" si="19"/>
        <v>-4.1757471347073603E-2</v>
      </c>
      <c r="AB21" s="274">
        <f t="shared" si="19"/>
        <v>0.15225156098847875</v>
      </c>
      <c r="AC21" s="274">
        <f t="shared" si="19"/>
        <v>6.4697192249902336E-2</v>
      </c>
      <c r="AD21" s="274">
        <f t="shared" si="19"/>
        <v>0.13684948338045197</v>
      </c>
      <c r="AE21" s="274">
        <f t="shared" si="19"/>
        <v>7.8110483646388076E-2</v>
      </c>
      <c r="AF21" s="274">
        <f t="shared" si="19"/>
        <v>-2.5933816842796695E-2</v>
      </c>
      <c r="AG21" s="274">
        <f t="shared" si="19"/>
        <v>-0.27467669297909664</v>
      </c>
      <c r="AH21" s="274">
        <f t="shared" si="19"/>
        <v>-0.16184020000221988</v>
      </c>
      <c r="AI21" s="274">
        <f t="shared" si="19"/>
        <v>-0.26454883406556268</v>
      </c>
      <c r="AJ21" s="274">
        <f t="shared" si="19"/>
        <v>-0.19169169120498869</v>
      </c>
      <c r="AK21" s="274">
        <f t="shared" si="19"/>
        <v>-1.3676593824534262</v>
      </c>
      <c r="AL21" s="274">
        <f t="shared" si="19"/>
        <v>-0.25874616103618642</v>
      </c>
      <c r="AM21" s="274">
        <f t="shared" si="19"/>
        <v>-0.66453689703945762</v>
      </c>
      <c r="AN21" s="274">
        <f t="shared" si="19"/>
        <v>0.22954455835962145</v>
      </c>
      <c r="AO21" s="274">
        <f>AO20/AO11</f>
        <v>-0.44645709931919286</v>
      </c>
      <c r="AP21" s="274">
        <f t="shared" ref="AP21:AS21" si="20">AP20/AP11</f>
        <v>-3.4691420287627645E-3</v>
      </c>
      <c r="AQ21" s="274">
        <f t="shared" si="20"/>
        <v>2.8813411885688821E-2</v>
      </c>
      <c r="AR21" s="274">
        <f t="shared" si="20"/>
        <v>-2.3870341236904902E-2</v>
      </c>
      <c r="AS21" s="274">
        <f t="shared" si="20"/>
        <v>-5.619373309394738E-2</v>
      </c>
      <c r="AT21" s="274">
        <f>AT20/AT11</f>
        <v>-1.1356467833330917E-2</v>
      </c>
      <c r="AU21" s="274">
        <f t="shared" ref="AU21:AY21" si="21">AU20/AU11</f>
        <v>4.9770097276333775E-2</v>
      </c>
      <c r="AV21" s="274">
        <f t="shared" si="21"/>
        <v>7.4791863144021878E-2</v>
      </c>
      <c r="AW21" s="274">
        <f t="shared" si="21"/>
        <v>6.9140609902132832E-2</v>
      </c>
      <c r="AX21" s="274">
        <f t="shared" si="21"/>
        <v>0.23542785541533251</v>
      </c>
      <c r="AY21" s="274">
        <f t="shared" si="21"/>
        <v>9.8067439536394407E-2</v>
      </c>
      <c r="AZ21" s="173">
        <f t="shared" si="19"/>
        <v>0.10559535916621424</v>
      </c>
      <c r="BA21" s="173">
        <f t="shared" si="19"/>
        <v>0.11288781407037457</v>
      </c>
      <c r="BB21" s="173">
        <f>BB20/BB11</f>
        <v>0.11995249828058192</v>
      </c>
      <c r="BC21" s="173">
        <f>BC20/BC11</f>
        <v>0.12679053587400443</v>
      </c>
      <c r="BD21" s="173">
        <f t="shared" ref="BD21:BL21" si="22">BD20/BD11</f>
        <v>0.13285990226701813</v>
      </c>
      <c r="BE21" s="173">
        <f t="shared" si="22"/>
        <v>0.14487301595344043</v>
      </c>
      <c r="BF21" s="173">
        <f t="shared" si="22"/>
        <v>0.15106516353452532</v>
      </c>
      <c r="BG21" s="173">
        <f t="shared" si="22"/>
        <v>0.15704005739083657</v>
      </c>
      <c r="BH21" s="173">
        <f t="shared" si="22"/>
        <v>0.16280156483865668</v>
      </c>
      <c r="BI21" s="173">
        <f t="shared" si="22"/>
        <v>0.16835389541636361</v>
      </c>
      <c r="BJ21" s="173">
        <f t="shared" si="22"/>
        <v>0.17370154676844266</v>
      </c>
      <c r="BK21" s="173">
        <f t="shared" si="22"/>
        <v>0.17884925491498391</v>
      </c>
      <c r="BL21" s="173">
        <f t="shared" si="22"/>
        <v>0.1838019487723957</v>
      </c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</row>
    <row r="22" spans="1:272" s="222" customFormat="1" ht="18" outlineLevel="1">
      <c r="A22" s="270" t="str">
        <f>'[33]Actual &amp; Assumptions'!A43</f>
        <v>Depreciation &amp; Amortization</v>
      </c>
      <c r="B22" s="270"/>
      <c r="C22" s="271">
        <f>'[33]Actual &amp; Assumptions'!C44</f>
        <v>-865</v>
      </c>
      <c r="D22" s="271">
        <f>'[33]Actual &amp; Assumptions'!D44</f>
        <v>-509</v>
      </c>
      <c r="E22" s="271">
        <f>'[33]Actual &amp; Assumptions'!E44</f>
        <v>-536</v>
      </c>
      <c r="F22" s="271">
        <f>'[33]Actual &amp; Assumptions'!F44</f>
        <v>-716</v>
      </c>
      <c r="G22" s="271">
        <f>'[33]Actual &amp; Assumptions'!G44</f>
        <v>-685</v>
      </c>
      <c r="H22" s="271">
        <f>'[33]Actual &amp; Assumptions'!H44</f>
        <v>-514</v>
      </c>
      <c r="I22" s="271">
        <f>'[33]Actual &amp; Assumptions'!I44</f>
        <v>-397</v>
      </c>
      <c r="J22" s="271">
        <f>'[33]Actual &amp; Assumptions'!J44</f>
        <v>-276</v>
      </c>
      <c r="K22" s="271">
        <f>'[33]Actual &amp; Assumptions'!K44</f>
        <v>-365.11295000000001</v>
      </c>
      <c r="L22" s="271">
        <f>'[33]Actual &amp; Assumptions'!L44</f>
        <v>-84</v>
      </c>
      <c r="M22" s="271">
        <f>'[33]Actual &amp; Assumptions'!M44</f>
        <v>-88</v>
      </c>
      <c r="N22" s="271">
        <f>'[33]Actual &amp; Assumptions'!N44</f>
        <v>-86</v>
      </c>
      <c r="O22" s="271">
        <f>'[33]Actual &amp; Assumptions'!O44</f>
        <v>-85</v>
      </c>
      <c r="P22" s="271">
        <f>'[33]Actual &amp; Assumptions'!P44</f>
        <v>-343</v>
      </c>
      <c r="Q22" s="271">
        <f>'[33]Actual &amp; Assumptions'!Q44</f>
        <v>-29.686790000000002</v>
      </c>
      <c r="R22" s="271">
        <f>'[33]Actual &amp; Assumptions'!R44</f>
        <v>-36.029470000000003</v>
      </c>
      <c r="S22" s="271">
        <f>'[33]Actual &amp; Assumptions'!S44</f>
        <v>-51</v>
      </c>
      <c r="T22" s="271">
        <f>'[33]Actual &amp; Assumptions'!T44</f>
        <v>-50</v>
      </c>
      <c r="U22" s="271">
        <f>'[33]Actual &amp; Assumptions'!U44</f>
        <v>-166.71626000000001</v>
      </c>
      <c r="V22" s="271">
        <f>'[33]Actual &amp; Assumptions'!V44</f>
        <v>-50.035290000000003</v>
      </c>
      <c r="W22" s="271">
        <f>'[33]Actual &amp; Assumptions'!W44</f>
        <v>-49.114659999999994</v>
      </c>
      <c r="X22" s="271">
        <f>'[33]Actual &amp; Assumptions'!X44</f>
        <v>-48.51061</v>
      </c>
      <c r="Y22" s="271">
        <f>'[33]Actual &amp; Assumptions'!Y44</f>
        <v>-49.571230000000007</v>
      </c>
      <c r="Z22" s="271">
        <f>'[33]Actual &amp; Assumptions'!Z44</f>
        <v>-197.23178999999999</v>
      </c>
      <c r="AA22" s="271">
        <f>'[33]Actual &amp; Assumptions'!AA44</f>
        <v>-50</v>
      </c>
      <c r="AB22" s="271">
        <f>'[33]Actual &amp; Assumptions'!AB44</f>
        <v>-51</v>
      </c>
      <c r="AC22" s="271">
        <f>'[33]Actual &amp; Assumptions'!AC44</f>
        <v>-51</v>
      </c>
      <c r="AD22" s="271">
        <f>'[33]Actual &amp; Assumptions'!AD44</f>
        <v>-49</v>
      </c>
      <c r="AE22" s="271">
        <f>'[33]Actual &amp; Assumptions'!AE44</f>
        <v>-201</v>
      </c>
      <c r="AF22" s="271">
        <f>'[33]Actual &amp; Assumptions'!AF44</f>
        <v>-42</v>
      </c>
      <c r="AG22" s="271">
        <f>'[33]Actual &amp; Assumptions'!AG44</f>
        <v>-33</v>
      </c>
      <c r="AH22" s="271">
        <f>'[33]Actual &amp; Assumptions'!AH44</f>
        <v>-19</v>
      </c>
      <c r="AI22" s="271">
        <f>'[33]Actual &amp; Assumptions'!AI44</f>
        <v>-18</v>
      </c>
      <c r="AJ22" s="271">
        <f>'[33]Actual &amp; Assumptions'!AJ44</f>
        <v>-112</v>
      </c>
      <c r="AK22" s="271">
        <f>'[33]Actual &amp; Assumptions'!AK44</f>
        <v>-94</v>
      </c>
      <c r="AL22" s="271">
        <f>'[33]Actual &amp; Assumptions'!AL44</f>
        <v>-89</v>
      </c>
      <c r="AM22" s="271">
        <f>'[33]Actual &amp; Assumptions'!AM44</f>
        <v>-89</v>
      </c>
      <c r="AN22" s="271">
        <f>'[33]Actual &amp; Assumptions'!AN44</f>
        <v>-86</v>
      </c>
      <c r="AO22" s="271">
        <f>'[33]Actual &amp; Assumptions'!AO44</f>
        <v>-358</v>
      </c>
      <c r="AP22" s="271">
        <f>'[33]Actual &amp; Assumptions'!AP44</f>
        <v>-84.057000000000002</v>
      </c>
      <c r="AQ22" s="271">
        <f>'[33]Actual &amp; Assumptions'!AQ44</f>
        <v>-83.929919999999996</v>
      </c>
      <c r="AR22" s="271">
        <f>'[33]Actual &amp; Assumptions'!AR44</f>
        <v>-208.97841999999997</v>
      </c>
      <c r="AS22" s="271">
        <f>'[33]Actual &amp; Assumptions'!AS44</f>
        <v>-276.38303999999999</v>
      </c>
      <c r="AT22" s="271">
        <f>'[33]Actual &amp; Assumptions'!AT44</f>
        <v>-653.34837999999991</v>
      </c>
      <c r="AU22" s="271">
        <f>'[33]Actual &amp; Assumptions'!AU44</f>
        <v>-360</v>
      </c>
      <c r="AV22" s="271">
        <f>'[33]Actual &amp; Assumptions'!AV44</f>
        <v>-360</v>
      </c>
      <c r="AW22" s="271">
        <f>'[33]Actual &amp; Assumptions'!AW44</f>
        <v>-360</v>
      </c>
      <c r="AX22" s="271">
        <f>'[33]Actual &amp; Assumptions'!AX44</f>
        <v>-360</v>
      </c>
      <c r="AY22" s="271">
        <f>'[33]Actual &amp; Assumptions'!AY44</f>
        <v>-1440</v>
      </c>
      <c r="AZ22" s="229">
        <f>'[33]Actual &amp; Assumptions'!AZ44</f>
        <v>-78.740822772228796</v>
      </c>
      <c r="BA22" s="229">
        <f>'[33]Actual &amp; Assumptions'!BA44</f>
        <v>-93.262832525505658</v>
      </c>
      <c r="BB22" s="229">
        <f>'[33]Actual &amp; Assumptions'!BB44</f>
        <v>-120.46958009660339</v>
      </c>
      <c r="BC22" s="229">
        <f>'[33]Actual &amp; Assumptions'!BC44</f>
        <v>-155.33545554124905</v>
      </c>
      <c r="BD22" s="229">
        <f>'[33]Actual &amp; Assumptions'!BD44</f>
        <v>-184.34839193478112</v>
      </c>
      <c r="BE22" s="229">
        <f>'[33]Actual &amp; Assumptions'!BE44</f>
        <v>-208.70026157214016</v>
      </c>
      <c r="BF22" s="229">
        <f>'[33]Actual &amp; Assumptions'!BF44</f>
        <v>-229.34496669449001</v>
      </c>
      <c r="BG22" s="229">
        <f>'[33]Actual &amp; Assumptions'!BG44</f>
        <v>-247.04604118366842</v>
      </c>
      <c r="BH22" s="229">
        <f>'[33]Actual &amp; Assumptions'!BH44</f>
        <v>-262.41473206374502</v>
      </c>
      <c r="BI22" s="229">
        <f>'[33]Actual &amp; Assumptions'!BI44</f>
        <v>-275.94046485102518</v>
      </c>
      <c r="BJ22" s="229">
        <f>'[33]Actual &amp; Assumptions'!BJ44</f>
        <v>-288.01521598565017</v>
      </c>
      <c r="BK22" s="229">
        <f>'[33]Actual &amp; Assumptions'!BK44</f>
        <v>-298.95301093134185</v>
      </c>
      <c r="BL22" s="229">
        <f>'[33]Actual &amp; Assumptions'!BL44</f>
        <v>-309.005522812609</v>
      </c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</row>
    <row r="23" spans="1:272" s="222" customFormat="1" ht="18" outlineLevel="1">
      <c r="A23" s="272" t="s">
        <v>128</v>
      </c>
      <c r="B23" s="272"/>
      <c r="C23" s="273">
        <f>C20+C22</f>
        <v>15913</v>
      </c>
      <c r="D23" s="273">
        <f>D20+D22</f>
        <v>34617</v>
      </c>
      <c r="E23" s="273">
        <f t="shared" ref="E23:BA23" si="23">E20+E22</f>
        <v>45802</v>
      </c>
      <c r="F23" s="273">
        <f t="shared" si="23"/>
        <v>39977</v>
      </c>
      <c r="G23" s="273">
        <f t="shared" si="23"/>
        <v>21908.058000000048</v>
      </c>
      <c r="H23" s="273">
        <f t="shared" si="23"/>
        <v>34190.993000000046</v>
      </c>
      <c r="I23" s="273">
        <f t="shared" si="23"/>
        <v>17201</v>
      </c>
      <c r="J23" s="273">
        <f t="shared" si="23"/>
        <v>6568.5818240994413</v>
      </c>
      <c r="K23" s="273">
        <f t="shared" si="23"/>
        <v>16238.325020000108</v>
      </c>
      <c r="L23" s="273">
        <f>L20+L22</f>
        <v>2580.9896299999818</v>
      </c>
      <c r="M23" s="273">
        <f>M20+M22</f>
        <v>10760.819919999718</v>
      </c>
      <c r="N23" s="273">
        <f>N20+N22</f>
        <v>6151.2840600000054</v>
      </c>
      <c r="O23" s="273">
        <f>O20+O22</f>
        <v>3567.1120000000228</v>
      </c>
      <c r="P23" s="273">
        <f t="shared" si="23"/>
        <v>23058.205609999684</v>
      </c>
      <c r="Q23" s="273">
        <f t="shared" si="23"/>
        <v>-3326.6755999999918</v>
      </c>
      <c r="R23" s="273">
        <f t="shared" si="23"/>
        <v>8934.2300900000955</v>
      </c>
      <c r="S23" s="273">
        <f t="shared" si="23"/>
        <v>4022.9714599998988</v>
      </c>
      <c r="T23" s="273">
        <f t="shared" si="23"/>
        <v>16985.678209999998</v>
      </c>
      <c r="U23" s="273">
        <f t="shared" si="23"/>
        <v>26616.204160000063</v>
      </c>
      <c r="V23" s="273">
        <f t="shared" si="23"/>
        <v>8939.7413700000143</v>
      </c>
      <c r="W23" s="273">
        <f t="shared" si="23"/>
        <v>10385.516250000001</v>
      </c>
      <c r="X23" s="273">
        <f t="shared" si="23"/>
        <v>199.19558000011722</v>
      </c>
      <c r="Y23" s="273">
        <f t="shared" si="23"/>
        <v>-758.80726000010191</v>
      </c>
      <c r="Z23" s="273">
        <f t="shared" si="23"/>
        <v>18765.645939999991</v>
      </c>
      <c r="AA23" s="273">
        <f t="shared" si="23"/>
        <v>-2246.5441900000078</v>
      </c>
      <c r="AB23" s="273">
        <f t="shared" si="23"/>
        <v>5713.0469499999963</v>
      </c>
      <c r="AC23" s="273">
        <f t="shared" si="23"/>
        <v>3013.882890000008</v>
      </c>
      <c r="AD23" s="273">
        <f t="shared" si="23"/>
        <v>9582.0780999999843</v>
      </c>
      <c r="AE23" s="273">
        <f t="shared" si="23"/>
        <v>16062.463749999995</v>
      </c>
      <c r="AF23" s="273">
        <f t="shared" si="23"/>
        <v>-951.20423000000301</v>
      </c>
      <c r="AG23" s="273">
        <f t="shared" si="23"/>
        <v>-11665.670869999994</v>
      </c>
      <c r="AH23" s="273">
        <f t="shared" si="23"/>
        <v>-10942.747860000003</v>
      </c>
      <c r="AI23" s="273">
        <f t="shared" si="23"/>
        <v>-15674</v>
      </c>
      <c r="AJ23" s="273">
        <f t="shared" si="23"/>
        <v>-39233.622959999979</v>
      </c>
      <c r="AK23" s="273">
        <f t="shared" si="23"/>
        <v>-42527</v>
      </c>
      <c r="AL23" s="273">
        <f t="shared" si="23"/>
        <v>-7840</v>
      </c>
      <c r="AM23" s="273">
        <f t="shared" si="23"/>
        <v>-13714</v>
      </c>
      <c r="AN23" s="273">
        <f t="shared" si="23"/>
        <v>9228</v>
      </c>
      <c r="AO23" s="273">
        <f>AO20+AO22</f>
        <v>-54853</v>
      </c>
      <c r="AP23" s="273">
        <f t="shared" ref="AP23:AY23" si="24">AP20+AP22</f>
        <v>-210.22304982072205</v>
      </c>
      <c r="AQ23" s="273">
        <f t="shared" si="24"/>
        <v>984.68279840725927</v>
      </c>
      <c r="AR23" s="273">
        <f t="shared" si="24"/>
        <v>-844.47004169337242</v>
      </c>
      <c r="AS23" s="273">
        <f t="shared" si="24"/>
        <v>-2085.4809138999958</v>
      </c>
      <c r="AT23" s="273">
        <f t="shared" si="24"/>
        <v>-2155.4912070068717</v>
      </c>
      <c r="AU23" s="273">
        <f t="shared" si="24"/>
        <v>3888.0058599999757</v>
      </c>
      <c r="AV23" s="273">
        <f t="shared" si="24"/>
        <v>5960.0032300000321</v>
      </c>
      <c r="AW23" s="273">
        <f t="shared" si="24"/>
        <v>3698.0765900000288</v>
      </c>
      <c r="AX23" s="273">
        <f t="shared" si="24"/>
        <v>12986.336840000016</v>
      </c>
      <c r="AY23" s="273">
        <f t="shared" si="24"/>
        <v>26532.422520000073</v>
      </c>
      <c r="AZ23" s="231">
        <f t="shared" si="23"/>
        <v>32857.745762666273</v>
      </c>
      <c r="BA23" s="231">
        <f t="shared" si="23"/>
        <v>38424.063954357116</v>
      </c>
      <c r="BB23" s="231">
        <f>BB20+BB22</f>
        <v>44664.93549849977</v>
      </c>
      <c r="BC23" s="231">
        <f>BC20+BC22</f>
        <v>51660.925481428589</v>
      </c>
      <c r="BD23" s="231">
        <f t="shared" ref="BD23:BL23" si="25">BD20+BD22</f>
        <v>59265.643504995387</v>
      </c>
      <c r="BE23" s="231">
        <f t="shared" si="25"/>
        <v>70788.900250084087</v>
      </c>
      <c r="BF23" s="231">
        <f t="shared" si="25"/>
        <v>80872.70337284838</v>
      </c>
      <c r="BG23" s="231">
        <f t="shared" si="25"/>
        <v>92136.787592141656</v>
      </c>
      <c r="BH23" s="231">
        <f t="shared" si="25"/>
        <v>104707.01538319726</v>
      </c>
      <c r="BI23" s="231">
        <f t="shared" si="25"/>
        <v>118722.46311027011</v>
      </c>
      <c r="BJ23" s="231">
        <f t="shared" si="25"/>
        <v>134336.72816006641</v>
      </c>
      <c r="BK23" s="231">
        <f t="shared" si="25"/>
        <v>151719.37521031572</v>
      </c>
      <c r="BL23" s="231">
        <f t="shared" si="25"/>
        <v>171057.53413979837</v>
      </c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</row>
    <row r="24" spans="1:272" s="222" customFormat="1" ht="18" outlineLevel="1">
      <c r="A24" s="270" t="str">
        <f>'[33]Actual &amp; Assumptions'!A47</f>
        <v>Net Financing Costs / Interest</v>
      </c>
      <c r="B24" s="270"/>
      <c r="C24" s="271">
        <f>'[33]Actual &amp; Assumptions'!C52</f>
        <v>-1223</v>
      </c>
      <c r="D24" s="271">
        <f>'[33]Actual &amp; Assumptions'!D52</f>
        <v>-2186</v>
      </c>
      <c r="E24" s="271">
        <f>'[33]Actual &amp; Assumptions'!E52</f>
        <v>-5773</v>
      </c>
      <c r="F24" s="271">
        <f>'[33]Actual &amp; Assumptions'!F52</f>
        <v>-4988</v>
      </c>
      <c r="G24" s="271">
        <f>'[33]Actual &amp; Assumptions'!G52</f>
        <v>-7305</v>
      </c>
      <c r="H24" s="271">
        <f>'[33]Actual &amp; Assumptions'!H52</f>
        <v>-8082</v>
      </c>
      <c r="I24" s="271">
        <f>'[33]Actual &amp; Assumptions'!I52</f>
        <v>-10193</v>
      </c>
      <c r="J24" s="271">
        <f>'[33]Actual &amp; Assumptions'!J52</f>
        <v>-9725</v>
      </c>
      <c r="K24" s="271">
        <f>'[33]Actual &amp; Assumptions'!K52</f>
        <v>-4585</v>
      </c>
      <c r="L24" s="271">
        <f>'[33]Actual &amp; Assumptions'!L52</f>
        <v>-1232</v>
      </c>
      <c r="M24" s="271">
        <f>'[33]Actual &amp; Assumptions'!M52</f>
        <v>-1007</v>
      </c>
      <c r="N24" s="271">
        <f>'[33]Actual &amp; Assumptions'!N52</f>
        <v>-1885</v>
      </c>
      <c r="O24" s="271">
        <f>'[33]Actual &amp; Assumptions'!O52</f>
        <v>-1326</v>
      </c>
      <c r="P24" s="271">
        <f>'[33]Actual &amp; Assumptions'!P52</f>
        <v>-1236</v>
      </c>
      <c r="Q24" s="271">
        <f>'[33]Actual &amp; Assumptions'!Q52</f>
        <v>-919.38061000000005</v>
      </c>
      <c r="R24" s="271">
        <f>'[33]Actual &amp; Assumptions'!R52</f>
        <v>-1469.1366981116696</v>
      </c>
      <c r="S24" s="271">
        <f>'[33]Actual &amp; Assumptions'!S52</f>
        <v>-1159</v>
      </c>
      <c r="T24" s="271">
        <f>'[33]Actual &amp; Assumptions'!T52</f>
        <v>-1575</v>
      </c>
      <c r="U24" s="271">
        <f>'[33]Actual &amp; Assumptions'!U52</f>
        <v>-5122.5173081116691</v>
      </c>
      <c r="V24" s="271">
        <f>'[33]Actual &amp; Assumptions'!V52</f>
        <v>-2472</v>
      </c>
      <c r="W24" s="271">
        <f>'[33]Actual &amp; Assumptions'!W52</f>
        <v>-439</v>
      </c>
      <c r="X24" s="271">
        <f>'[33]Actual &amp; Assumptions'!X52</f>
        <v>-396.43257</v>
      </c>
      <c r="Y24" s="271">
        <f>'[33]Actual &amp; Assumptions'!Y52</f>
        <v>-1093.06762</v>
      </c>
      <c r="Z24" s="271">
        <f>'[33]Actual &amp; Assumptions'!Z52</f>
        <v>-4400.5001899999997</v>
      </c>
      <c r="AA24" s="271">
        <f>'[33]Actual &amp; Assumptions'!AA52</f>
        <v>-69.99914508868315</v>
      </c>
      <c r="AB24" s="271">
        <f>'[33]Actual &amp; Assumptions'!AB52</f>
        <v>-204.99935349930001</v>
      </c>
      <c r="AC24" s="271">
        <f>'[33]Actual &amp; Assumptions'!AC52</f>
        <v>-62.981873360000009</v>
      </c>
      <c r="AD24" s="271">
        <f>'[33]Actual &amp; Assumptions'!AD52</f>
        <v>-218.01728655999989</v>
      </c>
      <c r="AE24" s="271">
        <f>'[33]Actual &amp; Assumptions'!AE52</f>
        <v>-555.99765850798303</v>
      </c>
      <c r="AF24" s="271">
        <f>'[33]Actual &amp; Assumptions'!AF52</f>
        <v>-481.12599999999998</v>
      </c>
      <c r="AG24" s="271">
        <f>'[33]Actual &amp; Assumptions'!AG52</f>
        <v>-165</v>
      </c>
      <c r="AH24" s="271">
        <f>'[33]Actual &amp; Assumptions'!AH52</f>
        <v>-483</v>
      </c>
      <c r="AI24" s="271">
        <f>'[33]Actual &amp; Assumptions'!AI52</f>
        <v>-322</v>
      </c>
      <c r="AJ24" s="271">
        <f>'[33]Actual &amp; Assumptions'!AJ52</f>
        <v>-1451.126</v>
      </c>
      <c r="AK24" s="271">
        <f>'[33]Actual &amp; Assumptions'!AK52</f>
        <v>-1012</v>
      </c>
      <c r="AL24" s="271">
        <f>'[33]Actual &amp; Assumptions'!AL52</f>
        <v>-167</v>
      </c>
      <c r="AM24" s="271">
        <f>'[33]Actual &amp; Assumptions'!AM52</f>
        <v>-318</v>
      </c>
      <c r="AN24" s="271">
        <f>'[33]Actual &amp; Assumptions'!AN52</f>
        <v>-10335</v>
      </c>
      <c r="AO24" s="271">
        <f>'[33]Actual &amp; Assumptions'!AO52</f>
        <v>-11832</v>
      </c>
      <c r="AP24" s="271">
        <f>'[33]Actual &amp; Assumptions'!AP52</f>
        <v>-199.42794999999998</v>
      </c>
      <c r="AQ24" s="271">
        <f>'[33]Actual &amp; Assumptions'!AQ52</f>
        <v>-159.9033</v>
      </c>
      <c r="AR24" s="271">
        <f>'[33]Actual &amp; Assumptions'!AR52</f>
        <v>-766.65242999999998</v>
      </c>
      <c r="AS24" s="271">
        <f>'[33]Actual &amp; Assumptions'!AS52</f>
        <v>-1575.3546299999998</v>
      </c>
      <c r="AT24" s="271">
        <f>'[33]Actual &amp; Assumptions'!AT52</f>
        <v>-2701.3383099999996</v>
      </c>
      <c r="AU24" s="271">
        <f>'[33]Actual &amp; Assumptions'!AU52</f>
        <v>-699.99999000000003</v>
      </c>
      <c r="AV24" s="271">
        <f>'[33]Actual &amp; Assumptions'!AV52</f>
        <v>-699.99999000000003</v>
      </c>
      <c r="AW24" s="271">
        <f>'[33]Actual &amp; Assumptions'!AW52</f>
        <v>-700</v>
      </c>
      <c r="AX24" s="271">
        <f>'[33]Actual &amp; Assumptions'!AX52</f>
        <v>-700.00002000000006</v>
      </c>
      <c r="AY24" s="271">
        <f>'[33]Actual &amp; Assumptions'!AY52</f>
        <v>-2800</v>
      </c>
      <c r="AZ24" s="229">
        <f>'[33]Actual &amp; Assumptions'!AZ51</f>
        <v>-1597.8022477439488</v>
      </c>
      <c r="BA24" s="229">
        <f>'[33]Actual &amp; Assumptions'!BA51</f>
        <v>-1727.6321504148134</v>
      </c>
      <c r="BB24" s="229">
        <f>'[33]Actual &amp; Assumptions'!BB51</f>
        <v>-1869.5465336896584</v>
      </c>
      <c r="BC24" s="229">
        <f>'[33]Actual &amp; Assumptions'!BC51</f>
        <v>-1619.7815122711911</v>
      </c>
      <c r="BD24" s="229">
        <f>'[33]Actual &amp; Assumptions'!BD51</f>
        <v>-1755.5776430013311</v>
      </c>
      <c r="BE24" s="229">
        <f>'[33]Actual &amp; Assumptions'!BE51</f>
        <v>-1904.1679261895749</v>
      </c>
      <c r="BF24" s="229">
        <f>'[33]Actual &amp; Assumptions'!BF51</f>
        <v>-2066.8082132632871</v>
      </c>
      <c r="BG24" s="229">
        <f>'[33]Actual &amp; Assumptions'!BG51</f>
        <v>-2244.8792338780127</v>
      </c>
      <c r="BH24" s="229">
        <f>'[33]Actual &amp; Assumptions'!BH51</f>
        <v>-2439.8990625328634</v>
      </c>
      <c r="BI24" s="229">
        <f>'[33]Actual &amp; Assumptions'!BI51</f>
        <v>-2653.53683121121</v>
      </c>
      <c r="BJ24" s="229">
        <f>'[33]Actual &amp; Assumptions'!BJ51</f>
        <v>-2887.6278126301431</v>
      </c>
      <c r="BK24" s="229">
        <f>'[33]Actual &amp; Assumptions'!BK51</f>
        <v>-3144.1900111399041</v>
      </c>
      <c r="BL24" s="229">
        <f>'[33]Actual &amp; Assumptions'!BL51</f>
        <v>-3425.4424120180443</v>
      </c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</row>
    <row r="25" spans="1:272" s="222" customFormat="1" ht="18" outlineLevel="1">
      <c r="A25" s="270" t="str">
        <f>'[33]Actual &amp; Assumptions'!A55</f>
        <v>Provisions &amp; Impairments</v>
      </c>
      <c r="B25" s="270"/>
      <c r="C25" s="271">
        <f>'[33]Actual &amp; Assumptions'!C56</f>
        <v>-4675</v>
      </c>
      <c r="D25" s="271">
        <f>'[33]Actual &amp; Assumptions'!D56</f>
        <v>-7079</v>
      </c>
      <c r="E25" s="271">
        <f>'[33]Actual &amp; Assumptions'!E56</f>
        <v>-3012</v>
      </c>
      <c r="F25" s="271">
        <f>'[33]Actual &amp; Assumptions'!F56</f>
        <v>463</v>
      </c>
      <c r="G25" s="271">
        <f>'[33]Actual &amp; Assumptions'!G56</f>
        <v>-1621</v>
      </c>
      <c r="H25" s="271">
        <f>'[33]Actual &amp; Assumptions'!H56</f>
        <v>-9872</v>
      </c>
      <c r="I25" s="271">
        <f>'[33]Actual &amp; Assumptions'!I56</f>
        <v>-4527</v>
      </c>
      <c r="J25" s="271">
        <f>'[33]Actual &amp; Assumptions'!J56</f>
        <v>-8404</v>
      </c>
      <c r="K25" s="271">
        <f>'[33]Actual &amp; Assumptions'!K56</f>
        <v>-6392</v>
      </c>
      <c r="L25" s="271">
        <f>'[33]Actual &amp; Assumptions'!L56</f>
        <v>-2026</v>
      </c>
      <c r="M25" s="271">
        <f>'[33]Actual &amp; Assumptions'!M56</f>
        <v>-3135</v>
      </c>
      <c r="N25" s="271">
        <f>'[33]Actual &amp; Assumptions'!N56</f>
        <v>-1712</v>
      </c>
      <c r="O25" s="271">
        <f>'[33]Actual &amp; Assumptions'!O56</f>
        <v>-2337</v>
      </c>
      <c r="P25" s="271">
        <f>'[33]Actual &amp; Assumptions'!P56</f>
        <v>-9210</v>
      </c>
      <c r="Q25" s="271">
        <f>'[33]Actual &amp; Assumptions'!Q56</f>
        <v>-1524.18</v>
      </c>
      <c r="R25" s="271">
        <f>'[33]Actual &amp; Assumptions'!R56</f>
        <v>-3608.2359999999999</v>
      </c>
      <c r="S25" s="271">
        <f>'[33]Actual &amp; Assumptions'!S56</f>
        <v>-4439</v>
      </c>
      <c r="T25" s="271">
        <f>'[33]Actual &amp; Assumptions'!T56</f>
        <v>-1399</v>
      </c>
      <c r="U25" s="271">
        <f>'[33]Actual &amp; Assumptions'!U56</f>
        <v>-10970.416000000001</v>
      </c>
      <c r="V25" s="271">
        <f>'[33]Actual &amp; Assumptions'!V56</f>
        <v>-2154</v>
      </c>
      <c r="W25" s="271">
        <f>'[33]Actual &amp; Assumptions'!W56</f>
        <v>-7241.0667999999996</v>
      </c>
      <c r="X25" s="271">
        <f>'[33]Actual &amp; Assumptions'!X56</f>
        <v>1708.8108</v>
      </c>
      <c r="Y25" s="271">
        <f>'[33]Actual &amp; Assumptions'!Y56</f>
        <v>-3422.7439999999997</v>
      </c>
      <c r="Z25" s="271">
        <f>'[33]Actual &amp; Assumptions'!Z56</f>
        <v>-11109</v>
      </c>
      <c r="AA25" s="271">
        <f>'[33]Actual &amp; Assumptions'!AA56</f>
        <v>-2346</v>
      </c>
      <c r="AB25" s="271">
        <f>'[33]Actual &amp; Assumptions'!AB56</f>
        <v>-2346</v>
      </c>
      <c r="AC25" s="271">
        <f>'[33]Actual &amp; Assumptions'!AC56</f>
        <v>-3074</v>
      </c>
      <c r="AD25" s="271">
        <f>'[33]Actual &amp; Assumptions'!AD56</f>
        <v>-4619</v>
      </c>
      <c r="AE25" s="271">
        <f>'[33]Actual &amp; Assumptions'!AE56</f>
        <v>-12385</v>
      </c>
      <c r="AF25" s="271">
        <f>'[33]Actual &amp; Assumptions'!AF56</f>
        <v>0</v>
      </c>
      <c r="AG25" s="271">
        <f>'[33]Actual &amp; Assumptions'!AG56</f>
        <v>0</v>
      </c>
      <c r="AH25" s="271">
        <f>'[33]Actual &amp; Assumptions'!AH56</f>
        <v>0</v>
      </c>
      <c r="AI25" s="271">
        <f>'[33]Actual &amp; Assumptions'!AI56</f>
        <v>0</v>
      </c>
      <c r="AJ25" s="271">
        <f>'[33]Actual &amp; Assumptions'!AJ56</f>
        <v>0</v>
      </c>
      <c r="AK25" s="271">
        <f>'[33]Actual &amp; Assumptions'!AK56</f>
        <v>361</v>
      </c>
      <c r="AL25" s="271">
        <f>'[33]Actual &amp; Assumptions'!AL56</f>
        <v>2591</v>
      </c>
      <c r="AM25" s="271">
        <f>'[33]Actual &amp; Assumptions'!AM56</f>
        <v>1558</v>
      </c>
      <c r="AN25" s="271">
        <f>'[33]Actual &amp; Assumptions'!AN56</f>
        <v>-2413</v>
      </c>
      <c r="AO25" s="271">
        <f>'[33]Actual &amp; Assumptions'!AO56</f>
        <v>2097</v>
      </c>
      <c r="AP25" s="271">
        <f>'[33]Actual &amp; Assumptions'!AP56</f>
        <v>1110.633</v>
      </c>
      <c r="AQ25" s="271">
        <f>'[33]Actual &amp; Assumptions'!AQ56</f>
        <v>212.14400000000001</v>
      </c>
      <c r="AR25" s="271">
        <f>'[33]Actual &amp; Assumptions'!AR56</f>
        <v>3246.953</v>
      </c>
      <c r="AS25" s="271">
        <f>'[33]Actual &amp; Assumptions'!AS56</f>
        <v>-3999.9999900000003</v>
      </c>
      <c r="AT25" s="271">
        <f>'[33]Actual &amp; Assumptions'!AT56</f>
        <v>569.73000999999931</v>
      </c>
      <c r="AU25" s="271">
        <f>'[33]Actual &amp; Assumptions'!AU56</f>
        <v>-2829.0716066666555</v>
      </c>
      <c r="AV25" s="271">
        <f>'[33]Actual &amp; Assumptions'!AV56</f>
        <v>-3212.9996466666671</v>
      </c>
      <c r="AW25" s="271">
        <f>'[33]Actual &amp; Assumptions'!AW56</f>
        <v>-1540.9081266666706</v>
      </c>
      <c r="AX25" s="271">
        <f>'[33]Actual &amp; Assumptions'!AX56</f>
        <v>-7927.6226200000065</v>
      </c>
      <c r="AY25" s="271">
        <f>'[33]Actual &amp; Assumptions'!AY56</f>
        <v>-15510.601999999999</v>
      </c>
      <c r="AZ25" s="229">
        <f>'[33]Actual &amp; Assumptions'!AZ56</f>
        <v>-16563.701496847221</v>
      </c>
      <c r="BA25" s="229">
        <f>'[33]Actual &amp; Assumptions'!BA56</f>
        <v>-16663.606571212084</v>
      </c>
      <c r="BB25" s="229">
        <f>'[33]Actual &amp; Assumptions'!BB56</f>
        <v>-13777.801220161964</v>
      </c>
      <c r="BC25" s="229">
        <f>'[33]Actual &amp; Assumptions'!BC56</f>
        <v>-10854.72593741614</v>
      </c>
      <c r="BD25" s="229">
        <f>'[33]Actual &amp; Assumptions'!BD56</f>
        <v>-10939.317464252874</v>
      </c>
      <c r="BE25" s="229">
        <f>'[33]Actual &amp; Assumptions'!BE56</f>
        <v>-11032.341711766136</v>
      </c>
      <c r="BF25" s="229">
        <f>'[33]Actual &amp; Assumptions'!BF56</f>
        <v>-11134.641159063362</v>
      </c>
      <c r="BG25" s="229">
        <f>'[33]Actual &amp; Assumptions'!BG56</f>
        <v>-11247.142509373929</v>
      </c>
      <c r="BH25" s="229">
        <f>'[33]Actual &amp; Assumptions'!BH56</f>
        <v>-11370.86511174768</v>
      </c>
      <c r="BI25" s="229">
        <f>'[33]Actual &amp; Assumptions'!BI56</f>
        <v>-11506.930224901895</v>
      </c>
      <c r="BJ25" s="229">
        <f>'[33]Actual &amp; Assumptions'!BJ56</f>
        <v>-11656.571207430918</v>
      </c>
      <c r="BK25" s="229">
        <f>'[33]Actual &amp; Assumptions'!BK56</f>
        <v>-11821.144727014005</v>
      </c>
      <c r="BL25" s="229">
        <f>'[33]Actual &amp; Assumptions'!BL56</f>
        <v>-12002.143090520603</v>
      </c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</row>
    <row r="26" spans="1:272" s="222" customFormat="1" ht="18" outlineLevel="1">
      <c r="A26" s="270" t="str">
        <f>'[33]Actual &amp; Assumptions'!A62</f>
        <v>FOREX</v>
      </c>
      <c r="B26" s="270"/>
      <c r="C26" s="271">
        <f>'[33]Actual &amp; Assumptions'!C63</f>
        <v>90</v>
      </c>
      <c r="D26" s="271">
        <f>'[33]Actual &amp; Assumptions'!D63</f>
        <v>380</v>
      </c>
      <c r="E26" s="271">
        <f>'[33]Actual &amp; Assumptions'!E63</f>
        <v>-145</v>
      </c>
      <c r="F26" s="271">
        <f>'[33]Actual &amp; Assumptions'!F63</f>
        <v>-1175</v>
      </c>
      <c r="G26" s="271">
        <f>'[33]Actual &amp; Assumptions'!G63</f>
        <v>-4339</v>
      </c>
      <c r="H26" s="271">
        <f>'[33]Actual &amp; Assumptions'!H63</f>
        <v>-1420</v>
      </c>
      <c r="I26" s="271">
        <f>'[33]Actual &amp; Assumptions'!I63</f>
        <v>524</v>
      </c>
      <c r="J26" s="271">
        <f>'[33]Actual &amp; Assumptions'!J63</f>
        <v>5426</v>
      </c>
      <c r="K26" s="271">
        <f>'[33]Actual &amp; Assumptions'!K63</f>
        <v>-105</v>
      </c>
      <c r="L26" s="271">
        <f>'[33]Actual &amp; Assumptions'!L63</f>
        <v>1660</v>
      </c>
      <c r="M26" s="271">
        <f>'[33]Actual &amp; Assumptions'!M63</f>
        <v>-278</v>
      </c>
      <c r="N26" s="271">
        <f>'[33]Actual &amp; Assumptions'!N63</f>
        <v>1058</v>
      </c>
      <c r="O26" s="271">
        <f>'[33]Actual &amp; Assumptions'!O63</f>
        <v>-1657</v>
      </c>
      <c r="P26" s="271">
        <f>'[33]Actual &amp; Assumptions'!P63</f>
        <v>784</v>
      </c>
      <c r="Q26" s="271">
        <f>'[33]Actual &amp; Assumptions'!Q63</f>
        <v>13322.08764</v>
      </c>
      <c r="R26" s="271">
        <f>'[33]Actual &amp; Assumptions'!R63</f>
        <v>-336.85928999999999</v>
      </c>
      <c r="S26" s="271">
        <f>'[33]Actual &amp; Assumptions'!S63</f>
        <v>2829</v>
      </c>
      <c r="T26" s="271">
        <f>'[33]Actual &amp; Assumptions'!T63</f>
        <v>7247</v>
      </c>
      <c r="U26" s="271">
        <f>'[33]Actual &amp; Assumptions'!U63</f>
        <v>23061.228349999998</v>
      </c>
      <c r="V26" s="271">
        <f>'[33]Actual &amp; Assumptions'!V63</f>
        <v>12166</v>
      </c>
      <c r="W26" s="271">
        <f>'[33]Actual &amp; Assumptions'!W63</f>
        <v>2251</v>
      </c>
      <c r="X26" s="271">
        <f>'[33]Actual &amp; Assumptions'!X63</f>
        <v>4547.2774300000001</v>
      </c>
      <c r="Y26" s="271">
        <f>'[33]Actual &amp; Assumptions'!Y63</f>
        <v>-1550.2774300000001</v>
      </c>
      <c r="Z26" s="271">
        <f>'[33]Actual &amp; Assumptions'!Z63</f>
        <v>17414</v>
      </c>
      <c r="AA26" s="271">
        <f>'[33]Actual &amp; Assumptions'!AA63</f>
        <v>2662</v>
      </c>
      <c r="AB26" s="271">
        <f>'[33]Actual &amp; Assumptions'!AB63</f>
        <v>-4942</v>
      </c>
      <c r="AC26" s="271">
        <f>'[33]Actual &amp; Assumptions'!AC63</f>
        <v>-719</v>
      </c>
      <c r="AD26" s="271">
        <f>'[33]Actual &amp; Assumptions'!AD63</f>
        <v>-1207</v>
      </c>
      <c r="AE26" s="271">
        <f>'[33]Actual &amp; Assumptions'!AE63</f>
        <v>-4206</v>
      </c>
      <c r="AF26" s="271">
        <f>'[33]Actual &amp; Assumptions'!AF63</f>
        <v>-4116</v>
      </c>
      <c r="AG26" s="271">
        <f>'[33]Actual &amp; Assumptions'!AG63</f>
        <v>-2521</v>
      </c>
      <c r="AH26" s="271">
        <f>'[33]Actual &amp; Assumptions'!AH63</f>
        <v>-5333</v>
      </c>
      <c r="AI26" s="271">
        <f>'[33]Actual &amp; Assumptions'!AI63</f>
        <v>64</v>
      </c>
      <c r="AJ26" s="271">
        <f>'[33]Actual &amp; Assumptions'!AJ63</f>
        <v>-11906</v>
      </c>
      <c r="AK26" s="271">
        <f>'[33]Actual &amp; Assumptions'!AK63</f>
        <v>-25</v>
      </c>
      <c r="AL26" s="271">
        <f>'[33]Actual &amp; Assumptions'!AL63</f>
        <v>-669</v>
      </c>
      <c r="AM26" s="271">
        <f>'[33]Actual &amp; Assumptions'!AM63</f>
        <v>2385</v>
      </c>
      <c r="AN26" s="271">
        <f>'[33]Actual &amp; Assumptions'!AN63</f>
        <v>2760</v>
      </c>
      <c r="AO26" s="271">
        <f>'[33]Actual &amp; Assumptions'!AO63</f>
        <v>4451</v>
      </c>
      <c r="AP26" s="271">
        <f>'[33]Actual &amp; Assumptions'!AP63</f>
        <v>-3151.4641299999998</v>
      </c>
      <c r="AQ26" s="271">
        <f>'[33]Actual &amp; Assumptions'!AQ63</f>
        <v>718.00720000000024</v>
      </c>
      <c r="AR26" s="271">
        <f>'[33]Actual &amp; Assumptions'!AR63</f>
        <v>-1611.4552399999998</v>
      </c>
      <c r="AS26" s="271">
        <f>'[33]Actual &amp; Assumptions'!AS63</f>
        <v>242.97623999999999</v>
      </c>
      <c r="AT26" s="271">
        <f>'[33]Actual &amp; Assumptions'!AT63</f>
        <v>-3801.9359299999996</v>
      </c>
      <c r="AU26" s="271">
        <f>'[33]Actual &amp; Assumptions'!AU63</f>
        <v>-163.46304000000001</v>
      </c>
      <c r="AV26" s="271">
        <f>'[33]Actual &amp; Assumptions'!AV63</f>
        <v>-224.87057999999993</v>
      </c>
      <c r="AW26" s="271">
        <f>'[33]Actual &amp; Assumptions'!AW63</f>
        <v>157.1371300000001</v>
      </c>
      <c r="AX26" s="271">
        <f>'[33]Actual &amp; Assumptions'!AX63</f>
        <v>-768.80349999999999</v>
      </c>
      <c r="AY26" s="271">
        <f>'[33]Actual &amp; Assumptions'!AY63</f>
        <v>-999.9999899999998</v>
      </c>
      <c r="AZ26" s="229">
        <f>'[33]Actual &amp; Assumptions'!AZ63</f>
        <v>0</v>
      </c>
      <c r="BA26" s="229">
        <f>'[33]Actual &amp; Assumptions'!BA63</f>
        <v>0</v>
      </c>
      <c r="BB26" s="229">
        <f>'[33]Actual &amp; Assumptions'!BB63</f>
        <v>0</v>
      </c>
      <c r="BC26" s="229">
        <f>'[33]Actual &amp; Assumptions'!BC63</f>
        <v>0</v>
      </c>
      <c r="BD26" s="229">
        <f>'[33]Actual &amp; Assumptions'!BD63</f>
        <v>0</v>
      </c>
      <c r="BE26" s="229">
        <f>'[33]Actual &amp; Assumptions'!BE63</f>
        <v>0</v>
      </c>
      <c r="BF26" s="229">
        <f>'[33]Actual &amp; Assumptions'!BF63</f>
        <v>0</v>
      </c>
      <c r="BG26" s="229">
        <f>'[33]Actual &amp; Assumptions'!BG63</f>
        <v>0</v>
      </c>
      <c r="BH26" s="229">
        <f>'[33]Actual &amp; Assumptions'!BH63</f>
        <v>0</v>
      </c>
      <c r="BI26" s="229">
        <f>'[33]Actual &amp; Assumptions'!BI63</f>
        <v>0</v>
      </c>
      <c r="BJ26" s="229">
        <f>'[33]Actual &amp; Assumptions'!BJ63</f>
        <v>0</v>
      </c>
      <c r="BK26" s="229">
        <f>'[33]Actual &amp; Assumptions'!BK63</f>
        <v>0</v>
      </c>
      <c r="BL26" s="229">
        <f>'[33]Actual &amp; Assumptions'!BL63</f>
        <v>0</v>
      </c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</row>
    <row r="27" spans="1:272" s="222" customFormat="1" ht="18" hidden="1" outlineLevel="1">
      <c r="A27" s="270" t="str">
        <f>'[33]Actual &amp; Assumptions'!A66</f>
        <v>Other Revenues / Costs</v>
      </c>
      <c r="B27" s="270"/>
      <c r="C27" s="271">
        <f>'[33]Actual &amp; Assumptions'!C67</f>
        <v>569</v>
      </c>
      <c r="D27" s="271">
        <f>'[33]Actual &amp; Assumptions'!D67</f>
        <v>61</v>
      </c>
      <c r="E27" s="271">
        <f>'[33]Actual &amp; Assumptions'!E67</f>
        <v>164</v>
      </c>
      <c r="F27" s="271">
        <f>'[33]Actual &amp; Assumptions'!F67</f>
        <v>206</v>
      </c>
      <c r="G27" s="271">
        <f>'[33]Actual &amp; Assumptions'!G67</f>
        <v>3133</v>
      </c>
      <c r="H27" s="271">
        <f>'[33]Actual &amp; Assumptions'!H67</f>
        <v>1001</v>
      </c>
      <c r="I27" s="271">
        <f>'[33]Actual &amp; Assumptions'!I67</f>
        <v>1677</v>
      </c>
      <c r="J27" s="271">
        <f>'[33]Actual &amp; Assumptions'!J67</f>
        <v>4687</v>
      </c>
      <c r="K27" s="271">
        <f>'[33]Actual &amp; Assumptions'!K67</f>
        <v>0</v>
      </c>
      <c r="L27" s="271">
        <f>'[33]Actual &amp; Assumptions'!L67</f>
        <v>63</v>
      </c>
      <c r="M27" s="271">
        <f>'[33]Actual &amp; Assumptions'!M67</f>
        <v>-228</v>
      </c>
      <c r="N27" s="271">
        <f>'[33]Actual &amp; Assumptions'!N67</f>
        <v>3926</v>
      </c>
      <c r="O27" s="271">
        <f>'[33]Actual &amp; Assumptions'!O67</f>
        <v>-379</v>
      </c>
      <c r="P27" s="271">
        <f>'[33]Actual &amp; Assumptions'!P67</f>
        <v>-831</v>
      </c>
      <c r="Q27" s="271">
        <f>'[33]Actual &amp; Assumptions'!Q67</f>
        <v>1173.85339</v>
      </c>
      <c r="R27" s="271">
        <f>'[33]Actual &amp; Assumptions'!R67</f>
        <v>0</v>
      </c>
      <c r="S27" s="271">
        <f>'[33]Actual &amp; Assumptions'!S67</f>
        <v>2</v>
      </c>
      <c r="T27" s="271">
        <f>'[33]Actual &amp; Assumptions'!T67</f>
        <v>-2713</v>
      </c>
      <c r="U27" s="271">
        <f>'[33]Actual &amp; Assumptions'!U67</f>
        <v>-1537.14661</v>
      </c>
      <c r="V27" s="271">
        <f>'[33]Actual &amp; Assumptions'!V67</f>
        <v>775</v>
      </c>
      <c r="W27" s="271">
        <f>'[33]Actual &amp; Assumptions'!W67</f>
        <v>6</v>
      </c>
      <c r="X27" s="271">
        <f>'[33]Actual &amp; Assumptions'!X67</f>
        <v>14</v>
      </c>
      <c r="Y27" s="271">
        <f>'[33]Actual &amp; Assumptions'!Y67</f>
        <v>0</v>
      </c>
      <c r="Z27" s="271">
        <f>'[33]Actual &amp; Assumptions'!Z67</f>
        <v>795</v>
      </c>
      <c r="AA27" s="271">
        <f>'[33]Actual &amp; Assumptions'!AA67</f>
        <v>471</v>
      </c>
      <c r="AB27" s="271">
        <f>'[33]Actual &amp; Assumptions'!AB67</f>
        <v>0</v>
      </c>
      <c r="AC27" s="271">
        <f>'[33]Actual &amp; Assumptions'!AC67</f>
        <v>36</v>
      </c>
      <c r="AD27" s="271">
        <f>'[33]Actual &amp; Assumptions'!AD67</f>
        <v>1222</v>
      </c>
      <c r="AE27" s="271">
        <f>'[33]Actual &amp; Assumptions'!AE67</f>
        <v>1729</v>
      </c>
      <c r="AF27" s="271">
        <f>'[33]Actual &amp; Assumptions'!AF67</f>
        <v>109</v>
      </c>
      <c r="AG27" s="271">
        <f>'[33]Actual &amp; Assumptions'!AG67</f>
        <v>7627</v>
      </c>
      <c r="AH27" s="271">
        <f>'[33]Actual &amp; Assumptions'!AH67</f>
        <v>-7627</v>
      </c>
      <c r="AI27" s="271">
        <f>'[33]Actual &amp; Assumptions'!AI67</f>
        <v>0</v>
      </c>
      <c r="AJ27" s="271">
        <f>'[33]Actual &amp; Assumptions'!AJ67</f>
        <v>109</v>
      </c>
      <c r="AK27" s="271">
        <f>'[33]Actual &amp; Assumptions'!AK67</f>
        <v>0</v>
      </c>
      <c r="AL27" s="271">
        <f>'[33]Actual &amp; Assumptions'!AL67</f>
        <v>0</v>
      </c>
      <c r="AM27" s="271">
        <f>'[33]Actual &amp; Assumptions'!AM67</f>
        <v>0</v>
      </c>
      <c r="AN27" s="271">
        <f>'[33]Actual &amp; Assumptions'!AN67</f>
        <v>1900</v>
      </c>
      <c r="AO27" s="271">
        <f>'[33]Actual &amp; Assumptions'!AO67</f>
        <v>1900</v>
      </c>
      <c r="AP27" s="271">
        <f>'[33]Actual &amp; Assumptions'!AP67</f>
        <v>0</v>
      </c>
      <c r="AQ27" s="271">
        <f>'[33]Actual &amp; Assumptions'!AQ67</f>
        <v>0</v>
      </c>
      <c r="AR27" s="271">
        <f>'[33]Actual &amp; Assumptions'!AR67</f>
        <v>0</v>
      </c>
      <c r="AS27" s="271">
        <f>'[33]Actual &amp; Assumptions'!AS67</f>
        <v>0</v>
      </c>
      <c r="AT27" s="271">
        <f>'[33]Actual &amp; Assumptions'!AT67</f>
        <v>0</v>
      </c>
      <c r="AU27" s="271">
        <f>'[33]Actual &amp; Assumptions'!AU67</f>
        <v>0</v>
      </c>
      <c r="AV27" s="271">
        <f>'[33]Actual &amp; Assumptions'!AV67</f>
        <v>0</v>
      </c>
      <c r="AW27" s="271">
        <f>'[33]Actual &amp; Assumptions'!AW67</f>
        <v>0</v>
      </c>
      <c r="AX27" s="271">
        <f>'[33]Actual &amp; Assumptions'!AX67</f>
        <v>0</v>
      </c>
      <c r="AY27" s="271">
        <f>'[33]Actual &amp; Assumptions'!AY67</f>
        <v>0</v>
      </c>
      <c r="AZ27" s="229">
        <f>'[33]Actual &amp; Assumptions'!AZ67</f>
        <v>-287.92631620971434</v>
      </c>
      <c r="BA27" s="229">
        <f>'[33]Actual &amp; Assumptions'!BA67</f>
        <v>-321.66316628463528</v>
      </c>
      <c r="BB27" s="229">
        <f>'[33]Actual &amp; Assumptions'!BB67</f>
        <v>-447.50260335644998</v>
      </c>
      <c r="BC27" s="229">
        <f>'[33]Actual &amp; Assumptions'!BC67</f>
        <v>-459.73059331898804</v>
      </c>
      <c r="BD27" s="229">
        <f>'[33]Actual &amp; Assumptions'!BD67</f>
        <v>-536.2048045306974</v>
      </c>
      <c r="BE27" s="229">
        <f>'[33]Actual &amp; Assumptions'!BE67</f>
        <v>-745.85615737137937</v>
      </c>
      <c r="BF27" s="229">
        <f>'[33]Actual &amp; Assumptions'!BF67</f>
        <v>-909.80491412874255</v>
      </c>
      <c r="BG27" s="229">
        <f>'[33]Actual &amp; Assumptions'!BG67</f>
        <v>-918.00080431954871</v>
      </c>
      <c r="BH27" s="229">
        <f>'[33]Actual &amp; Assumptions'!BH67</f>
        <v>-1115.4566367787777</v>
      </c>
      <c r="BI27" s="229">
        <f>'[33]Actual &amp; Assumptions'!BI67</f>
        <v>-1269.3040123620883</v>
      </c>
      <c r="BJ27" s="229">
        <f>'[33]Actual &amp; Assumptions'!BJ67</f>
        <v>-466.30978776963116</v>
      </c>
      <c r="BK27" s="229">
        <f>'[33]Actual &amp; Assumptions'!BK67</f>
        <v>-515.21237042879943</v>
      </c>
      <c r="BL27" s="229">
        <f>'[33]Actual &amp; Assumptions'!BL67</f>
        <v>-615.9742009793523</v>
      </c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</row>
    <row r="28" spans="1:272" s="222" customFormat="1" ht="18" outlineLevel="1">
      <c r="A28" s="270" t="str">
        <f>'[33]Actual &amp; Assumptions'!A70</f>
        <v xml:space="preserve">Employee Compensation /Saving Cost </v>
      </c>
      <c r="B28" s="270"/>
      <c r="C28" s="271">
        <f>'[33]Actual &amp; Assumptions'!C71</f>
        <v>0</v>
      </c>
      <c r="D28" s="271">
        <f>'[33]Actual &amp; Assumptions'!D71</f>
        <v>0</v>
      </c>
      <c r="E28" s="271">
        <f>'[33]Actual &amp; Assumptions'!E71</f>
        <v>0</v>
      </c>
      <c r="F28" s="271">
        <f>'[33]Actual &amp; Assumptions'!F71</f>
        <v>0</v>
      </c>
      <c r="G28" s="271">
        <f>'[33]Actual &amp; Assumptions'!G71</f>
        <v>0</v>
      </c>
      <c r="H28" s="271">
        <f>'[33]Actual &amp; Assumptions'!H71</f>
        <v>0</v>
      </c>
      <c r="I28" s="271">
        <f>'[33]Actual &amp; Assumptions'!I71</f>
        <v>0</v>
      </c>
      <c r="J28" s="271">
        <f>'[33]Actual &amp; Assumptions'!J71</f>
        <v>0</v>
      </c>
      <c r="K28" s="271">
        <f>'[33]Actual &amp; Assumptions'!K71</f>
        <v>0</v>
      </c>
      <c r="L28" s="271">
        <f>'[33]Actual &amp; Assumptions'!L71</f>
        <v>0</v>
      </c>
      <c r="M28" s="271">
        <f>'[33]Actual &amp; Assumptions'!M71</f>
        <v>0</v>
      </c>
      <c r="N28" s="271">
        <f>'[33]Actual &amp; Assumptions'!N71</f>
        <v>0</v>
      </c>
      <c r="O28" s="271">
        <f>'[33]Actual &amp; Assumptions'!O71</f>
        <v>0</v>
      </c>
      <c r="P28" s="271">
        <f>'[33]Actual &amp; Assumptions'!P71</f>
        <v>0</v>
      </c>
      <c r="Q28" s="271">
        <f>'[33]Actual &amp; Assumptions'!Q71</f>
        <v>0</v>
      </c>
      <c r="R28" s="271">
        <f>'[33]Actual &amp; Assumptions'!R71</f>
        <v>0</v>
      </c>
      <c r="S28" s="271">
        <f>'[33]Actual &amp; Assumptions'!S71</f>
        <v>0</v>
      </c>
      <c r="T28" s="271">
        <f>'[33]Actual &amp; Assumptions'!T71</f>
        <v>-8749</v>
      </c>
      <c r="U28" s="271">
        <f>'[33]Actual &amp; Assumptions'!U71</f>
        <v>-8749</v>
      </c>
      <c r="V28" s="271">
        <f>'[33]Actual &amp; Assumptions'!V71</f>
        <v>-975</v>
      </c>
      <c r="W28" s="271">
        <f>'[33]Actual &amp; Assumptions'!W71</f>
        <v>-2387</v>
      </c>
      <c r="X28" s="271">
        <f>'[33]Actual &amp; Assumptions'!X71</f>
        <v>-3902</v>
      </c>
      <c r="Y28" s="271">
        <f>'[33]Actual &amp; Assumptions'!Y71</f>
        <v>-8162</v>
      </c>
      <c r="Z28" s="271">
        <f>'[33]Actual &amp; Assumptions'!Z71</f>
        <v>-15426</v>
      </c>
      <c r="AA28" s="271">
        <f>'[33]Actual &amp; Assumptions'!AA71</f>
        <v>0</v>
      </c>
      <c r="AB28" s="271">
        <f>'[33]Actual &amp; Assumptions'!AB71</f>
        <v>0</v>
      </c>
      <c r="AC28" s="271">
        <f>'[33]Actual &amp; Assumptions'!AC71</f>
        <v>0</v>
      </c>
      <c r="AD28" s="271">
        <f>'[33]Actual &amp; Assumptions'!AD71</f>
        <v>0</v>
      </c>
      <c r="AE28" s="271">
        <f>'[33]Actual &amp; Assumptions'!AE71</f>
        <v>0</v>
      </c>
      <c r="AF28" s="271">
        <f>'[33]Actual &amp; Assumptions'!AF71</f>
        <v>0</v>
      </c>
      <c r="AG28" s="271">
        <f>'[33]Actual &amp; Assumptions'!AG71</f>
        <v>0</v>
      </c>
      <c r="AH28" s="271">
        <f>'[33]Actual &amp; Assumptions'!AH71</f>
        <v>0</v>
      </c>
      <c r="AI28" s="271">
        <f>'[33]Actual &amp; Assumptions'!AI71</f>
        <v>0</v>
      </c>
      <c r="AJ28" s="271"/>
      <c r="AK28" s="271">
        <f>'[33]Actual &amp; Assumptions'!AK71</f>
        <v>0</v>
      </c>
      <c r="AL28" s="271">
        <f>'[33]Actual &amp; Assumptions'!AL71</f>
        <v>0</v>
      </c>
      <c r="AM28" s="271">
        <f>'[33]Actual &amp; Assumptions'!AM71</f>
        <v>0</v>
      </c>
      <c r="AN28" s="271">
        <f>'[33]Actual &amp; Assumptions'!AN71</f>
        <v>0</v>
      </c>
      <c r="AO28" s="271">
        <f>'[33]Actual &amp; Assumptions'!AO71</f>
        <v>0</v>
      </c>
      <c r="AP28" s="271">
        <f>'[33]Actual &amp; Assumptions'!AP71</f>
        <v>0</v>
      </c>
      <c r="AQ28" s="271">
        <f>'[33]Actual &amp; Assumptions'!AQ71</f>
        <v>-74.546999999999997</v>
      </c>
      <c r="AR28" s="271">
        <f>'[33]Actual &amp; Assumptions'!AR71</f>
        <v>-1053.223</v>
      </c>
      <c r="AS28" s="271">
        <f>'[33]Actual &amp; Assumptions'!AS71</f>
        <v>-500</v>
      </c>
      <c r="AT28" s="271">
        <f>'[33]Actual &amp; Assumptions'!AT71</f>
        <v>-1627.77</v>
      </c>
      <c r="AU28" s="271">
        <f>'[33]Actual &amp; Assumptions'!AU71</f>
        <v>-1555.5362000000002</v>
      </c>
      <c r="AV28" s="271">
        <f>'[33]Actual &amp; Assumptions'!AV71</f>
        <v>-1604.7871800000003</v>
      </c>
      <c r="AW28" s="271">
        <f>'[33]Actual &amp; Assumptions'!AW71</f>
        <v>-1320.3481200000001</v>
      </c>
      <c r="AX28" s="271">
        <f>'[33]Actual &amp; Assumptions'!AX71</f>
        <v>-709.88049000000001</v>
      </c>
      <c r="AY28" s="271">
        <f>'[33]Actual &amp; Assumptions'!AY71</f>
        <v>-5190.5519899999999</v>
      </c>
      <c r="AZ28" s="229">
        <f>'[33]Actual &amp; Assumptions'!AZ71</f>
        <v>0</v>
      </c>
      <c r="BA28" s="229">
        <f>'[33]Actual &amp; Assumptions'!BA71</f>
        <v>0</v>
      </c>
      <c r="BB28" s="229">
        <f>'[33]Actual &amp; Assumptions'!BB71</f>
        <v>0</v>
      </c>
      <c r="BC28" s="229">
        <f>'[33]Actual &amp; Assumptions'!BC71</f>
        <v>0</v>
      </c>
      <c r="BD28" s="229">
        <f>'[33]Actual &amp; Assumptions'!BD71</f>
        <v>0</v>
      </c>
      <c r="BE28" s="229">
        <f>'[33]Actual &amp; Assumptions'!BE71</f>
        <v>0</v>
      </c>
      <c r="BF28" s="229">
        <f>'[33]Actual &amp; Assumptions'!BF71</f>
        <v>0</v>
      </c>
      <c r="BG28" s="229">
        <f>'[33]Actual &amp; Assumptions'!BG71</f>
        <v>0</v>
      </c>
      <c r="BH28" s="229">
        <f>'[33]Actual &amp; Assumptions'!BH71</f>
        <v>0</v>
      </c>
      <c r="BI28" s="229">
        <f>'[33]Actual &amp; Assumptions'!BI71</f>
        <v>0</v>
      </c>
      <c r="BJ28" s="229">
        <f>'[33]Actual &amp; Assumptions'!BJ71</f>
        <v>0</v>
      </c>
      <c r="BK28" s="229">
        <f>'[33]Actual &amp; Assumptions'!BK71</f>
        <v>0</v>
      </c>
      <c r="BL28" s="229">
        <f>'[33]Actual &amp; Assumptions'!BL71</f>
        <v>0</v>
      </c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</row>
    <row r="29" spans="1:272" s="222" customFormat="1" ht="18" hidden="1" outlineLevel="1">
      <c r="A29" s="270" t="str">
        <f>'[33]Actual &amp; Assumptions'!A74</f>
        <v>Settlement  (   ARESCO &amp; AEK)</v>
      </c>
      <c r="B29" s="270"/>
      <c r="C29" s="271">
        <f>'[33]Actual &amp; Assumptions'!C75</f>
        <v>0</v>
      </c>
      <c r="D29" s="271">
        <f>'[33]Actual &amp; Assumptions'!D75</f>
        <v>0</v>
      </c>
      <c r="E29" s="271">
        <f>'[33]Actual &amp; Assumptions'!E75</f>
        <v>0</v>
      </c>
      <c r="F29" s="271">
        <f>'[33]Actual &amp; Assumptions'!F75</f>
        <v>0</v>
      </c>
      <c r="G29" s="271">
        <f>'[33]Actual &amp; Assumptions'!G75</f>
        <v>0</v>
      </c>
      <c r="H29" s="271">
        <f>'[33]Actual &amp; Assumptions'!H75</f>
        <v>0</v>
      </c>
      <c r="I29" s="271">
        <f>'[33]Actual &amp; Assumptions'!I75</f>
        <v>0</v>
      </c>
      <c r="J29" s="271">
        <f>'[33]Actual &amp; Assumptions'!J75</f>
        <v>0</v>
      </c>
      <c r="K29" s="271">
        <f>'[33]Actual &amp; Assumptions'!K75</f>
        <v>0</v>
      </c>
      <c r="L29" s="271">
        <f>'[33]Actual &amp; Assumptions'!L75</f>
        <v>0</v>
      </c>
      <c r="M29" s="271">
        <f>'[33]Actual &amp; Assumptions'!M75</f>
        <v>0</v>
      </c>
      <c r="N29" s="271">
        <f>'[33]Actual &amp; Assumptions'!N75</f>
        <v>0</v>
      </c>
      <c r="O29" s="271">
        <f>'[33]Actual &amp; Assumptions'!O75</f>
        <v>0</v>
      </c>
      <c r="P29" s="271">
        <f>'[33]Actual &amp; Assumptions'!P75</f>
        <v>0</v>
      </c>
      <c r="Q29" s="271">
        <f>'[33]Actual &amp; Assumptions'!Q75</f>
        <v>0</v>
      </c>
      <c r="R29" s="271">
        <f>'[33]Actual &amp; Assumptions'!R75</f>
        <v>0</v>
      </c>
      <c r="S29" s="271">
        <f>'[33]Actual &amp; Assumptions'!S75</f>
        <v>0</v>
      </c>
      <c r="T29" s="271">
        <f>'[33]Actual &amp; Assumptions'!T75</f>
        <v>0</v>
      </c>
      <c r="U29" s="271">
        <f>'[33]Actual &amp; Assumptions'!U75</f>
        <v>0</v>
      </c>
      <c r="V29" s="271">
        <f>'[33]Actual &amp; Assumptions'!V75</f>
        <v>0</v>
      </c>
      <c r="W29" s="271">
        <f>'[33]Actual &amp; Assumptions'!W75</f>
        <v>0</v>
      </c>
      <c r="X29" s="271">
        <f>'[33]Actual &amp; Assumptions'!X75</f>
        <v>0</v>
      </c>
      <c r="Y29" s="271">
        <f>'[33]Actual &amp; Assumptions'!Y75</f>
        <v>0</v>
      </c>
      <c r="Z29" s="271">
        <f>'[33]Actual &amp; Assumptions'!Z75</f>
        <v>0</v>
      </c>
      <c r="AA29" s="271">
        <f>'[33]Actual &amp; Assumptions'!AA75</f>
        <v>0</v>
      </c>
      <c r="AB29" s="271">
        <f>'[33]Actual &amp; Assumptions'!AB75</f>
        <v>0</v>
      </c>
      <c r="AC29" s="271">
        <f>'[33]Actual &amp; Assumptions'!AC75</f>
        <v>0</v>
      </c>
      <c r="AD29" s="271">
        <f>'[33]Actual &amp; Assumptions'!AD75</f>
        <v>0</v>
      </c>
      <c r="AE29" s="271">
        <f>'[33]Actual &amp; Assumptions'!AE75</f>
        <v>0</v>
      </c>
      <c r="AF29" s="271">
        <f>'[33]Actual &amp; Assumptions'!AF75</f>
        <v>0</v>
      </c>
      <c r="AG29" s="271">
        <f>'[33]Actual &amp; Assumptions'!AG75</f>
        <v>0</v>
      </c>
      <c r="AH29" s="271">
        <f>'[33]Actual &amp; Assumptions'!AH75</f>
        <v>0</v>
      </c>
      <c r="AI29" s="271">
        <f>'[33]Actual &amp; Assumptions'!AI75</f>
        <v>0</v>
      </c>
      <c r="AJ29" s="271">
        <f>'[33]Actual &amp; Assumptions'!AJ75</f>
        <v>0</v>
      </c>
      <c r="AK29" s="271">
        <f>'[33]Actual &amp; Assumptions'!AK75</f>
        <v>0</v>
      </c>
      <c r="AL29" s="271">
        <f>'[33]Actual &amp; Assumptions'!AL75</f>
        <v>0</v>
      </c>
      <c r="AM29" s="271">
        <f>'[33]Actual &amp; Assumptions'!AM75</f>
        <v>0</v>
      </c>
      <c r="AN29" s="271">
        <f>'[33]Actual &amp; Assumptions'!AN75</f>
        <v>0</v>
      </c>
      <c r="AO29" s="271">
        <f>'[33]Actual &amp; Assumptions'!AO75</f>
        <v>0</v>
      </c>
      <c r="AP29" s="271">
        <f>'[33]Actual &amp; Assumptions'!AP75</f>
        <v>0</v>
      </c>
      <c r="AQ29" s="271">
        <f>'[33]Actual &amp; Assumptions'!AQ75</f>
        <v>0</v>
      </c>
      <c r="AR29" s="271">
        <f>'[33]Actual &amp; Assumptions'!AR75</f>
        <v>0</v>
      </c>
      <c r="AS29" s="271">
        <f>'[33]Actual &amp; Assumptions'!AS75</f>
        <v>0</v>
      </c>
      <c r="AT29" s="271">
        <f>'[33]Actual &amp; Assumptions'!AT75</f>
        <v>0</v>
      </c>
      <c r="AU29" s="271">
        <f>'[33]Actual &amp; Assumptions'!AU75</f>
        <v>0</v>
      </c>
      <c r="AV29" s="271">
        <f>'[33]Actual &amp; Assumptions'!AV75</f>
        <v>0</v>
      </c>
      <c r="AW29" s="271">
        <f>'[33]Actual &amp; Assumptions'!AW75</f>
        <v>0</v>
      </c>
      <c r="AX29" s="271">
        <f>'[33]Actual &amp; Assumptions'!AX75</f>
        <v>0</v>
      </c>
      <c r="AY29" s="271">
        <f>'[33]Actual &amp; Assumptions'!AY75</f>
        <v>0</v>
      </c>
      <c r="AZ29" s="229">
        <f>'[33]Actual &amp; Assumptions'!AZ75</f>
        <v>0</v>
      </c>
      <c r="BA29" s="229">
        <f>'[33]Actual &amp; Assumptions'!BA75</f>
        <v>0</v>
      </c>
      <c r="BB29" s="229">
        <f>'[33]Actual &amp; Assumptions'!BB75</f>
        <v>0</v>
      </c>
      <c r="BC29" s="229">
        <f>'[33]Actual &amp; Assumptions'!BC75</f>
        <v>0</v>
      </c>
      <c r="BD29" s="229">
        <f>'[33]Actual &amp; Assumptions'!BD75</f>
        <v>0</v>
      </c>
      <c r="BE29" s="229">
        <f>'[33]Actual &amp; Assumptions'!BE75</f>
        <v>0</v>
      </c>
      <c r="BF29" s="229">
        <f>'[33]Actual &amp; Assumptions'!BF75</f>
        <v>0</v>
      </c>
      <c r="BG29" s="229">
        <f>'[33]Actual &amp; Assumptions'!BG75</f>
        <v>0</v>
      </c>
      <c r="BH29" s="229">
        <f>'[33]Actual &amp; Assumptions'!BH75</f>
        <v>0</v>
      </c>
      <c r="BI29" s="229">
        <f>'[33]Actual &amp; Assumptions'!BI75</f>
        <v>0</v>
      </c>
      <c r="BJ29" s="229">
        <f>'[33]Actual &amp; Assumptions'!BJ75</f>
        <v>0</v>
      </c>
      <c r="BK29" s="229">
        <f>'[33]Actual &amp; Assumptions'!BK75</f>
        <v>0</v>
      </c>
      <c r="BL29" s="229">
        <f>'[33]Actual &amp; Assumptions'!BL75</f>
        <v>0</v>
      </c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</row>
    <row r="30" spans="1:272" s="222" customFormat="1" ht="18" hidden="1" outlineLevel="1">
      <c r="A30" s="270" t="str">
        <f>'[33]Actual &amp; Assumptions'!A80</f>
        <v>Gain / Loss from Sale of Investment</v>
      </c>
      <c r="B30" s="270"/>
      <c r="C30" s="271">
        <f>'[33]Actual &amp; Assumptions'!C81</f>
        <v>0</v>
      </c>
      <c r="D30" s="271">
        <f>'[33]Actual &amp; Assumptions'!D81</f>
        <v>0</v>
      </c>
      <c r="E30" s="271">
        <f>'[33]Actual &amp; Assumptions'!E81</f>
        <v>0</v>
      </c>
      <c r="F30" s="271">
        <f>'[33]Actual &amp; Assumptions'!F81</f>
        <v>0</v>
      </c>
      <c r="G30" s="271">
        <f>'[33]Actual &amp; Assumptions'!G81</f>
        <v>0</v>
      </c>
      <c r="H30" s="271">
        <f>'[33]Actual &amp; Assumptions'!H81</f>
        <v>0</v>
      </c>
      <c r="I30" s="271">
        <f>'[33]Actual &amp; Assumptions'!I81</f>
        <v>0</v>
      </c>
      <c r="J30" s="271">
        <f>'[33]Actual &amp; Assumptions'!J81</f>
        <v>0</v>
      </c>
      <c r="K30" s="271">
        <f>'[33]Actual &amp; Assumptions'!K81</f>
        <v>0</v>
      </c>
      <c r="L30" s="271">
        <f>'[33]Actual &amp; Assumptions'!L81</f>
        <v>0</v>
      </c>
      <c r="M30" s="271">
        <f>'[33]Actual &amp; Assumptions'!M81</f>
        <v>0</v>
      </c>
      <c r="N30" s="271">
        <f>'[33]Actual &amp; Assumptions'!N81</f>
        <v>0</v>
      </c>
      <c r="O30" s="271">
        <f>'[33]Actual &amp; Assumptions'!O81</f>
        <v>0</v>
      </c>
      <c r="P30" s="271">
        <f>'[33]Actual &amp; Assumptions'!P81</f>
        <v>0</v>
      </c>
      <c r="Q30" s="271">
        <f>'[33]Actual &amp; Assumptions'!Q81</f>
        <v>0</v>
      </c>
      <c r="R30" s="271">
        <f>'[33]Actual &amp; Assumptions'!R81</f>
        <v>0</v>
      </c>
      <c r="S30" s="271">
        <f>'[33]Actual &amp; Assumptions'!S81</f>
        <v>0</v>
      </c>
      <c r="T30" s="271">
        <f>'[33]Actual &amp; Assumptions'!T81</f>
        <v>0</v>
      </c>
      <c r="U30" s="271">
        <f>'[33]Actual &amp; Assumptions'!U81</f>
        <v>0</v>
      </c>
      <c r="V30" s="271">
        <f>'[33]Actual &amp; Assumptions'!V81</f>
        <v>0</v>
      </c>
      <c r="W30" s="271">
        <f>'[33]Actual &amp; Assumptions'!W81</f>
        <v>0</v>
      </c>
      <c r="X30" s="271">
        <f>'[33]Actual &amp; Assumptions'!X81</f>
        <v>0</v>
      </c>
      <c r="Y30" s="271">
        <f>'[33]Actual &amp; Assumptions'!Y81</f>
        <v>0</v>
      </c>
      <c r="Z30" s="271">
        <f>'[33]Actual &amp; Assumptions'!Z81</f>
        <v>0</v>
      </c>
      <c r="AA30" s="271">
        <f>'[33]Actual &amp; Assumptions'!AA81</f>
        <v>0</v>
      </c>
      <c r="AB30" s="271">
        <f>'[33]Actual &amp; Assumptions'!AB81</f>
        <v>0</v>
      </c>
      <c r="AC30" s="271">
        <f>'[33]Actual &amp; Assumptions'!AC81</f>
        <v>0</v>
      </c>
      <c r="AD30" s="271">
        <f>'[33]Actual &amp; Assumptions'!AD81</f>
        <v>0</v>
      </c>
      <c r="AE30" s="271">
        <f>'[33]Actual &amp; Assumptions'!AE81</f>
        <v>0</v>
      </c>
      <c r="AF30" s="271">
        <f>'[33]Actual &amp; Assumptions'!AF81</f>
        <v>0</v>
      </c>
      <c r="AG30" s="271">
        <f>'[33]Actual &amp; Assumptions'!AG81</f>
        <v>0</v>
      </c>
      <c r="AH30" s="271">
        <f>'[33]Actual &amp; Assumptions'!AH81</f>
        <v>0</v>
      </c>
      <c r="AI30" s="271">
        <f>'[33]Actual &amp; Assumptions'!AI81</f>
        <v>0</v>
      </c>
      <c r="AJ30" s="271">
        <f>'[33]Actual &amp; Assumptions'!AJ81</f>
        <v>0</v>
      </c>
      <c r="AK30" s="271">
        <f>'[33]Actual &amp; Assumptions'!AK81</f>
        <v>0</v>
      </c>
      <c r="AL30" s="271">
        <f>'[33]Actual &amp; Assumptions'!AL81</f>
        <v>0</v>
      </c>
      <c r="AM30" s="271">
        <f>'[33]Actual &amp; Assumptions'!AM81</f>
        <v>0</v>
      </c>
      <c r="AN30" s="271">
        <f>'[33]Actual &amp; Assumptions'!AN81</f>
        <v>0</v>
      </c>
      <c r="AO30" s="271">
        <f>'[33]Actual &amp; Assumptions'!AO81</f>
        <v>0</v>
      </c>
      <c r="AP30" s="271">
        <f>'[33]Actual &amp; Assumptions'!AP81</f>
        <v>0</v>
      </c>
      <c r="AQ30" s="271">
        <f>'[33]Actual &amp; Assumptions'!AQ81</f>
        <v>0</v>
      </c>
      <c r="AR30" s="271">
        <f>'[33]Actual &amp; Assumptions'!AR81</f>
        <v>0</v>
      </c>
      <c r="AS30" s="271">
        <f>'[33]Actual &amp; Assumptions'!AS81</f>
        <v>0</v>
      </c>
      <c r="AT30" s="271">
        <f>'[33]Actual &amp; Assumptions'!AT81</f>
        <v>0</v>
      </c>
      <c r="AU30" s="271">
        <f>'[33]Actual &amp; Assumptions'!AU81</f>
        <v>0</v>
      </c>
      <c r="AV30" s="271">
        <f>'[33]Actual &amp; Assumptions'!AV81</f>
        <v>0</v>
      </c>
      <c r="AW30" s="271">
        <f>'[33]Actual &amp; Assumptions'!AW81</f>
        <v>0</v>
      </c>
      <c r="AX30" s="271">
        <f>'[33]Actual &amp; Assumptions'!AX81</f>
        <v>0</v>
      </c>
      <c r="AY30" s="271">
        <f>'[33]Actual &amp; Assumptions'!AY81</f>
        <v>0</v>
      </c>
      <c r="AZ30" s="229">
        <f>'[33]Actual &amp; Assumptions'!AZ81</f>
        <v>0</v>
      </c>
      <c r="BA30" s="229">
        <f>'[33]Actual &amp; Assumptions'!BA81</f>
        <v>0</v>
      </c>
      <c r="BB30" s="229">
        <f>'[33]Actual &amp; Assumptions'!BB81</f>
        <v>0</v>
      </c>
      <c r="BC30" s="229">
        <f>'[33]Actual &amp; Assumptions'!BC81</f>
        <v>0</v>
      </c>
      <c r="BD30" s="229">
        <f>'[33]Actual &amp; Assumptions'!BD81</f>
        <v>0</v>
      </c>
      <c r="BE30" s="229">
        <f>'[33]Actual &amp; Assumptions'!BE81</f>
        <v>0</v>
      </c>
      <c r="BF30" s="229">
        <f>'[33]Actual &amp; Assumptions'!BF81</f>
        <v>0</v>
      </c>
      <c r="BG30" s="229">
        <f>'[33]Actual &amp; Assumptions'!BG81</f>
        <v>0</v>
      </c>
      <c r="BH30" s="229">
        <f>'[33]Actual &amp; Assumptions'!BH81</f>
        <v>0</v>
      </c>
      <c r="BI30" s="229">
        <f>'[33]Actual &amp; Assumptions'!BI81</f>
        <v>0</v>
      </c>
      <c r="BJ30" s="229">
        <f>'[33]Actual &amp; Assumptions'!BJ81</f>
        <v>0</v>
      </c>
      <c r="BK30" s="229">
        <f>'[33]Actual &amp; Assumptions'!BK81</f>
        <v>0</v>
      </c>
      <c r="BL30" s="229">
        <f>'[33]Actual &amp; Assumptions'!BL81</f>
        <v>0</v>
      </c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</row>
    <row r="31" spans="1:272" s="222" customFormat="1" ht="18" outlineLevel="1">
      <c r="A31" s="272" t="s">
        <v>156</v>
      </c>
      <c r="B31" s="272"/>
      <c r="C31" s="273">
        <f>C23+SUM(C24:C30)</f>
        <v>10674</v>
      </c>
      <c r="D31" s="273">
        <f>D23+SUM(D24:D30)</f>
        <v>25793</v>
      </c>
      <c r="E31" s="273">
        <f t="shared" ref="E31:BA31" si="26">E23+SUM(E24:E30)</f>
        <v>37036</v>
      </c>
      <c r="F31" s="273">
        <f t="shared" si="26"/>
        <v>34483</v>
      </c>
      <c r="G31" s="273">
        <f t="shared" si="26"/>
        <v>11776.058000000048</v>
      </c>
      <c r="H31" s="273">
        <f t="shared" si="26"/>
        <v>15817.993000000046</v>
      </c>
      <c r="I31" s="273">
        <f t="shared" si="26"/>
        <v>4682</v>
      </c>
      <c r="J31" s="273">
        <f t="shared" si="26"/>
        <v>-1447.4181759005587</v>
      </c>
      <c r="K31" s="273">
        <f t="shared" si="26"/>
        <v>5156.3250200001075</v>
      </c>
      <c r="L31" s="273">
        <f t="shared" si="26"/>
        <v>1045.9896299999818</v>
      </c>
      <c r="M31" s="273">
        <f t="shared" si="26"/>
        <v>6112.819919999718</v>
      </c>
      <c r="N31" s="273">
        <f t="shared" si="26"/>
        <v>7538.2840600000054</v>
      </c>
      <c r="O31" s="273">
        <f t="shared" si="26"/>
        <v>-2131.8879999999772</v>
      </c>
      <c r="P31" s="273">
        <f t="shared" si="26"/>
        <v>12565.205609999684</v>
      </c>
      <c r="Q31" s="273">
        <f t="shared" si="26"/>
        <v>8725.7048200000081</v>
      </c>
      <c r="R31" s="273">
        <f t="shared" si="26"/>
        <v>3519.9981018884255</v>
      </c>
      <c r="S31" s="273">
        <f t="shared" si="26"/>
        <v>1255.9714599998988</v>
      </c>
      <c r="T31" s="273">
        <f t="shared" si="26"/>
        <v>9796.6782099999982</v>
      </c>
      <c r="U31" s="273">
        <f t="shared" si="26"/>
        <v>23298.35259188839</v>
      </c>
      <c r="V31" s="273">
        <f t="shared" si="26"/>
        <v>16279.741370000014</v>
      </c>
      <c r="W31" s="273">
        <f t="shared" si="26"/>
        <v>2575.449450000001</v>
      </c>
      <c r="X31" s="273">
        <f t="shared" si="26"/>
        <v>2170.8512400001177</v>
      </c>
      <c r="Y31" s="273">
        <f t="shared" si="26"/>
        <v>-14986.8963100001</v>
      </c>
      <c r="Z31" s="273">
        <f t="shared" si="26"/>
        <v>6039.1457499999924</v>
      </c>
      <c r="AA31" s="273">
        <f t="shared" si="26"/>
        <v>-1529.543335088691</v>
      </c>
      <c r="AB31" s="273">
        <f t="shared" si="26"/>
        <v>-1779.9524034993037</v>
      </c>
      <c r="AC31" s="273">
        <f t="shared" si="26"/>
        <v>-806.09898335999196</v>
      </c>
      <c r="AD31" s="273">
        <f t="shared" si="26"/>
        <v>4760.0608134399845</v>
      </c>
      <c r="AE31" s="273">
        <f t="shared" si="26"/>
        <v>644.46609149201322</v>
      </c>
      <c r="AF31" s="273">
        <f t="shared" si="26"/>
        <v>-5439.3302300000032</v>
      </c>
      <c r="AG31" s="273">
        <f t="shared" si="26"/>
        <v>-6724.6708699999945</v>
      </c>
      <c r="AH31" s="273">
        <f t="shared" si="26"/>
        <v>-24385.747860000003</v>
      </c>
      <c r="AI31" s="273">
        <f t="shared" si="26"/>
        <v>-15932</v>
      </c>
      <c r="AJ31" s="273">
        <f t="shared" si="26"/>
        <v>-52481.748959999983</v>
      </c>
      <c r="AK31" s="273">
        <f t="shared" si="26"/>
        <v>-43203</v>
      </c>
      <c r="AL31" s="273">
        <f t="shared" si="26"/>
        <v>-6085</v>
      </c>
      <c r="AM31" s="273">
        <f t="shared" si="26"/>
        <v>-10089</v>
      </c>
      <c r="AN31" s="273">
        <f t="shared" si="26"/>
        <v>1140</v>
      </c>
      <c r="AO31" s="273">
        <f>AO23+SUM(AO24:AO30)</f>
        <v>-58237</v>
      </c>
      <c r="AP31" s="273">
        <f t="shared" ref="AP31:AY31" si="27">AP23+SUM(AP24:AP30)</f>
        <v>-2450.4821298207216</v>
      </c>
      <c r="AQ31" s="273">
        <f t="shared" si="27"/>
        <v>1680.3836984072595</v>
      </c>
      <c r="AR31" s="273">
        <f t="shared" si="27"/>
        <v>-1028.8477116933723</v>
      </c>
      <c r="AS31" s="273">
        <f t="shared" si="27"/>
        <v>-7917.8592938999955</v>
      </c>
      <c r="AT31" s="273">
        <f t="shared" si="27"/>
        <v>-9716.8054370068712</v>
      </c>
      <c r="AU31" s="273">
        <f t="shared" si="27"/>
        <v>-1360.0649766666802</v>
      </c>
      <c r="AV31" s="273">
        <f t="shared" si="27"/>
        <v>217.34583333336468</v>
      </c>
      <c r="AW31" s="273">
        <f t="shared" si="27"/>
        <v>293.95747333335794</v>
      </c>
      <c r="AX31" s="273">
        <f t="shared" si="27"/>
        <v>2880.0302100000099</v>
      </c>
      <c r="AY31" s="273">
        <f t="shared" si="27"/>
        <v>2031.2685400000737</v>
      </c>
      <c r="AZ31" s="231">
        <f t="shared" si="26"/>
        <v>14408.315701865387</v>
      </c>
      <c r="BA31" s="231">
        <f t="shared" si="26"/>
        <v>19711.162066445584</v>
      </c>
      <c r="BB31" s="231">
        <f>BB23+SUM(BB24:BB30)</f>
        <v>28570.085141291696</v>
      </c>
      <c r="BC31" s="231">
        <f>BC23+SUM(BC24:BC30)</f>
        <v>38726.687438422268</v>
      </c>
      <c r="BD31" s="231">
        <f t="shared" ref="BD31:BI31" si="28">BD23+SUM(BD24:BD30)</f>
        <v>46034.543593210488</v>
      </c>
      <c r="BE31" s="231">
        <f t="shared" si="28"/>
        <v>57106.534454756998</v>
      </c>
      <c r="BF31" s="231">
        <f t="shared" si="28"/>
        <v>66761.449086392982</v>
      </c>
      <c r="BG31" s="231">
        <f t="shared" si="28"/>
        <v>77726.765044570173</v>
      </c>
      <c r="BH31" s="231">
        <f t="shared" si="28"/>
        <v>89780.794572137936</v>
      </c>
      <c r="BI31" s="231">
        <f t="shared" si="28"/>
        <v>103292.69204179491</v>
      </c>
      <c r="BJ31" s="231">
        <f t="shared" ref="BJ31:BL31" si="29">BJ23+SUM(BJ24:BJ30)</f>
        <v>119326.21935223573</v>
      </c>
      <c r="BK31" s="231">
        <f t="shared" si="29"/>
        <v>136238.828101733</v>
      </c>
      <c r="BL31" s="231">
        <f t="shared" si="29"/>
        <v>155013.97443628038</v>
      </c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</row>
    <row r="32" spans="1:272" s="222" customFormat="1" ht="18" outlineLevel="1">
      <c r="A32" s="270" t="str">
        <f>'[33]Actual &amp; Assumptions'!A84</f>
        <v>Corporate / Income Tax</v>
      </c>
      <c r="B32" s="270"/>
      <c r="C32" s="271">
        <f>'[33]Actual &amp; Assumptions'!C85</f>
        <v>-3274</v>
      </c>
      <c r="D32" s="271">
        <f>'[33]Actual &amp; Assumptions'!D85</f>
        <v>-6677</v>
      </c>
      <c r="E32" s="271">
        <f>'[33]Actual &amp; Assumptions'!E85</f>
        <v>-10809</v>
      </c>
      <c r="F32" s="271">
        <f>'[33]Actual &amp; Assumptions'!F85</f>
        <v>-7324</v>
      </c>
      <c r="G32" s="271">
        <f>'[33]Actual &amp; Assumptions'!G85</f>
        <v>-2431</v>
      </c>
      <c r="H32" s="271">
        <f>'[33]Actual &amp; Assumptions'!H85</f>
        <v>0</v>
      </c>
      <c r="I32" s="271">
        <f>'[33]Actual &amp; Assumptions'!I85</f>
        <v>-2516</v>
      </c>
      <c r="J32" s="271">
        <f>'[33]Actual &amp; Assumptions'!J85</f>
        <v>-621</v>
      </c>
      <c r="K32" s="271">
        <f>'[33]Actual &amp; Assumptions'!K85</f>
        <v>-915</v>
      </c>
      <c r="L32" s="271">
        <f>'[33]Actual &amp; Assumptions'!L85</f>
        <v>-477</v>
      </c>
      <c r="M32" s="271">
        <f>'[33]Actual &amp; Assumptions'!M85</f>
        <v>-1946</v>
      </c>
      <c r="N32" s="271">
        <f>'[33]Actual &amp; Assumptions'!N85</f>
        <v>-1792</v>
      </c>
      <c r="O32" s="271">
        <f>'[33]Actual &amp; Assumptions'!O85</f>
        <v>2034</v>
      </c>
      <c r="P32" s="271">
        <f>'[33]Actual &amp; Assumptions'!P85</f>
        <v>-2181</v>
      </c>
      <c r="Q32" s="271">
        <f>'[33]Actual &amp; Assumptions'!Q85</f>
        <v>-1963.2835845000018</v>
      </c>
      <c r="R32" s="271">
        <f>'[33]Actual &amp; Assumptions'!R85</f>
        <v>-2213.6982799999996</v>
      </c>
      <c r="S32" s="271">
        <f>'[33]Actual &amp; Assumptions'!S85</f>
        <v>510</v>
      </c>
      <c r="T32" s="271">
        <f>'[33]Actual &amp; Assumptions'!T85</f>
        <v>-1126</v>
      </c>
      <c r="U32" s="271">
        <f>'[33]Actual &amp; Assumptions'!U85</f>
        <v>-4792.9818645000014</v>
      </c>
      <c r="V32" s="271">
        <f>'[33]Actual &amp; Assumptions'!V85</f>
        <v>-3295</v>
      </c>
      <c r="W32" s="271">
        <f>'[33]Actual &amp; Assumptions'!W85</f>
        <v>-1766</v>
      </c>
      <c r="X32" s="271">
        <f>'[33]Actual &amp; Assumptions'!X85</f>
        <v>-376.40222</v>
      </c>
      <c r="Y32" s="271">
        <f>'[33]Actual &amp; Assumptions'!Y85</f>
        <v>3139</v>
      </c>
      <c r="Z32" s="271">
        <f>'[33]Actual &amp; Assumptions'!Z85</f>
        <v>-2298.4022199999999</v>
      </c>
      <c r="AA32" s="271">
        <f>'[33]Actual &amp; Assumptions'!AA85</f>
        <v>-151</v>
      </c>
      <c r="AB32" s="271">
        <f>'[33]Actual &amp; Assumptions'!AB85</f>
        <v>-184</v>
      </c>
      <c r="AC32" s="271">
        <f>'[33]Actual &amp; Assumptions'!AC85</f>
        <v>-85</v>
      </c>
      <c r="AD32" s="271">
        <f>'[33]Actual &amp; Assumptions'!AD85</f>
        <v>-1432</v>
      </c>
      <c r="AE32" s="271">
        <f>'[33]Actual &amp; Assumptions'!AE85</f>
        <v>-1852</v>
      </c>
      <c r="AF32" s="271">
        <f>'[33]Actual &amp; Assumptions'!AF85</f>
        <v>-507</v>
      </c>
      <c r="AG32" s="271">
        <f>'[33]Actual &amp; Assumptions'!AG85</f>
        <v>-83</v>
      </c>
      <c r="AH32" s="271">
        <f>'[33]Actual &amp; Assumptions'!AH85</f>
        <v>0</v>
      </c>
      <c r="AI32" s="271">
        <f>'[33]Actual &amp; Assumptions'!AI85</f>
        <v>590</v>
      </c>
      <c r="AJ32" s="271">
        <f>'[33]Actual &amp; Assumptions'!AJ85</f>
        <v>0</v>
      </c>
      <c r="AK32" s="271"/>
      <c r="AL32" s="271"/>
      <c r="AM32" s="271"/>
      <c r="AN32" s="271"/>
      <c r="AO32" s="271"/>
      <c r="AP32" s="271">
        <f>'[33]Actual &amp; Assumptions'!AP85</f>
        <v>0</v>
      </c>
      <c r="AQ32" s="271">
        <f>'[33]Actual &amp; Assumptions'!AQ85</f>
        <v>0</v>
      </c>
      <c r="AR32" s="271">
        <f>'[33]Actual &amp; Assumptions'!AR85</f>
        <v>0</v>
      </c>
      <c r="AS32" s="271">
        <f>'[33]Actual &amp; Assumptions'!AS85</f>
        <v>0</v>
      </c>
      <c r="AT32" s="271">
        <f>'[33]Actual &amp; Assumptions'!AT85</f>
        <v>0</v>
      </c>
      <c r="AU32" s="271">
        <f>'[33]Actual &amp; Assumptions'!AU85</f>
        <v>0</v>
      </c>
      <c r="AV32" s="271">
        <f>-'[33]IS Assumption'!I188/1000</f>
        <v>0</v>
      </c>
      <c r="AW32" s="271">
        <f>'[33]Actual &amp; Assumptions'!AW85</f>
        <v>0</v>
      </c>
      <c r="AX32" s="271">
        <f>'[33]Actual &amp; Assumptions'!AX85</f>
        <v>-648.0067972500043</v>
      </c>
      <c r="AY32" s="271">
        <f>'[33]Actual &amp; Assumptions'!AY85</f>
        <v>-648.0067972500043</v>
      </c>
      <c r="AZ32" s="152">
        <f>'[33]Actual &amp; Assumptions'!AZ85</f>
        <v>495.7387328458218</v>
      </c>
      <c r="BA32" s="152">
        <f>'[33]Actual &amp; Assumptions'!BA85</f>
        <v>-700.9377639037051</v>
      </c>
      <c r="BB32" s="152">
        <f>'[33]Actual &amp; Assumptions'!BB85</f>
        <v>-3402.2253018598385</v>
      </c>
      <c r="BC32" s="152">
        <f>'[33]Actual &amp; Assumptions'!BC85</f>
        <v>-6410.5511452314095</v>
      </c>
      <c r="BD32" s="152">
        <f>'[33]Actual &amp; Assumptions'!BD85</f>
        <v>-8071.9020096602517</v>
      </c>
      <c r="BE32" s="152">
        <f>'[33]Actual &amp; Assumptions'!BE85</f>
        <v>-10597.064330887899</v>
      </c>
      <c r="BF32" s="152">
        <f>'[33]Actual &amp; Assumptions'!BF85</f>
        <v>-12794.165823285812</v>
      </c>
      <c r="BG32" s="152">
        <f>'[33]Actual &amp; Assumptions'!BG85</f>
        <v>-15290.313183095139</v>
      </c>
      <c r="BH32" s="152">
        <f>'[33]Actual &amp; Assumptions'!BH85</f>
        <v>-18034.283775889759</v>
      </c>
      <c r="BI32" s="152">
        <f>'[33]Actual &amp; Assumptions'!BI85</f>
        <v>-21110.725217885396</v>
      </c>
      <c r="BJ32" s="152">
        <f>'[33]Actual &amp; Assumptions'!BJ85</f>
        <v>-24764.019073305109</v>
      </c>
      <c r="BK32" s="152">
        <f>'[33]Actual &amp; Assumptions'!BK85</f>
        <v>-28616.06717618537</v>
      </c>
      <c r="BL32" s="152">
        <f>'[33]Actual &amp; Assumptions'!BL85</f>
        <v>-32892.721209524745</v>
      </c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</row>
    <row r="33" spans="1:272" s="222" customFormat="1" ht="18" hidden="1" outlineLevel="1">
      <c r="A33" s="270" t="str">
        <f>'[33]Actual &amp; Assumptions'!A89</f>
        <v>Deferred Tax</v>
      </c>
      <c r="B33" s="270"/>
      <c r="C33" s="271">
        <f>'[33]Actual &amp; Assumptions'!C90</f>
        <v>0</v>
      </c>
      <c r="D33" s="271">
        <f>'[33]Actual &amp; Assumptions'!D90</f>
        <v>30</v>
      </c>
      <c r="E33" s="271">
        <f>'[33]Actual &amp; Assumptions'!E90</f>
        <v>-62</v>
      </c>
      <c r="F33" s="271">
        <f>'[33]Actual &amp; Assumptions'!F90</f>
        <v>57</v>
      </c>
      <c r="G33" s="271">
        <f>'[33]Actual &amp; Assumptions'!G90</f>
        <v>152</v>
      </c>
      <c r="H33" s="271">
        <f>'[33]Actual &amp; Assumptions'!H90</f>
        <v>-63</v>
      </c>
      <c r="I33" s="271">
        <f>'[33]Actual &amp; Assumptions'!I90</f>
        <v>74</v>
      </c>
      <c r="J33" s="271">
        <f>'[33]Actual &amp; Assumptions'!J90</f>
        <v>-38</v>
      </c>
      <c r="K33" s="271">
        <f>'[33]Actual &amp; Assumptions'!K90</f>
        <v>50</v>
      </c>
      <c r="L33" s="271">
        <f>'[33]Actual &amp; Assumptions'!L90</f>
        <v>-4</v>
      </c>
      <c r="M33" s="271">
        <f>'[33]Actual &amp; Assumptions'!M90</f>
        <v>-13</v>
      </c>
      <c r="N33" s="271">
        <f>'[33]Actual &amp; Assumptions'!N90</f>
        <v>-30</v>
      </c>
      <c r="O33" s="271">
        <f>'[33]Actual &amp; Assumptions'!O90</f>
        <v>-89</v>
      </c>
      <c r="P33" s="271">
        <f>'[33]Actual &amp; Assumptions'!P90</f>
        <v>-136</v>
      </c>
      <c r="Q33" s="271">
        <f>'[33]Actual &amp; Assumptions'!Q90</f>
        <v>-41.371199999999995</v>
      </c>
      <c r="R33" s="271">
        <f>'[33]Actual &amp; Assumptions'!R90</f>
        <v>-14.13395</v>
      </c>
      <c r="S33" s="271">
        <f>'[33]Actual &amp; Assumptions'!S90</f>
        <v>2</v>
      </c>
      <c r="T33" s="271">
        <f>'[33]Actual &amp; Assumptions'!T90</f>
        <v>-5434</v>
      </c>
      <c r="U33" s="271">
        <f>'[33]Actual &amp; Assumptions'!U90</f>
        <v>-5487.50515</v>
      </c>
      <c r="V33" s="271">
        <f>'[33]Actual &amp; Assumptions'!V90</f>
        <v>-38</v>
      </c>
      <c r="W33" s="271">
        <f>'[33]Actual &amp; Assumptions'!W90</f>
        <v>3</v>
      </c>
      <c r="X33" s="271">
        <f>'[33]Actual &amp; Assumptions'!X90</f>
        <v>-0.2296</v>
      </c>
      <c r="Y33" s="271">
        <f>'[33]Actual &amp; Assumptions'!Y90</f>
        <v>-2881</v>
      </c>
      <c r="Z33" s="271">
        <f>'[33]Actual &amp; Assumptions'!Z90</f>
        <v>-2916.2296000000001</v>
      </c>
      <c r="AA33" s="271">
        <f>'[33]Actual &amp; Assumptions'!AA90</f>
        <v>13</v>
      </c>
      <c r="AB33" s="271">
        <f>'[33]Actual &amp; Assumptions'!AB90</f>
        <v>11</v>
      </c>
      <c r="AC33" s="271">
        <f>'[33]Actual &amp; Assumptions'!AC90</f>
        <v>11</v>
      </c>
      <c r="AD33" s="271">
        <f>'[33]Actual &amp; Assumptions'!AD90</f>
        <v>953</v>
      </c>
      <c r="AE33" s="271">
        <f>'[33]Actual &amp; Assumptions'!AE90</f>
        <v>988</v>
      </c>
      <c r="AF33" s="271">
        <f>'[33]Actual &amp; Assumptions'!AF90</f>
        <v>24</v>
      </c>
      <c r="AG33" s="271">
        <f>'[33]Actual &amp; Assumptions'!AG90</f>
        <v>17</v>
      </c>
      <c r="AH33" s="271">
        <f>'[33]Actual &amp; Assumptions'!AH90</f>
        <v>22</v>
      </c>
      <c r="AI33" s="271">
        <f>'[33]Actual &amp; Assumptions'!AI90</f>
        <v>3467</v>
      </c>
      <c r="AJ33" s="271">
        <f>'[33]Actual &amp; Assumptions'!AJ90</f>
        <v>3530</v>
      </c>
      <c r="AK33" s="271">
        <f>'[33]Actual &amp; Assumptions'!AK90</f>
        <v>0</v>
      </c>
      <c r="AL33" s="271">
        <f>'[33]Actual &amp; Assumptions'!AL90</f>
        <v>-612</v>
      </c>
      <c r="AM33" s="271">
        <f>'[33]Actual &amp; Assumptions'!AM90</f>
        <v>-664</v>
      </c>
      <c r="AN33" s="271">
        <f>'[33]Actual &amp; Assumptions'!AN90</f>
        <v>-794.11599999999999</v>
      </c>
      <c r="AO33" s="271">
        <f>'[33]Actual &amp; Assumptions'!AO90</f>
        <v>-2070.116</v>
      </c>
      <c r="AP33" s="271">
        <f>'[33]Actual &amp; Assumptions'!AP90</f>
        <v>1184.8520000000001</v>
      </c>
      <c r="AQ33" s="271">
        <f>'[33]Actual &amp; Assumptions'!AQ90</f>
        <v>-182.66200000000001</v>
      </c>
      <c r="AR33" s="271">
        <f>'[33]Actual &amp; Assumptions'!AR90</f>
        <v>167.71100000000001</v>
      </c>
      <c r="AS33" s="271">
        <f>'[33]Actual &amp; Assumptions'!AS90</f>
        <v>248.905</v>
      </c>
      <c r="AT33" s="271">
        <f>'[33]Actual &amp; Assumptions'!AT90</f>
        <v>1418.806</v>
      </c>
      <c r="AU33" s="271">
        <f>'[33]Actual &amp; Assumptions'!AU90</f>
        <v>0</v>
      </c>
      <c r="AV33" s="271">
        <f>'[33]Actual &amp; Assumptions'!AV90</f>
        <v>0</v>
      </c>
      <c r="AW33" s="271">
        <f>'[33]Actual &amp; Assumptions'!AW90</f>
        <v>0</v>
      </c>
      <c r="AX33" s="271">
        <f>'[33]Actual &amp; Assumptions'!AX90</f>
        <v>0</v>
      </c>
      <c r="AY33" s="271">
        <f>'[33]Actual &amp; Assumptions'!AY90</f>
        <v>0</v>
      </c>
      <c r="AZ33" s="229">
        <f>'[33]Actual &amp; Assumptions'!AZ90</f>
        <v>0</v>
      </c>
      <c r="BA33" s="229">
        <f>'[33]Actual &amp; Assumptions'!BA90</f>
        <v>0</v>
      </c>
      <c r="BB33" s="229">
        <f>'[33]Actual &amp; Assumptions'!BB90</f>
        <v>0</v>
      </c>
      <c r="BC33" s="229">
        <f>'[33]Actual &amp; Assumptions'!BC90</f>
        <v>0</v>
      </c>
      <c r="BD33" s="229">
        <f>'[33]Actual &amp; Assumptions'!BD90</f>
        <v>0</v>
      </c>
      <c r="BE33" s="229">
        <f>'[33]Actual &amp; Assumptions'!BE90</f>
        <v>0</v>
      </c>
      <c r="BF33" s="229">
        <f>'[33]Actual &amp; Assumptions'!BF90</f>
        <v>0</v>
      </c>
      <c r="BG33" s="229">
        <f>'[33]Actual &amp; Assumptions'!BG90</f>
        <v>0</v>
      </c>
      <c r="BH33" s="229">
        <f>'[33]Actual &amp; Assumptions'!BH90</f>
        <v>0</v>
      </c>
      <c r="BI33" s="229">
        <f>'[33]Actual &amp; Assumptions'!BI90</f>
        <v>0</v>
      </c>
      <c r="BJ33" s="229">
        <f>'[33]Actual &amp; Assumptions'!BJ90</f>
        <v>0</v>
      </c>
      <c r="BK33" s="229">
        <f>'[33]Actual &amp; Assumptions'!BK90</f>
        <v>0</v>
      </c>
      <c r="BL33" s="229">
        <f>'[33]Actual &amp; Assumptions'!BL90</f>
        <v>0</v>
      </c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</row>
    <row r="34" spans="1:272" s="222" customFormat="1" ht="18" hidden="1" outlineLevel="1">
      <c r="A34" s="270" t="s">
        <v>385</v>
      </c>
      <c r="B34" s="270"/>
      <c r="C34" s="271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1"/>
      <c r="T34" s="271"/>
      <c r="U34" s="271"/>
      <c r="V34" s="271"/>
      <c r="W34" s="271"/>
      <c r="X34" s="271"/>
      <c r="Y34" s="271"/>
      <c r="Z34" s="271"/>
      <c r="AA34" s="271"/>
      <c r="AB34" s="271"/>
      <c r="AC34" s="271"/>
      <c r="AD34" s="271"/>
      <c r="AE34" s="271"/>
      <c r="AF34" s="271"/>
      <c r="AG34" s="271"/>
      <c r="AH34" s="271"/>
      <c r="AI34" s="271"/>
      <c r="AJ34" s="271"/>
      <c r="AK34" s="271">
        <v>0</v>
      </c>
      <c r="AL34" s="271">
        <v>0</v>
      </c>
      <c r="AM34" s="271">
        <v>0</v>
      </c>
      <c r="AN34" s="271">
        <v>0</v>
      </c>
      <c r="AO34" s="271">
        <f>'[33]Actual &amp; Assumptions'!AO91</f>
        <v>0</v>
      </c>
      <c r="AP34" s="271">
        <f>'[33]Actual &amp; Assumptions'!AP94</f>
        <v>0</v>
      </c>
      <c r="AQ34" s="271">
        <f>'[33]Actual &amp; Assumptions'!AQ94</f>
        <v>0</v>
      </c>
      <c r="AR34" s="271">
        <f>'[33]Actual &amp; Assumptions'!AR94</f>
        <v>0</v>
      </c>
      <c r="AS34" s="271">
        <f>'[33]Actual &amp; Assumptions'!AS94</f>
        <v>0</v>
      </c>
      <c r="AT34" s="271">
        <f>'[33]Actual &amp; Assumptions'!AT94</f>
        <v>0</v>
      </c>
      <c r="AU34" s="271">
        <f>'[33]Actual &amp; Assumptions'!AU94</f>
        <v>0</v>
      </c>
      <c r="AV34" s="271">
        <f>'[33]Actual &amp; Assumptions'!AV94</f>
        <v>0</v>
      </c>
      <c r="AW34" s="271">
        <f>'[33]Actual &amp; Assumptions'!AW94</f>
        <v>0</v>
      </c>
      <c r="AX34" s="271">
        <f>'[33]Actual &amp; Assumptions'!AX94</f>
        <v>0</v>
      </c>
      <c r="AY34" s="271">
        <f>'[33]Actual &amp; Assumptions'!AY94</f>
        <v>0</v>
      </c>
      <c r="AZ34" s="229">
        <f>'[33]Actual &amp; Assumptions'!AZ94</f>
        <v>0</v>
      </c>
      <c r="BA34" s="229">
        <f>'[33]Actual &amp; Assumptions'!BA94</f>
        <v>0</v>
      </c>
      <c r="BB34" s="229">
        <f>'[33]Actual &amp; Assumptions'!BB94</f>
        <v>0</v>
      </c>
      <c r="BC34" s="229">
        <f>'[33]Actual &amp; Assumptions'!BC94</f>
        <v>0</v>
      </c>
      <c r="BD34" s="229">
        <f>'[33]Actual &amp; Assumptions'!BD94</f>
        <v>0</v>
      </c>
      <c r="BE34" s="229">
        <f>'[33]Actual &amp; Assumptions'!BE94</f>
        <v>0</v>
      </c>
      <c r="BF34" s="229">
        <f>'[33]Actual &amp; Assumptions'!BF94</f>
        <v>0</v>
      </c>
      <c r="BG34" s="229">
        <f>'[33]Actual &amp; Assumptions'!BG94</f>
        <v>0</v>
      </c>
      <c r="BH34" s="229">
        <f>'[33]Actual &amp; Assumptions'!BH94</f>
        <v>0</v>
      </c>
      <c r="BI34" s="229">
        <f>'[33]Actual &amp; Assumptions'!BI94</f>
        <v>0</v>
      </c>
      <c r="BJ34" s="229">
        <f>'[33]Actual &amp; Assumptions'!BJ94</f>
        <v>0</v>
      </c>
      <c r="BK34" s="229">
        <f>'[33]Actual &amp; Assumptions'!BK94</f>
        <v>0</v>
      </c>
      <c r="BL34" s="229">
        <f>'[33]Actual &amp; Assumptions'!BL94</f>
        <v>0</v>
      </c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</row>
    <row r="35" spans="1:272" s="222" customFormat="1" ht="18" hidden="1" outlineLevel="1">
      <c r="A35" s="270" t="str">
        <f>'[33]Actual &amp; Assumptions'!A97</f>
        <v>Minority Interest Share in Net Income</v>
      </c>
      <c r="B35" s="270"/>
      <c r="C35" s="271">
        <f>'[33]Actual &amp; Assumptions'!C98</f>
        <v>0</v>
      </c>
      <c r="D35" s="271">
        <f>'[33]Actual &amp; Assumptions'!D98</f>
        <v>0</v>
      </c>
      <c r="E35" s="271">
        <f>'[33]Actual &amp; Assumptions'!E98</f>
        <v>0</v>
      </c>
      <c r="F35" s="271">
        <f>'[33]Actual &amp; Assumptions'!F98</f>
        <v>0</v>
      </c>
      <c r="G35" s="271">
        <f>'[33]Actual &amp; Assumptions'!G98</f>
        <v>0</v>
      </c>
      <c r="H35" s="271">
        <f>'[33]Actual &amp; Assumptions'!H98</f>
        <v>0</v>
      </c>
      <c r="I35" s="271">
        <f>'[33]Actual &amp; Assumptions'!I98</f>
        <v>0</v>
      </c>
      <c r="J35" s="271">
        <f>'[33]Actual &amp; Assumptions'!J98</f>
        <v>0</v>
      </c>
      <c r="K35" s="271">
        <f>'[33]Actual &amp; Assumptions'!K98</f>
        <v>0</v>
      </c>
      <c r="L35" s="271">
        <f>'[33]Actual &amp; Assumptions'!L98</f>
        <v>0</v>
      </c>
      <c r="M35" s="271">
        <f>'[33]Actual &amp; Assumptions'!M98</f>
        <v>0</v>
      </c>
      <c r="N35" s="271">
        <f>'[33]Actual &amp; Assumptions'!N98</f>
        <v>0</v>
      </c>
      <c r="O35" s="271">
        <f>'[33]Actual &amp; Assumptions'!O98</f>
        <v>0</v>
      </c>
      <c r="P35" s="271">
        <f>'[33]Actual &amp; Assumptions'!P98</f>
        <v>0</v>
      </c>
      <c r="Q35" s="271">
        <f>'[33]Actual &amp; Assumptions'!Q98</f>
        <v>0</v>
      </c>
      <c r="R35" s="271">
        <f>'[33]Actual &amp; Assumptions'!R98</f>
        <v>0</v>
      </c>
      <c r="S35" s="271">
        <f>'[33]Actual &amp; Assumptions'!S98</f>
        <v>0</v>
      </c>
      <c r="T35" s="271">
        <f>'[33]Actual &amp; Assumptions'!T98</f>
        <v>0</v>
      </c>
      <c r="U35" s="271">
        <f>'[33]Actual &amp; Assumptions'!U98</f>
        <v>0</v>
      </c>
      <c r="V35" s="271">
        <f>'[33]Actual &amp; Assumptions'!V98</f>
        <v>0</v>
      </c>
      <c r="W35" s="271">
        <f>'[33]Actual &amp; Assumptions'!W98</f>
        <v>0</v>
      </c>
      <c r="X35" s="271">
        <f>'[33]Actual &amp; Assumptions'!X98</f>
        <v>0</v>
      </c>
      <c r="Y35" s="271">
        <f>'[33]Actual &amp; Assumptions'!Y98</f>
        <v>0</v>
      </c>
      <c r="Z35" s="271">
        <f>'[33]Actual &amp; Assumptions'!Z98</f>
        <v>0</v>
      </c>
      <c r="AA35" s="271">
        <f>'[33]Actual &amp; Assumptions'!AA98</f>
        <v>0</v>
      </c>
      <c r="AB35" s="271">
        <f>'[33]Actual &amp; Assumptions'!AB98</f>
        <v>0</v>
      </c>
      <c r="AC35" s="271">
        <f>'[33]Actual &amp; Assumptions'!AC98</f>
        <v>0</v>
      </c>
      <c r="AD35" s="271">
        <f>'[33]Actual &amp; Assumptions'!AD98</f>
        <v>0</v>
      </c>
      <c r="AE35" s="271">
        <f>'[33]Actual &amp; Assumptions'!AE98</f>
        <v>0</v>
      </c>
      <c r="AF35" s="271">
        <f>'[33]Actual &amp; Assumptions'!AF98</f>
        <v>0</v>
      </c>
      <c r="AG35" s="271">
        <f>'[33]Actual &amp; Assumptions'!AG98</f>
        <v>0</v>
      </c>
      <c r="AH35" s="271">
        <f>'[33]Actual &amp; Assumptions'!AH98</f>
        <v>0</v>
      </c>
      <c r="AI35" s="271">
        <f>'[33]Actual &amp; Assumptions'!AI98</f>
        <v>0</v>
      </c>
      <c r="AJ35" s="271">
        <f>'[33]Actual &amp; Assumptions'!AJ98</f>
        <v>0</v>
      </c>
      <c r="AK35" s="271">
        <f>'[33]Actual &amp; Assumptions'!AK98</f>
        <v>0</v>
      </c>
      <c r="AL35" s="271">
        <f>'[33]Actual &amp; Assumptions'!AL98</f>
        <v>0</v>
      </c>
      <c r="AM35" s="271">
        <f>'[33]Actual &amp; Assumptions'!AM98</f>
        <v>0</v>
      </c>
      <c r="AN35" s="271">
        <f>'[33]Actual &amp; Assumptions'!AN98</f>
        <v>0</v>
      </c>
      <c r="AO35" s="271">
        <f>'[33]Actual &amp; Assumptions'!AO92</f>
        <v>0</v>
      </c>
      <c r="AP35" s="271">
        <f>'[33]Actual &amp; Assumptions'!AP98</f>
        <v>0</v>
      </c>
      <c r="AQ35" s="271">
        <f>'[33]Actual &amp; Assumptions'!AQ98</f>
        <v>0</v>
      </c>
      <c r="AR35" s="271">
        <f>'[33]Actual &amp; Assumptions'!AR98</f>
        <v>0</v>
      </c>
      <c r="AS35" s="271">
        <f>'[33]Actual &amp; Assumptions'!AS98</f>
        <v>0</v>
      </c>
      <c r="AT35" s="271">
        <f>'[33]Actual &amp; Assumptions'!AT92</f>
        <v>0</v>
      </c>
      <c r="AU35" s="271">
        <f>'[33]Actual &amp; Assumptions'!AU98</f>
        <v>0</v>
      </c>
      <c r="AV35" s="271">
        <f>'[33]Actual &amp; Assumptions'!AV98</f>
        <v>0</v>
      </c>
      <c r="AW35" s="271">
        <f>'[33]Actual &amp; Assumptions'!AW98</f>
        <v>0</v>
      </c>
      <c r="AX35" s="271">
        <f>'[33]Actual &amp; Assumptions'!AX98</f>
        <v>0</v>
      </c>
      <c r="AY35" s="271">
        <f>'[33]Actual &amp; Assumptions'!AY92</f>
        <v>0</v>
      </c>
      <c r="AZ35" s="229">
        <f>'[33]Actual &amp; Assumptions'!AZ98</f>
        <v>0</v>
      </c>
      <c r="BA35" s="229">
        <f>'[33]Actual &amp; Assumptions'!BA98</f>
        <v>0</v>
      </c>
      <c r="BB35" s="229">
        <f>'[33]Actual &amp; Assumptions'!BB98</f>
        <v>0</v>
      </c>
      <c r="BC35" s="229">
        <f>'[33]Actual &amp; Assumptions'!BC98</f>
        <v>0</v>
      </c>
      <c r="BD35" s="229">
        <f>'[33]Actual &amp; Assumptions'!BD98</f>
        <v>0</v>
      </c>
      <c r="BE35" s="229">
        <f>'[33]Actual &amp; Assumptions'!BE98</f>
        <v>0</v>
      </c>
      <c r="BF35" s="229">
        <f>'[33]Actual &amp; Assumptions'!BF98</f>
        <v>0</v>
      </c>
      <c r="BG35" s="229">
        <f>'[33]Actual &amp; Assumptions'!BG98</f>
        <v>0</v>
      </c>
      <c r="BH35" s="229">
        <f>'[33]Actual &amp; Assumptions'!BH98</f>
        <v>0</v>
      </c>
      <c r="BI35" s="229">
        <f>'[33]Actual &amp; Assumptions'!BI98</f>
        <v>0</v>
      </c>
      <c r="BJ35" s="229">
        <f>'[33]Actual &amp; Assumptions'!BJ98</f>
        <v>0</v>
      </c>
      <c r="BK35" s="229">
        <f>'[33]Actual &amp; Assumptions'!BK98</f>
        <v>0</v>
      </c>
      <c r="BL35" s="229">
        <f>'[33]Actual &amp; Assumptions'!BL98</f>
        <v>0</v>
      </c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</row>
    <row r="36" spans="1:272" s="222" customFormat="1" ht="18" outlineLevel="1">
      <c r="A36" s="276" t="s">
        <v>247</v>
      </c>
      <c r="B36" s="276"/>
      <c r="C36" s="277">
        <f>SUM(C31:C35)</f>
        <v>7400</v>
      </c>
      <c r="D36" s="277">
        <f>SUM(D31:D35)</f>
        <v>19146</v>
      </c>
      <c r="E36" s="277">
        <f t="shared" ref="E36:BA36" si="30">SUM(E31:E35)</f>
        <v>26165</v>
      </c>
      <c r="F36" s="277">
        <f t="shared" si="30"/>
        <v>27216</v>
      </c>
      <c r="G36" s="277">
        <f t="shared" si="30"/>
        <v>9497.0580000000482</v>
      </c>
      <c r="H36" s="277">
        <f t="shared" si="30"/>
        <v>15754.993000000046</v>
      </c>
      <c r="I36" s="277">
        <f t="shared" si="30"/>
        <v>2240</v>
      </c>
      <c r="J36" s="277">
        <f t="shared" si="30"/>
        <v>-2106.4181759005587</v>
      </c>
      <c r="K36" s="277">
        <f t="shared" si="30"/>
        <v>4291.3250200001075</v>
      </c>
      <c r="L36" s="277">
        <f>SUM(L31:L35)</f>
        <v>564.98962999998184</v>
      </c>
      <c r="M36" s="277">
        <f>SUM(M31:M35)</f>
        <v>4153.819919999718</v>
      </c>
      <c r="N36" s="277">
        <f>SUM(N31:N35)</f>
        <v>5716.2840600000054</v>
      </c>
      <c r="O36" s="277">
        <f>SUM(O31:O35)</f>
        <v>-186.88799999997718</v>
      </c>
      <c r="P36" s="277">
        <f t="shared" si="30"/>
        <v>10248.205609999684</v>
      </c>
      <c r="Q36" s="277">
        <f t="shared" si="30"/>
        <v>6721.0500355000067</v>
      </c>
      <c r="R36" s="277">
        <f t="shared" si="30"/>
        <v>1292.165871888426</v>
      </c>
      <c r="S36" s="277">
        <f t="shared" si="30"/>
        <v>1767.9714599998988</v>
      </c>
      <c r="T36" s="277">
        <f t="shared" si="30"/>
        <v>3236.6782099999982</v>
      </c>
      <c r="U36" s="277">
        <f t="shared" si="30"/>
        <v>13017.865577388387</v>
      </c>
      <c r="V36" s="277">
        <f t="shared" si="30"/>
        <v>12946.741370000014</v>
      </c>
      <c r="W36" s="277">
        <f t="shared" si="30"/>
        <v>812.44945000000098</v>
      </c>
      <c r="X36" s="277">
        <f t="shared" si="30"/>
        <v>1794.2194200001179</v>
      </c>
      <c r="Y36" s="277">
        <f t="shared" si="30"/>
        <v>-14728.8963100001</v>
      </c>
      <c r="Z36" s="277">
        <f>SUM(Z31:Z35)</f>
        <v>824.51392999999234</v>
      </c>
      <c r="AA36" s="277">
        <f t="shared" si="30"/>
        <v>-1667.543335088691</v>
      </c>
      <c r="AB36" s="277">
        <f t="shared" si="30"/>
        <v>-1952.9524034993037</v>
      </c>
      <c r="AC36" s="277">
        <f t="shared" si="30"/>
        <v>-880.09898335999196</v>
      </c>
      <c r="AD36" s="277">
        <f t="shared" si="30"/>
        <v>4281.0608134399845</v>
      </c>
      <c r="AE36" s="277">
        <f t="shared" si="30"/>
        <v>-219.53390850798678</v>
      </c>
      <c r="AF36" s="277">
        <f>SUM(AF31:AF35)</f>
        <v>-5922.3302300000032</v>
      </c>
      <c r="AG36" s="277">
        <f>SUM(AG31:AG35)</f>
        <v>-6790.6708699999945</v>
      </c>
      <c r="AH36" s="277">
        <f>SUM(AH31:AH35)</f>
        <v>-24363.747860000003</v>
      </c>
      <c r="AI36" s="277">
        <f>SUM(AI31:AI35)</f>
        <v>-11875</v>
      </c>
      <c r="AJ36" s="277">
        <f>SUM(AJ31:AJ35)</f>
        <v>-48951.748959999983</v>
      </c>
      <c r="AK36" s="277">
        <f t="shared" ref="AK36:AN36" si="31">SUM(AK31:AK35)</f>
        <v>-43203</v>
      </c>
      <c r="AL36" s="277">
        <f t="shared" si="31"/>
        <v>-6697</v>
      </c>
      <c r="AM36" s="277">
        <f t="shared" si="31"/>
        <v>-10753</v>
      </c>
      <c r="AN36" s="277">
        <f t="shared" si="31"/>
        <v>345.88400000000001</v>
      </c>
      <c r="AO36" s="277">
        <f>SUM(AO31:AO35)</f>
        <v>-60307.116000000002</v>
      </c>
      <c r="AP36" s="277">
        <f t="shared" ref="AP36:AS36" si="32">SUM(AP31:AP35)</f>
        <v>-1265.6301298207215</v>
      </c>
      <c r="AQ36" s="277">
        <f t="shared" si="32"/>
        <v>1497.7216984072595</v>
      </c>
      <c r="AR36" s="277">
        <f t="shared" si="32"/>
        <v>-861.13671169337226</v>
      </c>
      <c r="AS36" s="277">
        <f t="shared" si="32"/>
        <v>-7668.9542938999957</v>
      </c>
      <c r="AT36" s="277">
        <f>SUM(AT31:AT35)</f>
        <v>-8297.9994370068707</v>
      </c>
      <c r="AU36" s="277">
        <f t="shared" ref="AU36:AX36" si="33">SUM(AU31:AU35)</f>
        <v>-1360.0649766666802</v>
      </c>
      <c r="AV36" s="277">
        <f t="shared" si="33"/>
        <v>217.34583333336468</v>
      </c>
      <c r="AW36" s="277">
        <f t="shared" si="33"/>
        <v>293.95747333335794</v>
      </c>
      <c r="AX36" s="277">
        <f t="shared" si="33"/>
        <v>2232.0234127500057</v>
      </c>
      <c r="AY36" s="277">
        <f>SUM(AY31:AY35)</f>
        <v>1383.2617427500695</v>
      </c>
      <c r="AZ36" s="233">
        <f t="shared" si="30"/>
        <v>14904.05443471121</v>
      </c>
      <c r="BA36" s="233">
        <f t="shared" si="30"/>
        <v>19010.224302541879</v>
      </c>
      <c r="BB36" s="233">
        <f>SUM(BB31:BB35)</f>
        <v>25167.859839431858</v>
      </c>
      <c r="BC36" s="233">
        <f>SUM(BC31:BC35)</f>
        <v>32316.136293190859</v>
      </c>
      <c r="BD36" s="233">
        <f t="shared" ref="BD36:BL36" si="34">SUM(BD31:BD35)</f>
        <v>37962.641583550234</v>
      </c>
      <c r="BE36" s="233">
        <f t="shared" si="34"/>
        <v>46509.470123869098</v>
      </c>
      <c r="BF36" s="233">
        <f t="shared" si="34"/>
        <v>53967.283263107172</v>
      </c>
      <c r="BG36" s="233">
        <f t="shared" si="34"/>
        <v>62436.451861475034</v>
      </c>
      <c r="BH36" s="233">
        <f t="shared" si="34"/>
        <v>71746.510796248185</v>
      </c>
      <c r="BI36" s="233">
        <f t="shared" si="34"/>
        <v>82181.966823909519</v>
      </c>
      <c r="BJ36" s="233">
        <f t="shared" si="34"/>
        <v>94562.200278930613</v>
      </c>
      <c r="BK36" s="233">
        <f t="shared" si="34"/>
        <v>107622.76092554763</v>
      </c>
      <c r="BL36" s="233">
        <f t="shared" si="34"/>
        <v>122121.25322675562</v>
      </c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</row>
    <row r="37" spans="1:272" s="235" customFormat="1" ht="18" outlineLevel="1">
      <c r="A37" s="278" t="s">
        <v>386</v>
      </c>
      <c r="B37" s="278"/>
      <c r="C37" s="279">
        <f t="shared" ref="C37:AY37" si="35">C36/C11</f>
        <v>6.736949436463284E-2</v>
      </c>
      <c r="D37" s="279">
        <f t="shared" si="35"/>
        <v>0.10007265276681598</v>
      </c>
      <c r="E37" s="279">
        <f t="shared" si="35"/>
        <v>7.823268580449752E-2</v>
      </c>
      <c r="F37" s="279">
        <f t="shared" si="35"/>
        <v>9.771053755874444E-2</v>
      </c>
      <c r="G37" s="279">
        <f t="shared" si="35"/>
        <v>3.604797730633337E-2</v>
      </c>
      <c r="H37" s="279">
        <f t="shared" si="35"/>
        <v>5.312492496375E-2</v>
      </c>
      <c r="I37" s="279">
        <f t="shared" si="35"/>
        <v>8.5906369727208921E-3</v>
      </c>
      <c r="J37" s="279">
        <f t="shared" si="35"/>
        <v>-1.1057603485133776E-2</v>
      </c>
      <c r="K37" s="279">
        <f t="shared" si="35"/>
        <v>2.0200269178651878E-2</v>
      </c>
      <c r="L37" s="279">
        <f>L36/L11</f>
        <v>1.1064126701262741E-2</v>
      </c>
      <c r="M37" s="279">
        <f>M36/M11</f>
        <v>5.3091079762644246E-2</v>
      </c>
      <c r="N37" s="279">
        <f>N36/N11</f>
        <v>9.3074834896444011E-2</v>
      </c>
      <c r="O37" s="279">
        <f>O36/O11</f>
        <v>-2.1685773961473333E-3</v>
      </c>
      <c r="P37" s="279">
        <f t="shared" si="35"/>
        <v>3.7010425556017815E-2</v>
      </c>
      <c r="Q37" s="279">
        <f t="shared" si="35"/>
        <v>9.1193704526476918E-2</v>
      </c>
      <c r="R37" s="279">
        <f t="shared" si="35"/>
        <v>1.9128745272289468E-2</v>
      </c>
      <c r="S37" s="279">
        <f t="shared" si="35"/>
        <v>1.9055318006918429E-2</v>
      </c>
      <c r="T37" s="279">
        <f t="shared" si="35"/>
        <v>3.8814210627300942E-2</v>
      </c>
      <c r="U37" s="279">
        <f t="shared" si="35"/>
        <v>4.1011250966593936E-2</v>
      </c>
      <c r="V37" s="279">
        <f t="shared" si="35"/>
        <v>0.11703057454328522</v>
      </c>
      <c r="W37" s="279">
        <f t="shared" si="35"/>
        <v>1.5391672823718878E-2</v>
      </c>
      <c r="X37" s="279">
        <f t="shared" si="35"/>
        <v>2.2042272800956653E-2</v>
      </c>
      <c r="Y37" s="279">
        <f t="shared" si="35"/>
        <v>-0.21867237232021053</v>
      </c>
      <c r="Z37" s="279">
        <f t="shared" si="35"/>
        <v>2.6412589265551213E-3</v>
      </c>
      <c r="AA37" s="279">
        <f t="shared" si="35"/>
        <v>-3.1700884212563611E-2</v>
      </c>
      <c r="AB37" s="279">
        <f t="shared" si="35"/>
        <v>-5.1585293206012239E-2</v>
      </c>
      <c r="AC37" s="279">
        <f t="shared" si="35"/>
        <v>-1.8578175796265042E-2</v>
      </c>
      <c r="AD37" s="279">
        <f t="shared" si="35"/>
        <v>6.0830257480682284E-2</v>
      </c>
      <c r="AE37" s="279">
        <f t="shared" si="35"/>
        <v>-1.054381774629083E-3</v>
      </c>
      <c r="AF37" s="279">
        <f t="shared" si="35"/>
        <v>-0.16892643302745919</v>
      </c>
      <c r="AG37" s="279">
        <f t="shared" si="35"/>
        <v>-0.16034486306076368</v>
      </c>
      <c r="AH37" s="279">
        <f t="shared" si="35"/>
        <v>-0.36095979850509441</v>
      </c>
      <c r="AI37" s="279">
        <f t="shared" si="35"/>
        <v>-0.20065900642108819</v>
      </c>
      <c r="AJ37" s="279">
        <f t="shared" si="35"/>
        <v>-0.23985823786448679</v>
      </c>
      <c r="AK37" s="279">
        <f t="shared" si="35"/>
        <v>-1.3924772771224134</v>
      </c>
      <c r="AL37" s="279">
        <f t="shared" si="35"/>
        <v>-0.22356122312725329</v>
      </c>
      <c r="AM37" s="279">
        <f t="shared" si="35"/>
        <v>-0.52445983514607619</v>
      </c>
      <c r="AN37" s="279">
        <f t="shared" si="35"/>
        <v>8.5243493690851744E-3</v>
      </c>
      <c r="AO37" s="279">
        <f t="shared" si="35"/>
        <v>-0.49407358615774083</v>
      </c>
      <c r="AP37" s="279">
        <f t="shared" si="35"/>
        <v>-3.4800571805715677E-2</v>
      </c>
      <c r="AQ37" s="279">
        <f t="shared" si="35"/>
        <v>4.0383640811109241E-2</v>
      </c>
      <c r="AR37" s="279">
        <f t="shared" si="35"/>
        <v>-3.2346023862554037E-2</v>
      </c>
      <c r="AS37" s="279">
        <f t="shared" si="35"/>
        <v>-0.23821108681758377</v>
      </c>
      <c r="AT37" s="280">
        <f t="shared" si="35"/>
        <v>-6.2734356542605577E-2</v>
      </c>
      <c r="AU37" s="280">
        <f t="shared" si="35"/>
        <v>-1.5934668741449356E-2</v>
      </c>
      <c r="AV37" s="280">
        <f t="shared" si="35"/>
        <v>2.5721030876106558E-3</v>
      </c>
      <c r="AW37" s="280">
        <f t="shared" si="35"/>
        <v>5.0083823064458648E-3</v>
      </c>
      <c r="AX37" s="280">
        <f t="shared" si="35"/>
        <v>3.9372637720759392E-2</v>
      </c>
      <c r="AY37" s="280">
        <f t="shared" si="35"/>
        <v>4.8495241062213746E-3</v>
      </c>
      <c r="AZ37" s="234">
        <f>AZ36/AZ11</f>
        <v>4.7782843412385347E-2</v>
      </c>
      <c r="BA37" s="234">
        <f>BA36/BA11</f>
        <v>5.5715773796438765E-2</v>
      </c>
      <c r="BB37" s="234">
        <f>BB36/BB11</f>
        <v>6.7409185175779013E-2</v>
      </c>
      <c r="BC37" s="234">
        <f>BC36/BC11</f>
        <v>7.9075181495151747E-2</v>
      </c>
      <c r="BD37" s="234">
        <f t="shared" ref="BD37:BL37" si="36">BD36/BD11</f>
        <v>8.4839588529006443E-2</v>
      </c>
      <c r="BE37" s="234">
        <f t="shared" si="36"/>
        <v>9.4904153924682627E-2</v>
      </c>
      <c r="BF37" s="234">
        <f t="shared" si="36"/>
        <v>0.10052244842847438</v>
      </c>
      <c r="BG37" s="234">
        <f t="shared" si="36"/>
        <v>0.1061335473749956</v>
      </c>
      <c r="BH37" s="234">
        <f t="shared" si="36"/>
        <v>0.11127472271229008</v>
      </c>
      <c r="BI37" s="234">
        <f t="shared" si="36"/>
        <v>0.11626756185051992</v>
      </c>
      <c r="BJ37" s="234">
        <f t="shared" si="36"/>
        <v>0.12201026380711677</v>
      </c>
      <c r="BK37" s="234">
        <f t="shared" si="36"/>
        <v>0.12661796000949166</v>
      </c>
      <c r="BL37" s="234">
        <f t="shared" si="36"/>
        <v>0.13098312175642438</v>
      </c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</row>
    <row r="38" spans="1:272" s="222" customFormat="1" outlineLevel="1">
      <c r="C38" s="236"/>
      <c r="D38" s="236"/>
      <c r="E38" s="236"/>
      <c r="F38" s="236"/>
      <c r="G38" s="236"/>
      <c r="H38" s="236"/>
      <c r="I38" s="236"/>
      <c r="J38" s="236"/>
      <c r="K38" s="236"/>
      <c r="L38" s="236"/>
      <c r="M38" s="236"/>
      <c r="N38" s="236"/>
      <c r="O38" s="236"/>
      <c r="P38" s="236"/>
      <c r="Q38" s="236"/>
      <c r="R38" s="236"/>
      <c r="S38" s="236"/>
      <c r="T38" s="236"/>
      <c r="U38" s="236"/>
      <c r="V38" s="236"/>
      <c r="W38" s="236"/>
      <c r="X38" s="236"/>
      <c r="Y38" s="236"/>
      <c r="Z38" s="236"/>
      <c r="AA38" s="236"/>
      <c r="AB38" s="236"/>
      <c r="AC38" s="236"/>
      <c r="AD38" s="236"/>
      <c r="AE38" s="236"/>
      <c r="AF38" s="236"/>
      <c r="AG38" s="236"/>
      <c r="AH38" s="236"/>
      <c r="AI38" s="236"/>
      <c r="AJ38" s="236"/>
      <c r="AK38" s="236"/>
      <c r="AL38" s="236"/>
      <c r="AM38" s="236"/>
      <c r="AN38" s="236"/>
      <c r="AO38" s="236"/>
      <c r="AP38" s="236"/>
      <c r="AQ38" s="236"/>
      <c r="AR38" s="236"/>
      <c r="AS38" s="236"/>
      <c r="AT38" s="236"/>
      <c r="AU38" s="236"/>
      <c r="AV38" s="236"/>
      <c r="AW38" s="236"/>
      <c r="AX38" s="236"/>
      <c r="AY38" s="236"/>
      <c r="AZ38" s="236"/>
      <c r="BA38" s="236"/>
      <c r="BB38" s="236"/>
      <c r="BC38" s="236"/>
      <c r="BD38" s="236"/>
      <c r="BE38" s="236"/>
      <c r="BF38" s="236"/>
      <c r="BG38" s="236"/>
      <c r="BH38" s="236"/>
      <c r="BI38" s="236"/>
      <c r="BJ38" s="236"/>
      <c r="BK38" s="236"/>
      <c r="BL38" s="236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</row>
    <row r="39" spans="1:272" hidden="1">
      <c r="Z39" s="215"/>
      <c r="AF39" s="215"/>
      <c r="AG39" s="215"/>
      <c r="AH39" s="215"/>
      <c r="AI39" s="215"/>
      <c r="AJ39" s="215"/>
      <c r="AK39" s="215"/>
      <c r="AL39" s="215"/>
      <c r="AM39" s="215"/>
      <c r="AN39" s="215"/>
      <c r="AO39" s="215"/>
      <c r="AP39" s="215"/>
      <c r="AQ39" s="215"/>
      <c r="AR39" s="215"/>
      <c r="AS39" s="215"/>
      <c r="AT39" s="215"/>
      <c r="AU39" s="215"/>
      <c r="AV39" s="215"/>
      <c r="AW39" s="215"/>
      <c r="AX39" s="215"/>
      <c r="AY39" s="215"/>
      <c r="AZ39" s="215"/>
      <c r="BA39" s="215"/>
      <c r="BB39" s="215"/>
      <c r="BC39" s="215"/>
      <c r="BD39" s="215"/>
      <c r="BE39" s="215"/>
      <c r="BF39" s="215"/>
      <c r="BG39" s="215"/>
      <c r="BH39" s="215"/>
      <c r="BI39" s="215"/>
      <c r="BJ39" s="215"/>
      <c r="BK39" s="215"/>
      <c r="BL39" s="215"/>
    </row>
    <row r="40" spans="1:272" s="239" customFormat="1" ht="18" hidden="1">
      <c r="A40" s="237" t="s">
        <v>387</v>
      </c>
      <c r="B40" s="237"/>
      <c r="C40" s="238" t="str">
        <f t="shared" ref="C40:AJ40" si="37">C4</f>
        <v>2006 A</v>
      </c>
      <c r="D40" s="238" t="str">
        <f t="shared" si="37"/>
        <v>2007 A</v>
      </c>
      <c r="E40" s="238" t="str">
        <f t="shared" si="37"/>
        <v>2008 A</v>
      </c>
      <c r="F40" s="238" t="str">
        <f t="shared" si="37"/>
        <v>2009 A</v>
      </c>
      <c r="G40" s="238" t="str">
        <f t="shared" si="37"/>
        <v>2010 A</v>
      </c>
      <c r="H40" s="238" t="str">
        <f t="shared" si="37"/>
        <v>2011 A</v>
      </c>
      <c r="I40" s="238" t="str">
        <f t="shared" si="37"/>
        <v>2012 A</v>
      </c>
      <c r="J40" s="238" t="str">
        <f t="shared" si="37"/>
        <v>2013 A</v>
      </c>
      <c r="K40" s="238" t="str">
        <f t="shared" si="37"/>
        <v>2014 A</v>
      </c>
      <c r="L40" s="238" t="s">
        <v>352</v>
      </c>
      <c r="M40" s="238" t="s">
        <v>353</v>
      </c>
      <c r="N40" s="238" t="s">
        <v>354</v>
      </c>
      <c r="O40" s="238" t="s">
        <v>355</v>
      </c>
      <c r="P40" s="238" t="str">
        <f t="shared" si="37"/>
        <v>2015 A</v>
      </c>
      <c r="Q40" s="238" t="s">
        <v>356</v>
      </c>
      <c r="R40" s="238" t="s">
        <v>357</v>
      </c>
      <c r="S40" s="238" t="s">
        <v>358</v>
      </c>
      <c r="T40" s="238" t="s">
        <v>359</v>
      </c>
      <c r="U40" s="238" t="str">
        <f t="shared" si="37"/>
        <v>2016 A</v>
      </c>
      <c r="V40" s="238" t="s">
        <v>360</v>
      </c>
      <c r="W40" s="238" t="s">
        <v>361</v>
      </c>
      <c r="X40" s="238" t="s">
        <v>362</v>
      </c>
      <c r="Y40" s="238" t="s">
        <v>363</v>
      </c>
      <c r="Z40" s="238" t="str">
        <f t="shared" si="37"/>
        <v>2017 A</v>
      </c>
      <c r="AA40" s="238" t="s">
        <v>364</v>
      </c>
      <c r="AB40" s="238" t="s">
        <v>365</v>
      </c>
      <c r="AC40" s="238" t="s">
        <v>366</v>
      </c>
      <c r="AD40" s="238" t="s">
        <v>367</v>
      </c>
      <c r="AE40" s="238" t="str">
        <f t="shared" si="37"/>
        <v>2018 A</v>
      </c>
      <c r="AF40" s="238" t="str">
        <f t="shared" si="37"/>
        <v>Q1 - 2019</v>
      </c>
      <c r="AG40" s="238" t="str">
        <f t="shared" si="37"/>
        <v>Q2 - 2019</v>
      </c>
      <c r="AH40" s="238" t="str">
        <f t="shared" si="37"/>
        <v>Q3 - 2019</v>
      </c>
      <c r="AI40" s="238" t="str">
        <f t="shared" si="37"/>
        <v>Q4 - 2019</v>
      </c>
      <c r="AJ40" s="238" t="str">
        <f t="shared" si="37"/>
        <v>2019 A</v>
      </c>
      <c r="AK40" s="238" t="s">
        <v>368</v>
      </c>
      <c r="AL40" s="238" t="s">
        <v>369</v>
      </c>
      <c r="AM40" s="238" t="s">
        <v>370</v>
      </c>
      <c r="AN40" s="238" t="s">
        <v>371</v>
      </c>
      <c r="AO40" s="238" t="s">
        <v>293</v>
      </c>
      <c r="AP40" s="238" t="s">
        <v>372</v>
      </c>
      <c r="AQ40" s="238" t="s">
        <v>373</v>
      </c>
      <c r="AR40" s="238" t="s">
        <v>374</v>
      </c>
      <c r="AS40" s="238" t="s">
        <v>375</v>
      </c>
      <c r="AT40" s="238" t="s">
        <v>278</v>
      </c>
      <c r="AU40" s="238" t="s">
        <v>376</v>
      </c>
      <c r="AV40" s="238" t="s">
        <v>377</v>
      </c>
      <c r="AW40" s="238" t="s">
        <v>378</v>
      </c>
      <c r="AX40" s="238" t="s">
        <v>379</v>
      </c>
      <c r="AY40" s="238" t="str">
        <f>AY4</f>
        <v>2022 P</v>
      </c>
      <c r="AZ40" s="238" t="str">
        <f>AZ4</f>
        <v>2023 P</v>
      </c>
      <c r="BA40" s="238" t="str">
        <f>BA4</f>
        <v>2024 P</v>
      </c>
      <c r="BB40" s="238" t="str">
        <f>BB4</f>
        <v>2025 P</v>
      </c>
      <c r="BC40" s="238" t="str">
        <f>BC4</f>
        <v>2026 P</v>
      </c>
      <c r="BD40" s="238" t="str">
        <f t="shared" ref="BD40:BL40" si="38">BD4</f>
        <v>2027 P</v>
      </c>
      <c r="BE40" s="238" t="str">
        <f t="shared" si="38"/>
        <v>2028 P</v>
      </c>
      <c r="BF40" s="238" t="str">
        <f t="shared" si="38"/>
        <v>2029 P</v>
      </c>
      <c r="BG40" s="238" t="str">
        <f t="shared" si="38"/>
        <v>2030 P</v>
      </c>
      <c r="BH40" s="238" t="str">
        <f t="shared" si="38"/>
        <v>2031 P</v>
      </c>
      <c r="BI40" s="238" t="str">
        <f t="shared" si="38"/>
        <v>2032 P</v>
      </c>
      <c r="BJ40" s="238" t="str">
        <f t="shared" si="38"/>
        <v>2033 P</v>
      </c>
      <c r="BK40" s="238" t="str">
        <f t="shared" si="38"/>
        <v>2034 P</v>
      </c>
      <c r="BL40" s="238" t="str">
        <f t="shared" si="38"/>
        <v>2035 P</v>
      </c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</row>
    <row r="41" spans="1:272" s="222" customFormat="1" hidden="1" outlineLevel="1">
      <c r="A41" s="222" t="str">
        <f>'[33]Actual &amp; Assumptions'!A104</f>
        <v>Fixed Assets Gross</v>
      </c>
      <c r="C41" s="152">
        <f>'[33]Actual &amp; Assumptions'!C105</f>
        <v>6956</v>
      </c>
      <c r="D41" s="152">
        <f>'[33]Actual &amp; Assumptions'!D105</f>
        <v>9665</v>
      </c>
      <c r="E41" s="152">
        <f>'[33]Actual &amp; Assumptions'!E105</f>
        <v>12967</v>
      </c>
      <c r="F41" s="152">
        <f>'[33]Actual &amp; Assumptions'!F105</f>
        <v>14542</v>
      </c>
      <c r="G41" s="152">
        <f>'[33]Actual &amp; Assumptions'!G105</f>
        <v>13999</v>
      </c>
      <c r="H41" s="152">
        <f>'[33]Actual &amp; Assumptions'!H105</f>
        <v>14208</v>
      </c>
      <c r="I41" s="152">
        <f>'[33]Actual &amp; Assumptions'!I105</f>
        <v>14568</v>
      </c>
      <c r="J41" s="152">
        <f>'[33]Actual &amp; Assumptions'!J105</f>
        <v>22025</v>
      </c>
      <c r="K41" s="152">
        <f>'[33]Actual &amp; Assumptions'!K105</f>
        <v>22393</v>
      </c>
      <c r="L41" s="152">
        <f>'[33]Actual &amp; Assumptions'!L105</f>
        <v>22590</v>
      </c>
      <c r="M41" s="152">
        <f>'[33]Actual &amp; Assumptions'!M105</f>
        <v>23092</v>
      </c>
      <c r="N41" s="152">
        <f>'[33]Actual &amp; Assumptions'!N105</f>
        <v>23247</v>
      </c>
      <c r="O41" s="152">
        <f>'[33]Actual &amp; Assumptions'!O105</f>
        <v>15804</v>
      </c>
      <c r="P41" s="152">
        <f>'[33]Actual &amp; Assumptions'!P105</f>
        <v>15804</v>
      </c>
      <c r="Q41" s="152">
        <f>'[33]Actual &amp; Assumptions'!Q105</f>
        <v>15903.6114</v>
      </c>
      <c r="R41" s="152">
        <f>'[33]Actual &amp; Assumptions'!R105</f>
        <v>16555</v>
      </c>
      <c r="S41" s="152">
        <f>'[33]Actual &amp; Assumptions'!S105</f>
        <v>16566</v>
      </c>
      <c r="T41" s="152">
        <f>'[33]Actual &amp; Assumptions'!T105</f>
        <v>16397</v>
      </c>
      <c r="U41" s="152">
        <f>'[33]Actual &amp; Assumptions'!U105</f>
        <v>16397</v>
      </c>
      <c r="V41" s="152">
        <f>'[33]Actual &amp; Assumptions'!V105</f>
        <v>16469</v>
      </c>
      <c r="W41" s="152">
        <f>'[33]Actual &amp; Assumptions'!W105</f>
        <v>16570</v>
      </c>
      <c r="X41" s="152">
        <f>'[33]Actual &amp; Assumptions'!X105</f>
        <v>16616</v>
      </c>
      <c r="Y41" s="152">
        <f>'[33]Actual &amp; Assumptions'!Y105</f>
        <v>16709</v>
      </c>
      <c r="Z41" s="152">
        <f>'[33]Actual &amp; Assumptions'!Z105</f>
        <v>16709</v>
      </c>
      <c r="AA41" s="152">
        <f>'[33]Actual &amp; Assumptions'!AA105</f>
        <v>16798</v>
      </c>
      <c r="AB41" s="152">
        <f>'[33]Actual &amp; Assumptions'!AB105</f>
        <v>16847</v>
      </c>
      <c r="AC41" s="152">
        <f>'[33]Actual &amp; Assumptions'!AC105</f>
        <v>17291</v>
      </c>
      <c r="AD41" s="152">
        <f>'[33]Actual &amp; Assumptions'!AD105</f>
        <v>15099.160619999999</v>
      </c>
      <c r="AE41" s="152">
        <f>'[33]Actual &amp; Assumptions'!AE105</f>
        <v>15099.160619999999</v>
      </c>
      <c r="AF41" s="152">
        <f>'[33]Actual &amp; Assumptions'!AF105</f>
        <v>15125</v>
      </c>
      <c r="AG41" s="152">
        <f>'[33]Actual &amp; Assumptions'!AG105</f>
        <v>15145</v>
      </c>
      <c r="AH41" s="152">
        <f>'[33]Actual &amp; Assumptions'!AH105</f>
        <v>15145</v>
      </c>
      <c r="AI41" s="152">
        <f>'[33]Actual &amp; Assumptions'!AI105</f>
        <v>15168</v>
      </c>
      <c r="AJ41" s="152">
        <f>'[33]Actual &amp; Assumptions'!AJ105</f>
        <v>15168</v>
      </c>
      <c r="AK41" s="152">
        <f>'[33]Actual &amp; Assumptions'!AK105</f>
        <v>15202</v>
      </c>
      <c r="AL41" s="152">
        <f>'[33]Actual &amp; Assumptions'!AL105</f>
        <v>15280</v>
      </c>
      <c r="AM41" s="152">
        <f>'[33]Actual &amp; Assumptions'!AM105</f>
        <v>15305</v>
      </c>
      <c r="AN41" s="152">
        <f>'[33]Actual &amp; Assumptions'!AN105</f>
        <v>14792</v>
      </c>
      <c r="AO41" s="152">
        <f>'[33]Actual &amp; Assumptions'!AO105</f>
        <v>14792</v>
      </c>
      <c r="AP41" s="152">
        <f>'[33]Actual &amp; Assumptions'!AP105</f>
        <v>14842.292800000001</v>
      </c>
      <c r="AQ41" s="152">
        <f>'[33]Actual &amp; Assumptions'!AQ105</f>
        <v>14842.292800000001</v>
      </c>
      <c r="AR41" s="152">
        <f>'[33]Actual &amp; Assumptions'!AR105</f>
        <v>14888.303907680003</v>
      </c>
      <c r="AS41" s="152">
        <f>'[33]Actual &amp; Assumptions'!AS105</f>
        <v>14888.303907680003</v>
      </c>
      <c r="AT41" s="152">
        <f>AS41</f>
        <v>14888.303907680003</v>
      </c>
      <c r="AU41" s="152">
        <f>'[33]Actual &amp; Assumptions'!AU105</f>
        <v>14938.924140966117</v>
      </c>
      <c r="AV41" s="152">
        <f>'[33]Actual &amp; Assumptions'!AV105</f>
        <v>14938.924140966117</v>
      </c>
      <c r="AW41" s="152">
        <f>'[33]Actual &amp; Assumptions'!AW105</f>
        <v>14985.234805803113</v>
      </c>
      <c r="AX41" s="152">
        <f>'[33]Actual &amp; Assumptions'!AX105</f>
        <v>14985.234805803113</v>
      </c>
      <c r="AY41" s="152">
        <f>AX41</f>
        <v>14985.234805803113</v>
      </c>
      <c r="AZ41" s="152">
        <f>'[33]Actual &amp; Assumptions'!AZ105</f>
        <v>15135.087153861145</v>
      </c>
      <c r="BA41" s="152">
        <f>'[33]Actual &amp; Assumptions'!BA105</f>
        <v>15286.438025399757</v>
      </c>
      <c r="BB41" s="152">
        <f>'[33]Actual &amp; Assumptions'!BB105</f>
        <v>15515.734595780752</v>
      </c>
      <c r="BC41" s="152">
        <f>'[33]Actual &amp; Assumptions'!BC105</f>
        <v>15810.533553100584</v>
      </c>
      <c r="BD41" s="152">
        <f>'[33]Actual &amp; Assumptions'!BD105</f>
        <v>16110.933690609494</v>
      </c>
      <c r="BE41" s="152">
        <f>'[33]Actual &amp; Assumptions'!BE105</f>
        <v>16417.041430731071</v>
      </c>
      <c r="BF41" s="152">
        <f>'[33]Actual &amp; Assumptions'!BF105</f>
        <v>16728.96521791496</v>
      </c>
      <c r="BG41" s="152">
        <f>'[33]Actual &amp; Assumptions'!BG105</f>
        <v>17046.815557055343</v>
      </c>
      <c r="BH41" s="152">
        <f>'[33]Actual &amp; Assumptions'!BH105</f>
        <v>17370.705052639394</v>
      </c>
      <c r="BI41" s="152">
        <f>'[33]Actual &amp; Assumptions'!BI105</f>
        <v>17700.748448639541</v>
      </c>
      <c r="BJ41" s="152">
        <f>'[33]Actual &amp; Assumptions'!BJ105</f>
        <v>18037.06266916369</v>
      </c>
      <c r="BK41" s="152">
        <f>'[33]Actual &amp; Assumptions'!BK105</f>
        <v>18379.7668598778</v>
      </c>
      <c r="BL41" s="152">
        <f>'[33]Actual &amp; Assumptions'!BL105</f>
        <v>18728.982430215478</v>
      </c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</row>
    <row r="42" spans="1:272" s="222" customFormat="1" hidden="1" outlineLevel="1">
      <c r="A42" s="222" t="str">
        <f>'[33]Actual &amp; Assumptions'!A109</f>
        <v>(Less) Accumulated Dep.</v>
      </c>
      <c r="C42" s="152">
        <f>'[33]Actual &amp; Assumptions'!C110</f>
        <v>-4482</v>
      </c>
      <c r="D42" s="152">
        <f>'[33]Actual &amp; Assumptions'!D110</f>
        <v>-4995</v>
      </c>
      <c r="E42" s="152">
        <f>'[33]Actual &amp; Assumptions'!E110</f>
        <v>-6819</v>
      </c>
      <c r="F42" s="152">
        <f>'[33]Actual &amp; Assumptions'!F110</f>
        <v>-8816</v>
      </c>
      <c r="G42" s="152">
        <f>'[33]Actual &amp; Assumptions'!G110</f>
        <v>-10394</v>
      </c>
      <c r="H42" s="152">
        <f>'[33]Actual &amp; Assumptions'!H110</f>
        <v>-11948</v>
      </c>
      <c r="I42" s="152">
        <f>'[33]Actual &amp; Assumptions'!I110</f>
        <v>-12872</v>
      </c>
      <c r="J42" s="152">
        <f>'[33]Actual &amp; Assumptions'!J110</f>
        <v>-13472</v>
      </c>
      <c r="K42" s="152">
        <f>'[33]Actual &amp; Assumptions'!K110</f>
        <v>-14216</v>
      </c>
      <c r="L42" s="152">
        <f>'[33]Actual &amp; Assumptions'!L110</f>
        <v>-14373</v>
      </c>
      <c r="M42" s="152">
        <f>'[33]Actual &amp; Assumptions'!M110</f>
        <v>-14528</v>
      </c>
      <c r="N42" s="152">
        <f>'[33]Actual &amp; Assumptions'!N110</f>
        <v>-14712</v>
      </c>
      <c r="O42" s="152">
        <f>'[33]Actual &amp; Assumptions'!O110</f>
        <v>-14333</v>
      </c>
      <c r="P42" s="152">
        <f>'[33]Actual &amp; Assumptions'!P110</f>
        <v>-14333</v>
      </c>
      <c r="Q42" s="152">
        <f>'[33]Actual &amp; Assumptions'!Q110</f>
        <v>-14466.54422</v>
      </c>
      <c r="R42" s="152">
        <f>'[33]Actual &amp; Assumptions'!R110</f>
        <v>-14617</v>
      </c>
      <c r="S42" s="152">
        <f>'[33]Actual &amp; Assumptions'!S110</f>
        <v>-14800</v>
      </c>
      <c r="T42" s="152">
        <f>'[33]Actual &amp; Assumptions'!T110</f>
        <v>-14772</v>
      </c>
      <c r="U42" s="152">
        <f>'[33]Actual &amp; Assumptions'!U110</f>
        <v>-14772</v>
      </c>
      <c r="V42" s="152">
        <f>'[33]Actual &amp; Assumptions'!V110</f>
        <v>-14946</v>
      </c>
      <c r="W42" s="152">
        <f>'[33]Actual &amp; Assumptions'!W110</f>
        <v>-15116</v>
      </c>
      <c r="X42" s="152">
        <f>'[33]Actual &amp; Assumptions'!X110</f>
        <v>-15279</v>
      </c>
      <c r="Y42" s="152">
        <f>'[33]Actual &amp; Assumptions'!Y110</f>
        <v>-15444</v>
      </c>
      <c r="Z42" s="152">
        <f>'[33]Actual &amp; Assumptions'!Z110</f>
        <v>-15444</v>
      </c>
      <c r="AA42" s="152">
        <f>'[33]Actual &amp; Assumptions'!AA110</f>
        <v>-15611</v>
      </c>
      <c r="AB42" s="152">
        <f>'[33]Actual &amp; Assumptions'!AB110</f>
        <v>-15783</v>
      </c>
      <c r="AC42" s="152">
        <f>'[33]Actual &amp; Assumptions'!AC110</f>
        <v>-15969</v>
      </c>
      <c r="AD42" s="152">
        <f>'[33]Actual &amp; Assumptions'!AD110</f>
        <v>-13836.44976</v>
      </c>
      <c r="AE42" s="152">
        <f>'[33]Actual &amp; Assumptions'!AE110</f>
        <v>-13836.44976</v>
      </c>
      <c r="AF42" s="152">
        <f>'[33]Actual &amp; Assumptions'!AF110</f>
        <v>-14017</v>
      </c>
      <c r="AG42" s="152">
        <f>'[33]Actual &amp; Assumptions'!AG110</f>
        <v>-14168</v>
      </c>
      <c r="AH42" s="152">
        <f>'[33]Actual &amp; Assumptions'!AH110</f>
        <v>-14283</v>
      </c>
      <c r="AI42" s="152">
        <f>'[33]Actual &amp; Assumptions'!AI110</f>
        <v>-14393</v>
      </c>
      <c r="AJ42" s="152">
        <f>'[33]Actual &amp; Assumptions'!AJ110</f>
        <v>-14393</v>
      </c>
      <c r="AK42" s="152">
        <f>'[33]Actual &amp; Assumptions'!AK110</f>
        <v>-14498</v>
      </c>
      <c r="AL42" s="152">
        <f>'[33]Actual &amp; Assumptions'!AL110</f>
        <v>-14597</v>
      </c>
      <c r="AM42" s="152">
        <f>'[33]Actual &amp; Assumptions'!AM110</f>
        <v>-14688</v>
      </c>
      <c r="AN42" s="152">
        <f>'[33]Actual &amp; Assumptions'!AN110</f>
        <v>-14248</v>
      </c>
      <c r="AO42" s="152">
        <f>'[33]Actual &amp; Assumptions'!AO110</f>
        <v>-14248</v>
      </c>
      <c r="AP42" s="152">
        <f>'[33]Actual &amp; Assumptions'!AP110</f>
        <v>-14321</v>
      </c>
      <c r="AQ42" s="152">
        <f>'[33]Actual &amp; Assumptions'!AQ110</f>
        <v>-14393</v>
      </c>
      <c r="AR42" s="152">
        <f>'[33]Actual &amp; Assumptions'!AR110</f>
        <v>-14465</v>
      </c>
      <c r="AS42" s="152">
        <f>'[33]Actual &amp; Assumptions'!AS110</f>
        <v>-14741.383040000001</v>
      </c>
      <c r="AT42" s="152">
        <f>AS42</f>
        <v>-14741.383040000001</v>
      </c>
      <c r="AU42" s="152">
        <f>'[33]Actual &amp; Assumptions'!AU110</f>
        <v>-14741.383040000001</v>
      </c>
      <c r="AV42" s="152">
        <f>'[33]Actual &amp; Assumptions'!AV110</f>
        <v>-14741.383040000001</v>
      </c>
      <c r="AW42" s="152">
        <f>'[33]Actual &amp; Assumptions'!AW110</f>
        <v>-14741.383040000001</v>
      </c>
      <c r="AX42" s="152">
        <f>'[33]Actual &amp; Assumptions'!AX110</f>
        <v>-14741.383040000001</v>
      </c>
      <c r="AY42" s="152">
        <f>AX42</f>
        <v>-14741.383040000001</v>
      </c>
      <c r="AZ42" s="152">
        <f>'[33]Actual &amp; Assumptions'!AZ110</f>
        <v>-14820.123862772229</v>
      </c>
      <c r="BA42" s="152">
        <f>'[33]Actual &amp; Assumptions'!BA110</f>
        <v>-14913.386695297735</v>
      </c>
      <c r="BB42" s="152">
        <f>'[33]Actual &amp; Assumptions'!BB110</f>
        <v>-15033.856275394339</v>
      </c>
      <c r="BC42" s="152">
        <f>'[33]Actual &amp; Assumptions'!BC110</f>
        <v>-15189.191730935589</v>
      </c>
      <c r="BD42" s="152">
        <f>'[33]Actual &amp; Assumptions'!BD110</f>
        <v>-15373.54012287037</v>
      </c>
      <c r="BE42" s="152">
        <f>'[33]Actual &amp; Assumptions'!BE110</f>
        <v>-15582.24038444251</v>
      </c>
      <c r="BF42" s="152">
        <f>'[33]Actual &amp; Assumptions'!BF110</f>
        <v>-15811.585351137001</v>
      </c>
      <c r="BG42" s="152">
        <f>'[33]Actual &amp; Assumptions'!BG110</f>
        <v>-16058.631392320669</v>
      </c>
      <c r="BH42" s="152">
        <f>'[33]Actual &amp; Assumptions'!BH110</f>
        <v>-16321.046124384415</v>
      </c>
      <c r="BI42" s="152">
        <f>'[33]Actual &amp; Assumptions'!BI110</f>
        <v>-16596.986589235439</v>
      </c>
      <c r="BJ42" s="152">
        <f>'[33]Actual &amp; Assumptions'!BJ110</f>
        <v>-16885.001805221091</v>
      </c>
      <c r="BK42" s="152">
        <f>'[33]Actual &amp; Assumptions'!BK110</f>
        <v>-17183.954816152433</v>
      </c>
      <c r="BL42" s="152">
        <f>'[33]Actual &amp; Assumptions'!BL110</f>
        <v>-17492.96033896504</v>
      </c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</row>
    <row r="43" spans="1:272" s="222" customFormat="1" hidden="1" outlineLevel="1">
      <c r="A43" s="240" t="str">
        <f>'[33]Actual &amp; Assumptions'!A112</f>
        <v>Fixed Assets NET</v>
      </c>
      <c r="B43" s="240"/>
      <c r="C43" s="241">
        <f>'[33]Actual &amp; Assumptions'!C112</f>
        <v>2474</v>
      </c>
      <c r="D43" s="241">
        <f>'[33]Actual &amp; Assumptions'!D112</f>
        <v>4670</v>
      </c>
      <c r="E43" s="241">
        <f>'[33]Actual &amp; Assumptions'!E112</f>
        <v>6148</v>
      </c>
      <c r="F43" s="241">
        <f>'[33]Actual &amp; Assumptions'!F112</f>
        <v>5726</v>
      </c>
      <c r="G43" s="241">
        <f>'[33]Actual &amp; Assumptions'!G112</f>
        <v>3605</v>
      </c>
      <c r="H43" s="241">
        <f>'[33]Actual &amp; Assumptions'!H112</f>
        <v>2260</v>
      </c>
      <c r="I43" s="241">
        <f>'[33]Actual &amp; Assumptions'!I112</f>
        <v>1696</v>
      </c>
      <c r="J43" s="241">
        <f>'[33]Actual &amp; Assumptions'!J112</f>
        <v>8553</v>
      </c>
      <c r="K43" s="241">
        <f>'[33]Actual &amp; Assumptions'!K112</f>
        <v>8177</v>
      </c>
      <c r="L43" s="241">
        <f>'[33]Actual &amp; Assumptions'!L112</f>
        <v>8217</v>
      </c>
      <c r="M43" s="241">
        <f>'[33]Actual &amp; Assumptions'!M112</f>
        <v>8564</v>
      </c>
      <c r="N43" s="241">
        <f>'[33]Actual &amp; Assumptions'!N112</f>
        <v>8535</v>
      </c>
      <c r="O43" s="241">
        <f>'[33]Actual &amp; Assumptions'!O112</f>
        <v>1471</v>
      </c>
      <c r="P43" s="241">
        <f>O43</f>
        <v>1471</v>
      </c>
      <c r="Q43" s="241">
        <f>'[33]Actual &amp; Assumptions'!Q112</f>
        <v>1437.06718</v>
      </c>
      <c r="R43" s="241">
        <f>'[33]Actual &amp; Assumptions'!R112</f>
        <v>1938</v>
      </c>
      <c r="S43" s="241">
        <f>'[33]Actual &amp; Assumptions'!S112</f>
        <v>1766</v>
      </c>
      <c r="T43" s="241">
        <f>'[33]Actual &amp; Assumptions'!T112</f>
        <v>1625</v>
      </c>
      <c r="U43" s="241">
        <f>'[33]Actual &amp; Assumptions'!U112</f>
        <v>1625</v>
      </c>
      <c r="V43" s="241">
        <f>'[33]Actual &amp; Assumptions'!V112</f>
        <v>1523</v>
      </c>
      <c r="W43" s="241">
        <f>'[33]Actual &amp; Assumptions'!W112</f>
        <v>1454</v>
      </c>
      <c r="X43" s="241">
        <f>'[33]Actual &amp; Assumptions'!X112</f>
        <v>1337</v>
      </c>
      <c r="Y43" s="241">
        <f>'[33]Actual &amp; Assumptions'!Y112</f>
        <v>1265</v>
      </c>
      <c r="Z43" s="241">
        <f>'[33]Actual &amp; Assumptions'!Z112</f>
        <v>1265</v>
      </c>
      <c r="AA43" s="241">
        <f>'[33]Actual &amp; Assumptions'!AA112</f>
        <v>1187</v>
      </c>
      <c r="AB43" s="241">
        <f>'[33]Actual &amp; Assumptions'!AB112</f>
        <v>1064</v>
      </c>
      <c r="AC43" s="241">
        <f>'[33]Actual &amp; Assumptions'!AC112</f>
        <v>1322</v>
      </c>
      <c r="AD43" s="241">
        <f>'[33]Actual &amp; Assumptions'!AD112</f>
        <v>1262.7108599999992</v>
      </c>
      <c r="AE43" s="241">
        <f>'[33]Actual &amp; Assumptions'!AE112</f>
        <v>1262.7108599999992</v>
      </c>
      <c r="AF43" s="241">
        <f>'[33]Actual &amp; Assumptions'!AF112</f>
        <v>1108</v>
      </c>
      <c r="AG43" s="241">
        <f>'[33]Actual &amp; Assumptions'!AG112</f>
        <v>977</v>
      </c>
      <c r="AH43" s="241">
        <f>'[33]Actual &amp; Assumptions'!AH112</f>
        <v>862</v>
      </c>
      <c r="AI43" s="241">
        <f>'[33]Actual &amp; Assumptions'!AI112</f>
        <v>775</v>
      </c>
      <c r="AJ43" s="241">
        <f>'[33]Actual &amp; Assumptions'!AJ112</f>
        <v>775</v>
      </c>
      <c r="AK43" s="241">
        <f>'[33]Actual &amp; Assumptions'!AK112</f>
        <v>704</v>
      </c>
      <c r="AL43" s="241">
        <f>'[33]Actual &amp; Assumptions'!AL112</f>
        <v>683</v>
      </c>
      <c r="AM43" s="241">
        <f>'[33]Actual &amp; Assumptions'!AM112</f>
        <v>617</v>
      </c>
      <c r="AN43" s="241">
        <f>'[33]Actual &amp; Assumptions'!AN112</f>
        <v>544</v>
      </c>
      <c r="AO43" s="241">
        <f>'[33]Actual &amp; Assumptions'!AO112</f>
        <v>544</v>
      </c>
      <c r="AP43" s="241">
        <f>'[33]Actual &amp; Assumptions'!AP112</f>
        <v>521.29280000000108</v>
      </c>
      <c r="AQ43" s="241">
        <f>'[33]Actual &amp; Assumptions'!AQ112</f>
        <v>449.29280000000108</v>
      </c>
      <c r="AR43" s="241">
        <f>'[33]Actual &amp; Assumptions'!AR112</f>
        <v>423.30390768000325</v>
      </c>
      <c r="AS43" s="241">
        <f>'[33]Actual &amp; Assumptions'!AS112</f>
        <v>146.92086768000263</v>
      </c>
      <c r="AT43" s="241">
        <f>'[33]Actual &amp; Assumptions'!AT112</f>
        <v>146.92086768000263</v>
      </c>
      <c r="AU43" s="241">
        <f>'[33]Actual &amp; Assumptions'!AU112</f>
        <v>197.54110096611657</v>
      </c>
      <c r="AV43" s="241">
        <f>'[33]Actual &amp; Assumptions'!AV112</f>
        <v>197.54110096611657</v>
      </c>
      <c r="AW43" s="241">
        <f>'[33]Actual &amp; Assumptions'!AW112</f>
        <v>243.85176580311236</v>
      </c>
      <c r="AX43" s="241">
        <f>'[33]Actual &amp; Assumptions'!AX112</f>
        <v>243.85176580311236</v>
      </c>
      <c r="AY43" s="241">
        <f>'[33]Actual &amp; Assumptions'!AY112</f>
        <v>243.85176580311236</v>
      </c>
      <c r="AZ43" s="241">
        <f>'[33]Actual &amp; Assumptions'!AZ112</f>
        <v>314.96329108891587</v>
      </c>
      <c r="BA43" s="241">
        <f>'[33]Actual &amp; Assumptions'!BA112</f>
        <v>373.05133010202189</v>
      </c>
      <c r="BB43" s="241">
        <f>'[33]Actual &amp; Assumptions'!BB112</f>
        <v>481.87832038641318</v>
      </c>
      <c r="BC43" s="241">
        <f>'[33]Actual &amp; Assumptions'!BC112</f>
        <v>621.34182216499539</v>
      </c>
      <c r="BD43" s="241">
        <f>'[33]Actual &amp; Assumptions'!BD112</f>
        <v>737.39356773912368</v>
      </c>
      <c r="BE43" s="241">
        <f>'[33]Actual &amp; Assumptions'!BE112</f>
        <v>834.80104628856134</v>
      </c>
      <c r="BF43" s="241">
        <f>'[33]Actual &amp; Assumptions'!BF112</f>
        <v>917.37986677795925</v>
      </c>
      <c r="BG43" s="241">
        <f>'[33]Actual &amp; Assumptions'!BG112</f>
        <v>988.18416473467369</v>
      </c>
      <c r="BH43" s="241">
        <f>'[33]Actual &amp; Assumptions'!BH112</f>
        <v>1049.6589282549794</v>
      </c>
      <c r="BI43" s="241">
        <f>'[33]Actual &amp; Assumptions'!BI112</f>
        <v>1103.7618594041014</v>
      </c>
      <c r="BJ43" s="241">
        <f>'[33]Actual &amp; Assumptions'!BJ112</f>
        <v>1152.0608639425991</v>
      </c>
      <c r="BK43" s="241">
        <f>'[33]Actual &amp; Assumptions'!BK112</f>
        <v>1195.8120437253674</v>
      </c>
      <c r="BL43" s="241">
        <f>'[33]Actual &amp; Assumptions'!BL112</f>
        <v>1236.0220912504374</v>
      </c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</row>
    <row r="44" spans="1:272" s="222" customFormat="1" hidden="1" outlineLevel="1">
      <c r="A44" s="222" t="str">
        <f>'[33]Actual &amp; Assumptions'!A113</f>
        <v>Assets Under Construction</v>
      </c>
      <c r="C44" s="152">
        <f>'[33]Actual &amp; Assumptions'!C114</f>
        <v>0</v>
      </c>
      <c r="D44" s="152">
        <f>'[33]Actual &amp; Assumptions'!D114</f>
        <v>0</v>
      </c>
      <c r="E44" s="152">
        <f>'[33]Actual &amp; Assumptions'!E114</f>
        <v>0</v>
      </c>
      <c r="F44" s="152">
        <f>'[33]Actual &amp; Assumptions'!F114</f>
        <v>0</v>
      </c>
      <c r="G44" s="152">
        <f>'[33]Actual &amp; Assumptions'!G114</f>
        <v>178</v>
      </c>
      <c r="H44" s="152">
        <f>'[33]Actual &amp; Assumptions'!H114</f>
        <v>115</v>
      </c>
      <c r="I44" s="152">
        <f>'[33]Actual &amp; Assumptions'!I114</f>
        <v>0</v>
      </c>
      <c r="J44" s="152">
        <f>'[33]Actual &amp; Assumptions'!J114</f>
        <v>0</v>
      </c>
      <c r="K44" s="152">
        <f>'[33]Actual &amp; Assumptions'!K114</f>
        <v>0</v>
      </c>
      <c r="L44" s="152">
        <f>'[33]Actual &amp; Assumptions'!L114</f>
        <v>0</v>
      </c>
      <c r="M44" s="152">
        <f>'[33]Actual &amp; Assumptions'!M114</f>
        <v>0</v>
      </c>
      <c r="N44" s="152">
        <f>'[33]Actual &amp; Assumptions'!N114</f>
        <v>0</v>
      </c>
      <c r="O44" s="152">
        <f>'[33]Actual &amp; Assumptions'!O114</f>
        <v>0</v>
      </c>
      <c r="P44" s="152">
        <f>'[33]Actual &amp; Assumptions'!P114</f>
        <v>0</v>
      </c>
      <c r="Q44" s="152">
        <f>'[33]Actual &amp; Assumptions'!Q114</f>
        <v>0</v>
      </c>
      <c r="R44" s="152">
        <f>'[33]Actual &amp; Assumptions'!R114</f>
        <v>0</v>
      </c>
      <c r="S44" s="152">
        <f>'[33]Actual &amp; Assumptions'!S114</f>
        <v>0</v>
      </c>
      <c r="T44" s="152">
        <f>'[33]Actual &amp; Assumptions'!T114</f>
        <v>0</v>
      </c>
      <c r="U44" s="152">
        <f>'[33]Actual &amp; Assumptions'!U114</f>
        <v>0</v>
      </c>
      <c r="V44" s="152">
        <f>'[33]Actual &amp; Assumptions'!V114</f>
        <v>0</v>
      </c>
      <c r="W44" s="152">
        <f>'[33]Actual &amp; Assumptions'!W114</f>
        <v>0</v>
      </c>
      <c r="X44" s="152">
        <f>'[33]Actual &amp; Assumptions'!X114</f>
        <v>0</v>
      </c>
      <c r="Y44" s="152">
        <f>'[33]Actual &amp; Assumptions'!Y114</f>
        <v>0</v>
      </c>
      <c r="Z44" s="152">
        <f>'[33]Actual &amp; Assumptions'!Z114</f>
        <v>0</v>
      </c>
      <c r="AA44" s="152">
        <f>'[33]Actual &amp; Assumptions'!AA114</f>
        <v>0</v>
      </c>
      <c r="AB44" s="152">
        <f>'[33]Actual &amp; Assumptions'!AB114</f>
        <v>0</v>
      </c>
      <c r="AC44" s="152">
        <f>'[33]Actual &amp; Assumptions'!AC114</f>
        <v>0</v>
      </c>
      <c r="AD44" s="152">
        <f>'[33]Actual &amp; Assumptions'!AD114</f>
        <v>0</v>
      </c>
      <c r="AE44" s="152">
        <f>'[33]Actual &amp; Assumptions'!AE114</f>
        <v>0</v>
      </c>
      <c r="AF44" s="152">
        <f>'[33]Actual &amp; Assumptions'!AF114</f>
        <v>0</v>
      </c>
      <c r="AG44" s="152">
        <f>'[33]Actual &amp; Assumptions'!AG114</f>
        <v>0</v>
      </c>
      <c r="AH44" s="152">
        <f>'[33]Actual &amp; Assumptions'!AH114</f>
        <v>0</v>
      </c>
      <c r="AI44" s="152">
        <f>'[33]Actual &amp; Assumptions'!AI114</f>
        <v>0</v>
      </c>
      <c r="AJ44" s="152">
        <f>'[33]Actual &amp; Assumptions'!AJ114</f>
        <v>0</v>
      </c>
      <c r="AK44" s="152">
        <f>'[33]Actual &amp; Assumptions'!AK114</f>
        <v>0</v>
      </c>
      <c r="AL44" s="152">
        <f>'[33]Actual &amp; Assumptions'!AL114</f>
        <v>0</v>
      </c>
      <c r="AM44" s="152">
        <f>'[33]Actual &amp; Assumptions'!AM114</f>
        <v>0</v>
      </c>
      <c r="AN44" s="152">
        <f>'[33]Actual &amp; Assumptions'!AN114</f>
        <v>0</v>
      </c>
      <c r="AO44" s="152">
        <f>'[33]Actual &amp; Assumptions'!AO114</f>
        <v>0</v>
      </c>
      <c r="AP44" s="152">
        <f>'[33]Actual &amp; Assumptions'!AP114</f>
        <v>0</v>
      </c>
      <c r="AQ44" s="152">
        <f>'[33]Actual &amp; Assumptions'!AQ114</f>
        <v>0</v>
      </c>
      <c r="AR44" s="152">
        <f>'[33]Actual &amp; Assumptions'!AR114</f>
        <v>0</v>
      </c>
      <c r="AS44" s="152">
        <f>'[33]Actual &amp; Assumptions'!AS114</f>
        <v>0</v>
      </c>
      <c r="AT44" s="152">
        <f t="shared" ref="AT44:AT47" si="39">AS44</f>
        <v>0</v>
      </c>
      <c r="AU44" s="152">
        <f>'[33]Actual &amp; Assumptions'!AU114</f>
        <v>0</v>
      </c>
      <c r="AV44" s="152">
        <f>'[33]Actual &amp; Assumptions'!AV114</f>
        <v>0</v>
      </c>
      <c r="AW44" s="152">
        <f>'[33]Actual &amp; Assumptions'!AW114</f>
        <v>0</v>
      </c>
      <c r="AX44" s="152">
        <f>'[33]Actual &amp; Assumptions'!AX114</f>
        <v>0</v>
      </c>
      <c r="AY44" s="152">
        <f>'[33]Actual &amp; Assumptions'!AY114</f>
        <v>0</v>
      </c>
      <c r="AZ44" s="152">
        <f>'[33]Actual &amp; Assumptions'!AZ114</f>
        <v>0</v>
      </c>
      <c r="BA44" s="152">
        <f>'[33]Actual &amp; Assumptions'!BA114</f>
        <v>0</v>
      </c>
      <c r="BB44" s="152">
        <f>'[33]Actual &amp; Assumptions'!BB114</f>
        <v>0</v>
      </c>
      <c r="BC44" s="152">
        <f>'[33]Actual &amp; Assumptions'!BC114</f>
        <v>0</v>
      </c>
      <c r="BD44" s="152">
        <f>'[33]Actual &amp; Assumptions'!BD114</f>
        <v>0</v>
      </c>
      <c r="BE44" s="152">
        <f>'[33]Actual &amp; Assumptions'!BE114</f>
        <v>0</v>
      </c>
      <c r="BF44" s="152">
        <f>'[33]Actual &amp; Assumptions'!BF114</f>
        <v>0</v>
      </c>
      <c r="BG44" s="152">
        <f>'[33]Actual &amp; Assumptions'!BG114</f>
        <v>0</v>
      </c>
      <c r="BH44" s="152">
        <f>'[33]Actual &amp; Assumptions'!BH114</f>
        <v>0</v>
      </c>
      <c r="BI44" s="152">
        <f>'[33]Actual &amp; Assumptions'!BI114</f>
        <v>0</v>
      </c>
      <c r="BJ44" s="152">
        <f>'[33]Actual &amp; Assumptions'!BJ114</f>
        <v>0</v>
      </c>
      <c r="BK44" s="152">
        <f>'[33]Actual &amp; Assumptions'!BK114</f>
        <v>0</v>
      </c>
      <c r="BL44" s="152">
        <f>'[33]Actual &amp; Assumptions'!BL114</f>
        <v>0</v>
      </c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</row>
    <row r="45" spans="1:272" s="222" customFormat="1" hidden="1" outlineLevel="1">
      <c r="A45" s="222" t="str">
        <f>'[33]Actual &amp; Assumptions'!A117</f>
        <v>Goodwill</v>
      </c>
      <c r="C45" s="152">
        <f>'[33]Actual &amp; Assumptions'!C118</f>
        <v>0</v>
      </c>
      <c r="D45" s="152">
        <f>'[33]Actual &amp; Assumptions'!D118</f>
        <v>0</v>
      </c>
      <c r="E45" s="152">
        <f>'[33]Actual &amp; Assumptions'!E118</f>
        <v>0</v>
      </c>
      <c r="F45" s="152">
        <f>'[33]Actual &amp; Assumptions'!F118</f>
        <v>0</v>
      </c>
      <c r="G45" s="152">
        <f>'[33]Actual &amp; Assumptions'!G118</f>
        <v>0</v>
      </c>
      <c r="H45" s="152">
        <f>'[33]Actual &amp; Assumptions'!H118</f>
        <v>0</v>
      </c>
      <c r="I45" s="152">
        <f>'[33]Actual &amp; Assumptions'!I118</f>
        <v>0</v>
      </c>
      <c r="J45" s="152">
        <f>'[33]Actual &amp; Assumptions'!J118</f>
        <v>0</v>
      </c>
      <c r="K45" s="152">
        <f>'[33]Actual &amp; Assumptions'!K118</f>
        <v>0</v>
      </c>
      <c r="L45" s="152">
        <f>'[33]Actual &amp; Assumptions'!L118</f>
        <v>0</v>
      </c>
      <c r="M45" s="152">
        <f>'[33]Actual &amp; Assumptions'!M118</f>
        <v>0</v>
      </c>
      <c r="N45" s="152">
        <f>'[33]Actual &amp; Assumptions'!N118</f>
        <v>0</v>
      </c>
      <c r="O45" s="152">
        <f>'[33]Actual &amp; Assumptions'!O118</f>
        <v>0</v>
      </c>
      <c r="P45" s="152">
        <f>'[33]Actual &amp; Assumptions'!P118</f>
        <v>0</v>
      </c>
      <c r="Q45" s="152">
        <f>'[33]Actual &amp; Assumptions'!Q118</f>
        <v>0</v>
      </c>
      <c r="R45" s="152">
        <f>'[33]Actual &amp; Assumptions'!R118</f>
        <v>0</v>
      </c>
      <c r="S45" s="152">
        <f>'[33]Actual &amp; Assumptions'!S118</f>
        <v>0</v>
      </c>
      <c r="T45" s="152">
        <f>'[33]Actual &amp; Assumptions'!T118</f>
        <v>0</v>
      </c>
      <c r="U45" s="152">
        <f>'[33]Actual &amp; Assumptions'!U118</f>
        <v>0</v>
      </c>
      <c r="V45" s="152">
        <f>'[33]Actual &amp; Assumptions'!V118</f>
        <v>0</v>
      </c>
      <c r="W45" s="152">
        <f>'[33]Actual &amp; Assumptions'!W118</f>
        <v>0</v>
      </c>
      <c r="X45" s="152">
        <f>'[33]Actual &amp; Assumptions'!X118</f>
        <v>0</v>
      </c>
      <c r="Y45" s="152">
        <f>'[33]Actual &amp; Assumptions'!Y118</f>
        <v>0</v>
      </c>
      <c r="Z45" s="152">
        <f>'[33]Actual &amp; Assumptions'!Z118</f>
        <v>0</v>
      </c>
      <c r="AA45" s="152">
        <f>'[33]Actual &amp; Assumptions'!AA118</f>
        <v>0</v>
      </c>
      <c r="AB45" s="152">
        <f>'[33]Actual &amp; Assumptions'!AB118</f>
        <v>0</v>
      </c>
      <c r="AC45" s="152">
        <f>'[33]Actual &amp; Assumptions'!AC118</f>
        <v>0</v>
      </c>
      <c r="AD45" s="152">
        <f>'[33]Actual &amp; Assumptions'!AD118</f>
        <v>0</v>
      </c>
      <c r="AE45" s="152">
        <f>'[33]Actual &amp; Assumptions'!AE118</f>
        <v>0</v>
      </c>
      <c r="AF45" s="152">
        <f>'[33]Actual &amp; Assumptions'!AF118</f>
        <v>0</v>
      </c>
      <c r="AG45" s="152">
        <f>'[33]Actual &amp; Assumptions'!AG118</f>
        <v>0</v>
      </c>
      <c r="AH45" s="152">
        <f>'[33]Actual &amp; Assumptions'!AH118</f>
        <v>0</v>
      </c>
      <c r="AI45" s="152">
        <f>'[33]Actual &amp; Assumptions'!AI118</f>
        <v>0</v>
      </c>
      <c r="AJ45" s="152">
        <f>'[33]Actual &amp; Assumptions'!AJ118</f>
        <v>0</v>
      </c>
      <c r="AK45" s="152">
        <f>'[33]Actual &amp; Assumptions'!AK118</f>
        <v>0</v>
      </c>
      <c r="AL45" s="152">
        <f>'[33]Actual &amp; Assumptions'!AL118</f>
        <v>0</v>
      </c>
      <c r="AM45" s="152">
        <f>'[33]Actual &amp; Assumptions'!AM118</f>
        <v>0</v>
      </c>
      <c r="AN45" s="152">
        <f>'[33]Actual &amp; Assumptions'!AN118</f>
        <v>0</v>
      </c>
      <c r="AO45" s="152">
        <f>'[33]Actual &amp; Assumptions'!AO118</f>
        <v>0</v>
      </c>
      <c r="AP45" s="152">
        <f>'[33]Actual &amp; Assumptions'!AP118</f>
        <v>0</v>
      </c>
      <c r="AQ45" s="152">
        <f>'[33]Actual &amp; Assumptions'!AQ118</f>
        <v>0</v>
      </c>
      <c r="AR45" s="152">
        <f>'[33]Actual &amp; Assumptions'!AR118</f>
        <v>0</v>
      </c>
      <c r="AS45" s="152">
        <f>'[33]Actual &amp; Assumptions'!AS118</f>
        <v>0</v>
      </c>
      <c r="AT45" s="152">
        <f t="shared" si="39"/>
        <v>0</v>
      </c>
      <c r="AU45" s="152">
        <f>'[33]Actual &amp; Assumptions'!AU118</f>
        <v>0</v>
      </c>
      <c r="AV45" s="152">
        <f>'[33]Actual &amp; Assumptions'!AV118</f>
        <v>0</v>
      </c>
      <c r="AW45" s="152">
        <f>'[33]Actual &amp; Assumptions'!AW118</f>
        <v>0</v>
      </c>
      <c r="AX45" s="152">
        <f>'[33]Actual &amp; Assumptions'!AX118</f>
        <v>0</v>
      </c>
      <c r="AY45" s="152">
        <f>'[33]Actual &amp; Assumptions'!AY118</f>
        <v>0</v>
      </c>
      <c r="AZ45" s="152">
        <f>'[33]Actual &amp; Assumptions'!AZ118</f>
        <v>0</v>
      </c>
      <c r="BA45" s="152">
        <f>'[33]Actual &amp; Assumptions'!BA118</f>
        <v>0</v>
      </c>
      <c r="BB45" s="152">
        <f>'[33]Actual &amp; Assumptions'!BB118</f>
        <v>0</v>
      </c>
      <c r="BC45" s="152">
        <f>'[33]Actual &amp; Assumptions'!BC118</f>
        <v>0</v>
      </c>
      <c r="BD45" s="152">
        <f>'[33]Actual &amp; Assumptions'!BD118</f>
        <v>0</v>
      </c>
      <c r="BE45" s="152">
        <f>'[33]Actual &amp; Assumptions'!BE118</f>
        <v>0</v>
      </c>
      <c r="BF45" s="152">
        <f>'[33]Actual &amp; Assumptions'!BF118</f>
        <v>0</v>
      </c>
      <c r="BG45" s="152">
        <f>'[33]Actual &amp; Assumptions'!BG118</f>
        <v>0</v>
      </c>
      <c r="BH45" s="152">
        <f>'[33]Actual &amp; Assumptions'!BH118</f>
        <v>0</v>
      </c>
      <c r="BI45" s="152">
        <f>'[33]Actual &amp; Assumptions'!BI118</f>
        <v>0</v>
      </c>
      <c r="BJ45" s="152">
        <f>'[33]Actual &amp; Assumptions'!BJ118</f>
        <v>0</v>
      </c>
      <c r="BK45" s="152">
        <f>'[33]Actual &amp; Assumptions'!BK118</f>
        <v>0</v>
      </c>
      <c r="BL45" s="152">
        <f>'[33]Actual &amp; Assumptions'!BL118</f>
        <v>0</v>
      </c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</row>
    <row r="46" spans="1:272" s="222" customFormat="1" hidden="1" outlineLevel="1">
      <c r="A46" s="222" t="str">
        <f>'[33]Actual &amp; Assumptions'!A120</f>
        <v>Investments</v>
      </c>
      <c r="C46" s="152">
        <f>'[33]Actual &amp; Assumptions'!C121</f>
        <v>116</v>
      </c>
      <c r="D46" s="152">
        <f>'[33]Actual &amp; Assumptions'!D121</f>
        <v>116</v>
      </c>
      <c r="E46" s="152">
        <f>'[33]Actual &amp; Assumptions'!E121</f>
        <v>383</v>
      </c>
      <c r="F46" s="152">
        <f>'[33]Actual &amp; Assumptions'!F121</f>
        <v>791</v>
      </c>
      <c r="G46" s="152">
        <f>'[33]Actual &amp; Assumptions'!G121</f>
        <v>791</v>
      </c>
      <c r="H46" s="152">
        <f>'[33]Actual &amp; Assumptions'!H121</f>
        <v>1522</v>
      </c>
      <c r="I46" s="152">
        <f>'[33]Actual &amp; Assumptions'!I121</f>
        <v>1522</v>
      </c>
      <c r="J46" s="152">
        <f>'[33]Actual &amp; Assumptions'!J121</f>
        <v>1522</v>
      </c>
      <c r="K46" s="152">
        <f>'[33]Actual &amp; Assumptions'!K121</f>
        <v>1522</v>
      </c>
      <c r="L46" s="152">
        <f>'[33]Actual &amp; Assumptions'!L121</f>
        <v>1522</v>
      </c>
      <c r="M46" s="152">
        <f>'[33]Actual &amp; Assumptions'!M121</f>
        <v>1522</v>
      </c>
      <c r="N46" s="152">
        <f>'[33]Actual &amp; Assumptions'!N121</f>
        <v>1522</v>
      </c>
      <c r="O46" s="152">
        <f>'[33]Actual &amp; Assumptions'!O121</f>
        <v>1522</v>
      </c>
      <c r="P46" s="152">
        <f>'[33]Actual &amp; Assumptions'!P121</f>
        <v>1522</v>
      </c>
      <c r="Q46" s="152">
        <f>'[33]Actual &amp; Assumptions'!Q121</f>
        <v>1522</v>
      </c>
      <c r="R46" s="152">
        <f>'[33]Actual &amp; Assumptions'!R121</f>
        <v>1522</v>
      </c>
      <c r="S46" s="152">
        <f>'[33]Actual &amp; Assumptions'!S121</f>
        <v>1522</v>
      </c>
      <c r="T46" s="152">
        <f>'[33]Actual &amp; Assumptions'!T121</f>
        <v>1522</v>
      </c>
      <c r="U46" s="152">
        <f>T46</f>
        <v>1522</v>
      </c>
      <c r="V46" s="152">
        <f>'[33]Actual &amp; Assumptions'!V121</f>
        <v>1522</v>
      </c>
      <c r="W46" s="152">
        <f>'[33]Actual &amp; Assumptions'!W121</f>
        <v>1522</v>
      </c>
      <c r="X46" s="152">
        <f>'[33]Actual &amp; Assumptions'!X121</f>
        <v>1522</v>
      </c>
      <c r="Y46" s="152">
        <f>'[33]Actual &amp; Assumptions'!Y121</f>
        <v>3318.69164</v>
      </c>
      <c r="Z46" s="152">
        <f>Y46</f>
        <v>3318.69164</v>
      </c>
      <c r="AA46" s="152">
        <f>'[33]Actual &amp; Assumptions'!AA121</f>
        <v>3319</v>
      </c>
      <c r="AB46" s="152">
        <f>'[33]Actual &amp; Assumptions'!AB121</f>
        <v>7702</v>
      </c>
      <c r="AC46" s="152">
        <f>'[33]Actual &amp; Assumptions'!AC121</f>
        <v>7702</v>
      </c>
      <c r="AD46" s="152">
        <f>'[33]Actual &amp; Assumptions'!AD121</f>
        <v>3319</v>
      </c>
      <c r="AE46" s="152">
        <f>AD46</f>
        <v>3319</v>
      </c>
      <c r="AF46" s="152">
        <f>'[33]Actual &amp; Assumptions'!AF121</f>
        <v>3319</v>
      </c>
      <c r="AG46" s="152">
        <f>'[33]Actual &amp; Assumptions'!AG121</f>
        <v>3319</v>
      </c>
      <c r="AH46" s="152">
        <f>'[33]Actual &amp; Assumptions'!AH121</f>
        <v>3319</v>
      </c>
      <c r="AI46" s="152">
        <f>'[33]Actual &amp; Assumptions'!AI121</f>
        <v>3319</v>
      </c>
      <c r="AJ46" s="152">
        <f>AI46</f>
        <v>3319</v>
      </c>
      <c r="AK46" s="152">
        <f>'[33]Actual &amp; Assumptions'!AK121</f>
        <v>3319</v>
      </c>
      <c r="AL46" s="152">
        <f>'[33]Actual &amp; Assumptions'!AL121</f>
        <v>3319</v>
      </c>
      <c r="AM46" s="152">
        <f>'[33]Actual &amp; Assumptions'!AM121</f>
        <v>3319</v>
      </c>
      <c r="AN46" s="152">
        <f>'[33]Actual &amp; Assumptions'!AN121</f>
        <v>1797.3168799999999</v>
      </c>
      <c r="AO46" s="152">
        <f>AN46</f>
        <v>1797.3168799999999</v>
      </c>
      <c r="AP46" s="152">
        <f>'[33]Actual &amp; Assumptions'!AP121</f>
        <v>1797.3168799999999</v>
      </c>
      <c r="AQ46" s="152">
        <f>'[33]Actual &amp; Assumptions'!AQ121</f>
        <v>1797.3168799999999</v>
      </c>
      <c r="AR46" s="152">
        <f>'[33]Actual &amp; Assumptions'!AR121</f>
        <v>1797.3168799999999</v>
      </c>
      <c r="AS46" s="152">
        <f>'[33]Actual &amp; Assumptions'!AS121</f>
        <v>1797.3168799999999</v>
      </c>
      <c r="AT46" s="152">
        <f t="shared" si="39"/>
        <v>1797.3168799999999</v>
      </c>
      <c r="AU46" s="152">
        <f>'[33]Actual &amp; Assumptions'!AU121</f>
        <v>1797.3168799999999</v>
      </c>
      <c r="AV46" s="152">
        <f>'[33]Actual &amp; Assumptions'!AV121</f>
        <v>1797.3168799999999</v>
      </c>
      <c r="AW46" s="152">
        <f>'[33]Actual &amp; Assumptions'!AW121</f>
        <v>1797.3168799999999</v>
      </c>
      <c r="AX46" s="152">
        <f>'[33]Actual &amp; Assumptions'!AX121</f>
        <v>1797.3168799999999</v>
      </c>
      <c r="AY46" s="152">
        <f>'[33]Actual &amp; Assumptions'!AY121</f>
        <v>1797.3168799999999</v>
      </c>
      <c r="AZ46" s="152">
        <f>'[33]Actual &amp; Assumptions'!AZ121</f>
        <v>1797.3168799999999</v>
      </c>
      <c r="BA46" s="152">
        <f>'[33]Actual &amp; Assumptions'!BA121</f>
        <v>1797.3168799999999</v>
      </c>
      <c r="BB46" s="152">
        <f>'[33]Actual &amp; Assumptions'!BB121</f>
        <v>1797.3168799999999</v>
      </c>
      <c r="BC46" s="152">
        <f>'[33]Actual &amp; Assumptions'!BC121</f>
        <v>1797.3168799999999</v>
      </c>
      <c r="BD46" s="152">
        <f>'[33]Actual &amp; Assumptions'!BD121</f>
        <v>1797.3168799999999</v>
      </c>
      <c r="BE46" s="152">
        <f>'[33]Actual &amp; Assumptions'!BE121</f>
        <v>1797.3168799999999</v>
      </c>
      <c r="BF46" s="152">
        <f>'[33]Actual &amp; Assumptions'!BF121</f>
        <v>1797.3168799999999</v>
      </c>
      <c r="BG46" s="152">
        <f>'[33]Actual &amp; Assumptions'!BG121</f>
        <v>1797.3168799999999</v>
      </c>
      <c r="BH46" s="152">
        <f>'[33]Actual &amp; Assumptions'!BH121</f>
        <v>1797.3168799999999</v>
      </c>
      <c r="BI46" s="152">
        <f>'[33]Actual &amp; Assumptions'!BI121</f>
        <v>1797.3168799999999</v>
      </c>
      <c r="BJ46" s="152">
        <f>'[33]Actual &amp; Assumptions'!BJ121</f>
        <v>1797.3168799999999</v>
      </c>
      <c r="BK46" s="152">
        <f>'[33]Actual &amp; Assumptions'!BK121</f>
        <v>1797.3168799999999</v>
      </c>
      <c r="BL46" s="152">
        <f>'[33]Actual &amp; Assumptions'!BL121</f>
        <v>1797.3168799999999</v>
      </c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</row>
    <row r="47" spans="1:272" s="222" customFormat="1" ht="14.25" hidden="1" customHeight="1" outlineLevel="1">
      <c r="A47" s="222" t="str">
        <f>'[33]Actual &amp; Assumptions'!A128</f>
        <v>Other Assets</v>
      </c>
      <c r="C47" s="152">
        <f>'[33]Actual &amp; Assumptions'!C129</f>
        <v>0</v>
      </c>
      <c r="D47" s="152">
        <f>'[33]Actual &amp; Assumptions'!D129</f>
        <v>0</v>
      </c>
      <c r="E47" s="152">
        <f>'[33]Actual &amp; Assumptions'!E129</f>
        <v>-32</v>
      </c>
      <c r="F47" s="152">
        <f>'[33]Actual &amp; Assumptions'!F129</f>
        <v>26</v>
      </c>
      <c r="G47" s="152">
        <f>'[33]Actual &amp; Assumptions'!G129</f>
        <v>431</v>
      </c>
      <c r="H47" s="152">
        <f>'[33]Actual &amp; Assumptions'!H129</f>
        <v>200</v>
      </c>
      <c r="I47" s="152">
        <f>'[33]Actual &amp; Assumptions'!I129</f>
        <v>189</v>
      </c>
      <c r="J47" s="152">
        <f>'[33]Actual &amp; Assumptions'!J129</f>
        <v>151</v>
      </c>
      <c r="K47" s="152">
        <f>'[33]Actual &amp; Assumptions'!K129</f>
        <v>201</v>
      </c>
      <c r="L47" s="152">
        <f>'[33]Actual &amp; Assumptions'!L129</f>
        <v>197</v>
      </c>
      <c r="M47" s="152">
        <f>'[33]Actual &amp; Assumptions'!M129</f>
        <v>184</v>
      </c>
      <c r="N47" s="152">
        <f>'[33]Actual &amp; Assumptions'!N129</f>
        <v>155</v>
      </c>
      <c r="O47" s="152">
        <f>'[33]Actual &amp; Assumptions'!O129</f>
        <v>65</v>
      </c>
      <c r="P47" s="152">
        <f>'[33]Actual &amp; Assumptions'!P129</f>
        <v>66</v>
      </c>
      <c r="Q47" s="152">
        <f>'[33]Actual &amp; Assumptions'!Q129</f>
        <v>24.332999999999998</v>
      </c>
      <c r="R47" s="152">
        <f>'[33]Actual &amp; Assumptions'!R129</f>
        <v>10</v>
      </c>
      <c r="S47" s="152">
        <f>'[33]Actual &amp; Assumptions'!S129</f>
        <v>13</v>
      </c>
      <c r="T47" s="152">
        <f>'[33]Actual &amp; Assumptions'!T129</f>
        <v>0</v>
      </c>
      <c r="U47" s="152">
        <f>'[33]Actual &amp; Assumptions'!U129</f>
        <v>0</v>
      </c>
      <c r="V47" s="152">
        <f>'[33]Actual &amp; Assumptions'!V129</f>
        <v>0</v>
      </c>
      <c r="W47" s="152">
        <f>'[33]Actual &amp; Assumptions'!W129</f>
        <v>0</v>
      </c>
      <c r="X47" s="152">
        <f>'[33]Actual &amp; Assumptions'!X129</f>
        <v>0</v>
      </c>
      <c r="Y47" s="152">
        <f>'[33]Actual &amp; Assumptions'!Y129</f>
        <v>0</v>
      </c>
      <c r="Z47" s="152">
        <f>'[33]Actual &amp; Assumptions'!Z129</f>
        <v>0</v>
      </c>
      <c r="AA47" s="152">
        <f>'[33]Actual &amp; Assumptions'!AA129</f>
        <v>0</v>
      </c>
      <c r="AB47" s="152">
        <f>'[33]Actual &amp; Assumptions'!AB129</f>
        <v>0</v>
      </c>
      <c r="AC47" s="152">
        <f>'[33]Actual &amp; Assumptions'!AC129</f>
        <v>0</v>
      </c>
      <c r="AD47" s="152">
        <f>'[33]Actual &amp; Assumptions'!AD129</f>
        <v>0</v>
      </c>
      <c r="AE47" s="152">
        <f>'[33]Actual &amp; Assumptions'!AE129</f>
        <v>0</v>
      </c>
      <c r="AF47" s="152">
        <f>'[33]Actual &amp; Assumptions'!AF129</f>
        <v>0</v>
      </c>
      <c r="AG47" s="152">
        <f>'[33]Actual &amp; Assumptions'!AG129</f>
        <v>0</v>
      </c>
      <c r="AH47" s="152">
        <f>'[33]Actual &amp; Assumptions'!AH129</f>
        <v>0</v>
      </c>
      <c r="AI47" s="152">
        <f>'[33]Actual &amp; Assumptions'!AI129</f>
        <v>0</v>
      </c>
      <c r="AJ47" s="152">
        <f>'[33]Actual &amp; Assumptions'!AJ129</f>
        <v>0</v>
      </c>
      <c r="AK47" s="152">
        <f>'[33]Actual &amp; Assumptions'!AK129</f>
        <v>4656</v>
      </c>
      <c r="AL47" s="152">
        <f>'[33]Actual &amp; Assumptions'!AL129</f>
        <v>2836</v>
      </c>
      <c r="AM47" s="152">
        <f>'[33]Actual &amp; Assumptions'!AM129</f>
        <v>2633</v>
      </c>
      <c r="AN47" s="152">
        <f>'[33]Actual &amp; Assumptions'!AN129</f>
        <v>2431.3958199999997</v>
      </c>
      <c r="AO47" s="152">
        <f>'[33]Actual &amp; Assumptions'!AO129</f>
        <v>2431.3958199999997</v>
      </c>
      <c r="AP47" s="152">
        <f>'[33]Actual &amp; Assumptions'!AP129</f>
        <v>2228</v>
      </c>
      <c r="AQ47" s="152">
        <f>'[33]Actual &amp; Assumptions'!AQ129</f>
        <v>2024</v>
      </c>
      <c r="AR47" s="152">
        <f>'[33]Actual &amp; Assumptions'!AR129</f>
        <v>3242</v>
      </c>
      <c r="AS47" s="152">
        <f>'[33]Actual &amp; Assumptions'!AS129</f>
        <v>3242</v>
      </c>
      <c r="AT47" s="152">
        <f t="shared" si="39"/>
        <v>3242</v>
      </c>
      <c r="AU47" s="152">
        <f>'[33]Actual &amp; Assumptions'!AU129</f>
        <v>3242</v>
      </c>
      <c r="AV47" s="152">
        <f>'[33]Actual &amp; Assumptions'!AV129</f>
        <v>3242</v>
      </c>
      <c r="AW47" s="152">
        <f>'[33]Actual &amp; Assumptions'!AW129</f>
        <v>3242</v>
      </c>
      <c r="AX47" s="152">
        <f>'[33]Actual &amp; Assumptions'!AX129</f>
        <v>3242</v>
      </c>
      <c r="AY47" s="152">
        <f>'[33]Actual &amp; Assumptions'!AY129</f>
        <v>3242</v>
      </c>
      <c r="AZ47" s="152">
        <f>'[33]Actual &amp; Assumptions'!AZ129</f>
        <v>3242</v>
      </c>
      <c r="BA47" s="152">
        <f>'[33]Actual &amp; Assumptions'!BA129</f>
        <v>3242</v>
      </c>
      <c r="BB47" s="152">
        <f>'[33]Actual &amp; Assumptions'!BB129</f>
        <v>3242</v>
      </c>
      <c r="BC47" s="152">
        <f>'[33]Actual &amp; Assumptions'!BC129</f>
        <v>3242</v>
      </c>
      <c r="BD47" s="152">
        <f>'[33]Actual &amp; Assumptions'!BD129</f>
        <v>3242</v>
      </c>
      <c r="BE47" s="152">
        <f>'[33]Actual &amp; Assumptions'!BE129</f>
        <v>3242</v>
      </c>
      <c r="BF47" s="152">
        <f>'[33]Actual &amp; Assumptions'!BF129</f>
        <v>3242</v>
      </c>
      <c r="BG47" s="152">
        <f>'[33]Actual &amp; Assumptions'!BG129</f>
        <v>3242</v>
      </c>
      <c r="BH47" s="152">
        <f>'[33]Actual &amp; Assumptions'!BH129</f>
        <v>3242</v>
      </c>
      <c r="BI47" s="152">
        <f>'[33]Actual &amp; Assumptions'!BI129</f>
        <v>3242</v>
      </c>
      <c r="BJ47" s="152">
        <f>'[33]Actual &amp; Assumptions'!BJ129</f>
        <v>3242</v>
      </c>
      <c r="BK47" s="152">
        <f>'[33]Actual &amp; Assumptions'!BK129</f>
        <v>3242</v>
      </c>
      <c r="BL47" s="152">
        <f>'[33]Actual &amp; Assumptions'!BL129</f>
        <v>3242</v>
      </c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</row>
    <row r="48" spans="1:272" s="222" customFormat="1" hidden="1" outlineLevel="1">
      <c r="A48" s="230" t="s">
        <v>388</v>
      </c>
      <c r="B48" s="230"/>
      <c r="C48" s="231">
        <f>SUM(C43:C47)</f>
        <v>2590</v>
      </c>
      <c r="D48" s="231">
        <f>SUM(D43:D47)</f>
        <v>4786</v>
      </c>
      <c r="E48" s="231">
        <f t="shared" ref="E48:BA48" si="40">SUM(E43:E47)</f>
        <v>6499</v>
      </c>
      <c r="F48" s="231">
        <f t="shared" si="40"/>
        <v>6543</v>
      </c>
      <c r="G48" s="231">
        <f t="shared" si="40"/>
        <v>5005</v>
      </c>
      <c r="H48" s="231">
        <f t="shared" si="40"/>
        <v>4097</v>
      </c>
      <c r="I48" s="231">
        <f t="shared" si="40"/>
        <v>3407</v>
      </c>
      <c r="J48" s="231">
        <f t="shared" si="40"/>
        <v>10226</v>
      </c>
      <c r="K48" s="231">
        <f t="shared" si="40"/>
        <v>9900</v>
      </c>
      <c r="L48" s="231">
        <f>SUM(L43:L47)</f>
        <v>9936</v>
      </c>
      <c r="M48" s="231">
        <f>SUM(M43:M47)</f>
        <v>10270</v>
      </c>
      <c r="N48" s="231">
        <f>SUM(N43:N47)</f>
        <v>10212</v>
      </c>
      <c r="O48" s="231">
        <f>SUM(O43:O47)</f>
        <v>3058</v>
      </c>
      <c r="P48" s="231">
        <f t="shared" si="40"/>
        <v>3059</v>
      </c>
      <c r="Q48" s="231">
        <f t="shared" si="40"/>
        <v>2983.4001800000001</v>
      </c>
      <c r="R48" s="231">
        <f t="shared" si="40"/>
        <v>3470</v>
      </c>
      <c r="S48" s="231">
        <f t="shared" si="40"/>
        <v>3301</v>
      </c>
      <c r="T48" s="231">
        <f t="shared" si="40"/>
        <v>3147</v>
      </c>
      <c r="U48" s="231">
        <f t="shared" si="40"/>
        <v>3147</v>
      </c>
      <c r="V48" s="231">
        <f t="shared" si="40"/>
        <v>3045</v>
      </c>
      <c r="W48" s="231">
        <f t="shared" si="40"/>
        <v>2976</v>
      </c>
      <c r="X48" s="231">
        <f t="shared" si="40"/>
        <v>2859</v>
      </c>
      <c r="Y48" s="231">
        <f t="shared" si="40"/>
        <v>4583.69164</v>
      </c>
      <c r="Z48" s="231">
        <f t="shared" si="40"/>
        <v>4583.69164</v>
      </c>
      <c r="AA48" s="231">
        <f t="shared" si="40"/>
        <v>4506</v>
      </c>
      <c r="AB48" s="231">
        <f t="shared" si="40"/>
        <v>8766</v>
      </c>
      <c r="AC48" s="231">
        <f t="shared" si="40"/>
        <v>9024</v>
      </c>
      <c r="AD48" s="231">
        <f t="shared" si="40"/>
        <v>4581.7108599999992</v>
      </c>
      <c r="AE48" s="231">
        <f t="shared" si="40"/>
        <v>4581.7108599999992</v>
      </c>
      <c r="AF48" s="231">
        <f t="shared" si="40"/>
        <v>4427</v>
      </c>
      <c r="AG48" s="231">
        <f t="shared" si="40"/>
        <v>4296</v>
      </c>
      <c r="AH48" s="231">
        <f t="shared" si="40"/>
        <v>4181</v>
      </c>
      <c r="AI48" s="231">
        <f t="shared" si="40"/>
        <v>4094</v>
      </c>
      <c r="AJ48" s="231">
        <f t="shared" si="40"/>
        <v>4094</v>
      </c>
      <c r="AK48" s="231">
        <f t="shared" si="40"/>
        <v>8679</v>
      </c>
      <c r="AL48" s="231">
        <f t="shared" si="40"/>
        <v>6838</v>
      </c>
      <c r="AM48" s="231">
        <f t="shared" si="40"/>
        <v>6569</v>
      </c>
      <c r="AN48" s="231">
        <f t="shared" si="40"/>
        <v>4772.7127</v>
      </c>
      <c r="AO48" s="231">
        <f t="shared" si="40"/>
        <v>4772.7127</v>
      </c>
      <c r="AP48" s="231">
        <f t="shared" si="40"/>
        <v>4546.6096800000014</v>
      </c>
      <c r="AQ48" s="231">
        <f t="shared" si="40"/>
        <v>4270.6096800000014</v>
      </c>
      <c r="AR48" s="231">
        <f t="shared" si="40"/>
        <v>5462.6207876800036</v>
      </c>
      <c r="AS48" s="231">
        <f t="shared" si="40"/>
        <v>5186.2377476800029</v>
      </c>
      <c r="AT48" s="231">
        <f t="shared" si="40"/>
        <v>5186.2377476800029</v>
      </c>
      <c r="AU48" s="231">
        <f t="shared" si="40"/>
        <v>5236.8579809661169</v>
      </c>
      <c r="AV48" s="231">
        <f t="shared" si="40"/>
        <v>5236.8579809661169</v>
      </c>
      <c r="AW48" s="231">
        <f t="shared" si="40"/>
        <v>5283.1686458031127</v>
      </c>
      <c r="AX48" s="231">
        <f t="shared" si="40"/>
        <v>5283.1686458031127</v>
      </c>
      <c r="AY48" s="231">
        <f t="shared" si="40"/>
        <v>5283.1686458031127</v>
      </c>
      <c r="AZ48" s="231">
        <f t="shared" si="40"/>
        <v>5354.2801710889162</v>
      </c>
      <c r="BA48" s="231">
        <f t="shared" si="40"/>
        <v>5412.3682101020222</v>
      </c>
      <c r="BB48" s="231">
        <f>SUM(BB43:BB47)</f>
        <v>5521.1952003864135</v>
      </c>
      <c r="BC48" s="231">
        <f>SUM(BC43:BC47)</f>
        <v>5660.6587021649957</v>
      </c>
      <c r="BD48" s="231">
        <f t="shared" ref="BD48:BL48" si="41">SUM(BD43:BD47)</f>
        <v>5776.710447739124</v>
      </c>
      <c r="BE48" s="231">
        <f t="shared" si="41"/>
        <v>5874.1179262885616</v>
      </c>
      <c r="BF48" s="231">
        <f t="shared" si="41"/>
        <v>5956.6967467779596</v>
      </c>
      <c r="BG48" s="231">
        <f t="shared" si="41"/>
        <v>6027.501044734674</v>
      </c>
      <c r="BH48" s="231">
        <f t="shared" si="41"/>
        <v>6088.9758082549797</v>
      </c>
      <c r="BI48" s="231">
        <f t="shared" si="41"/>
        <v>6143.0787394041017</v>
      </c>
      <c r="BJ48" s="231">
        <f t="shared" si="41"/>
        <v>6191.3777439425994</v>
      </c>
      <c r="BK48" s="231">
        <f t="shared" si="41"/>
        <v>6235.1289237253677</v>
      </c>
      <c r="BL48" s="231">
        <f t="shared" si="41"/>
        <v>6275.3389712504377</v>
      </c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</row>
    <row r="49" spans="1:272" s="222" customFormat="1" hidden="1" outlineLevel="1">
      <c r="A49" s="222" t="str">
        <f>'[33]Actual &amp; Assumptions'!A132</f>
        <v>Projects Under Progress - POC Calc</v>
      </c>
      <c r="C49" s="152">
        <f>'[33]Actual &amp; Assumptions'!C133</f>
        <v>0</v>
      </c>
      <c r="D49" s="152">
        <f>'[33]Actual &amp; Assumptions'!D133</f>
        <v>0</v>
      </c>
      <c r="E49" s="152">
        <f>'[33]Actual &amp; Assumptions'!E133</f>
        <v>19974</v>
      </c>
      <c r="F49" s="152">
        <f>'[33]Actual &amp; Assumptions'!F133</f>
        <v>14818</v>
      </c>
      <c r="G49" s="152">
        <f>'[33]Actual &amp; Assumptions'!G133</f>
        <v>14411</v>
      </c>
      <c r="H49" s="152">
        <f>'[33]Actual &amp; Assumptions'!H133</f>
        <v>15677</v>
      </c>
      <c r="I49" s="152">
        <f>'[33]Actual &amp; Assumptions'!I133</f>
        <v>8602</v>
      </c>
      <c r="J49" s="152">
        <f>'[33]Actual &amp; Assumptions'!J133</f>
        <v>10824</v>
      </c>
      <c r="K49" s="152">
        <f>'[33]Actual &amp; Assumptions'!K133</f>
        <v>9900</v>
      </c>
      <c r="L49" s="152">
        <f>'[33]Actual &amp; Assumptions'!L133</f>
        <v>11561</v>
      </c>
      <c r="M49" s="152">
        <f>'[33]Actual &amp; Assumptions'!M133</f>
        <v>9466</v>
      </c>
      <c r="N49" s="152">
        <f>'[33]Actual &amp; Assumptions'!N133</f>
        <v>13762</v>
      </c>
      <c r="O49" s="152">
        <f>'[33]Actual &amp; Assumptions'!O133</f>
        <v>15133</v>
      </c>
      <c r="P49" s="152">
        <f>'[33]Actual &amp; Assumptions'!P133</f>
        <v>15133</v>
      </c>
      <c r="Q49" s="152">
        <f>'[33]Actual &amp; Assumptions'!Q133</f>
        <v>16516.638999999999</v>
      </c>
      <c r="R49" s="152">
        <f>'[33]Actual &amp; Assumptions'!R133</f>
        <v>23572</v>
      </c>
      <c r="S49" s="152">
        <f>'[33]Actual &amp; Assumptions'!S133</f>
        <v>15055</v>
      </c>
      <c r="T49" s="152">
        <f>'[33]Actual &amp; Assumptions'!T133</f>
        <v>54191</v>
      </c>
      <c r="U49" s="152">
        <f>'[33]Actual &amp; Assumptions'!U133</f>
        <v>54191</v>
      </c>
      <c r="V49" s="152">
        <f>'[33]Actual &amp; Assumptions'!V133</f>
        <v>32882</v>
      </c>
      <c r="W49" s="152">
        <f>'[33]Actual &amp; Assumptions'!W133</f>
        <v>54153</v>
      </c>
      <c r="X49" s="152">
        <f>'[33]Actual &amp; Assumptions'!X133</f>
        <v>35028</v>
      </c>
      <c r="Y49" s="152">
        <f>'[33]Actual &amp; Assumptions'!Y133</f>
        <v>40976</v>
      </c>
      <c r="Z49" s="152">
        <f>'[33]Actual &amp; Assumptions'!Z133</f>
        <v>40976</v>
      </c>
      <c r="AA49" s="152">
        <f>'[33]Actual &amp; Assumptions'!AA133</f>
        <v>27817</v>
      </c>
      <c r="AB49" s="152">
        <f>'[33]Actual &amp; Assumptions'!AB133</f>
        <v>38811</v>
      </c>
      <c r="AC49" s="152">
        <f>'[33]Actual &amp; Assumptions'!AC133</f>
        <v>36046</v>
      </c>
      <c r="AD49" s="152">
        <f>'[33]Actual &amp; Assumptions'!AD133</f>
        <v>30295.563999999998</v>
      </c>
      <c r="AE49" s="152">
        <f>'[33]Actual &amp; Assumptions'!AE133</f>
        <v>30295.563999999998</v>
      </c>
      <c r="AF49" s="152">
        <f>'[33]Actual &amp; Assumptions'!AF133</f>
        <v>27690</v>
      </c>
      <c r="AG49" s="152">
        <f>'[33]Actual &amp; Assumptions'!AG133</f>
        <v>28492</v>
      </c>
      <c r="AH49" s="152">
        <f>'[33]Actual &amp; Assumptions'!AH133</f>
        <v>22327</v>
      </c>
      <c r="AI49" s="152">
        <f>'[33]Actual &amp; Assumptions'!AI133</f>
        <v>19522</v>
      </c>
      <c r="AJ49" s="152">
        <f>'[33]Actual &amp; Assumptions'!AJ133</f>
        <v>19522</v>
      </c>
      <c r="AK49" s="152">
        <f>'[33]Actual &amp; Assumptions'!AK133</f>
        <v>15669</v>
      </c>
      <c r="AL49" s="152">
        <f>'[33]Actual &amp; Assumptions'!AL133</f>
        <v>13750</v>
      </c>
      <c r="AM49" s="152">
        <f>'[33]Actual &amp; Assumptions'!AM133</f>
        <v>16124</v>
      </c>
      <c r="AN49" s="152">
        <f>'[33]Actual &amp; Assumptions'!AN133</f>
        <v>0</v>
      </c>
      <c r="AO49" s="152">
        <f>'[33]Actual &amp; Assumptions'!AO133</f>
        <v>0</v>
      </c>
      <c r="AP49" s="152">
        <f>'[33]Actual &amp; Assumptions'!AP133</f>
        <v>0</v>
      </c>
      <c r="AQ49" s="152">
        <f>'[33]Actual &amp; Assumptions'!AQ133</f>
        <v>0</v>
      </c>
      <c r="AR49" s="152">
        <f>'[33]Actual &amp; Assumptions'!AR133</f>
        <v>0</v>
      </c>
      <c r="AS49" s="152">
        <f>'[33]Actual &amp; Assumptions'!AS133</f>
        <v>0</v>
      </c>
      <c r="AT49" s="152">
        <f t="shared" ref="AT49:AT55" si="42">AS49</f>
        <v>0</v>
      </c>
      <c r="AU49" s="152">
        <f>'[33]Actual &amp; Assumptions'!AU133</f>
        <v>0</v>
      </c>
      <c r="AV49" s="152">
        <f>'[33]Actual &amp; Assumptions'!AV133</f>
        <v>0</v>
      </c>
      <c r="AW49" s="152">
        <f>'[33]Actual &amp; Assumptions'!AW133</f>
        <v>0</v>
      </c>
      <c r="AX49" s="152">
        <f>'[33]Actual &amp; Assumptions'!AX133</f>
        <v>6104.4321649999974</v>
      </c>
      <c r="AY49" s="152">
        <f>AX49</f>
        <v>6104.4321649999974</v>
      </c>
      <c r="AZ49" s="152">
        <f>'[33]Actual &amp; Assumptions'!AZ133</f>
        <v>7004.5111890044855</v>
      </c>
      <c r="BA49" s="152">
        <f>'[33]Actual &amp; Assumptions'!BA133</f>
        <v>7629.7576629220375</v>
      </c>
      <c r="BB49" s="152">
        <f>'[33]Actual &amp; Assumptions'!BB133</f>
        <v>8314.1774010753597</v>
      </c>
      <c r="BC49" s="152">
        <f>'[33]Actual &amp; Assumptions'!BC133</f>
        <v>9063.5324349155799</v>
      </c>
      <c r="BD49" s="152">
        <f>'[33]Actual &amp; Assumptions'!BD133</f>
        <v>9890.9131577684911</v>
      </c>
      <c r="BE49" s="152">
        <f>'[33]Actual &amp; Assumptions'!BE133</f>
        <v>10713.863200402262</v>
      </c>
      <c r="BF49" s="152">
        <f>'[33]Actual &amp; Assumptions'!BF133</f>
        <v>11691.659235991665</v>
      </c>
      <c r="BG49" s="152">
        <f>'[33]Actual &amp; Assumptions'!BG133</f>
        <v>12763.029375189046</v>
      </c>
      <c r="BH49" s="152">
        <f>'[33]Actual &amp; Assumptions'!BH133</f>
        <v>13937.13498250253</v>
      </c>
      <c r="BI49" s="152">
        <f>'[33]Actual &amp; Assumptions'!BI133</f>
        <v>15224.044183472746</v>
      </c>
      <c r="BJ49" s="152">
        <f>'[33]Actual &amp; Assumptions'!BJ133</f>
        <v>16634.822084811432</v>
      </c>
      <c r="BK49" s="152">
        <f>'[33]Actual &amp; Assumptions'!BK133</f>
        <v>18181.629994139785</v>
      </c>
      <c r="BL49" s="152">
        <f>'[33]Actual &amp; Assumptions'!BL133</f>
        <v>19877.834538177467</v>
      </c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</row>
    <row r="50" spans="1:272" s="222" customFormat="1" hidden="1" outlineLevel="1">
      <c r="A50" s="222" t="str">
        <f>'[33]Actual &amp; Assumptions'!A137</f>
        <v>Inventory</v>
      </c>
      <c r="C50" s="152">
        <f>'[33]Actual &amp; Assumptions'!C138</f>
        <v>16119</v>
      </c>
      <c r="D50" s="152">
        <f>'[33]Actual &amp; Assumptions'!D138</f>
        <v>58840</v>
      </c>
      <c r="E50" s="152">
        <f>'[33]Actual &amp; Assumptions'!E138</f>
        <v>67967</v>
      </c>
      <c r="F50" s="152">
        <f>'[33]Actual &amp; Assumptions'!F138</f>
        <v>80592</v>
      </c>
      <c r="G50" s="152">
        <f>'[33]Actual &amp; Assumptions'!G138</f>
        <v>70966</v>
      </c>
      <c r="H50" s="152">
        <f>'[33]Actual &amp; Assumptions'!H138</f>
        <v>70089.714999999997</v>
      </c>
      <c r="I50" s="152">
        <f>'[33]Actual &amp; Assumptions'!I138</f>
        <v>53428</v>
      </c>
      <c r="J50" s="152">
        <f>'[33]Actual &amp; Assumptions'!J138</f>
        <v>47111</v>
      </c>
      <c r="K50" s="152">
        <f>'[33]Actual &amp; Assumptions'!K138</f>
        <v>41860</v>
      </c>
      <c r="L50" s="152">
        <f>'[33]Actual &amp; Assumptions'!L138</f>
        <v>43814</v>
      </c>
      <c r="M50" s="152">
        <f>'[33]Actual &amp; Assumptions'!M138</f>
        <v>43213</v>
      </c>
      <c r="N50" s="152">
        <f>'[33]Actual &amp; Assumptions'!N138</f>
        <v>47733</v>
      </c>
      <c r="O50" s="152">
        <f>'[33]Actual &amp; Assumptions'!O138</f>
        <v>54994</v>
      </c>
      <c r="P50" s="152">
        <f>'[33]Actual &amp; Assumptions'!P138</f>
        <v>54994</v>
      </c>
      <c r="Q50" s="152">
        <f>'[33]Actual &amp; Assumptions'!Q138</f>
        <v>51047.86997</v>
      </c>
      <c r="R50" s="152">
        <f>'[33]Actual &amp; Assumptions'!R138</f>
        <v>54120</v>
      </c>
      <c r="S50" s="152">
        <f>'[33]Actual &amp; Assumptions'!S138</f>
        <v>52943</v>
      </c>
      <c r="T50" s="152">
        <f>'[33]Actual &amp; Assumptions'!T138</f>
        <v>62063</v>
      </c>
      <c r="U50" s="152">
        <f>'[33]Actual &amp; Assumptions'!U138</f>
        <v>62063</v>
      </c>
      <c r="V50" s="152">
        <f>'[33]Actual &amp; Assumptions'!V138</f>
        <v>50819</v>
      </c>
      <c r="W50" s="152">
        <f>'[33]Actual &amp; Assumptions'!W138</f>
        <v>50279</v>
      </c>
      <c r="X50" s="152">
        <f>'[33]Actual &amp; Assumptions'!X138</f>
        <v>48159</v>
      </c>
      <c r="Y50" s="152">
        <f>'[33]Actual &amp; Assumptions'!Y138</f>
        <v>46220.373100000004</v>
      </c>
      <c r="Z50" s="152">
        <f>'[33]Actual &amp; Assumptions'!Z138</f>
        <v>46220.373100000004</v>
      </c>
      <c r="AA50" s="152">
        <f>'[33]Actual &amp; Assumptions'!AA138</f>
        <v>45931</v>
      </c>
      <c r="AB50" s="152">
        <f>'[33]Actual &amp; Assumptions'!AB138</f>
        <v>44998</v>
      </c>
      <c r="AC50" s="152">
        <f>'[33]Actual &amp; Assumptions'!AC138</f>
        <v>48320</v>
      </c>
      <c r="AD50" s="152">
        <f>'[33]Actual &amp; Assumptions'!AD138</f>
        <v>64709</v>
      </c>
      <c r="AE50" s="152">
        <f>'[33]Actual &amp; Assumptions'!AE138</f>
        <v>64709</v>
      </c>
      <c r="AF50" s="152">
        <f>'[33]Actual &amp; Assumptions'!AF138</f>
        <v>64908</v>
      </c>
      <c r="AG50" s="152">
        <f>'[33]Actual &amp; Assumptions'!AG138</f>
        <v>66130.643460000007</v>
      </c>
      <c r="AH50" s="152">
        <f>'[33]Actual &amp; Assumptions'!AH138</f>
        <v>66281.000000000015</v>
      </c>
      <c r="AI50" s="152">
        <f>'[33]Actual &amp; Assumptions'!AI138</f>
        <v>64918.380060000047</v>
      </c>
      <c r="AJ50" s="152">
        <f>'[33]Actual &amp; Assumptions'!AJ138</f>
        <v>64918.380060000047</v>
      </c>
      <c r="AK50" s="152">
        <f>'[33]Actual &amp; Assumptions'!AK138</f>
        <v>64708</v>
      </c>
      <c r="AL50" s="152">
        <f>'[33]Actual &amp; Assumptions'!AL138</f>
        <v>67836</v>
      </c>
      <c r="AM50" s="152">
        <f>'[33]Actual &amp; Assumptions'!AM138</f>
        <v>71880</v>
      </c>
      <c r="AN50" s="152">
        <f>'[33]Actual &amp; Assumptions'!AN138</f>
        <v>72845</v>
      </c>
      <c r="AO50" s="152">
        <f>'[33]Actual &amp; Assumptions'!AO138</f>
        <v>72845</v>
      </c>
      <c r="AP50" s="152">
        <f>'[33]Actual &amp; Assumptions'!AP138</f>
        <v>71120</v>
      </c>
      <c r="AQ50" s="152">
        <f>'[33]Actual &amp; Assumptions'!AQ138</f>
        <v>70078</v>
      </c>
      <c r="AR50" s="152">
        <f>'[33]Actual &amp; Assumptions'!AR138</f>
        <v>69753</v>
      </c>
      <c r="AS50" s="152">
        <f>'[33]Actual &amp; Assumptions'!AS138</f>
        <v>69387.493825766665</v>
      </c>
      <c r="AT50" s="152">
        <f t="shared" si="42"/>
        <v>69387.493825766665</v>
      </c>
      <c r="AU50" s="152">
        <f>'[33]Actual &amp; Assumptions'!AU138</f>
        <v>50345.377993333321</v>
      </c>
      <c r="AV50" s="152">
        <f>'[33]Actual &amp; Assumptions'!AV138</f>
        <v>59681.646333333309</v>
      </c>
      <c r="AW50" s="152">
        <f>'[33]Actual &amp; Assumptions'!AW138</f>
        <v>58464.286515555534</v>
      </c>
      <c r="AX50" s="152">
        <f>'[33]Actual &amp; Assumptions'!AX138</f>
        <v>44765.835876666657</v>
      </c>
      <c r="AY50" s="152">
        <f>'[33]Actual &amp; Assumptions'!AY138</f>
        <v>44765.835876666657</v>
      </c>
      <c r="AZ50" s="152">
        <f>'[33]Actual &amp; Assumptions'!AZ138</f>
        <v>56036.089512035884</v>
      </c>
      <c r="BA50" s="152">
        <f>'[33]Actual &amp; Assumptions'!BA138</f>
        <v>68667.818966298335</v>
      </c>
      <c r="BB50" s="152">
        <f>'[33]Actual &amp; Assumptions'!BB138</f>
        <v>84804.609490968665</v>
      </c>
      <c r="BC50" s="152">
        <f>'[33]Actual &amp; Assumptions'!BC138</f>
        <v>99698.856784071366</v>
      </c>
      <c r="BD50" s="152">
        <f>'[33]Actual &amp; Assumptions'!BD138</f>
        <v>113745.50131433766</v>
      </c>
      <c r="BE50" s="152">
        <f>'[33]Actual &amp; Assumptions'!BE138</f>
        <v>123209.42680462601</v>
      </c>
      <c r="BF50" s="152">
        <f>'[33]Actual &amp; Assumptions'!BF138</f>
        <v>136792.41306110244</v>
      </c>
      <c r="BG50" s="152">
        <f>'[33]Actual &amp; Assumptions'!BG138</f>
        <v>146774.83781467404</v>
      </c>
      <c r="BH50" s="152">
        <f>'[33]Actual &amp; Assumptions'!BH138</f>
        <v>151914.77130927757</v>
      </c>
      <c r="BI50" s="152">
        <f>'[33]Actual &amp; Assumptions'!BI138</f>
        <v>152240.44183472748</v>
      </c>
      <c r="BJ50" s="152">
        <f>'[33]Actual &amp; Assumptions'!BJ138</f>
        <v>154703.84538874633</v>
      </c>
      <c r="BK50" s="152">
        <f>'[33]Actual &amp; Assumptions'!BK138</f>
        <v>154543.85495018816</v>
      </c>
      <c r="BL50" s="152">
        <f>'[33]Actual &amp; Assumptions'!BL138</f>
        <v>155047.10939778425</v>
      </c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</row>
    <row r="51" spans="1:272" s="222" customFormat="1" hidden="1" outlineLevel="1">
      <c r="A51" s="222" t="str">
        <f>'[33]Actual &amp; Assumptions'!A146</f>
        <v>Accounts Receivables</v>
      </c>
      <c r="C51" s="152">
        <f>'[33]Actual &amp; Assumptions'!C147</f>
        <v>25601</v>
      </c>
      <c r="D51" s="152">
        <f>'[33]Actual &amp; Assumptions'!D147</f>
        <v>32439</v>
      </c>
      <c r="E51" s="152">
        <f>'[33]Actual &amp; Assumptions'!E147</f>
        <v>67402</v>
      </c>
      <c r="F51" s="152">
        <f>'[33]Actual &amp; Assumptions'!F147</f>
        <v>53437</v>
      </c>
      <c r="G51" s="152">
        <f>'[33]Actual &amp; Assumptions'!G147</f>
        <v>57597</v>
      </c>
      <c r="H51" s="152">
        <f>'[33]Actual &amp; Assumptions'!H147</f>
        <v>53346</v>
      </c>
      <c r="I51" s="152">
        <f>'[33]Actual &amp; Assumptions'!I147</f>
        <v>29205</v>
      </c>
      <c r="J51" s="152">
        <f>'[33]Actual &amp; Assumptions'!J147</f>
        <v>31309</v>
      </c>
      <c r="K51" s="152">
        <f>'[33]Actual &amp; Assumptions'!K147</f>
        <v>56300</v>
      </c>
      <c r="L51" s="152">
        <f>'[33]Actual &amp; Assumptions'!L147</f>
        <v>53069</v>
      </c>
      <c r="M51" s="152">
        <f>'[33]Actual &amp; Assumptions'!M147</f>
        <v>59812</v>
      </c>
      <c r="N51" s="152">
        <f>'[33]Actual &amp; Assumptions'!N147</f>
        <v>35826</v>
      </c>
      <c r="O51" s="152">
        <f>'[33]Actual &amp; Assumptions'!O147</f>
        <v>49699</v>
      </c>
      <c r="P51" s="152">
        <f>'[33]Actual &amp; Assumptions'!P147</f>
        <v>49699</v>
      </c>
      <c r="Q51" s="152">
        <f>'[33]Actual &amp; Assumptions'!Q147</f>
        <v>56528.129130000001</v>
      </c>
      <c r="R51" s="152">
        <f>'[33]Actual &amp; Assumptions'!R147</f>
        <v>42739</v>
      </c>
      <c r="S51" s="152">
        <f>'[33]Actual &amp; Assumptions'!S147</f>
        <v>48509</v>
      </c>
      <c r="T51" s="152">
        <f>'[33]Actual &amp; Assumptions'!T147</f>
        <v>47837</v>
      </c>
      <c r="U51" s="152">
        <f>'[33]Actual &amp; Assumptions'!U147</f>
        <v>47837</v>
      </c>
      <c r="V51" s="152">
        <f>'[33]Actual &amp; Assumptions'!V147</f>
        <v>55035</v>
      </c>
      <c r="W51" s="152">
        <f>'[33]Actual &amp; Assumptions'!W147</f>
        <v>59543</v>
      </c>
      <c r="X51" s="152">
        <f>'[33]Actual &amp; Assumptions'!X147</f>
        <v>89733</v>
      </c>
      <c r="Y51" s="152">
        <f>'[33]Actual &amp; Assumptions'!Y147</f>
        <v>86125</v>
      </c>
      <c r="Z51" s="152">
        <f>'[33]Actual &amp; Assumptions'!Z147</f>
        <v>86125</v>
      </c>
      <c r="AA51" s="152">
        <f>'[33]Actual &amp; Assumptions'!AA147</f>
        <v>64818</v>
      </c>
      <c r="AB51" s="152">
        <f>'[33]Actual &amp; Assumptions'!AB147</f>
        <v>37557</v>
      </c>
      <c r="AC51" s="152">
        <f>'[33]Actual &amp; Assumptions'!AC147</f>
        <v>46902</v>
      </c>
      <c r="AD51" s="152">
        <f>'[33]Actual &amp; Assumptions'!AD147</f>
        <v>70594</v>
      </c>
      <c r="AE51" s="152">
        <f>'[33]Actual &amp; Assumptions'!AE147</f>
        <v>70594</v>
      </c>
      <c r="AF51" s="152">
        <f>'[33]Actual &amp; Assumptions'!AF147</f>
        <v>38844</v>
      </c>
      <c r="AG51" s="152">
        <f>'[33]Actual &amp; Assumptions'!AG147</f>
        <v>44904</v>
      </c>
      <c r="AH51" s="152">
        <f>'[33]Actual &amp; Assumptions'!AH147</f>
        <v>48146</v>
      </c>
      <c r="AI51" s="152">
        <f>'[33]Actual &amp; Assumptions'!AI147</f>
        <v>38725</v>
      </c>
      <c r="AJ51" s="152">
        <f>'[33]Actual &amp; Assumptions'!AJ147</f>
        <v>38725</v>
      </c>
      <c r="AK51" s="152">
        <f>'[33]Actual &amp; Assumptions'!AK147</f>
        <v>31041</v>
      </c>
      <c r="AL51" s="152">
        <f>'[33]Actual &amp; Assumptions'!AL147</f>
        <v>25641</v>
      </c>
      <c r="AM51" s="152">
        <f>'[33]Actual &amp; Assumptions'!AM147</f>
        <v>21411</v>
      </c>
      <c r="AN51" s="152">
        <f>'[33]Actual &amp; Assumptions'!AN147</f>
        <v>20123</v>
      </c>
      <c r="AO51" s="152">
        <f>'[33]Actual &amp; Assumptions'!AO147</f>
        <v>20123</v>
      </c>
      <c r="AP51" s="152">
        <f>'[33]Actual &amp; Assumptions'!AP147</f>
        <v>23839</v>
      </c>
      <c r="AQ51" s="152">
        <f>'[33]Actual &amp; Assumptions'!AQ147</f>
        <v>29549</v>
      </c>
      <c r="AR51" s="152">
        <f>'[33]Actual &amp; Assumptions'!AR147</f>
        <v>29945</v>
      </c>
      <c r="AS51" s="152">
        <f>'[33]Actual &amp; Assumptions'!AS147</f>
        <v>23950.172088888892</v>
      </c>
      <c r="AT51" s="152">
        <f t="shared" si="42"/>
        <v>23950.172088888892</v>
      </c>
      <c r="AU51" s="152">
        <f>'[33]Actual &amp; Assumptions'!AU147</f>
        <v>70645.044426666631</v>
      </c>
      <c r="AV51" s="152">
        <f>'[33]Actual &amp; Assumptions'!AV147</f>
        <v>44013.508866666671</v>
      </c>
      <c r="AW51" s="152">
        <f>'[33]Actual &amp; Assumptions'!AW147</f>
        <v>49866.666631111118</v>
      </c>
      <c r="AX51" s="152">
        <f>'[33]Actual &amp; Assumptions'!AX147</f>
        <v>43041.996635555559</v>
      </c>
      <c r="AY51" s="152">
        <f>'[33]Actual &amp; Assumptions'!AY147</f>
        <v>43041.996635555559</v>
      </c>
      <c r="AZ51" s="152">
        <f>'[33]Actual &amp; Assumptions'!AZ147</f>
        <v>56370.149684722215</v>
      </c>
      <c r="BA51" s="152">
        <f>'[33]Actual &amp; Assumptions'!BA147</f>
        <v>66360.657121208336</v>
      </c>
      <c r="BB51" s="152">
        <f>'[33]Actual &amp; Assumptions'!BB147</f>
        <v>77780.12201619643</v>
      </c>
      <c r="BC51" s="152">
        <f>'[33]Actual &amp; Assumptions'!BC147</f>
        <v>85472.59374161411</v>
      </c>
      <c r="BD51" s="152">
        <f>'[33]Actual &amp; Assumptions'!BD147</f>
        <v>93931.746425287463</v>
      </c>
      <c r="BE51" s="152">
        <f>'[33]Actual &amp; Assumptions'!BE147</f>
        <v>103234.17117661354</v>
      </c>
      <c r="BF51" s="152">
        <f>'[33]Actual &amp; Assumptions'!BF147</f>
        <v>113464.11590633616</v>
      </c>
      <c r="BG51" s="152">
        <f>'[33]Actual &amp; Assumptions'!BG147</f>
        <v>124714.25093739283</v>
      </c>
      <c r="BH51" s="152">
        <f>'[33]Actual &amp; Assumptions'!BH147</f>
        <v>137086.51117476792</v>
      </c>
      <c r="BI51" s="152">
        <f>'[33]Actual &amp; Assumptions'!BI147</f>
        <v>150693.02249018956</v>
      </c>
      <c r="BJ51" s="152">
        <f>'[33]Actual &amp; Assumptions'!BJ147</f>
        <v>165657.12074309171</v>
      </c>
      <c r="BK51" s="152">
        <f>'[33]Actual &amp; Assumptions'!BK147</f>
        <v>182114.47270140055</v>
      </c>
      <c r="BL51" s="152">
        <f>'[33]Actual &amp; Assumptions'!BL147</f>
        <v>200214.3090520603</v>
      </c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</row>
    <row r="52" spans="1:272" s="222" customFormat="1" hidden="1" outlineLevel="1">
      <c r="A52" s="222" t="str">
        <f>'[33]Actual &amp; Assumptions'!A151</f>
        <v>Debtors &amp; Debit Balances</v>
      </c>
      <c r="C52" s="152">
        <f>'[33]Actual &amp; Assumptions'!C152</f>
        <v>35258</v>
      </c>
      <c r="D52" s="152">
        <f>'[33]Actual &amp; Assumptions'!D152</f>
        <v>36608</v>
      </c>
      <c r="E52" s="152">
        <f>'[33]Actual &amp; Assumptions'!E152</f>
        <v>35504</v>
      </c>
      <c r="F52" s="152">
        <f>'[33]Actual &amp; Assumptions'!F152</f>
        <v>27320</v>
      </c>
      <c r="G52" s="152">
        <f>'[33]Actual &amp; Assumptions'!G152</f>
        <v>34692</v>
      </c>
      <c r="H52" s="152">
        <f>'[33]Actual &amp; Assumptions'!H152</f>
        <v>62494</v>
      </c>
      <c r="I52" s="152">
        <f>'[33]Actual &amp; Assumptions'!I152</f>
        <v>48599</v>
      </c>
      <c r="J52" s="152">
        <f>'[33]Actual &amp; Assumptions'!J152</f>
        <v>38475</v>
      </c>
      <c r="K52" s="152">
        <f>'[33]Actual &amp; Assumptions'!K152</f>
        <v>25637</v>
      </c>
      <c r="L52" s="152">
        <f>'[33]Actual &amp; Assumptions'!L152</f>
        <v>52213</v>
      </c>
      <c r="M52" s="152">
        <f>'[33]Actual &amp; Assumptions'!M152</f>
        <v>52751</v>
      </c>
      <c r="N52" s="152">
        <f>'[33]Actual &amp; Assumptions'!N152</f>
        <v>69795</v>
      </c>
      <c r="O52" s="152">
        <f>'[33]Actual &amp; Assumptions'!O152</f>
        <v>61452</v>
      </c>
      <c r="P52" s="152">
        <f>'[33]Actual &amp; Assumptions'!P152</f>
        <v>61452</v>
      </c>
      <c r="Q52" s="152">
        <f>'[33]Actual &amp; Assumptions'!Q152</f>
        <v>71175.541110000006</v>
      </c>
      <c r="R52" s="152">
        <f>'[33]Actual &amp; Assumptions'!R152</f>
        <v>98515</v>
      </c>
      <c r="S52" s="152">
        <f>'[33]Actual &amp; Assumptions'!S152</f>
        <v>99203</v>
      </c>
      <c r="T52" s="152">
        <f>'[33]Actual &amp; Assumptions'!T152</f>
        <v>85710</v>
      </c>
      <c r="U52" s="152">
        <f>'[33]Actual &amp; Assumptions'!U152</f>
        <v>85710</v>
      </c>
      <c r="V52" s="152">
        <f>'[33]Actual &amp; Assumptions'!V152</f>
        <v>94977</v>
      </c>
      <c r="W52" s="152">
        <f>'[33]Actual &amp; Assumptions'!W152</f>
        <v>101657</v>
      </c>
      <c r="X52" s="152">
        <f>'[33]Actual &amp; Assumptions'!X152</f>
        <v>100253</v>
      </c>
      <c r="Y52" s="152">
        <f>'[33]Actual &amp; Assumptions'!Y152</f>
        <v>59872</v>
      </c>
      <c r="Z52" s="152">
        <f>'[33]Actual &amp; Assumptions'!Z152</f>
        <v>59872</v>
      </c>
      <c r="AA52" s="152">
        <f>'[33]Actual &amp; Assumptions'!AA152</f>
        <v>47629</v>
      </c>
      <c r="AB52" s="152">
        <f>'[33]Actual &amp; Assumptions'!AB152</f>
        <v>52285</v>
      </c>
      <c r="AC52" s="152">
        <f>'[33]Actual &amp; Assumptions'!AC152</f>
        <v>47400</v>
      </c>
      <c r="AD52" s="152">
        <f>'[33]Actual &amp; Assumptions'!AD152</f>
        <v>40346</v>
      </c>
      <c r="AE52" s="152">
        <f>'[33]Actual &amp; Assumptions'!AE152</f>
        <v>40346</v>
      </c>
      <c r="AF52" s="152">
        <f>'[33]Actual &amp; Assumptions'!AF152</f>
        <v>48085</v>
      </c>
      <c r="AG52" s="152">
        <f>'[33]Actual &amp; Assumptions'!AG152</f>
        <v>46542</v>
      </c>
      <c r="AH52" s="152">
        <f>'[33]Actual &amp; Assumptions'!AH152</f>
        <v>72826</v>
      </c>
      <c r="AI52" s="152">
        <f>'[33]Actual &amp; Assumptions'!AI152</f>
        <v>71099</v>
      </c>
      <c r="AJ52" s="152">
        <f>'[33]Actual &amp; Assumptions'!AJ152</f>
        <v>71099</v>
      </c>
      <c r="AK52" s="152">
        <f>'[33]Actual &amp; Assumptions'!AK152</f>
        <v>39883</v>
      </c>
      <c r="AL52" s="152">
        <f>'[33]Actual &amp; Assumptions'!AL152</f>
        <v>32117</v>
      </c>
      <c r="AM52" s="152">
        <f>'[33]Actual &amp; Assumptions'!AM152</f>
        <v>36248</v>
      </c>
      <c r="AN52" s="152">
        <f>'[33]Actual &amp; Assumptions'!AN152</f>
        <v>41031.001340000003</v>
      </c>
      <c r="AO52" s="152">
        <f>'[33]Actual &amp; Assumptions'!AO152</f>
        <v>41031.001340000003</v>
      </c>
      <c r="AP52" s="152">
        <f>'[33]Actual &amp; Assumptions'!AP152</f>
        <v>52251</v>
      </c>
      <c r="AQ52" s="152">
        <f>'[33]Actual &amp; Assumptions'!AQ152</f>
        <v>57513</v>
      </c>
      <c r="AR52" s="152">
        <f>'[33]Actual &amp; Assumptions'!AR152</f>
        <v>62586</v>
      </c>
      <c r="AS52" s="152">
        <f>'[33]Actual &amp; Assumptions'!AS152</f>
        <v>60174.807373333337</v>
      </c>
      <c r="AT52" s="152">
        <f t="shared" si="42"/>
        <v>60174.807373333337</v>
      </c>
      <c r="AU52" s="152">
        <f>'[33]Actual &amp; Assumptions'!AU152</f>
        <v>79475.674979999952</v>
      </c>
      <c r="AV52" s="152">
        <f>'[33]Actual &amp; Assumptions'!AV152</f>
        <v>79224.315960000007</v>
      </c>
      <c r="AW52" s="152">
        <f>'[33]Actual &amp; Assumptions'!AW152</f>
        <v>56099.999960000008</v>
      </c>
      <c r="AX52" s="152">
        <f>'[33]Actual &amp; Assumptions'!AX152</f>
        <v>67637.423284444449</v>
      </c>
      <c r="AY52" s="152">
        <f>'[33]Actual &amp; Assumptions'!AY152</f>
        <v>67637.423284444449</v>
      </c>
      <c r="AZ52" s="152">
        <f>'[33]Actual &amp; Assumptions'!AZ152</f>
        <v>68449.467474305551</v>
      </c>
      <c r="BA52" s="152">
        <f>'[33]Actual &amp; Assumptions'!BA152</f>
        <v>79632.788545449992</v>
      </c>
      <c r="BB52" s="152">
        <f>'[33]Actual &amp; Assumptions'!BB152</f>
        <v>89447.140318625883</v>
      </c>
      <c r="BC52" s="152">
        <f>'[33]Actual &amp; Assumptions'!BC152</f>
        <v>106840.74217701763</v>
      </c>
      <c r="BD52" s="152">
        <f>'[33]Actual &amp; Assumptions'!BD152</f>
        <v>123285.41718318981</v>
      </c>
      <c r="BE52" s="152">
        <f>'[33]Actual &amp; Assumptions'!BE152</f>
        <v>135494.84966930529</v>
      </c>
      <c r="BF52" s="152">
        <f>'[33]Actual &amp; Assumptions'!BF152</f>
        <v>148921.65212706619</v>
      </c>
      <c r="BG52" s="152">
        <f>'[33]Actual &amp; Assumptions'!BG152</f>
        <v>163687.45435532808</v>
      </c>
      <c r="BH52" s="152">
        <f>'[33]Actual &amp; Assumptions'!BH152</f>
        <v>171358.13896845991</v>
      </c>
      <c r="BI52" s="152">
        <f>'[33]Actual &amp; Assumptions'!BI152</f>
        <v>188366.27811273697</v>
      </c>
      <c r="BJ52" s="152">
        <f>'[33]Actual &amp; Assumptions'!BJ152</f>
        <v>196717.83088242143</v>
      </c>
      <c r="BK52" s="152">
        <f>'[33]Actual &amp; Assumptions'!BK152</f>
        <v>220813.79815044816</v>
      </c>
      <c r="BL52" s="152">
        <f>'[33]Actual &amp; Assumptions'!BL152</f>
        <v>225241.09768356782</v>
      </c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</row>
    <row r="53" spans="1:272" s="222" customFormat="1" hidden="1" outlineLevel="1">
      <c r="A53" s="222" t="str">
        <f>'[33]Actual &amp; Assumptions'!A161</f>
        <v>Due From Inter Companies Net</v>
      </c>
      <c r="C53" s="152">
        <f>'[33]Actual &amp; Assumptions'!C162</f>
        <v>1889</v>
      </c>
      <c r="D53" s="152">
        <f>'[33]Actual &amp; Assumptions'!D162</f>
        <v>4324</v>
      </c>
      <c r="E53" s="152">
        <f>'[33]Actual &amp; Assumptions'!E162</f>
        <v>28139</v>
      </c>
      <c r="F53" s="152">
        <f>'[33]Actual &amp; Assumptions'!F162</f>
        <v>47611</v>
      </c>
      <c r="G53" s="152">
        <f>'[33]Actual &amp; Assumptions'!G162</f>
        <v>59030</v>
      </c>
      <c r="H53" s="152">
        <f>'[33]Actual &amp; Assumptions'!H162</f>
        <v>85412</v>
      </c>
      <c r="I53" s="152">
        <f>'[33]Actual &amp; Assumptions'!I162</f>
        <v>100536</v>
      </c>
      <c r="J53" s="152">
        <f>'[33]Actual &amp; Assumptions'!J162</f>
        <v>139781</v>
      </c>
      <c r="K53" s="152">
        <f>'[33]Actual &amp; Assumptions'!K162</f>
        <v>116485</v>
      </c>
      <c r="L53" s="152">
        <f>'[33]Actual &amp; Assumptions'!L162</f>
        <v>114268</v>
      </c>
      <c r="M53" s="152">
        <f>'[33]Actual &amp; Assumptions'!M162</f>
        <v>120673</v>
      </c>
      <c r="N53" s="152">
        <f>'[33]Actual &amp; Assumptions'!N162</f>
        <v>122451</v>
      </c>
      <c r="O53" s="152">
        <f>'[33]Actual &amp; Assumptions'!O162</f>
        <v>109098</v>
      </c>
      <c r="P53" s="152">
        <f>'[33]Actual &amp; Assumptions'!P162</f>
        <v>109098</v>
      </c>
      <c r="Q53" s="152">
        <f>'[33]Actual &amp; Assumptions'!Q162</f>
        <v>117953.65817</v>
      </c>
      <c r="R53" s="152">
        <f>'[33]Actual &amp; Assumptions'!R162</f>
        <v>121384</v>
      </c>
      <c r="S53" s="152">
        <f>'[33]Actual &amp; Assumptions'!S162</f>
        <v>125995</v>
      </c>
      <c r="T53" s="152">
        <f>'[33]Actual &amp; Assumptions'!T162</f>
        <v>122482</v>
      </c>
      <c r="U53" s="152">
        <f>'[33]Actual &amp; Assumptions'!U162</f>
        <v>122482</v>
      </c>
      <c r="V53" s="152">
        <f>'[33]Actual &amp; Assumptions'!V162</f>
        <v>126550</v>
      </c>
      <c r="W53" s="152">
        <f>'[33]Actual &amp; Assumptions'!W162</f>
        <v>130060</v>
      </c>
      <c r="X53" s="152">
        <f>'[33]Actual &amp; Assumptions'!X162</f>
        <v>153974</v>
      </c>
      <c r="Y53" s="152">
        <f>'[33]Actual &amp; Assumptions'!Y162</f>
        <v>102293</v>
      </c>
      <c r="Z53" s="152">
        <f>'[33]Actual &amp; Assumptions'!Z162</f>
        <v>102293</v>
      </c>
      <c r="AA53" s="152">
        <f>'[33]Actual &amp; Assumptions'!AA162</f>
        <v>101994</v>
      </c>
      <c r="AB53" s="152">
        <f>'[33]Actual &amp; Assumptions'!AB162</f>
        <v>98347</v>
      </c>
      <c r="AC53" s="152">
        <f>'[33]Actual &amp; Assumptions'!AC162</f>
        <v>102209</v>
      </c>
      <c r="AD53" s="152">
        <f>'[33]Actual &amp; Assumptions'!AD162</f>
        <v>105982</v>
      </c>
      <c r="AE53" s="152">
        <f>'[33]Actual &amp; Assumptions'!AE162</f>
        <v>105982</v>
      </c>
      <c r="AF53" s="152">
        <f>'[33]Actual &amp; Assumptions'!AF162</f>
        <v>110036</v>
      </c>
      <c r="AG53" s="152">
        <f>'[33]Actual &amp; Assumptions'!AG162</f>
        <v>127742</v>
      </c>
      <c r="AH53" s="152">
        <f>'[33]Actual &amp; Assumptions'!AH162</f>
        <v>113446</v>
      </c>
      <c r="AI53" s="152">
        <f>'[33]Actual &amp; Assumptions'!AI162</f>
        <v>117388</v>
      </c>
      <c r="AJ53" s="152">
        <f>'[33]Actual &amp; Assumptions'!AJ162</f>
        <v>117388</v>
      </c>
      <c r="AK53" s="152">
        <f>'[33]Actual &amp; Assumptions'!AK162</f>
        <v>99393</v>
      </c>
      <c r="AL53" s="152">
        <f>'[33]Actual &amp; Assumptions'!AL162</f>
        <v>97621</v>
      </c>
      <c r="AM53" s="152">
        <f>'[33]Actual &amp; Assumptions'!AM162</f>
        <v>96329</v>
      </c>
      <c r="AN53" s="152">
        <f>'[33]Actual &amp; Assumptions'!AN162</f>
        <v>95431</v>
      </c>
      <c r="AO53" s="152">
        <f>'[33]Actual &amp; Assumptions'!AO162</f>
        <v>95431</v>
      </c>
      <c r="AP53" s="152">
        <f>'[33]Actual &amp; Assumptions'!AP162</f>
        <v>96151</v>
      </c>
      <c r="AQ53" s="152">
        <f>'[33]Actual &amp; Assumptions'!AQ162</f>
        <v>99433</v>
      </c>
      <c r="AR53" s="152">
        <f>'[33]Actual &amp; Assumptions'!AR162</f>
        <v>94800</v>
      </c>
      <c r="AS53" s="152">
        <f>'[33]Actual &amp; Assumptions'!AS162</f>
        <v>88800</v>
      </c>
      <c r="AT53" s="152">
        <f t="shared" si="42"/>
        <v>88800</v>
      </c>
      <c r="AU53" s="152">
        <f>'[33]Actual &amp; Assumptions'!AU162</f>
        <v>87050</v>
      </c>
      <c r="AV53" s="152">
        <f>'[33]Actual &amp; Assumptions'!AV162</f>
        <v>85300</v>
      </c>
      <c r="AW53" s="152">
        <f>'[33]Actual &amp; Assumptions'!AW162</f>
        <v>83550</v>
      </c>
      <c r="AX53" s="152">
        <f>'[33]Actual &amp; Assumptions'!AX162</f>
        <v>81800</v>
      </c>
      <c r="AY53" s="152">
        <f>'[33]Actual &amp; Assumptions'!AY162</f>
        <v>81800</v>
      </c>
      <c r="AZ53" s="152">
        <f>'[33]Actual &amp; Assumptions'!AZ162</f>
        <v>66800</v>
      </c>
      <c r="BA53" s="152">
        <f>'[33]Actual &amp; Assumptions'!BA162</f>
        <v>51800</v>
      </c>
      <c r="BB53" s="152">
        <f>'[33]Actual &amp; Assumptions'!BB162</f>
        <v>36800</v>
      </c>
      <c r="BC53" s="152">
        <f>'[33]Actual &amp; Assumptions'!BC162</f>
        <v>33522</v>
      </c>
      <c r="BD53" s="152">
        <f>'[33]Actual &amp; Assumptions'!BD162</f>
        <v>30522</v>
      </c>
      <c r="BE53" s="152">
        <f>'[33]Actual &amp; Assumptions'!BE162</f>
        <v>28260</v>
      </c>
      <c r="BF53" s="152">
        <f>'[33]Actual &amp; Assumptions'!BF162</f>
        <v>28260</v>
      </c>
      <c r="BG53" s="152">
        <f>'[33]Actual &amp; Assumptions'!BG162</f>
        <v>28260</v>
      </c>
      <c r="BH53" s="152">
        <f>'[33]Actual &amp; Assumptions'!BH162</f>
        <v>28260</v>
      </c>
      <c r="BI53" s="152">
        <f>'[33]Actual &amp; Assumptions'!BI162</f>
        <v>28260</v>
      </c>
      <c r="BJ53" s="152">
        <f>'[33]Actual &amp; Assumptions'!BJ162</f>
        <v>28260</v>
      </c>
      <c r="BK53" s="152">
        <f>'[33]Actual &amp; Assumptions'!BK162</f>
        <v>28260</v>
      </c>
      <c r="BL53" s="152">
        <f>'[33]Actual &amp; Assumptions'!BL162</f>
        <v>28260</v>
      </c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</row>
    <row r="54" spans="1:272" s="222" customFormat="1" hidden="1" outlineLevel="1">
      <c r="A54" s="222" t="str">
        <f>'[33]Actual &amp; Assumptions'!A172</f>
        <v>Due From Related Party Companies</v>
      </c>
      <c r="C54" s="152">
        <f>'[33]Actual &amp; Assumptions'!C173</f>
        <v>0</v>
      </c>
      <c r="D54" s="152">
        <f>'[33]Actual &amp; Assumptions'!D173</f>
        <v>0</v>
      </c>
      <c r="E54" s="152">
        <f>'[33]Actual &amp; Assumptions'!E173</f>
        <v>-78</v>
      </c>
      <c r="F54" s="152">
        <f>'[33]Actual &amp; Assumptions'!F173</f>
        <v>-13</v>
      </c>
      <c r="G54" s="152">
        <f>'[33]Actual &amp; Assumptions'!G173</f>
        <v>-8</v>
      </c>
      <c r="H54" s="152">
        <f>'[33]Actual &amp; Assumptions'!H173</f>
        <v>-12</v>
      </c>
      <c r="I54" s="152">
        <f>'[33]Actual &amp; Assumptions'!I173</f>
        <v>-2</v>
      </c>
      <c r="J54" s="152">
        <f>'[33]Actual &amp; Assumptions'!J173</f>
        <v>13</v>
      </c>
      <c r="K54" s="152">
        <f>'[33]Actual &amp; Assumptions'!K173</f>
        <v>33</v>
      </c>
      <c r="L54" s="152">
        <f>'[33]Actual &amp; Assumptions'!L173</f>
        <v>36</v>
      </c>
      <c r="M54" s="152">
        <f>'[33]Actual &amp; Assumptions'!M173</f>
        <v>39</v>
      </c>
      <c r="N54" s="152">
        <f>'[33]Actual &amp; Assumptions'!N173</f>
        <v>43</v>
      </c>
      <c r="O54" s="152">
        <f>'[33]Actual &amp; Assumptions'!O173</f>
        <v>46</v>
      </c>
      <c r="P54" s="152">
        <f>O54</f>
        <v>46</v>
      </c>
      <c r="Q54" s="152">
        <f>'[33]Actual &amp; Assumptions'!Q173</f>
        <v>51.149300000000004</v>
      </c>
      <c r="R54" s="152">
        <f>'[33]Actual &amp; Assumptions'!R173</f>
        <v>44</v>
      </c>
      <c r="S54" s="152">
        <f>'[33]Actual &amp; Assumptions'!S173</f>
        <v>44</v>
      </c>
      <c r="T54" s="152">
        <f>'[33]Actual &amp; Assumptions'!T173</f>
        <v>44</v>
      </c>
      <c r="U54" s="152">
        <f>T54</f>
        <v>44</v>
      </c>
      <c r="V54" s="152">
        <f>'[33]Actual &amp; Assumptions'!V173</f>
        <v>44</v>
      </c>
      <c r="W54" s="152">
        <f>'[33]Actual &amp; Assumptions'!W173</f>
        <v>8044</v>
      </c>
      <c r="X54" s="152">
        <f>'[33]Actual &amp; Assumptions'!X173</f>
        <v>8095</v>
      </c>
      <c r="Y54" s="152">
        <f>'[33]Actual &amp; Assumptions'!Y173</f>
        <v>8059</v>
      </c>
      <c r="Z54" s="152">
        <f>Y54</f>
        <v>8059</v>
      </c>
      <c r="AA54" s="152">
        <f>'[33]Actual &amp; Assumptions'!AA173</f>
        <v>8055</v>
      </c>
      <c r="AB54" s="152">
        <f>'[33]Actual &amp; Assumptions'!AB173</f>
        <v>8045</v>
      </c>
      <c r="AC54" s="152">
        <f>'[33]Actual &amp; Assumptions'!AC173</f>
        <v>10261</v>
      </c>
      <c r="AD54" s="152">
        <f>'[33]Actual &amp; Assumptions'!AD173</f>
        <v>10483.3971</v>
      </c>
      <c r="AE54" s="152">
        <f>AD54</f>
        <v>10483.3971</v>
      </c>
      <c r="AF54" s="152">
        <f>'[33]Actual &amp; Assumptions'!AF173</f>
        <v>16309</v>
      </c>
      <c r="AG54" s="152">
        <f>'[33]Actual &amp; Assumptions'!AG173</f>
        <v>3582</v>
      </c>
      <c r="AH54" s="152">
        <f>'[33]Actual &amp; Assumptions'!AH173</f>
        <v>8040</v>
      </c>
      <c r="AI54" s="152">
        <f>'[33]Actual &amp; Assumptions'!AI173</f>
        <v>11046</v>
      </c>
      <c r="AJ54" s="152">
        <f>'[33]Actual &amp; Assumptions'!AJ173</f>
        <v>11046</v>
      </c>
      <c r="AK54" s="152">
        <f>'[33]Actual &amp; Assumptions'!AK173</f>
        <v>6869</v>
      </c>
      <c r="AL54" s="152">
        <f>'[33]Actual &amp; Assumptions'!AL173</f>
        <v>4689</v>
      </c>
      <c r="AM54" s="152">
        <f>'[33]Actual &amp; Assumptions'!AM173</f>
        <v>5105</v>
      </c>
      <c r="AN54" s="152">
        <f>'[33]Actual &amp; Assumptions'!AN173</f>
        <v>5588</v>
      </c>
      <c r="AO54" s="152">
        <f>'[33]Actual &amp; Assumptions'!AO173</f>
        <v>5588</v>
      </c>
      <c r="AP54" s="152">
        <f>'[33]Actual &amp; Assumptions'!AP173</f>
        <v>4685</v>
      </c>
      <c r="AQ54" s="152">
        <f>'[33]Actual &amp; Assumptions'!AQ173</f>
        <v>3685</v>
      </c>
      <c r="AR54" s="152">
        <f>'[33]Actual &amp; Assumptions'!AR173</f>
        <v>2392</v>
      </c>
      <c r="AS54" s="152">
        <f>'[33]Actual &amp; Assumptions'!AS173</f>
        <v>2396</v>
      </c>
      <c r="AT54" s="152">
        <f t="shared" si="42"/>
        <v>2396</v>
      </c>
      <c r="AU54" s="152">
        <f>'[33]Actual &amp; Assumptions'!AU173</f>
        <v>2396</v>
      </c>
      <c r="AV54" s="152">
        <f>'[33]Actual &amp; Assumptions'!AV173</f>
        <v>2396</v>
      </c>
      <c r="AW54" s="152">
        <f>'[33]Actual &amp; Assumptions'!AW173</f>
        <v>2396</v>
      </c>
      <c r="AX54" s="152">
        <f>'[33]Actual &amp; Assumptions'!AX173</f>
        <v>2396</v>
      </c>
      <c r="AY54" s="152">
        <f>'[33]Actual &amp; Assumptions'!AY173</f>
        <v>2396</v>
      </c>
      <c r="AZ54" s="152">
        <f>'[33]Actual &amp; Assumptions'!AZ173</f>
        <v>2396</v>
      </c>
      <c r="BA54" s="152">
        <f>'[33]Actual &amp; Assumptions'!BA173</f>
        <v>2396</v>
      </c>
      <c r="BB54" s="152">
        <f>'[33]Actual &amp; Assumptions'!BB173</f>
        <v>2396</v>
      </c>
      <c r="BC54" s="152">
        <f>'[33]Actual &amp; Assumptions'!BC173</f>
        <v>2396</v>
      </c>
      <c r="BD54" s="152">
        <f>'[33]Actual &amp; Assumptions'!BD173</f>
        <v>2396</v>
      </c>
      <c r="BE54" s="152">
        <f>'[33]Actual &amp; Assumptions'!BE173</f>
        <v>2396</v>
      </c>
      <c r="BF54" s="152">
        <f>'[33]Actual &amp; Assumptions'!BF173</f>
        <v>2396</v>
      </c>
      <c r="BG54" s="152">
        <f>'[33]Actual &amp; Assumptions'!BG173</f>
        <v>2396</v>
      </c>
      <c r="BH54" s="152">
        <f>'[33]Actual &amp; Assumptions'!BH173</f>
        <v>2396</v>
      </c>
      <c r="BI54" s="152">
        <f>'[33]Actual &amp; Assumptions'!BI173</f>
        <v>2396</v>
      </c>
      <c r="BJ54" s="152">
        <f>'[33]Actual &amp; Assumptions'!BJ173</f>
        <v>2396</v>
      </c>
      <c r="BK54" s="152">
        <f>'[33]Actual &amp; Assumptions'!BK173</f>
        <v>2396</v>
      </c>
      <c r="BL54" s="152">
        <f>'[33]Actual &amp; Assumptions'!BL173</f>
        <v>2396</v>
      </c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</row>
    <row r="55" spans="1:272" s="222" customFormat="1" hidden="1" outlineLevel="1">
      <c r="A55" s="222" t="str">
        <f>'[33]Actual &amp; Assumptions'!A179</f>
        <v>Short Term Investment</v>
      </c>
      <c r="C55" s="152">
        <f>'[33]Actual &amp; Assumptions'!C180</f>
        <v>0</v>
      </c>
      <c r="D55" s="152">
        <f>'[33]Actual &amp; Assumptions'!D180</f>
        <v>0</v>
      </c>
      <c r="E55" s="152">
        <f>'[33]Actual &amp; Assumptions'!E180</f>
        <v>0</v>
      </c>
      <c r="F55" s="152">
        <f>'[33]Actual &amp; Assumptions'!F180</f>
        <v>0</v>
      </c>
      <c r="G55" s="152">
        <f>'[33]Actual &amp; Assumptions'!G180</f>
        <v>0</v>
      </c>
      <c r="H55" s="152">
        <f>'[33]Actual &amp; Assumptions'!H180</f>
        <v>0</v>
      </c>
      <c r="I55" s="152">
        <f>'[33]Actual &amp; Assumptions'!I180</f>
        <v>0</v>
      </c>
      <c r="J55" s="152">
        <f>'[33]Actual &amp; Assumptions'!J180</f>
        <v>0</v>
      </c>
      <c r="K55" s="152">
        <f>'[33]Actual &amp; Assumptions'!K180</f>
        <v>0</v>
      </c>
      <c r="L55" s="152">
        <f>'[33]Actual &amp; Assumptions'!L180</f>
        <v>0</v>
      </c>
      <c r="M55" s="152">
        <f>'[33]Actual &amp; Assumptions'!M180</f>
        <v>0</v>
      </c>
      <c r="N55" s="152">
        <f>'[33]Actual &amp; Assumptions'!N180</f>
        <v>0</v>
      </c>
      <c r="O55" s="152">
        <f>'[33]Actual &amp; Assumptions'!O180</f>
        <v>0</v>
      </c>
      <c r="P55" s="152">
        <f>O55</f>
        <v>0</v>
      </c>
      <c r="Q55" s="152">
        <f>'[33]Actual &amp; Assumptions'!Q180</f>
        <v>0</v>
      </c>
      <c r="R55" s="152">
        <f>'[33]Actual &amp; Assumptions'!R180</f>
        <v>0</v>
      </c>
      <c r="S55" s="152">
        <f>'[33]Actual &amp; Assumptions'!S180</f>
        <v>0</v>
      </c>
      <c r="T55" s="152">
        <f>'[33]Actual &amp; Assumptions'!T180</f>
        <v>0</v>
      </c>
      <c r="U55" s="152">
        <f>T55</f>
        <v>0</v>
      </c>
      <c r="V55" s="152">
        <f>'[33]Actual &amp; Assumptions'!V180</f>
        <v>0</v>
      </c>
      <c r="W55" s="152">
        <f>'[33]Actual &amp; Assumptions'!W180</f>
        <v>0</v>
      </c>
      <c r="X55" s="152">
        <f>'[33]Actual &amp; Assumptions'!X180</f>
        <v>0</v>
      </c>
      <c r="Y55" s="152">
        <f>'[33]Actual &amp; Assumptions'!Y180</f>
        <v>0</v>
      </c>
      <c r="Z55" s="152">
        <f>Y55</f>
        <v>0</v>
      </c>
      <c r="AA55" s="152">
        <f>'[33]Actual &amp; Assumptions'!AA180</f>
        <v>0</v>
      </c>
      <c r="AB55" s="152">
        <f>'[33]Actual &amp; Assumptions'!AB180</f>
        <v>0</v>
      </c>
      <c r="AC55" s="152">
        <f>'[33]Actual &amp; Assumptions'!AC180</f>
        <v>0</v>
      </c>
      <c r="AD55" s="152">
        <f>'[33]Actual &amp; Assumptions'!AD180</f>
        <v>0</v>
      </c>
      <c r="AE55" s="152">
        <f>AD55</f>
        <v>0</v>
      </c>
      <c r="AF55" s="152">
        <f>'[33]Actual &amp; Assumptions'!AF180</f>
        <v>0</v>
      </c>
      <c r="AG55" s="152">
        <f>'[33]Actual &amp; Assumptions'!AG180</f>
        <v>0</v>
      </c>
      <c r="AH55" s="152">
        <f>'[33]Actual &amp; Assumptions'!AH180</f>
        <v>0</v>
      </c>
      <c r="AI55" s="152">
        <f>'[33]Actual &amp; Assumptions'!AI180</f>
        <v>0</v>
      </c>
      <c r="AJ55" s="152">
        <f>AI55</f>
        <v>0</v>
      </c>
      <c r="AK55" s="152">
        <f>'[33]Actual &amp; Assumptions'!AK180</f>
        <v>0</v>
      </c>
      <c r="AL55" s="152">
        <f>'[33]Actual &amp; Assumptions'!AL180</f>
        <v>0</v>
      </c>
      <c r="AM55" s="152">
        <f>'[33]Actual &amp; Assumptions'!AM180</f>
        <v>0</v>
      </c>
      <c r="AN55" s="152">
        <f>'[33]Actual &amp; Assumptions'!AN180</f>
        <v>0</v>
      </c>
      <c r="AO55" s="152">
        <f>AN55</f>
        <v>0</v>
      </c>
      <c r="AP55" s="152">
        <f>'[33]Actual &amp; Assumptions'!AP180</f>
        <v>0</v>
      </c>
      <c r="AQ55" s="152">
        <f>'[33]Actual &amp; Assumptions'!AQ180</f>
        <v>0</v>
      </c>
      <c r="AR55" s="152">
        <f>'[33]Actual &amp; Assumptions'!AR180</f>
        <v>0</v>
      </c>
      <c r="AS55" s="152">
        <f>'[33]Actual &amp; Assumptions'!AS180</f>
        <v>0</v>
      </c>
      <c r="AT55" s="152">
        <f t="shared" si="42"/>
        <v>0</v>
      </c>
      <c r="AU55" s="152">
        <f>'[33]Actual &amp; Assumptions'!AU180</f>
        <v>0</v>
      </c>
      <c r="AV55" s="152">
        <f>'[33]Actual &amp; Assumptions'!AV180</f>
        <v>0</v>
      </c>
      <c r="AW55" s="152">
        <f>'[33]Actual &amp; Assumptions'!AW180</f>
        <v>0</v>
      </c>
      <c r="AX55" s="152">
        <f>'[33]Actual &amp; Assumptions'!AX180</f>
        <v>0</v>
      </c>
      <c r="AY55" s="152">
        <f>'[37]Actual &amp; Assumptions'!AU180</f>
        <v>0</v>
      </c>
      <c r="AZ55" s="152">
        <f>'[33]Actual &amp; Assumptions'!AY180</f>
        <v>0</v>
      </c>
      <c r="BA55" s="152">
        <f>'[33]Actual &amp; Assumptions'!AZ180</f>
        <v>0</v>
      </c>
      <c r="BB55" s="152">
        <f>'[33]Actual &amp; Assumptions'!BA180</f>
        <v>0</v>
      </c>
      <c r="BC55" s="152">
        <f>'[33]Actual &amp; Assumptions'!BB180</f>
        <v>0</v>
      </c>
      <c r="BD55" s="152">
        <f>'[33]Actual &amp; Assumptions'!BC180</f>
        <v>0</v>
      </c>
      <c r="BE55" s="152">
        <f>'[33]Actual &amp; Assumptions'!BD180</f>
        <v>0</v>
      </c>
      <c r="BF55" s="152">
        <f>'[33]Actual &amp; Assumptions'!BE180</f>
        <v>0</v>
      </c>
      <c r="BG55" s="152">
        <f>'[33]Actual &amp; Assumptions'!BF180</f>
        <v>0</v>
      </c>
      <c r="BH55" s="152">
        <f>'[33]Actual &amp; Assumptions'!BG180</f>
        <v>0</v>
      </c>
      <c r="BI55" s="152">
        <f>'[33]Actual &amp; Assumptions'!BH180</f>
        <v>0</v>
      </c>
      <c r="BJ55" s="152">
        <f>'[33]Actual &amp; Assumptions'!BI180</f>
        <v>0</v>
      </c>
      <c r="BK55" s="152">
        <f>'[33]Actual &amp; Assumptions'!BJ180</f>
        <v>0</v>
      </c>
      <c r="BL55" s="152">
        <f>'[33]Actual &amp; Assumptions'!BK180</f>
        <v>0</v>
      </c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</row>
    <row r="56" spans="1:272" s="222" customFormat="1" hidden="1" outlineLevel="1">
      <c r="A56" s="222" t="str">
        <f>'[33]Actual &amp; Assumptions'!A183</f>
        <v>Cash &amp; Banks</v>
      </c>
      <c r="C56" s="152">
        <f>'[33]Actual &amp; Assumptions'!C184</f>
        <v>210</v>
      </c>
      <c r="D56" s="152">
        <f>'[33]Actual &amp; Assumptions'!D184</f>
        <v>16159</v>
      </c>
      <c r="E56" s="152">
        <f>'[33]Actual &amp; Assumptions'!E184</f>
        <v>40502</v>
      </c>
      <c r="F56" s="152">
        <f>'[33]Actual &amp; Assumptions'!F184</f>
        <v>29854</v>
      </c>
      <c r="G56" s="152">
        <f>'[33]Actual &amp; Assumptions'!G184</f>
        <v>33965</v>
      </c>
      <c r="H56" s="152">
        <f>'[33]Actual &amp; Assumptions'!H184</f>
        <v>22288</v>
      </c>
      <c r="I56" s="152">
        <f>'[33]Actual &amp; Assumptions'!I184</f>
        <v>17992</v>
      </c>
      <c r="J56" s="152">
        <f>'[33]Actual &amp; Assumptions'!J184</f>
        <v>14465</v>
      </c>
      <c r="K56" s="152">
        <f>'[33]Actual &amp; Assumptions'!K184</f>
        <v>14498</v>
      </c>
      <c r="L56" s="152">
        <f>'[33]Actual &amp; Assumptions'!L184</f>
        <v>19263</v>
      </c>
      <c r="M56" s="152">
        <f>'[33]Actual &amp; Assumptions'!M184</f>
        <v>13492</v>
      </c>
      <c r="N56" s="152">
        <f>'[33]Actual &amp; Assumptions'!N184</f>
        <v>21736</v>
      </c>
      <c r="O56" s="152">
        <f>'[33]Actual &amp; Assumptions'!O184</f>
        <v>26952</v>
      </c>
      <c r="P56" s="152">
        <f>'[33]Actual &amp; Assumptions'!P184</f>
        <v>26952</v>
      </c>
      <c r="Q56" s="152">
        <f>'[33]Actual &amp; Assumptions'!Q184</f>
        <v>19953.078430000001</v>
      </c>
      <c r="R56" s="152">
        <f>'[33]Actual &amp; Assumptions'!R184</f>
        <v>15005</v>
      </c>
      <c r="S56" s="152">
        <f>'[33]Actual &amp; Assumptions'!S184</f>
        <v>15380</v>
      </c>
      <c r="T56" s="152">
        <f>'[33]Actual &amp; Assumptions'!T184</f>
        <v>15025</v>
      </c>
      <c r="U56" s="152">
        <f>'[33]Actual &amp; Assumptions'!U184</f>
        <v>15025</v>
      </c>
      <c r="V56" s="152">
        <f>'[33]Actual &amp; Assumptions'!V184</f>
        <v>11795</v>
      </c>
      <c r="W56" s="152">
        <f>'[33]Actual &amp; Assumptions'!W184</f>
        <v>6060</v>
      </c>
      <c r="X56" s="152">
        <f>'[33]Actual &amp; Assumptions'!X184</f>
        <v>10664</v>
      </c>
      <c r="Y56" s="152">
        <f>'[33]Actual &amp; Assumptions'!Y184</f>
        <v>24817</v>
      </c>
      <c r="Z56" s="152">
        <f>'[33]Actual &amp; Assumptions'!Z184</f>
        <v>24817</v>
      </c>
      <c r="AA56" s="152">
        <f>'[33]Actual &amp; Assumptions'!AA184</f>
        <v>9322</v>
      </c>
      <c r="AB56" s="152">
        <f>'[33]Actual &amp; Assumptions'!AB184</f>
        <v>14373</v>
      </c>
      <c r="AC56" s="152">
        <f>'[33]Actual &amp; Assumptions'!AC184</f>
        <v>3340</v>
      </c>
      <c r="AD56" s="152">
        <f>'[33]Actual &amp; Assumptions'!AD184</f>
        <v>65</v>
      </c>
      <c r="AE56" s="152">
        <f>'[33]Actual &amp; Assumptions'!AE184</f>
        <v>65</v>
      </c>
      <c r="AF56" s="152">
        <f>'[33]Actual &amp; Assumptions'!AF184</f>
        <v>7292.3928554796476</v>
      </c>
      <c r="AG56" s="152">
        <f>'[33]Actual &amp; Assumptions'!AG184</f>
        <v>3991.078525479661</v>
      </c>
      <c r="AH56" s="152">
        <f>'[33]Actual &amp; Assumptions'!AH184</f>
        <v>5851.9061254796834</v>
      </c>
      <c r="AI56" s="152">
        <f>'[33]Actual &amp; Assumptions'!AI184</f>
        <v>6670.5940654795995</v>
      </c>
      <c r="AJ56" s="152">
        <f>'[33]Actual &amp; Assumptions'!AJ184</f>
        <v>6670.5940654795995</v>
      </c>
      <c r="AK56" s="152">
        <f>'[33]Actual &amp; Assumptions'!AK184</f>
        <v>10106</v>
      </c>
      <c r="AL56" s="152">
        <f>'[33]Actual &amp; Assumptions'!AL184</f>
        <v>10142</v>
      </c>
      <c r="AM56" s="152">
        <f>'[33]Actual &amp; Assumptions'!AM184</f>
        <v>10041</v>
      </c>
      <c r="AN56" s="152">
        <f>'[33]Actual &amp; Assumptions'!AN184</f>
        <v>11073.144085479675</v>
      </c>
      <c r="AO56" s="152">
        <f>'[33]Actual &amp; Assumptions'!AO184</f>
        <v>11073.144085479675</v>
      </c>
      <c r="AP56" s="152">
        <f>'[33]Actual &amp; Assumptions'!AP184</f>
        <v>11428.760190179284</v>
      </c>
      <c r="AQ56" s="152">
        <f>'[33]Actual &amp; Assumptions'!AQ184</f>
        <v>8480</v>
      </c>
      <c r="AR56" s="152">
        <f>'[33]Actual &amp; Assumptions'!AR184</f>
        <v>3406.1921946927919</v>
      </c>
      <c r="AS56" s="152">
        <f>'[33]Actual &amp; Assumptions'!AS184</f>
        <v>3844.9701609539025</v>
      </c>
      <c r="AT56" s="152">
        <f>AS56</f>
        <v>3844.9701609539025</v>
      </c>
      <c r="AU56" s="152">
        <f>'[33]Actual &amp; Assumptions'!AU184</f>
        <v>0</v>
      </c>
      <c r="AV56" s="152">
        <f>'[33]Actual &amp; Assumptions'!AV184</f>
        <v>0</v>
      </c>
      <c r="AW56" s="152">
        <f>'[33]Actual &amp; Assumptions'!AW184</f>
        <v>0</v>
      </c>
      <c r="AX56" s="152">
        <f>'[33]Actual &amp; Assumptions'!AX184</f>
        <v>10066.25437566963</v>
      </c>
      <c r="AY56" s="152">
        <f>'[33]Actual &amp; Assumptions'!AY184</f>
        <v>10066.25437566963</v>
      </c>
      <c r="AZ56" s="152">
        <f>'[33]Actual &amp; Assumptions'!AZ184</f>
        <v>19729.02002493084</v>
      </c>
      <c r="BA56" s="152">
        <f>'[33]Actual &amp; Assumptions'!BA184</f>
        <v>25561.057083242762</v>
      </c>
      <c r="BB56" s="152">
        <f>'[33]Actual &amp; Assumptions'!BB184</f>
        <v>33608.961598695496</v>
      </c>
      <c r="BC56" s="152">
        <f>'[33]Actual &amp; Assumptions'!BC184</f>
        <v>29912.877617784347</v>
      </c>
      <c r="BD56" s="152">
        <f>'[33]Actual &amp; Assumptions'!BD184</f>
        <v>32525.609632362466</v>
      </c>
      <c r="BE56" s="152">
        <f>'[33]Actual &amp; Assumptions'!BE184</f>
        <v>36504.792928340619</v>
      </c>
      <c r="BF56" s="152">
        <f>'[33]Actual &amp; Assumptions'!BF184</f>
        <v>27629.930392810063</v>
      </c>
      <c r="BG56" s="152">
        <f>'[33]Actual &amp; Assumptions'!BG184</f>
        <v>14673.490237904771</v>
      </c>
      <c r="BH56" s="152">
        <f>'[33]Actual &amp; Assumptions'!BH184</f>
        <v>15985.753126783951</v>
      </c>
      <c r="BI56" s="152">
        <f>'[33]Actual &amp; Assumptions'!BI184</f>
        <v>17927.767071239447</v>
      </c>
      <c r="BJ56" s="152">
        <f>'[33]Actual &amp; Assumptions'!BJ184</f>
        <v>23263.397452481557</v>
      </c>
      <c r="BK56" s="152">
        <f>'[33]Actual &amp; Assumptions'!BK184</f>
        <v>19241.367283428088</v>
      </c>
      <c r="BL56" s="152">
        <f>'[33]Actual &amp; Assumptions'!BL184</f>
        <v>35731.111482888839</v>
      </c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</row>
    <row r="57" spans="1:272" s="222" customFormat="1" hidden="1" outlineLevel="1">
      <c r="A57" s="230" t="s">
        <v>389</v>
      </c>
      <c r="B57" s="230"/>
      <c r="C57" s="231">
        <f>SUM(C49:C56)</f>
        <v>79077</v>
      </c>
      <c r="D57" s="231">
        <f>SUM(D49:D56)</f>
        <v>148370</v>
      </c>
      <c r="E57" s="231">
        <f t="shared" ref="E57:BA57" si="43">SUM(E49:E56)</f>
        <v>259410</v>
      </c>
      <c r="F57" s="231">
        <f t="shared" si="43"/>
        <v>253619</v>
      </c>
      <c r="G57" s="231">
        <f t="shared" si="43"/>
        <v>270653</v>
      </c>
      <c r="H57" s="231">
        <f t="shared" si="43"/>
        <v>309294.71499999997</v>
      </c>
      <c r="I57" s="231">
        <f t="shared" si="43"/>
        <v>258360</v>
      </c>
      <c r="J57" s="231">
        <f t="shared" si="43"/>
        <v>281978</v>
      </c>
      <c r="K57" s="231">
        <f t="shared" si="43"/>
        <v>264713</v>
      </c>
      <c r="L57" s="231">
        <f>SUM(L49:L56)</f>
        <v>294224</v>
      </c>
      <c r="M57" s="231">
        <f>SUM(M49:M56)</f>
        <v>299446</v>
      </c>
      <c r="N57" s="231">
        <f>SUM(N49:N56)</f>
        <v>311346</v>
      </c>
      <c r="O57" s="231">
        <f>SUM(O49:O56)</f>
        <v>317374</v>
      </c>
      <c r="P57" s="231">
        <f t="shared" si="43"/>
        <v>317374</v>
      </c>
      <c r="Q57" s="231">
        <f t="shared" si="43"/>
        <v>333226.06510999997</v>
      </c>
      <c r="R57" s="231">
        <f t="shared" si="43"/>
        <v>355379</v>
      </c>
      <c r="S57" s="231">
        <f t="shared" si="43"/>
        <v>357129</v>
      </c>
      <c r="T57" s="231">
        <f t="shared" si="43"/>
        <v>387352</v>
      </c>
      <c r="U57" s="231">
        <f t="shared" si="43"/>
        <v>387352</v>
      </c>
      <c r="V57" s="231">
        <f t="shared" si="43"/>
        <v>372102</v>
      </c>
      <c r="W57" s="231">
        <f t="shared" si="43"/>
        <v>409796</v>
      </c>
      <c r="X57" s="231">
        <f t="shared" si="43"/>
        <v>445906</v>
      </c>
      <c r="Y57" s="231">
        <f t="shared" si="43"/>
        <v>368362.37309999997</v>
      </c>
      <c r="Z57" s="231">
        <f t="shared" si="43"/>
        <v>368362.37309999997</v>
      </c>
      <c r="AA57" s="231">
        <f t="shared" si="43"/>
        <v>305566</v>
      </c>
      <c r="AB57" s="231">
        <f t="shared" si="43"/>
        <v>294416</v>
      </c>
      <c r="AC57" s="231">
        <f t="shared" si="43"/>
        <v>294478</v>
      </c>
      <c r="AD57" s="231">
        <f t="shared" si="43"/>
        <v>322474.96110000001</v>
      </c>
      <c r="AE57" s="231">
        <f t="shared" si="43"/>
        <v>322474.96110000001</v>
      </c>
      <c r="AF57" s="231">
        <f t="shared" si="43"/>
        <v>313164.39285547967</v>
      </c>
      <c r="AG57" s="231">
        <f t="shared" si="43"/>
        <v>321383.72198547964</v>
      </c>
      <c r="AH57" s="231">
        <f t="shared" si="43"/>
        <v>336917.90612547967</v>
      </c>
      <c r="AI57" s="231">
        <f t="shared" si="43"/>
        <v>329368.97412547964</v>
      </c>
      <c r="AJ57" s="231">
        <f t="shared" si="43"/>
        <v>329368.97412547964</v>
      </c>
      <c r="AK57" s="231">
        <f t="shared" si="43"/>
        <v>267669</v>
      </c>
      <c r="AL57" s="231">
        <f t="shared" si="43"/>
        <v>251796</v>
      </c>
      <c r="AM57" s="231">
        <f t="shared" si="43"/>
        <v>257138</v>
      </c>
      <c r="AN57" s="231">
        <f t="shared" si="43"/>
        <v>246091.14542547968</v>
      </c>
      <c r="AO57" s="231">
        <f>SUM(AO49:AO56)</f>
        <v>246091.14542547968</v>
      </c>
      <c r="AP57" s="231">
        <f t="shared" ref="AP57:AR57" si="44">SUM(AP49:AP56)</f>
        <v>259474.76019017928</v>
      </c>
      <c r="AQ57" s="231">
        <f t="shared" si="44"/>
        <v>268738</v>
      </c>
      <c r="AR57" s="231">
        <f t="shared" si="44"/>
        <v>262882.19219469279</v>
      </c>
      <c r="AS57" s="231">
        <f>SUM(AS49:AS56)</f>
        <v>248553.44344894279</v>
      </c>
      <c r="AT57" s="231">
        <f>SUM(AT49:AT56)</f>
        <v>248553.44344894279</v>
      </c>
      <c r="AU57" s="231">
        <f t="shared" ref="AU57:AW57" si="45">SUM(AU49:AU56)</f>
        <v>289912.09739999991</v>
      </c>
      <c r="AV57" s="231">
        <f t="shared" si="45"/>
        <v>270615.47115999996</v>
      </c>
      <c r="AW57" s="231">
        <f t="shared" si="45"/>
        <v>250376.95310666665</v>
      </c>
      <c r="AX57" s="231">
        <f>SUM(AX49:AX56)</f>
        <v>255811.94233733631</v>
      </c>
      <c r="AY57" s="231">
        <f>SUM(AY49:AY56)</f>
        <v>255811.94233733631</v>
      </c>
      <c r="AZ57" s="231">
        <f t="shared" si="43"/>
        <v>276785.23788499896</v>
      </c>
      <c r="BA57" s="231">
        <f t="shared" si="43"/>
        <v>302048.07937912148</v>
      </c>
      <c r="BB57" s="231">
        <f>SUM(BB49:BB56)</f>
        <v>333151.01082556183</v>
      </c>
      <c r="BC57" s="231">
        <f>SUM(BC49:BC56)</f>
        <v>366906.60275540303</v>
      </c>
      <c r="BD57" s="231">
        <f t="shared" ref="BD57:BL57" si="46">SUM(BD49:BD56)</f>
        <v>406297.18771294586</v>
      </c>
      <c r="BE57" s="231">
        <f t="shared" si="46"/>
        <v>439813.10377928772</v>
      </c>
      <c r="BF57" s="231">
        <f t="shared" si="46"/>
        <v>469155.77072330652</v>
      </c>
      <c r="BG57" s="231">
        <f t="shared" si="46"/>
        <v>493269.06272048882</v>
      </c>
      <c r="BH57" s="231">
        <f t="shared" si="46"/>
        <v>520938.30956179189</v>
      </c>
      <c r="BI57" s="231">
        <f t="shared" si="46"/>
        <v>555107.55369236623</v>
      </c>
      <c r="BJ57" s="231">
        <f t="shared" si="46"/>
        <v>587633.01655155246</v>
      </c>
      <c r="BK57" s="231">
        <f t="shared" si="46"/>
        <v>625551.1230796047</v>
      </c>
      <c r="BL57" s="231">
        <f t="shared" si="46"/>
        <v>666767.46215447865</v>
      </c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</row>
    <row r="58" spans="1:272" s="222" customFormat="1" hidden="1" outlineLevel="1">
      <c r="A58" s="222" t="str">
        <f>'[33]Actual &amp; Assumptions'!A191</f>
        <v>Banks Over Draft</v>
      </c>
      <c r="C58" s="152">
        <f>-'[33]Actual &amp; Assumptions'!C192</f>
        <v>-19556</v>
      </c>
      <c r="D58" s="152">
        <f>-'[33]Actual &amp; Assumptions'!D192</f>
        <v>-29045</v>
      </c>
      <c r="E58" s="152">
        <f>-'[33]Actual &amp; Assumptions'!E192</f>
        <v>-58556</v>
      </c>
      <c r="F58" s="152">
        <f>-'[33]Actual &amp; Assumptions'!F192</f>
        <v>-47109</v>
      </c>
      <c r="G58" s="152">
        <f>-'[33]Actual &amp; Assumptions'!G192</f>
        <v>-46496</v>
      </c>
      <c r="H58" s="152">
        <f>-'[33]Actual &amp; Assumptions'!H192</f>
        <v>-76222</v>
      </c>
      <c r="I58" s="152">
        <f>-'[33]Actual &amp; Assumptions'!I192</f>
        <v>-62272</v>
      </c>
      <c r="J58" s="152">
        <f>-'[33]Actual &amp; Assumptions'!J192</f>
        <v>-75746</v>
      </c>
      <c r="K58" s="152">
        <f>-'[33]Actual &amp; Assumptions'!K192</f>
        <v>-42190</v>
      </c>
      <c r="L58" s="152">
        <f>-'[33]Actual &amp; Assumptions'!L192</f>
        <v>0</v>
      </c>
      <c r="M58" s="152">
        <f>-'[33]Actual &amp; Assumptions'!M192</f>
        <v>0</v>
      </c>
      <c r="N58" s="152">
        <f>-'[33]Actual &amp; Assumptions'!N192</f>
        <v>0</v>
      </c>
      <c r="O58" s="152">
        <f>-'[33]Actual &amp; Assumptions'!O192</f>
        <v>-27694</v>
      </c>
      <c r="P58" s="152">
        <f>-'[33]Actual &amp; Assumptions'!P192</f>
        <v>-27694</v>
      </c>
      <c r="Q58" s="152">
        <f>-'[33]Actual &amp; Assumptions'!Q192</f>
        <v>0</v>
      </c>
      <c r="R58" s="152">
        <f>-'[33]Actual &amp; Assumptions'!R192</f>
        <v>0</v>
      </c>
      <c r="S58" s="152">
        <f>-'[33]Actual &amp; Assumptions'!S192</f>
        <v>0</v>
      </c>
      <c r="T58" s="152">
        <f>-'[33]Actual &amp; Assumptions'!T192</f>
        <v>-25702</v>
      </c>
      <c r="U58" s="152">
        <f>-'[33]Actual &amp; Assumptions'!U192</f>
        <v>-25702</v>
      </c>
      <c r="V58" s="152">
        <f>-'[33]Actual &amp; Assumptions'!V192</f>
        <v>0</v>
      </c>
      <c r="W58" s="152">
        <f>-'[33]Actual &amp; Assumptions'!W192</f>
        <v>0</v>
      </c>
      <c r="X58" s="152">
        <f>-'[33]Actual &amp; Assumptions'!X192</f>
        <v>0</v>
      </c>
      <c r="Y58" s="152">
        <f>-'[33]Actual &amp; Assumptions'!Y192</f>
        <v>0</v>
      </c>
      <c r="Z58" s="152">
        <f>-'[33]Actual &amp; Assumptions'!Z192</f>
        <v>0</v>
      </c>
      <c r="AA58" s="152">
        <f>-'[33]Actual &amp; Assumptions'!AA192</f>
        <v>0</v>
      </c>
      <c r="AB58" s="152">
        <f>-'[33]Actual &amp; Assumptions'!AB192</f>
        <v>0</v>
      </c>
      <c r="AC58" s="152">
        <f>-'[33]Actual &amp; Assumptions'!AC192</f>
        <v>0</v>
      </c>
      <c r="AD58" s="152">
        <f>-'[33]Actual &amp; Assumptions'!AD192</f>
        <v>0</v>
      </c>
      <c r="AE58" s="152">
        <f>-'[33]Actual &amp; Assumptions'!AE192</f>
        <v>0</v>
      </c>
      <c r="AF58" s="152">
        <f>-'[33]Actual &amp; Assumptions'!AF192</f>
        <v>0</v>
      </c>
      <c r="AG58" s="152">
        <f>-'[33]Actual &amp; Assumptions'!AG192</f>
        <v>0</v>
      </c>
      <c r="AH58" s="152">
        <f>-'[33]Actual &amp; Assumptions'!AH192</f>
        <v>0</v>
      </c>
      <c r="AI58" s="152">
        <f>-'[33]Actual &amp; Assumptions'!AI192</f>
        <v>0</v>
      </c>
      <c r="AJ58" s="152">
        <f>-'[33]Actual &amp; Assumptions'!AJ192</f>
        <v>0</v>
      </c>
      <c r="AK58" s="152">
        <f>-'[33]Actual &amp; Assumptions'!AK192</f>
        <v>0</v>
      </c>
      <c r="AL58" s="152">
        <f>-'[33]Actual &amp; Assumptions'!AL192</f>
        <v>0</v>
      </c>
      <c r="AM58" s="152">
        <f>-'[33]Actual &amp; Assumptions'!AM192</f>
        <v>0</v>
      </c>
      <c r="AN58" s="152">
        <f>-'[33]Actual &amp; Assumptions'!AN192</f>
        <v>0</v>
      </c>
      <c r="AO58" s="152">
        <f>-'[33]Actual &amp; Assumptions'!AO192</f>
        <v>0</v>
      </c>
      <c r="AP58" s="152">
        <f>-'[33]Actual &amp; Assumptions'!AP192</f>
        <v>0</v>
      </c>
      <c r="AQ58" s="152">
        <f>-'[33]Actual &amp; Assumptions'!AQ192</f>
        <v>0</v>
      </c>
      <c r="AR58" s="152">
        <f>-'[33]Actual &amp; Assumptions'!AR192</f>
        <v>0</v>
      </c>
      <c r="AS58" s="152">
        <f>-'[33]Actual &amp; Assumptions'!AS192</f>
        <v>0</v>
      </c>
      <c r="AT58" s="152">
        <f>-'[33]Actual &amp; Assumptions'!AT192</f>
        <v>0</v>
      </c>
      <c r="AU58" s="152">
        <f>-'[33]Actual &amp; Assumptions'!AU192</f>
        <v>-32882.927204159983</v>
      </c>
      <c r="AV58" s="152">
        <f>-'[33]Actual &amp; Assumptions'!AV192</f>
        <v>-28019.274995826716</v>
      </c>
      <c r="AW58" s="152">
        <f>-'[33]Actual &amp; Assumptions'!AW192</f>
        <v>-77488.230049552571</v>
      </c>
      <c r="AX58" s="152">
        <f>-'[33]Actual &amp; Assumptions'!AX192</f>
        <v>0</v>
      </c>
      <c r="AY58" s="152">
        <f>-'[33]Actual &amp; Assumptions'!AY192</f>
        <v>0</v>
      </c>
      <c r="AZ58" s="152">
        <f>-'[33]Actual &amp; Assumptions'!AZ192</f>
        <v>0</v>
      </c>
      <c r="BA58" s="152">
        <f>-'[33]Actual &amp; Assumptions'!BA192</f>
        <v>0</v>
      </c>
      <c r="BB58" s="152">
        <f>-'[33]Actual &amp; Assumptions'!BB192</f>
        <v>0</v>
      </c>
      <c r="BC58" s="152">
        <f>-'[33]Actual &amp; Assumptions'!BC192</f>
        <v>0</v>
      </c>
      <c r="BD58" s="152">
        <f>-'[33]Actual &amp; Assumptions'!BD192</f>
        <v>0</v>
      </c>
      <c r="BE58" s="152">
        <f>-'[33]Actual &amp; Assumptions'!BE192</f>
        <v>0</v>
      </c>
      <c r="BF58" s="152">
        <f>-'[33]Actual &amp; Assumptions'!BF192</f>
        <v>0</v>
      </c>
      <c r="BG58" s="152">
        <f>-'[33]Actual &amp; Assumptions'!BG192</f>
        <v>0</v>
      </c>
      <c r="BH58" s="152">
        <f>-'[33]Actual &amp; Assumptions'!BH192</f>
        <v>0</v>
      </c>
      <c r="BI58" s="152">
        <f>-'[33]Actual &amp; Assumptions'!BI192</f>
        <v>0</v>
      </c>
      <c r="BJ58" s="152">
        <f>-'[33]Actual &amp; Assumptions'!BJ192</f>
        <v>0</v>
      </c>
      <c r="BK58" s="152">
        <f>-'[33]Actual &amp; Assumptions'!BK192</f>
        <v>0</v>
      </c>
      <c r="BL58" s="152">
        <f>-'[33]Actual &amp; Assumptions'!BL192</f>
        <v>0</v>
      </c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</row>
    <row r="59" spans="1:272" s="222" customFormat="1" hidden="1" outlineLevel="1">
      <c r="A59" s="222" t="str">
        <f>'[33]Actual &amp; Assumptions'!A197</f>
        <v>Provisions</v>
      </c>
      <c r="C59" s="152">
        <f>-'[33]Actual &amp; Assumptions'!C198</f>
        <v>-6000</v>
      </c>
      <c r="D59" s="152">
        <f>-'[33]Actual &amp; Assumptions'!D198</f>
        <v>-11048</v>
      </c>
      <c r="E59" s="152">
        <f>-'[33]Actual &amp; Assumptions'!E198</f>
        <v>-38157</v>
      </c>
      <c r="F59" s="152">
        <f>-'[33]Actual &amp; Assumptions'!F198</f>
        <v>-25794</v>
      </c>
      <c r="G59" s="152">
        <f>-'[33]Actual &amp; Assumptions'!G198</f>
        <v>-31546</v>
      </c>
      <c r="H59" s="152">
        <f>-'[33]Actual &amp; Assumptions'!H198</f>
        <v>-16094</v>
      </c>
      <c r="I59" s="152">
        <f>-'[33]Actual &amp; Assumptions'!I198</f>
        <v>-20494</v>
      </c>
      <c r="J59" s="152">
        <f>-'[33]Actual &amp; Assumptions'!J198</f>
        <v>-33784</v>
      </c>
      <c r="K59" s="152">
        <f>-'[33]Actual &amp; Assumptions'!K198</f>
        <v>-29463</v>
      </c>
      <c r="L59" s="152">
        <f>-'[33]Actual &amp; Assumptions'!L198</f>
        <v>-45981</v>
      </c>
      <c r="M59" s="152">
        <f>-'[33]Actual &amp; Assumptions'!M198</f>
        <v>-42631</v>
      </c>
      <c r="N59" s="152">
        <f>-'[33]Actual &amp; Assumptions'!N198</f>
        <v>-43511</v>
      </c>
      <c r="O59" s="152">
        <f>-'[33]Actual &amp; Assumptions'!O198</f>
        <v>-42770</v>
      </c>
      <c r="P59" s="152">
        <f>-'[33]Actual &amp; Assumptions'!P198</f>
        <v>-42770</v>
      </c>
      <c r="Q59" s="152">
        <f>-'[33]Actual &amp; Assumptions'!Q198</f>
        <v>-48253.209619999994</v>
      </c>
      <c r="R59" s="152">
        <f>-'[33]Actual &amp; Assumptions'!R198</f>
        <v>-62667</v>
      </c>
      <c r="S59" s="152">
        <f>-'[33]Actual &amp; Assumptions'!S198</f>
        <v>-82660</v>
      </c>
      <c r="T59" s="152">
        <f>-'[33]Actual &amp; Assumptions'!T198</f>
        <v>-44057</v>
      </c>
      <c r="U59" s="152">
        <f>-'[33]Actual &amp; Assumptions'!U198</f>
        <v>-44057</v>
      </c>
      <c r="V59" s="152">
        <f>-'[33]Actual &amp; Assumptions'!V198</f>
        <v>-61740</v>
      </c>
      <c r="W59" s="152">
        <f>-'[33]Actual &amp; Assumptions'!W198</f>
        <v>-65552</v>
      </c>
      <c r="X59" s="152">
        <f>-'[33]Actual &amp; Assumptions'!X198</f>
        <v>-65629</v>
      </c>
      <c r="Y59" s="152">
        <f>-'[33]Actual &amp; Assumptions'!Y198</f>
        <v>-49692.520619999996</v>
      </c>
      <c r="Z59" s="152">
        <f>-'[33]Actual &amp; Assumptions'!Z198</f>
        <v>-49692.520619999996</v>
      </c>
      <c r="AA59" s="152">
        <f>-'[33]Actual &amp; Assumptions'!AA198</f>
        <v>-51805</v>
      </c>
      <c r="AB59" s="152">
        <f>-'[33]Actual &amp; Assumptions'!AB198</f>
        <v>-56636</v>
      </c>
      <c r="AC59" s="152">
        <f>-'[33]Actual &amp; Assumptions'!AC198</f>
        <v>-57629</v>
      </c>
      <c r="AD59" s="152">
        <f>-'[33]Actual &amp; Assumptions'!AD198</f>
        <v>-64892</v>
      </c>
      <c r="AE59" s="152">
        <f>-'[33]Actual &amp; Assumptions'!AE198</f>
        <v>-64892</v>
      </c>
      <c r="AF59" s="152">
        <f>-'[33]Actual &amp; Assumptions'!AF198</f>
        <v>-64183</v>
      </c>
      <c r="AG59" s="152">
        <f>-'[33]Actual &amp; Assumptions'!AG198</f>
        <v>-69589</v>
      </c>
      <c r="AH59" s="152">
        <f>-'[33]Actual &amp; Assumptions'!AH198</f>
        <v>-65970.932000000001</v>
      </c>
      <c r="AI59" s="152">
        <f>-'[33]Actual &amp; Assumptions'!AI198</f>
        <v>-62869</v>
      </c>
      <c r="AJ59" s="152">
        <f>-'[33]Actual &amp; Assumptions'!AJ198</f>
        <v>-62869</v>
      </c>
      <c r="AK59" s="152">
        <f>-'[33]Actual &amp; Assumptions'!AK198</f>
        <v>-62126</v>
      </c>
      <c r="AL59" s="152">
        <f>-'[33]Actual &amp; Assumptions'!AL198</f>
        <v>-58753</v>
      </c>
      <c r="AM59" s="152">
        <f>-'[33]Actual &amp; Assumptions'!AM198</f>
        <v>-58694</v>
      </c>
      <c r="AN59" s="152">
        <f>-'[33]Actual &amp; Assumptions'!AN198</f>
        <v>-57433</v>
      </c>
      <c r="AO59" s="152">
        <f>-'[33]Actual &amp; Assumptions'!AO198</f>
        <v>-57433</v>
      </c>
      <c r="AP59" s="152">
        <f>-'[33]Actual &amp; Assumptions'!AP198</f>
        <v>-57433</v>
      </c>
      <c r="AQ59" s="152">
        <f>-'[33]Actual &amp; Assumptions'!AQ198</f>
        <v>-57433</v>
      </c>
      <c r="AR59" s="152">
        <f>-'[33]Actual &amp; Assumptions'!AR198</f>
        <v>-57433</v>
      </c>
      <c r="AS59" s="152">
        <f>-'[33]Actual &amp; Assumptions'!AS198</f>
        <v>-60340</v>
      </c>
      <c r="AT59" s="152">
        <f>-'[33]Actual &amp; Assumptions'!AT198</f>
        <v>-60340</v>
      </c>
      <c r="AU59" s="152">
        <f>-'[33]Actual &amp; Assumptions'!AU198</f>
        <v>-58433</v>
      </c>
      <c r="AV59" s="152">
        <f>-'[33]Actual &amp; Assumptions'!AV198</f>
        <v>-57433</v>
      </c>
      <c r="AW59" s="152">
        <f>-'[33]Actual &amp; Assumptions'!AW198</f>
        <v>-57433</v>
      </c>
      <c r="AX59" s="152">
        <f>-'[33]Actual &amp; Assumptions'!AX198</f>
        <v>-70751</v>
      </c>
      <c r="AY59" s="152">
        <f>-'[33]Actual &amp; Assumptions'!AY198</f>
        <v>-70751</v>
      </c>
      <c r="AZ59" s="152">
        <f>-'[33]Actual &amp; Assumptions'!AZ198</f>
        <v>-87314.701496847221</v>
      </c>
      <c r="BA59" s="152">
        <f>-'[33]Actual &amp; Assumptions'!BA198</f>
        <v>-103978.3080680593</v>
      </c>
      <c r="BB59" s="152">
        <f>-'[33]Actual &amp; Assumptions'!BB198</f>
        <v>-117756.10928822125</v>
      </c>
      <c r="BC59" s="152">
        <f>-'[33]Actual &amp; Assumptions'!BC198</f>
        <v>-128610.83522563739</v>
      </c>
      <c r="BD59" s="152">
        <f>-'[33]Actual &amp; Assumptions'!BD198</f>
        <v>-139550.15268989027</v>
      </c>
      <c r="BE59" s="152">
        <f>-'[33]Actual &amp; Assumptions'!BE198</f>
        <v>-150582.49440165641</v>
      </c>
      <c r="BF59" s="152">
        <f>-'[33]Actual &amp; Assumptions'!BF198</f>
        <v>-161717.13556071976</v>
      </c>
      <c r="BG59" s="152">
        <f>-'[33]Actual &amp; Assumptions'!BG198</f>
        <v>-172964.27807009369</v>
      </c>
      <c r="BH59" s="152">
        <f>-'[33]Actual &amp; Assumptions'!BH198</f>
        <v>-184335.14318184135</v>
      </c>
      <c r="BI59" s="152">
        <f>-'[33]Actual &amp; Assumptions'!BI198</f>
        <v>-195842.07340674323</v>
      </c>
      <c r="BJ59" s="152">
        <f>-'[33]Actual &amp; Assumptions'!BJ198</f>
        <v>-207498.64461417415</v>
      </c>
      <c r="BK59" s="152">
        <f>-'[33]Actual &amp; Assumptions'!BK198</f>
        <v>-219319.78934118815</v>
      </c>
      <c r="BL59" s="152">
        <f>-'[33]Actual &amp; Assumptions'!BL198</f>
        <v>-231321.93243170876</v>
      </c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</row>
    <row r="60" spans="1:272" s="222" customFormat="1" hidden="1" outlineLevel="1">
      <c r="A60" s="222" t="str">
        <f>'[33]Actual &amp; Assumptions'!A208</f>
        <v>Short-term Loans &amp; Current Portion of LTL</v>
      </c>
      <c r="C60" s="152">
        <f>-'[33]Actual &amp; Assumptions'!C209</f>
        <v>-600</v>
      </c>
      <c r="D60" s="152">
        <f>-'[33]Actual &amp; Assumptions'!D209</f>
        <v>0</v>
      </c>
      <c r="E60" s="152">
        <f>-'[33]Actual &amp; Assumptions'!E209</f>
        <v>0</v>
      </c>
      <c r="F60" s="152">
        <f>-'[33]Actual &amp; Assumptions'!F209</f>
        <v>0</v>
      </c>
      <c r="G60" s="152">
        <f>-'[33]Actual &amp; Assumptions'!G209</f>
        <v>0</v>
      </c>
      <c r="H60" s="152">
        <f>-'[33]Actual &amp; Assumptions'!H209</f>
        <v>0</v>
      </c>
      <c r="I60" s="152">
        <f>-'[33]Actual &amp; Assumptions'!I209</f>
        <v>0</v>
      </c>
      <c r="J60" s="152">
        <f>-'[33]Actual &amp; Assumptions'!J209</f>
        <v>0</v>
      </c>
      <c r="K60" s="152">
        <f>-'[33]Actual &amp; Assumptions'!K209</f>
        <v>0</v>
      </c>
      <c r="L60" s="152">
        <f>-'[33]Actual &amp; Assumptions'!L209</f>
        <v>-38523</v>
      </c>
      <c r="M60" s="152">
        <f>-'[33]Actual &amp; Assumptions'!M209</f>
        <v>-35238</v>
      </c>
      <c r="N60" s="152">
        <f>-'[33]Actual &amp; Assumptions'!N209</f>
        <v>-26116</v>
      </c>
      <c r="O60" s="152"/>
      <c r="P60" s="152">
        <f>-'[33]Actual &amp; Assumptions'!P209</f>
        <v>0</v>
      </c>
      <c r="Q60" s="152">
        <f>-'[33]Actual &amp; Assumptions'!Q209</f>
        <v>-25591.533589999999</v>
      </c>
      <c r="R60" s="152">
        <f>-'[33]Actual &amp; Assumptions'!R209</f>
        <v>-28270</v>
      </c>
      <c r="S60" s="152">
        <f>-'[33]Actual &amp; Assumptions'!S209</f>
        <v>-30174</v>
      </c>
      <c r="T60" s="152">
        <f>-'[33]Actual &amp; Assumptions'!T209</f>
        <v>0</v>
      </c>
      <c r="U60" s="152">
        <f>T60</f>
        <v>0</v>
      </c>
      <c r="V60" s="152">
        <f>-'[33]Actual &amp; Assumptions'!V209</f>
        <v>-12609</v>
      </c>
      <c r="W60" s="152">
        <f>-'[33]Actual &amp; Assumptions'!W209</f>
        <v>-8754</v>
      </c>
      <c r="X60" s="152">
        <f>-'[33]Actual &amp; Assumptions'!X209</f>
        <v>-8132</v>
      </c>
      <c r="Y60" s="152">
        <f>-'[33]Actual &amp; Assumptions'!Y209</f>
        <v>-1343</v>
      </c>
      <c r="Z60" s="152">
        <f>Y60</f>
        <v>-1343</v>
      </c>
      <c r="AA60" s="152">
        <f>-'[33]Actual &amp; Assumptions'!AA209</f>
        <v>-1336</v>
      </c>
      <c r="AB60" s="152">
        <f>-'[33]Actual &amp; Assumptions'!AB209</f>
        <v>-848</v>
      </c>
      <c r="AC60" s="152">
        <f>-'[33]Actual &amp; Assumptions'!AC209</f>
        <v>-848</v>
      </c>
      <c r="AD60" s="152">
        <f>-'[33]Actual &amp; Assumptions'!AD209</f>
        <v>0</v>
      </c>
      <c r="AE60" s="152">
        <f>AD60</f>
        <v>0</v>
      </c>
      <c r="AF60" s="152">
        <f>-'[33]Actual &amp; Assumptions'!AF209</f>
        <v>0</v>
      </c>
      <c r="AG60" s="152">
        <f>-'[33]Actual &amp; Assumptions'!AG209</f>
        <v>0</v>
      </c>
      <c r="AH60" s="152">
        <f>-'[33]Actual &amp; Assumptions'!AH209</f>
        <v>0</v>
      </c>
      <c r="AI60" s="152">
        <f>-'[33]Actual &amp; Assumptions'!AI209</f>
        <v>0</v>
      </c>
      <c r="AJ60" s="152">
        <f>AI60</f>
        <v>0</v>
      </c>
      <c r="AK60" s="152">
        <f>-'[33]Actual &amp; Assumptions'!AK209</f>
        <v>0</v>
      </c>
      <c r="AL60" s="152">
        <f>-'[33]Actual &amp; Assumptions'!AL209</f>
        <v>0</v>
      </c>
      <c r="AM60" s="152">
        <f>-'[33]Actual &amp; Assumptions'!AM209</f>
        <v>0</v>
      </c>
      <c r="AN60" s="152">
        <f>-'[33]Actual &amp; Assumptions'!AN209</f>
        <v>0</v>
      </c>
      <c r="AO60" s="152">
        <f>AN60</f>
        <v>0</v>
      </c>
      <c r="AP60" s="152">
        <f>-'[33]Actual &amp; Assumptions'!AP209</f>
        <v>0</v>
      </c>
      <c r="AQ60" s="152">
        <f>-'[33]Actual &amp; Assumptions'!AQ209</f>
        <v>0</v>
      </c>
      <c r="AR60" s="152">
        <f>-'[33]Actual &amp; Assumptions'!AR209</f>
        <v>0</v>
      </c>
      <c r="AS60" s="152">
        <f>-'[33]Actual &amp; Assumptions'!AS209</f>
        <v>0</v>
      </c>
      <c r="AT60" s="152">
        <f>-'[33]Actual &amp; Assumptions'!AT209</f>
        <v>0</v>
      </c>
      <c r="AU60" s="152">
        <f>-'[33]Actual &amp; Assumptions'!AU209</f>
        <v>0</v>
      </c>
      <c r="AV60" s="152">
        <f>-'[33]Actual &amp; Assumptions'!AV209</f>
        <v>0</v>
      </c>
      <c r="AW60" s="152">
        <f>-'[33]Actual &amp; Assumptions'!AW209</f>
        <v>0</v>
      </c>
      <c r="AX60" s="152">
        <f>-'[33]Actual &amp; Assumptions'!AX209</f>
        <v>0</v>
      </c>
      <c r="AY60" s="152">
        <f>-'[33]Actual &amp; Assumptions'!AY209</f>
        <v>0</v>
      </c>
      <c r="AZ60" s="152">
        <f>-'[33]Actual &amp; Assumptions'!AZ209</f>
        <v>0</v>
      </c>
      <c r="BA60" s="152">
        <f>-'[33]Actual &amp; Assumptions'!BA209</f>
        <v>0</v>
      </c>
      <c r="BB60" s="152">
        <f>-'[33]Actual &amp; Assumptions'!BB209</f>
        <v>0</v>
      </c>
      <c r="BC60" s="152">
        <f>-'[33]Actual &amp; Assumptions'!BC209</f>
        <v>0</v>
      </c>
      <c r="BD60" s="152">
        <f>-'[33]Actual &amp; Assumptions'!BD209</f>
        <v>0</v>
      </c>
      <c r="BE60" s="152">
        <f>-'[33]Actual &amp; Assumptions'!BE209</f>
        <v>0</v>
      </c>
      <c r="BF60" s="152">
        <f>-'[33]Actual &amp; Assumptions'!BF209</f>
        <v>0</v>
      </c>
      <c r="BG60" s="152">
        <f>-'[33]Actual &amp; Assumptions'!BG209</f>
        <v>0</v>
      </c>
      <c r="BH60" s="152">
        <f>-'[33]Actual &amp; Assumptions'!BH209</f>
        <v>0</v>
      </c>
      <c r="BI60" s="152">
        <f>-'[33]Actual &amp; Assumptions'!BI209</f>
        <v>0</v>
      </c>
      <c r="BJ60" s="152">
        <f>-'[33]Actual &amp; Assumptions'!BJ209</f>
        <v>0</v>
      </c>
      <c r="BK60" s="152">
        <f>-'[33]Actual &amp; Assumptions'!BK209</f>
        <v>0</v>
      </c>
      <c r="BL60" s="152">
        <f>-'[33]Actual &amp; Assumptions'!BL209</f>
        <v>0</v>
      </c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</row>
    <row r="61" spans="1:272" s="222" customFormat="1" hidden="1" outlineLevel="1">
      <c r="A61" s="222" t="str">
        <f>'[33]Actual &amp; Assumptions'!A212</f>
        <v>Accounts Payables</v>
      </c>
      <c r="C61" s="152">
        <f>-'[33]Actual &amp; Assumptions'!C213</f>
        <v>-13019</v>
      </c>
      <c r="D61" s="152">
        <f>-'[33]Actual &amp; Assumptions'!D213</f>
        <v>-12431</v>
      </c>
      <c r="E61" s="152">
        <f>-'[33]Actual &amp; Assumptions'!E213</f>
        <v>-51434</v>
      </c>
      <c r="F61" s="152">
        <f>-'[33]Actual &amp; Assumptions'!F213</f>
        <v>-39827</v>
      </c>
      <c r="G61" s="152">
        <f>-'[33]Actual &amp; Assumptions'!G213</f>
        <v>-51312</v>
      </c>
      <c r="H61" s="152">
        <f>-'[33]Actual &amp; Assumptions'!H213</f>
        <v>-32374</v>
      </c>
      <c r="I61" s="152">
        <f>-'[33]Actual &amp; Assumptions'!I213</f>
        <v>-41734</v>
      </c>
      <c r="J61" s="152">
        <f>-'[33]Actual &amp; Assumptions'!J213</f>
        <v>-32391</v>
      </c>
      <c r="K61" s="152">
        <f>-'[33]Actual &amp; Assumptions'!K213</f>
        <v>-36269</v>
      </c>
      <c r="L61" s="152">
        <f>-'[33]Actual &amp; Assumptions'!L213</f>
        <v>-44332</v>
      </c>
      <c r="M61" s="152">
        <f>-'[33]Actual &amp; Assumptions'!M213</f>
        <v>-35348</v>
      </c>
      <c r="N61" s="152">
        <f>-'[33]Actual &amp; Assumptions'!N213</f>
        <v>-29754</v>
      </c>
      <c r="O61" s="152">
        <f>-'[33]Actual &amp; Assumptions'!O213</f>
        <v>-42958</v>
      </c>
      <c r="P61" s="152">
        <f>-'[33]Actual &amp; Assumptions'!P213</f>
        <v>-42957</v>
      </c>
      <c r="Q61" s="152">
        <f>-'[33]Actual &amp; Assumptions'!Q213</f>
        <v>-50855.561289999998</v>
      </c>
      <c r="R61" s="152">
        <f>-'[33]Actual &amp; Assumptions'!R213</f>
        <v>-51512</v>
      </c>
      <c r="S61" s="152">
        <f>-'[33]Actual &amp; Assumptions'!S213</f>
        <v>-38309</v>
      </c>
      <c r="T61" s="152">
        <f>-'[33]Actual &amp; Assumptions'!T213</f>
        <v>-108642</v>
      </c>
      <c r="U61" s="152">
        <f>-'[33]Actual &amp; Assumptions'!U213</f>
        <v>-108642</v>
      </c>
      <c r="V61" s="152">
        <f>-'[33]Actual &amp; Assumptions'!V213</f>
        <v>-57094</v>
      </c>
      <c r="W61" s="152">
        <f>-'[33]Actual &amp; Assumptions'!W213</f>
        <v>-83622</v>
      </c>
      <c r="X61" s="152">
        <f>-'[33]Actual &amp; Assumptions'!X213</f>
        <v>-84967</v>
      </c>
      <c r="Y61" s="152">
        <f>-'[33]Actual &amp; Assumptions'!Y213</f>
        <v>-52266</v>
      </c>
      <c r="Z61" s="152">
        <f>-'[33]Actual &amp; Assumptions'!Z213</f>
        <v>-52266</v>
      </c>
      <c r="AA61" s="152">
        <f>-'[33]Actual &amp; Assumptions'!AA213</f>
        <v>-30474</v>
      </c>
      <c r="AB61" s="152">
        <f>-'[33]Actual &amp; Assumptions'!AB213</f>
        <v>-22633</v>
      </c>
      <c r="AC61" s="152">
        <f>-'[33]Actual &amp; Assumptions'!AC213</f>
        <v>-21991</v>
      </c>
      <c r="AD61" s="152">
        <f>-'[33]Actual &amp; Assumptions'!AD213</f>
        <v>-31289</v>
      </c>
      <c r="AE61" s="152">
        <f>-'[33]Actual &amp; Assumptions'!AE213</f>
        <v>-31289</v>
      </c>
      <c r="AF61" s="152">
        <f>-'[33]Actual &amp; Assumptions'!AF213</f>
        <v>-19710</v>
      </c>
      <c r="AG61" s="152">
        <f>-'[33]Actual &amp; Assumptions'!AG213</f>
        <v>-28761</v>
      </c>
      <c r="AH61" s="152">
        <f>-'[33]Actual &amp; Assumptions'!AH213</f>
        <v>-35396</v>
      </c>
      <c r="AI61" s="152">
        <f>-'[33]Actual &amp; Assumptions'!AI213</f>
        <v>-35553</v>
      </c>
      <c r="AJ61" s="152">
        <f>-'[33]Actual &amp; Assumptions'!AJ213</f>
        <v>-35553</v>
      </c>
      <c r="AK61" s="152">
        <f>-'[33]Actual &amp; Assumptions'!AK213</f>
        <v>-24309</v>
      </c>
      <c r="AL61" s="152">
        <f>-'[33]Actual &amp; Assumptions'!AL213</f>
        <v>-20181</v>
      </c>
      <c r="AM61" s="152">
        <f>-'[33]Actual &amp; Assumptions'!AM213</f>
        <v>-24161</v>
      </c>
      <c r="AN61" s="152">
        <f>-'[33]Actual &amp; Assumptions'!AN213</f>
        <v>-25823</v>
      </c>
      <c r="AO61" s="152">
        <f>-'[33]Actual &amp; Assumptions'!AO213</f>
        <v>-25823</v>
      </c>
      <c r="AP61" s="152">
        <f>-'[33]Actual &amp; Assumptions'!AP213</f>
        <v>-26905</v>
      </c>
      <c r="AQ61" s="152">
        <f>-'[33]Actual &amp; Assumptions'!AQ213</f>
        <v>-30448</v>
      </c>
      <c r="AR61" s="152">
        <f>-'[33]Actual &amp; Assumptions'!AR213</f>
        <v>-28931</v>
      </c>
      <c r="AS61" s="152">
        <f>-'[33]Actual &amp; Assumptions'!AS213</f>
        <v>-28085.41416757222</v>
      </c>
      <c r="AT61" s="152">
        <f>-'[33]Actual &amp; Assumptions'!AT213</f>
        <v>-28085.41416757222</v>
      </c>
      <c r="AU61" s="152">
        <f>-'[33]Actual &amp; Assumptions'!AU213</f>
        <v>-37759.033494999989</v>
      </c>
      <c r="AV61" s="152">
        <f>-'[33]Actual &amp; Assumptions'!AV213</f>
        <v>-35808.987799999988</v>
      </c>
      <c r="AW61" s="152">
        <f>-'[33]Actual &amp; Assumptions'!AW213</f>
        <v>-37204.545964444427</v>
      </c>
      <c r="AX61" s="152">
        <f>-'[33]Actual &amp; Assumptions'!AX213</f>
        <v>-36626.59298999999</v>
      </c>
      <c r="AY61" s="152">
        <f>-'[33]Actual &amp; Assumptions'!AY213</f>
        <v>-36626.59298999999</v>
      </c>
      <c r="AZ61" s="152">
        <f>-'[33]Actual &amp; Assumptions'!AZ213</f>
        <v>-42027.067134026911</v>
      </c>
      <c r="BA61" s="152">
        <f>-'[33]Actual &amp; Assumptions'!BA213</f>
        <v>-45778.545977532223</v>
      </c>
      <c r="BB61" s="152">
        <f>-'[33]Actual &amp; Assumptions'!BB213</f>
        <v>-49885.064406452162</v>
      </c>
      <c r="BC61" s="152">
        <f>-'[33]Actual &amp; Assumptions'!BC213</f>
        <v>-54381.194609493476</v>
      </c>
      <c r="BD61" s="152">
        <f>-'[33]Actual &amp; Assumptions'!BD213</f>
        <v>-59345.478946610943</v>
      </c>
      <c r="BE61" s="152">
        <f>-'[33]Actual &amp; Assumptions'!BE213</f>
        <v>-64283.179202413579</v>
      </c>
      <c r="BF61" s="152">
        <f>-'[33]Actual &amp; Assumptions'!BF213</f>
        <v>-70149.955415949982</v>
      </c>
      <c r="BG61" s="152">
        <f>-'[33]Actual &amp; Assumptions'!BG213</f>
        <v>-76578.176251134282</v>
      </c>
      <c r="BH61" s="152">
        <f>-'[33]Actual &amp; Assumptions'!BH213</f>
        <v>-83622.809895015176</v>
      </c>
      <c r="BI61" s="152">
        <f>-'[33]Actual &amp; Assumptions'!BI213</f>
        <v>-91344.265100836492</v>
      </c>
      <c r="BJ61" s="152">
        <f>-'[33]Actual &amp; Assumptions'!BJ213</f>
        <v>-99808.932508868602</v>
      </c>
      <c r="BK61" s="152">
        <f>-'[33]Actual &amp; Assumptions'!BK213</f>
        <v>-109089.7799648387</v>
      </c>
      <c r="BL61" s="152">
        <f>-'[33]Actual &amp; Assumptions'!BL213</f>
        <v>-119267.00722906479</v>
      </c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</row>
    <row r="62" spans="1:272" s="222" customFormat="1" hidden="1" outlineLevel="1">
      <c r="A62" s="222" t="str">
        <f>'[33]Actual &amp; Assumptions'!A217</f>
        <v>Projects Accrued Cost - POC calc</v>
      </c>
      <c r="C62" s="152">
        <f>-'[33]Actual &amp; Assumptions'!C218</f>
        <v>0</v>
      </c>
      <c r="D62" s="152">
        <f>-'[33]Actual &amp; Assumptions'!D218</f>
        <v>0</v>
      </c>
      <c r="E62" s="152">
        <f>-'[33]Actual &amp; Assumptions'!E218</f>
        <v>0</v>
      </c>
      <c r="F62" s="152">
        <f>-'[33]Actual &amp; Assumptions'!F218</f>
        <v>0</v>
      </c>
      <c r="G62" s="152">
        <f>-'[33]Actual &amp; Assumptions'!G218</f>
        <v>0</v>
      </c>
      <c r="H62" s="152">
        <f>-'[33]Actual &amp; Assumptions'!H218</f>
        <v>0</v>
      </c>
      <c r="I62" s="152">
        <f>-'[33]Actual &amp; Assumptions'!I218</f>
        <v>0</v>
      </c>
      <c r="J62" s="152">
        <f>-'[33]Actual &amp; Assumptions'!J218</f>
        <v>0</v>
      </c>
      <c r="K62" s="152">
        <f>-'[33]Actual &amp; Assumptions'!K218</f>
        <v>0</v>
      </c>
      <c r="L62" s="152">
        <f>-'[33]Actual &amp; Assumptions'!L218</f>
        <v>0</v>
      </c>
      <c r="M62" s="152">
        <f>-'[33]Actual &amp; Assumptions'!M218</f>
        <v>0</v>
      </c>
      <c r="N62" s="152">
        <f>-'[33]Actual &amp; Assumptions'!N218</f>
        <v>0</v>
      </c>
      <c r="O62" s="152">
        <f>-'[33]Actual &amp; Assumptions'!O218</f>
        <v>0</v>
      </c>
      <c r="P62" s="152">
        <f>O62</f>
        <v>0</v>
      </c>
      <c r="Q62" s="152">
        <f>-'[33]Actual &amp; Assumptions'!Q218</f>
        <v>0</v>
      </c>
      <c r="R62" s="152">
        <f>-'[33]Actual &amp; Assumptions'!R218</f>
        <v>0</v>
      </c>
      <c r="S62" s="152">
        <f>-'[33]Actual &amp; Assumptions'!S218</f>
        <v>0</v>
      </c>
      <c r="T62" s="152">
        <f>-'[33]Actual &amp; Assumptions'!T218</f>
        <v>0</v>
      </c>
      <c r="U62" s="152"/>
      <c r="V62" s="152">
        <f>-'[33]Actual &amp; Assumptions'!V218</f>
        <v>0</v>
      </c>
      <c r="W62" s="152">
        <f>-'[33]Actual &amp; Assumptions'!W218</f>
        <v>0</v>
      </c>
      <c r="X62" s="152">
        <f>-'[33]Actual &amp; Assumptions'!X218</f>
        <v>0</v>
      </c>
      <c r="Y62" s="152">
        <f>-'[33]Actual &amp; Assumptions'!Y218</f>
        <v>0</v>
      </c>
      <c r="Z62" s="152"/>
      <c r="AA62" s="152">
        <f>-'[33]Actual &amp; Assumptions'!AA218</f>
        <v>0</v>
      </c>
      <c r="AB62" s="152">
        <f>-'[33]Actual &amp; Assumptions'!AB218</f>
        <v>0</v>
      </c>
      <c r="AC62" s="152">
        <f>-'[33]Actual &amp; Assumptions'!AC218</f>
        <v>0</v>
      </c>
      <c r="AD62" s="152">
        <f>-'[33]Actual &amp; Assumptions'!AD218</f>
        <v>0</v>
      </c>
      <c r="AE62" s="152">
        <f>-'[33]Actual &amp; Assumptions'!AE218</f>
        <v>0</v>
      </c>
      <c r="AF62" s="152">
        <f>-'[33]Actual &amp; Assumptions'!AF218</f>
        <v>0</v>
      </c>
      <c r="AG62" s="152">
        <f>-'[33]Actual &amp; Assumptions'!AG218</f>
        <v>0</v>
      </c>
      <c r="AH62" s="152">
        <f>-'[33]Actual &amp; Assumptions'!AH218</f>
        <v>0</v>
      </c>
      <c r="AI62" s="152">
        <f>-'[33]Actual &amp; Assumptions'!AI218</f>
        <v>0</v>
      </c>
      <c r="AJ62" s="152">
        <f>-'[33]Actual &amp; Assumptions'!AJ218</f>
        <v>0</v>
      </c>
      <c r="AK62" s="152">
        <f>-'[33]Actual &amp; Assumptions'!AK218</f>
        <v>0</v>
      </c>
      <c r="AL62" s="152">
        <f>-'[33]Actual &amp; Assumptions'!AL218</f>
        <v>0</v>
      </c>
      <c r="AM62" s="152">
        <f>-'[33]Actual &amp; Assumptions'!AM218</f>
        <v>0</v>
      </c>
      <c r="AN62" s="152">
        <f>-'[33]Actual &amp; Assumptions'!AN218</f>
        <v>0</v>
      </c>
      <c r="AO62" s="152">
        <f>-'[33]Actual &amp; Assumptions'!AO218</f>
        <v>0</v>
      </c>
      <c r="AP62" s="152">
        <f>-'[33]Actual &amp; Assumptions'!AP218</f>
        <v>0</v>
      </c>
      <c r="AQ62" s="152">
        <f>-'[33]Actual &amp; Assumptions'!AQ218</f>
        <v>0</v>
      </c>
      <c r="AR62" s="152">
        <f>-'[33]Actual &amp; Assumptions'!AR218</f>
        <v>0</v>
      </c>
      <c r="AS62" s="152">
        <f>-'[33]Actual &amp; Assumptions'!AS218</f>
        <v>0</v>
      </c>
      <c r="AT62" s="152">
        <f>-'[33]Actual &amp; Assumptions'!AT218</f>
        <v>0</v>
      </c>
      <c r="AU62" s="152">
        <f>-'[33]Actual &amp; Assumptions'!AU218</f>
        <v>0</v>
      </c>
      <c r="AV62" s="152">
        <f>-'[33]Actual &amp; Assumptions'!AV218</f>
        <v>0</v>
      </c>
      <c r="AW62" s="152">
        <f>-'[33]Actual &amp; Assumptions'!AW218</f>
        <v>0</v>
      </c>
      <c r="AX62" s="152">
        <f>-'[33]Actual &amp; Assumptions'!AX218</f>
        <v>0</v>
      </c>
      <c r="AY62" s="152">
        <f>-'[33]Actual &amp; Assumptions'!AY218</f>
        <v>0</v>
      </c>
      <c r="AZ62" s="152">
        <f>-'[33]Actual &amp; Assumptions'!AZ218</f>
        <v>0</v>
      </c>
      <c r="BA62" s="152">
        <f>-'[33]Actual &amp; Assumptions'!BA218</f>
        <v>0</v>
      </c>
      <c r="BB62" s="152">
        <f>-'[33]Actual &amp; Assumptions'!BB218</f>
        <v>0</v>
      </c>
      <c r="BC62" s="152">
        <f>-'[33]Actual &amp; Assumptions'!BC218</f>
        <v>0</v>
      </c>
      <c r="BD62" s="152">
        <f>-'[33]Actual &amp; Assumptions'!BD218</f>
        <v>0</v>
      </c>
      <c r="BE62" s="152">
        <f>-'[33]Actual &amp; Assumptions'!BE218</f>
        <v>0</v>
      </c>
      <c r="BF62" s="152">
        <f>-'[33]Actual &amp; Assumptions'!BF218</f>
        <v>0</v>
      </c>
      <c r="BG62" s="152">
        <f>-'[33]Actual &amp; Assumptions'!BG218</f>
        <v>0</v>
      </c>
      <c r="BH62" s="152">
        <f>-'[33]Actual &amp; Assumptions'!BH218</f>
        <v>0</v>
      </c>
      <c r="BI62" s="152">
        <f>-'[33]Actual &amp; Assumptions'!BI218</f>
        <v>0</v>
      </c>
      <c r="BJ62" s="152">
        <f>-'[33]Actual &amp; Assumptions'!BJ218</f>
        <v>0</v>
      </c>
      <c r="BK62" s="152">
        <f>-'[33]Actual &amp; Assumptions'!BK218</f>
        <v>0</v>
      </c>
      <c r="BL62" s="152">
        <f>-'[33]Actual &amp; Assumptions'!BL218</f>
        <v>0</v>
      </c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</row>
    <row r="63" spans="1:272" s="222" customFormat="1" hidden="1" outlineLevel="1">
      <c r="A63" s="222" t="str">
        <f>'[33]Actual &amp; Assumptions'!A221</f>
        <v>Creditors &amp; Other Credit Balance</v>
      </c>
      <c r="C63" s="152">
        <f>-'[33]Actual &amp; Assumptions'!C222</f>
        <v>-19147</v>
      </c>
      <c r="D63" s="152">
        <f>-'[33]Actual &amp; Assumptions'!D222</f>
        <v>-37420</v>
      </c>
      <c r="E63" s="152">
        <f>-'[33]Actual &amp; Assumptions'!E222</f>
        <v>-48803</v>
      </c>
      <c r="F63" s="152">
        <f>-'[33]Actual &amp; Assumptions'!F222</f>
        <v>-59327</v>
      </c>
      <c r="G63" s="152">
        <f>-'[33]Actual &amp; Assumptions'!G222</f>
        <v>-34932</v>
      </c>
      <c r="H63" s="152">
        <f>-'[33]Actual &amp; Assumptions'!H222</f>
        <v>-78523</v>
      </c>
      <c r="I63" s="152">
        <f>-'[33]Actual &amp; Assumptions'!I222</f>
        <v>-57755</v>
      </c>
      <c r="J63" s="152">
        <f>-'[33]Actual &amp; Assumptions'!J222</f>
        <v>-67440</v>
      </c>
      <c r="K63" s="152">
        <f>-'[33]Actual &amp; Assumptions'!K222</f>
        <v>-81538</v>
      </c>
      <c r="L63" s="152">
        <f>-'[33]Actual &amp; Assumptions'!L222</f>
        <v>-96458</v>
      </c>
      <c r="M63" s="152">
        <f>-'[33]Actual &amp; Assumptions'!M222</f>
        <v>-110726</v>
      </c>
      <c r="N63" s="152">
        <f>-'[33]Actual &amp; Assumptions'!N222</f>
        <v>-122466</v>
      </c>
      <c r="O63" s="152">
        <f>-'[33]Actual &amp; Assumptions'!O222</f>
        <v>-108221</v>
      </c>
      <c r="P63" s="152">
        <f>-'[33]Actual &amp; Assumptions'!P222</f>
        <v>-108221</v>
      </c>
      <c r="Q63" s="152">
        <f>-'[33]Actual &amp; Assumptions'!Q222</f>
        <v>-113639</v>
      </c>
      <c r="R63" s="152">
        <f>-'[33]Actual &amp; Assumptions'!R222</f>
        <v>-117236</v>
      </c>
      <c r="S63" s="152">
        <f>-'[33]Actual &amp; Assumptions'!S222</f>
        <v>-120271</v>
      </c>
      <c r="T63" s="152">
        <f>-'[33]Actual &amp; Assumptions'!T222</f>
        <v>-117796</v>
      </c>
      <c r="U63" s="152">
        <f>-'[33]Actual &amp; Assumptions'!U222</f>
        <v>-117796</v>
      </c>
      <c r="V63" s="152">
        <f>-'[33]Actual &amp; Assumptions'!V222</f>
        <v>-137351</v>
      </c>
      <c r="W63" s="152">
        <f>-'[33]Actual &amp; Assumptions'!W222</f>
        <v>-147130</v>
      </c>
      <c r="X63" s="152">
        <f>-'[33]Actual &amp; Assumptions'!X222</f>
        <v>-185761</v>
      </c>
      <c r="Y63" s="152">
        <f>-'[33]Actual &amp; Assumptions'!Y222</f>
        <v>-175902</v>
      </c>
      <c r="Z63" s="152">
        <f>-'[33]Actual &amp; Assumptions'!Z222</f>
        <v>-175902</v>
      </c>
      <c r="AA63" s="152">
        <f>-'[33]Actual &amp; Assumptions'!AA222</f>
        <v>-136390</v>
      </c>
      <c r="AB63" s="152">
        <f>-'[33]Actual &amp; Assumptions'!AB222</f>
        <v>-134932</v>
      </c>
      <c r="AC63" s="152">
        <f>-'[33]Actual &amp; Assumptions'!AC222</f>
        <v>-135868</v>
      </c>
      <c r="AD63" s="152">
        <f>-'[33]Actual &amp; Assumptions'!AD222</f>
        <v>-138014</v>
      </c>
      <c r="AE63" s="152">
        <f>-'[33]Actual &amp; Assumptions'!AE222</f>
        <v>-138014</v>
      </c>
      <c r="AF63" s="152">
        <f>-'[33]Actual &amp; Assumptions'!AF222</f>
        <v>-146598</v>
      </c>
      <c r="AG63" s="152">
        <f>-'[33]Actual &amp; Assumptions'!AG222</f>
        <v>-146544</v>
      </c>
      <c r="AH63" s="152">
        <f>-'[33]Actual &amp; Assumptions'!AH222</f>
        <v>-183740</v>
      </c>
      <c r="AI63" s="152">
        <f>-'[33]Actual &amp; Assumptions'!AI222</f>
        <v>-191355</v>
      </c>
      <c r="AJ63" s="152">
        <f>-'[33]Actual &amp; Assumptions'!AJ222</f>
        <v>-191355</v>
      </c>
      <c r="AK63" s="152">
        <f>-'[33]Actual &amp; Assumptions'!AK222</f>
        <v>-199521</v>
      </c>
      <c r="AL63" s="152">
        <f>-'[33]Actual &amp; Assumptions'!AL222</f>
        <v>-195738</v>
      </c>
      <c r="AM63" s="152">
        <f>-'[33]Actual &amp; Assumptions'!AM222</f>
        <v>-205596</v>
      </c>
      <c r="AN63" s="152">
        <f>-'[33]Actual &amp; Assumptions'!AN222</f>
        <v>-205969</v>
      </c>
      <c r="AO63" s="152">
        <f>-'[33]Actual &amp; Assumptions'!AO222</f>
        <v>-205969</v>
      </c>
      <c r="AP63" s="152">
        <f>-'[33]Actual &amp; Assumptions'!AP222</f>
        <v>-219703</v>
      </c>
      <c r="AQ63" s="152">
        <f>-'[33]Actual &amp; Assumptions'!AQ222</f>
        <v>-225690</v>
      </c>
      <c r="AR63" s="152">
        <f>-'[33]Actual &amp; Assumptions'!AR222</f>
        <v>-227627</v>
      </c>
      <c r="AS63" s="152">
        <f>-'[33]Actual &amp; Assumptions'!AS222</f>
        <v>-224683.31334057776</v>
      </c>
      <c r="AT63" s="152">
        <f>-'[33]Actual &amp; Assumptions'!AT222</f>
        <v>-224683.31334057776</v>
      </c>
      <c r="AU63" s="152">
        <f>-'[33]Actual &amp; Assumptions'!AU222</f>
        <v>-226554.20096999995</v>
      </c>
      <c r="AV63" s="152">
        <f>-'[33]Actual &amp; Assumptions'!AV222</f>
        <v>-214853.92679999993</v>
      </c>
      <c r="AW63" s="152">
        <f>-'[33]Actual &amp; Assumptions'!AW222</f>
        <v>-143503.24871999995</v>
      </c>
      <c r="AX63" s="152">
        <f>-'[33]Actual &amp; Assumptions'!AX222</f>
        <v>-210806.3907646666</v>
      </c>
      <c r="AY63" s="152">
        <f>-'[33]Actual &amp; Assumptions'!AY222</f>
        <v>-210806.3907646666</v>
      </c>
      <c r="AZ63" s="152">
        <f>-'[33]Actual &amp; Assumptions'!AZ222</f>
        <v>-196126.31329212556</v>
      </c>
      <c r="BA63" s="152">
        <f>-'[33]Actual &amp; Assumptions'!BA222</f>
        <v>-180825.25661125229</v>
      </c>
      <c r="BB63" s="152">
        <f>-'[33]Actual &amp; Assumptions'!BB222</f>
        <v>-166283.54802150719</v>
      </c>
      <c r="BC63" s="152">
        <f>-'[33]Actual &amp; Assumptions'!BC222</f>
        <v>-149548.28517610705</v>
      </c>
      <c r="BD63" s="152">
        <f>-'[33]Actual &amp; Assumptions'!BD222</f>
        <v>-133527.32762987464</v>
      </c>
      <c r="BE63" s="152">
        <f>-'[33]Actual &amp; Assumptions'!BE222</f>
        <v>-117852.49520442488</v>
      </c>
      <c r="BF63" s="152">
        <f>-'[33]Actual &amp; Assumptions'!BF222</f>
        <v>-105224.93312392497</v>
      </c>
      <c r="BG63" s="152">
        <f>-'[33]Actual &amp; Assumptions'!BG222</f>
        <v>-89341.205626323339</v>
      </c>
      <c r="BH63" s="152">
        <f>-'[33]Actual &amp; Assumptions'!BH222</f>
        <v>-76654.242403763914</v>
      </c>
      <c r="BI63" s="152">
        <f>-'[33]Actual &amp; Assumptions'!BI222</f>
        <v>-68508.198825627362</v>
      </c>
      <c r="BJ63" s="152">
        <f>-'[33]Actual &amp; Assumptions'!BJ222</f>
        <v>-54894.912879877724</v>
      </c>
      <c r="BK63" s="152">
        <f>-'[33]Actual &amp; Assumptions'!BK222</f>
        <v>-43635.911985935476</v>
      </c>
      <c r="BL63" s="152">
        <f>-'[33]Actual &amp; Assumptions'!BL222</f>
        <v>-31804.535261083947</v>
      </c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</row>
    <row r="64" spans="1:272" s="222" customFormat="1" hidden="1" outlineLevel="1">
      <c r="A64" s="222" t="str">
        <f>'[33]Actual &amp; Assumptions'!A235</f>
        <v>Taxes</v>
      </c>
      <c r="C64" s="152">
        <f>-'[33]Actual &amp; Assumptions'!C236</f>
        <v>-3274</v>
      </c>
      <c r="D64" s="152">
        <f>-'[33]Actual &amp; Assumptions'!D236</f>
        <v>-6677</v>
      </c>
      <c r="E64" s="152">
        <f>-'[33]Actual &amp; Assumptions'!E236</f>
        <v>0</v>
      </c>
      <c r="F64" s="152">
        <f>-'[33]Actual &amp; Assumptions'!F236</f>
        <v>0</v>
      </c>
      <c r="G64" s="152">
        <f>-'[33]Actual &amp; Assumptions'!G236</f>
        <v>0</v>
      </c>
      <c r="H64" s="152">
        <f>-'[33]Actual &amp; Assumptions'!H236</f>
        <v>0</v>
      </c>
      <c r="I64" s="152"/>
      <c r="J64" s="152"/>
      <c r="K64" s="152">
        <f>-'[33]Actual &amp; Assumptions'!K236</f>
        <v>0</v>
      </c>
      <c r="L64" s="152">
        <f>-'[33]Actual &amp; Assumptions'!L236</f>
        <v>-477</v>
      </c>
      <c r="M64" s="152">
        <f>-'[33]Actual &amp; Assumptions'!M236</f>
        <v>-1946</v>
      </c>
      <c r="N64" s="152">
        <f>-'[33]Actual &amp; Assumptions'!N236</f>
        <v>-1792</v>
      </c>
      <c r="O64" s="152">
        <f>-'[33]Actual &amp; Assumptions'!O236</f>
        <v>0</v>
      </c>
      <c r="P64" s="152">
        <f>O64</f>
        <v>0</v>
      </c>
      <c r="Q64" s="152">
        <f>-'[33]Actual &amp; Assumptions'!Q236</f>
        <v>0</v>
      </c>
      <c r="R64" s="152">
        <f>-'[33]Actual &amp; Assumptions'!R236</f>
        <v>0</v>
      </c>
      <c r="S64" s="152">
        <f>-'[33]Actual &amp; Assumptions'!S236</f>
        <v>0</v>
      </c>
      <c r="T64" s="152">
        <f>-'[33]Actual &amp; Assumptions'!T236</f>
        <v>-4873</v>
      </c>
      <c r="U64" s="152">
        <f>T64</f>
        <v>-4873</v>
      </c>
      <c r="V64" s="152">
        <f>-'[33]Actual &amp; Assumptions'!V236</f>
        <v>-3295</v>
      </c>
      <c r="W64" s="152">
        <f>-'[33]Actual &amp; Assumptions'!W236</f>
        <v>-1766</v>
      </c>
      <c r="X64" s="152">
        <f>-'[33]Actual &amp; Assumptions'!X236</f>
        <v>-376.40222</v>
      </c>
      <c r="Y64" s="152">
        <f>-'[33]Actual &amp; Assumptions'!Y236</f>
        <v>-2298</v>
      </c>
      <c r="Z64" s="152">
        <f>-'[33]Actual &amp; Assumptions'!Z236</f>
        <v>-2298</v>
      </c>
      <c r="AA64" s="152">
        <f>-'[33]Actual &amp; Assumptions'!AA236</f>
        <v>-151</v>
      </c>
      <c r="AB64" s="152">
        <f>-'[33]Actual &amp; Assumptions'!AB236</f>
        <v>-184</v>
      </c>
      <c r="AC64" s="152">
        <f>-'[33]Actual &amp; Assumptions'!AC236</f>
        <v>-85</v>
      </c>
      <c r="AD64" s="152">
        <f>-'[33]Actual &amp; Assumptions'!AD236</f>
        <v>0</v>
      </c>
      <c r="AE64" s="152">
        <f>-'[33]Actual &amp; Assumptions'!AE236</f>
        <v>0</v>
      </c>
      <c r="AF64" s="152">
        <f>-'[33]Actual &amp; Assumptions'!AF236</f>
        <v>-507</v>
      </c>
      <c r="AG64" s="152">
        <f>-'[33]Actual &amp; Assumptions'!AG236</f>
        <v>-83</v>
      </c>
      <c r="AH64" s="152">
        <f>-'[33]Actual &amp; Assumptions'!AH236</f>
        <v>0</v>
      </c>
      <c r="AI64" s="152">
        <f>-'[33]Actual &amp; Assumptions'!AI236</f>
        <v>590</v>
      </c>
      <c r="AJ64" s="152">
        <f>-'[33]Actual &amp; Assumptions'!AJ236</f>
        <v>590</v>
      </c>
      <c r="AK64" s="152">
        <f>-'[33]Actual &amp; Assumptions'!AK236</f>
        <v>0</v>
      </c>
      <c r="AL64" s="152">
        <f>-'[33]Actual &amp; Assumptions'!AL236</f>
        <v>0</v>
      </c>
      <c r="AM64" s="152">
        <f>-'[33]Actual &amp; Assumptions'!AM236</f>
        <v>0</v>
      </c>
      <c r="AN64" s="152">
        <f>-'[33]Actual &amp; Assumptions'!AN236</f>
        <v>0</v>
      </c>
      <c r="AO64" s="152">
        <f>-'[33]Actual &amp; Assumptions'!AO236</f>
        <v>0</v>
      </c>
      <c r="AP64" s="152">
        <f>-'[33]Actual &amp; Assumptions'!AP236</f>
        <v>0</v>
      </c>
      <c r="AQ64" s="152">
        <f>-'[33]Actual &amp; Assumptions'!AQ236</f>
        <v>0</v>
      </c>
      <c r="AR64" s="152">
        <f>-'[33]Actual &amp; Assumptions'!AR236</f>
        <v>0</v>
      </c>
      <c r="AS64" s="152">
        <f>-'[33]Actual &amp; Assumptions'!AS236</f>
        <v>0</v>
      </c>
      <c r="AT64" s="152">
        <f>-'[33]Actual &amp; Assumptions'!AT236</f>
        <v>0</v>
      </c>
      <c r="AU64" s="152">
        <f>-'[33]Actual &amp; Assumptions'!AU236</f>
        <v>0</v>
      </c>
      <c r="AV64" s="152">
        <f>-'[33]Actual &amp; Assumptions'!AV236</f>
        <v>0</v>
      </c>
      <c r="AW64" s="152">
        <f>-'[33]Actual &amp; Assumptions'!AW236</f>
        <v>0</v>
      </c>
      <c r="AX64" s="152">
        <f>-'[33]Actual &amp; Assumptions'!AX236</f>
        <v>-648.0067972500043</v>
      </c>
      <c r="AY64" s="152">
        <f>-'[33]Actual &amp; Assumptions'!AY236</f>
        <v>-648.0067972500043</v>
      </c>
      <c r="AZ64" s="152">
        <f>'[33]Actual &amp; Assumptions'!AZ236</f>
        <v>495.7387328458218</v>
      </c>
      <c r="BA64" s="152">
        <f>'[33]Actual &amp; Assumptions'!BA236</f>
        <v>-700.9377639037051</v>
      </c>
      <c r="BB64" s="152">
        <f>'[33]Actual &amp; Assumptions'!BB236</f>
        <v>-3402.2253018598385</v>
      </c>
      <c r="BC64" s="152">
        <f>'[33]Actual &amp; Assumptions'!BC236</f>
        <v>-6410.5511452314095</v>
      </c>
      <c r="BD64" s="152">
        <f>'[33]Actual &amp; Assumptions'!BD236</f>
        <v>-8071.9020096602517</v>
      </c>
      <c r="BE64" s="152">
        <f>'[33]Actual &amp; Assumptions'!BE236</f>
        <v>-10597.064330887899</v>
      </c>
      <c r="BF64" s="152">
        <f>'[33]Actual &amp; Assumptions'!BF236</f>
        <v>-12794.165823285812</v>
      </c>
      <c r="BG64" s="152">
        <f>'[33]Actual &amp; Assumptions'!BG236</f>
        <v>-15290.313183095139</v>
      </c>
      <c r="BH64" s="152">
        <f>'[33]Actual &amp; Assumptions'!BH236</f>
        <v>-18034.283775889759</v>
      </c>
      <c r="BI64" s="152">
        <f>'[33]Actual &amp; Assumptions'!BI236</f>
        <v>-21110.725217885396</v>
      </c>
      <c r="BJ64" s="152">
        <f>'[33]Actual &amp; Assumptions'!BJ236</f>
        <v>-24764.019073305109</v>
      </c>
      <c r="BK64" s="152">
        <f>'[33]Actual &amp; Assumptions'!BK236</f>
        <v>-28616.06717618537</v>
      </c>
      <c r="BL64" s="152">
        <f>'[33]Actual &amp; Assumptions'!BL236</f>
        <v>-32892.721209524745</v>
      </c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</row>
    <row r="65" spans="1:272" s="222" customFormat="1" hidden="1" outlineLevel="1">
      <c r="A65" s="222" t="str">
        <f>'[33]Actual &amp; Assumptions'!A241</f>
        <v>Dividends Payable</v>
      </c>
      <c r="C65" s="152">
        <f>-'[33]Actual &amp; Assumptions'!C242</f>
        <v>-4</v>
      </c>
      <c r="D65" s="152">
        <f>-'[33]Actual &amp; Assumptions'!D242</f>
        <v>-432</v>
      </c>
      <c r="E65" s="152">
        <f>-'[33]Actual &amp; Assumptions'!E242</f>
        <v>-2402</v>
      </c>
      <c r="F65" s="152">
        <f>-'[33]Actual &amp; Assumptions'!F242</f>
        <v>-2602</v>
      </c>
      <c r="G65" s="152">
        <f>-'[33]Actual &amp; Assumptions'!G242</f>
        <v>-2803</v>
      </c>
      <c r="H65" s="152">
        <f>-'[33]Actual &amp; Assumptions'!H242</f>
        <v>-2803</v>
      </c>
      <c r="I65" s="152">
        <f>-'[33]Actual &amp; Assumptions'!I242</f>
        <v>-27595</v>
      </c>
      <c r="J65" s="152">
        <f>-'[33]Actual &amp; Assumptions'!J242</f>
        <v>-27595</v>
      </c>
      <c r="K65" s="152">
        <f>-'[33]Actual &amp; Assumptions'!K242</f>
        <v>-27595</v>
      </c>
      <c r="L65" s="152">
        <f>-'[33]Actual &amp; Assumptions'!L242</f>
        <v>-27595</v>
      </c>
      <c r="M65" s="152">
        <f>-'[33]Actual &amp; Assumptions'!M242</f>
        <v>-27595</v>
      </c>
      <c r="N65" s="152">
        <f>-'[33]Actual &amp; Assumptions'!N242</f>
        <v>-27595</v>
      </c>
      <c r="O65" s="152">
        <f>-'[33]Actual &amp; Assumptions'!O242</f>
        <v>-27595</v>
      </c>
      <c r="P65" s="152">
        <f>-'[33]Actual &amp; Assumptions'!P242</f>
        <v>-27595</v>
      </c>
      <c r="Q65" s="152">
        <f>-'[33]Actual &amp; Assumptions'!Q242</f>
        <v>-27595</v>
      </c>
      <c r="R65" s="152">
        <f>-'[33]Actual &amp; Assumptions'!R242</f>
        <v>-27595</v>
      </c>
      <c r="S65" s="152">
        <f>-'[33]Actual &amp; Assumptions'!S242</f>
        <v>-27595</v>
      </c>
      <c r="T65" s="152">
        <f>-'[33]Actual &amp; Assumptions'!T242</f>
        <v>-27595</v>
      </c>
      <c r="U65" s="152">
        <f>-'[33]Actual &amp; Assumptions'!U242</f>
        <v>-27595</v>
      </c>
      <c r="V65" s="152">
        <f>-'[33]Actual &amp; Assumptions'!V242</f>
        <v>-27595</v>
      </c>
      <c r="W65" s="152">
        <f>-'[33]Actual &amp; Assumptions'!W242</f>
        <v>-27595</v>
      </c>
      <c r="X65" s="152">
        <f>-'[33]Actual &amp; Assumptions'!X242</f>
        <v>-27595</v>
      </c>
      <c r="Y65" s="152">
        <f>-'[33]Actual &amp; Assumptions'!Y242</f>
        <v>-27595</v>
      </c>
      <c r="Z65" s="152">
        <f>-'[33]Actual &amp; Assumptions'!Z242</f>
        <v>-27595</v>
      </c>
      <c r="AA65" s="152">
        <f>-'[33]Actual &amp; Assumptions'!AA242</f>
        <v>-27595</v>
      </c>
      <c r="AB65" s="152">
        <f>-'[33]Actual &amp; Assumptions'!AB242</f>
        <v>-27595</v>
      </c>
      <c r="AC65" s="152">
        <f>-'[33]Actual &amp; Assumptions'!AC242</f>
        <v>-27595</v>
      </c>
      <c r="AD65" s="152">
        <f>-'[33]Actual &amp; Assumptions'!AD242</f>
        <v>-27595</v>
      </c>
      <c r="AE65" s="152">
        <f>-'[33]Actual &amp; Assumptions'!AE242</f>
        <v>-27595</v>
      </c>
      <c r="AF65" s="152">
        <f>-'[33]Actual &amp; Assumptions'!AF242</f>
        <v>-27595</v>
      </c>
      <c r="AG65" s="152">
        <f>-'[33]Actual &amp; Assumptions'!AG242</f>
        <v>-27595</v>
      </c>
      <c r="AH65" s="152">
        <f>-'[33]Actual &amp; Assumptions'!AH242</f>
        <v>-27595</v>
      </c>
      <c r="AI65" s="152">
        <f>-'[33]Actual &amp; Assumptions'!AI242</f>
        <v>-27595</v>
      </c>
      <c r="AJ65" s="152">
        <f>-'[33]Actual &amp; Assumptions'!AJ242</f>
        <v>-27595</v>
      </c>
      <c r="AK65" s="152">
        <f>-'[33]Actual &amp; Assumptions'!AK242</f>
        <v>-27595</v>
      </c>
      <c r="AL65" s="152">
        <f>-'[33]Actual &amp; Assumptions'!AL242</f>
        <v>-27595</v>
      </c>
      <c r="AM65" s="152">
        <f>-'[33]Actual &amp; Assumptions'!AM242</f>
        <v>-27595</v>
      </c>
      <c r="AN65" s="152">
        <f>-'[33]Actual &amp; Assumptions'!AN242</f>
        <v>-27595</v>
      </c>
      <c r="AO65" s="152">
        <f>-'[33]Actual &amp; Assumptions'!AO242</f>
        <v>-27595</v>
      </c>
      <c r="AP65" s="152">
        <f>-'[33]Actual &amp; Assumptions'!AP242</f>
        <v>-27595</v>
      </c>
      <c r="AQ65" s="152">
        <f>-'[33]Actual &amp; Assumptions'!AQ242</f>
        <v>-27595</v>
      </c>
      <c r="AR65" s="152">
        <f>-'[33]Actual &amp; Assumptions'!AR242</f>
        <v>-27595</v>
      </c>
      <c r="AS65" s="152">
        <f>-'[33]Actual &amp; Assumptions'!AS242</f>
        <v>-27595</v>
      </c>
      <c r="AT65" s="152">
        <f>-'[33]Actual &amp; Assumptions'!AT242</f>
        <v>-27595</v>
      </c>
      <c r="AU65" s="152">
        <f>-'[33]Actual &amp; Assumptions'!AU242</f>
        <v>-27595</v>
      </c>
      <c r="AV65" s="152">
        <f>-'[33]Actual &amp; Assumptions'!AV242</f>
        <v>-27595</v>
      </c>
      <c r="AW65" s="152">
        <f>-'[33]Actual &amp; Assumptions'!AW242</f>
        <v>-27595</v>
      </c>
      <c r="AX65" s="152">
        <f>-'[33]Actual &amp; Assumptions'!AX242</f>
        <v>-27595</v>
      </c>
      <c r="AY65" s="152">
        <f>-'[33]Actual &amp; Assumptions'!AY242</f>
        <v>-27595</v>
      </c>
      <c r="AZ65" s="152">
        <f>-'[33]Actual &amp; Assumptions'!AZ242</f>
        <v>-27595</v>
      </c>
      <c r="BA65" s="152">
        <f>-'[33]Actual &amp; Assumptions'!BA242</f>
        <v>-27595</v>
      </c>
      <c r="BB65" s="152">
        <f>-'[33]Actual &amp; Assumptions'!BB242</f>
        <v>-27595</v>
      </c>
      <c r="BC65" s="152">
        <f>-'[33]Actual &amp; Assumptions'!BC242</f>
        <v>-27595</v>
      </c>
      <c r="BD65" s="152">
        <f>-'[33]Actual &amp; Assumptions'!BD242</f>
        <v>-27595</v>
      </c>
      <c r="BE65" s="152">
        <f>-'[33]Actual &amp; Assumptions'!BE242</f>
        <v>-27595</v>
      </c>
      <c r="BF65" s="152">
        <f>-'[33]Actual &amp; Assumptions'!BF242</f>
        <v>-27595</v>
      </c>
      <c r="BG65" s="152">
        <f>-'[33]Actual &amp; Assumptions'!BG242</f>
        <v>-27595</v>
      </c>
      <c r="BH65" s="152">
        <f>-'[33]Actual &amp; Assumptions'!BH242</f>
        <v>-27595</v>
      </c>
      <c r="BI65" s="152">
        <f>-'[33]Actual &amp; Assumptions'!BI242</f>
        <v>-27595</v>
      </c>
      <c r="BJ65" s="152">
        <f>-'[33]Actual &amp; Assumptions'!BJ242</f>
        <v>-27595</v>
      </c>
      <c r="BK65" s="152">
        <f>-'[33]Actual &amp; Assumptions'!BK242</f>
        <v>-27595</v>
      </c>
      <c r="BL65" s="152">
        <f>-'[33]Actual &amp; Assumptions'!BL242</f>
        <v>-27595</v>
      </c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</row>
    <row r="66" spans="1:272" s="222" customFormat="1" hidden="1" outlineLevel="1">
      <c r="A66" s="222" t="str">
        <f>'[33]Actual &amp; Assumptions'!A245</f>
        <v>Due to Inter companies Net</v>
      </c>
      <c r="C66" s="152">
        <f>-'[33]Actual &amp; Assumptions'!C246</f>
        <v>-4779</v>
      </c>
      <c r="D66" s="152">
        <f>-'[33]Actual &amp; Assumptions'!D246</f>
        <v>-3520</v>
      </c>
      <c r="E66" s="152">
        <f>-'[33]Actual &amp; Assumptions'!E246</f>
        <v>-22632</v>
      </c>
      <c r="F66" s="152">
        <f>-'[33]Actual &amp; Assumptions'!F246</f>
        <v>-32322</v>
      </c>
      <c r="G66" s="152">
        <f>-'[33]Actual &amp; Assumptions'!G246</f>
        <v>-63595</v>
      </c>
      <c r="H66" s="152">
        <f>-'[33]Actual &amp; Assumptions'!H246</f>
        <v>-42649</v>
      </c>
      <c r="I66" s="152">
        <f>-'[33]Actual &amp; Assumptions'!I246</f>
        <v>-18553</v>
      </c>
      <c r="J66" s="152">
        <f>-'[33]Actual &amp; Assumptions'!J246</f>
        <v>-23464</v>
      </c>
      <c r="K66" s="152">
        <f>-'[33]Actual &amp; Assumptions'!K246</f>
        <v>-24490</v>
      </c>
      <c r="L66" s="152">
        <f>-'[33]Actual &amp; Assumptions'!L246</f>
        <v>-17161</v>
      </c>
      <c r="M66" s="152">
        <f>-'[33]Actual &amp; Assumptions'!M246</f>
        <v>-18445</v>
      </c>
      <c r="N66" s="152">
        <f>-'[33]Actual &amp; Assumptions'!N246</f>
        <v>-26823</v>
      </c>
      <c r="O66" s="152">
        <f>-'[33]Actual &amp; Assumptions'!O246</f>
        <v>-29610</v>
      </c>
      <c r="P66" s="152">
        <f>-'[33]Actual &amp; Assumptions'!P246</f>
        <v>-29610</v>
      </c>
      <c r="Q66" s="152">
        <f>-'[33]Actual &amp; Assumptions'!Q246</f>
        <v>-21969.20436</v>
      </c>
      <c r="R66" s="152">
        <f>-'[33]Actual &amp; Assumptions'!R246</f>
        <v>-21972</v>
      </c>
      <c r="S66" s="152">
        <f>-'[33]Actual &amp; Assumptions'!S246</f>
        <v>-10053</v>
      </c>
      <c r="T66" s="152">
        <f>-'[33]Actual &amp; Assumptions'!T246</f>
        <v>-1811</v>
      </c>
      <c r="U66" s="152">
        <f>-'[33]Actual &amp; Assumptions'!U246</f>
        <v>-1811</v>
      </c>
      <c r="V66" s="152">
        <f>-'[33]Actual &amp; Assumptions'!V246</f>
        <v>-2457</v>
      </c>
      <c r="W66" s="152">
        <f>-'[33]Actual &amp; Assumptions'!W246</f>
        <v>-4541</v>
      </c>
      <c r="X66" s="152">
        <f>-'[33]Actual &amp; Assumptions'!X246</f>
        <v>-692</v>
      </c>
      <c r="Y66" s="152">
        <f>-'[33]Actual &amp; Assumptions'!Y246</f>
        <v>-88</v>
      </c>
      <c r="Z66" s="152">
        <f>-'[33]Actual &amp; Assumptions'!Z246</f>
        <v>-88</v>
      </c>
      <c r="AA66" s="152">
        <f>-'[33]Actual &amp; Assumptions'!AA246</f>
        <v>-96</v>
      </c>
      <c r="AB66" s="152">
        <f>-'[33]Actual &amp; Assumptions'!AB246</f>
        <v>-104</v>
      </c>
      <c r="AC66" s="152">
        <f>-'[33]Actual &amp; Assumptions'!AC246</f>
        <v>-112</v>
      </c>
      <c r="AD66" s="152">
        <f>-'[33]Actual &amp; Assumptions'!AD246</f>
        <v>-2892.7366099999999</v>
      </c>
      <c r="AE66" s="152">
        <f>-'[33]Actual &amp; Assumptions'!AE246</f>
        <v>-2892.7366099999999</v>
      </c>
      <c r="AF66" s="152">
        <f>-'[33]Actual &amp; Assumptions'!AF246</f>
        <v>-2549</v>
      </c>
      <c r="AG66" s="152">
        <f>-'[33]Actual &amp; Assumptions'!AG246</f>
        <v>-2241</v>
      </c>
      <c r="AH66" s="152">
        <f>-'[33]Actual &amp; Assumptions'!AH246</f>
        <v>-1735</v>
      </c>
      <c r="AI66" s="152">
        <f>-'[33]Actual &amp; Assumptions'!AI246</f>
        <v>-1382</v>
      </c>
      <c r="AJ66" s="152">
        <f>-'[33]Actual &amp; Assumptions'!AJ246</f>
        <v>-1382</v>
      </c>
      <c r="AK66" s="152">
        <f>-'[33]Actual &amp; Assumptions'!AK246</f>
        <v>-248</v>
      </c>
      <c r="AL66" s="152">
        <f>-'[33]Actual &amp; Assumptions'!AL246</f>
        <v>-1320</v>
      </c>
      <c r="AM66" s="152">
        <f>-'[33]Actual &amp; Assumptions'!AM246</f>
        <v>-2728</v>
      </c>
      <c r="AN66" s="152">
        <f>-'[33]Actual &amp; Assumptions'!AN246</f>
        <v>-6324</v>
      </c>
      <c r="AO66" s="152">
        <f>-'[33]Actual &amp; Assumptions'!AO246</f>
        <v>-6324</v>
      </c>
      <c r="AP66" s="152">
        <f>-'[33]Actual &amp; Assumptions'!AP246</f>
        <v>-6324</v>
      </c>
      <c r="AQ66" s="152">
        <f>-'[33]Actual &amp; Assumptions'!AQ246</f>
        <v>-4100</v>
      </c>
      <c r="AR66" s="152">
        <f>-'[33]Actual &amp; Assumptions'!AR246</f>
        <v>-45</v>
      </c>
      <c r="AS66" s="152">
        <f>-'[33]Actual &amp; Assumptions'!AS246</f>
        <v>-45</v>
      </c>
      <c r="AT66" s="152">
        <f>-'[33]Actual &amp; Assumptions'!AT246</f>
        <v>-45</v>
      </c>
      <c r="AU66" s="152">
        <f>-'[33]Actual &amp; Assumptions'!AU246</f>
        <v>-45</v>
      </c>
      <c r="AV66" s="152">
        <f>-'[33]Actual &amp; Assumptions'!AV246</f>
        <v>-45</v>
      </c>
      <c r="AW66" s="152">
        <f>-'[33]Actual &amp; Assumptions'!AW246</f>
        <v>-45</v>
      </c>
      <c r="AX66" s="152">
        <f>-'[33]Actual &amp; Assumptions'!AX246</f>
        <v>-45</v>
      </c>
      <c r="AY66" s="152">
        <f>-'[33]Actual &amp; Assumptions'!AY246</f>
        <v>-45</v>
      </c>
      <c r="AZ66" s="152">
        <f>-'[33]Actual &amp; Assumptions'!AZ246</f>
        <v>-45</v>
      </c>
      <c r="BA66" s="152">
        <f>-'[33]Actual &amp; Assumptions'!BA246</f>
        <v>-45</v>
      </c>
      <c r="BB66" s="152">
        <f>-'[33]Actual &amp; Assumptions'!BB246</f>
        <v>-45</v>
      </c>
      <c r="BC66" s="152">
        <f>-'[33]Actual &amp; Assumptions'!BC246</f>
        <v>0</v>
      </c>
      <c r="BD66" s="152">
        <f>-'[33]Actual &amp; Assumptions'!BD246</f>
        <v>0</v>
      </c>
      <c r="BE66" s="152">
        <f>-'[33]Actual &amp; Assumptions'!BE246</f>
        <v>0</v>
      </c>
      <c r="BF66" s="152">
        <f>-'[33]Actual &amp; Assumptions'!BF246</f>
        <v>0</v>
      </c>
      <c r="BG66" s="152">
        <f>-'[33]Actual &amp; Assumptions'!BG246</f>
        <v>0</v>
      </c>
      <c r="BH66" s="152">
        <f>-'[33]Actual &amp; Assumptions'!BH246</f>
        <v>0</v>
      </c>
      <c r="BI66" s="152">
        <f>-'[33]Actual &amp; Assumptions'!BI246</f>
        <v>0</v>
      </c>
      <c r="BJ66" s="152">
        <f>-'[33]Actual &amp; Assumptions'!BJ246</f>
        <v>0</v>
      </c>
      <c r="BK66" s="152">
        <f>-'[33]Actual &amp; Assumptions'!BK246</f>
        <v>0</v>
      </c>
      <c r="BL66" s="152">
        <f>-'[33]Actual &amp; Assumptions'!BL246</f>
        <v>0</v>
      </c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</row>
    <row r="67" spans="1:272" s="222" customFormat="1" hidden="1" outlineLevel="1">
      <c r="A67" s="222" t="str">
        <f>'[33]Actual &amp; Assumptions'!A254</f>
        <v>Due To Related Parties Companies - ST</v>
      </c>
      <c r="C67" s="152">
        <f>-'[33]Actual &amp; Assumptions'!C255</f>
        <v>0</v>
      </c>
      <c r="D67" s="152">
        <f>-'[33]Actual &amp; Assumptions'!D255</f>
        <v>0</v>
      </c>
      <c r="E67" s="152">
        <f>-'[33]Actual &amp; Assumptions'!E255</f>
        <v>-221</v>
      </c>
      <c r="F67" s="152">
        <f>-'[33]Actual &amp; Assumptions'!F255</f>
        <v>-161</v>
      </c>
      <c r="G67" s="152">
        <f>-'[33]Actual &amp; Assumptions'!G255</f>
        <v>-161</v>
      </c>
      <c r="H67" s="152">
        <f>-'[33]Actual &amp; Assumptions'!H255</f>
        <v>-161</v>
      </c>
      <c r="I67" s="152">
        <f>-'[33]Actual &amp; Assumptions'!I255</f>
        <v>-161</v>
      </c>
      <c r="J67" s="152">
        <f>-'[33]Actual &amp; Assumptions'!J255</f>
        <v>-161</v>
      </c>
      <c r="K67" s="152">
        <f>-'[33]Actual &amp; Assumptions'!K255</f>
        <v>-161</v>
      </c>
      <c r="L67" s="152">
        <f>-'[33]Actual &amp; Assumptions'!L255</f>
        <v>-161</v>
      </c>
      <c r="M67" s="152">
        <f>-'[33]Actual &amp; Assumptions'!M255</f>
        <v>-161</v>
      </c>
      <c r="N67" s="152">
        <f>-'[33]Actual &amp; Assumptions'!N255</f>
        <v>-161</v>
      </c>
      <c r="O67" s="152">
        <f>-'[33]Actual &amp; Assumptions'!O255</f>
        <v>-161</v>
      </c>
      <c r="P67" s="152">
        <f>-'[33]Actual &amp; Assumptions'!P255</f>
        <v>-161</v>
      </c>
      <c r="Q67" s="152">
        <f>-'[33]Actual &amp; Assumptions'!Q255</f>
        <v>-161.00692000000001</v>
      </c>
      <c r="R67" s="152">
        <f>-'[33]Actual &amp; Assumptions'!R255</f>
        <v>-161.00692000000001</v>
      </c>
      <c r="S67" s="152">
        <f>-'[33]Actual &amp; Assumptions'!S255</f>
        <v>-161.00692000000001</v>
      </c>
      <c r="T67" s="152">
        <f>-'[33]Actual &amp; Assumptions'!T255</f>
        <v>-161</v>
      </c>
      <c r="U67" s="152">
        <f>T67</f>
        <v>-161</v>
      </c>
      <c r="V67" s="152">
        <f>-'[33]Actual &amp; Assumptions'!V255</f>
        <v>-161.00692000000001</v>
      </c>
      <c r="W67" s="152">
        <f>-'[33]Actual &amp; Assumptions'!W255</f>
        <v>-161.00692000000001</v>
      </c>
      <c r="X67" s="152">
        <f>-'[33]Actual &amp; Assumptions'!X255</f>
        <v>-161.00692000000001</v>
      </c>
      <c r="Y67" s="152">
        <f>-'[33]Actual &amp; Assumptions'!Y255</f>
        <v>-161.00692000000001</v>
      </c>
      <c r="Z67" s="152">
        <f>Y67</f>
        <v>-161.00692000000001</v>
      </c>
      <c r="AA67" s="152">
        <f>-'[33]Actual &amp; Assumptions'!AA255</f>
        <v>-161</v>
      </c>
      <c r="AB67" s="152">
        <f>-'[33]Actual &amp; Assumptions'!AB255</f>
        <v>-161</v>
      </c>
      <c r="AC67" s="152">
        <f>-'[33]Actual &amp; Assumptions'!AC255</f>
        <v>-161</v>
      </c>
      <c r="AD67" s="152">
        <f>-'[33]Actual &amp; Assumptions'!AD255</f>
        <v>-161</v>
      </c>
      <c r="AE67" s="152">
        <f>AD67</f>
        <v>-161</v>
      </c>
      <c r="AF67" s="152">
        <f>-'[33]Actual &amp; Assumptions'!AF255</f>
        <v>-161</v>
      </c>
      <c r="AG67" s="152">
        <f>-'[33]Actual &amp; Assumptions'!AG255</f>
        <v>-1410</v>
      </c>
      <c r="AH67" s="152">
        <f>-'[33]Actual &amp; Assumptions'!AH255</f>
        <v>-1591</v>
      </c>
      <c r="AI67" s="152">
        <f>-'[33]Actual &amp; Assumptions'!AI255</f>
        <v>-2103</v>
      </c>
      <c r="AJ67" s="152">
        <f>AI67</f>
        <v>-2103</v>
      </c>
      <c r="AK67" s="152">
        <f>-'[33]Actual &amp; Assumptions'!AK255</f>
        <v>-2529</v>
      </c>
      <c r="AL67" s="152">
        <f>-'[33]Actual &amp; Assumptions'!AL255</f>
        <v>-1111</v>
      </c>
      <c r="AM67" s="152">
        <f>-'[33]Actual &amp; Assumptions'!AM255</f>
        <v>-1087</v>
      </c>
      <c r="AN67" s="152">
        <f>-'[33]Actual &amp; Assumptions'!AN255</f>
        <v>-1086</v>
      </c>
      <c r="AO67" s="152">
        <f>AN67</f>
        <v>-1086</v>
      </c>
      <c r="AP67" s="152">
        <f>-'[33]Actual &amp; Assumptions'!AP255</f>
        <v>-1084</v>
      </c>
      <c r="AQ67" s="152">
        <f>-'[33]Actual &amp; Assumptions'!AQ255</f>
        <v>-1083</v>
      </c>
      <c r="AR67" s="152">
        <f>-'[33]Actual &amp; Assumptions'!AR255</f>
        <v>-1084</v>
      </c>
      <c r="AS67" s="152">
        <f>-'[33]Actual &amp; Assumptions'!AS255</f>
        <v>0</v>
      </c>
      <c r="AT67" s="152">
        <f>-'[33]Actual &amp; Assumptions'!AT255</f>
        <v>0</v>
      </c>
      <c r="AU67" s="152">
        <f>-'[33]Actual &amp; Assumptions'!AU255</f>
        <v>0</v>
      </c>
      <c r="AV67" s="152">
        <f>-'[33]Actual &amp; Assumptions'!AV255</f>
        <v>0</v>
      </c>
      <c r="AW67" s="152">
        <f>-'[33]Actual &amp; Assumptions'!AW255</f>
        <v>0</v>
      </c>
      <c r="AX67" s="152">
        <f>-'[33]Actual &amp; Assumptions'!AX255</f>
        <v>0</v>
      </c>
      <c r="AY67" s="152">
        <f>-'[33]Actual &amp; Assumptions'!AY255</f>
        <v>0</v>
      </c>
      <c r="AZ67" s="152">
        <f>-'[33]Actual &amp; Assumptions'!AZ255</f>
        <v>0</v>
      </c>
      <c r="BA67" s="152">
        <f>-'[33]Actual &amp; Assumptions'!BA255</f>
        <v>0</v>
      </c>
      <c r="BB67" s="152">
        <f>-'[33]Actual &amp; Assumptions'!BB255</f>
        <v>0</v>
      </c>
      <c r="BC67" s="152">
        <f>-'[33]Actual &amp; Assumptions'!BC255</f>
        <v>0</v>
      </c>
      <c r="BD67" s="152">
        <f>-'[33]Actual &amp; Assumptions'!BD255</f>
        <v>0</v>
      </c>
      <c r="BE67" s="152">
        <f>-'[33]Actual &amp; Assumptions'!BE255</f>
        <v>0</v>
      </c>
      <c r="BF67" s="152">
        <f>-'[33]Actual &amp; Assumptions'!BF255</f>
        <v>0</v>
      </c>
      <c r="BG67" s="152">
        <f>-'[33]Actual &amp; Assumptions'!BG255</f>
        <v>0</v>
      </c>
      <c r="BH67" s="152">
        <f>-'[33]Actual &amp; Assumptions'!BH255</f>
        <v>0</v>
      </c>
      <c r="BI67" s="152">
        <f>-'[33]Actual &amp; Assumptions'!BI255</f>
        <v>0</v>
      </c>
      <c r="BJ67" s="152">
        <f>-'[33]Actual &amp; Assumptions'!BJ255</f>
        <v>0</v>
      </c>
      <c r="BK67" s="152">
        <f>-'[33]Actual &amp; Assumptions'!BK255</f>
        <v>0</v>
      </c>
      <c r="BL67" s="152">
        <f>-'[33]Actual &amp; Assumptions'!BL255</f>
        <v>0</v>
      </c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</row>
    <row r="68" spans="1:272" s="222" customFormat="1" hidden="1" outlineLevel="1">
      <c r="A68" s="230" t="s">
        <v>390</v>
      </c>
      <c r="B68" s="230"/>
      <c r="C68" s="231">
        <f>SUM(C58:C67)</f>
        <v>-66379</v>
      </c>
      <c r="D68" s="231">
        <f>SUM(D58:D67)</f>
        <v>-100573</v>
      </c>
      <c r="E68" s="231">
        <f t="shared" ref="E68:BA68" si="47">SUM(E58:E67)</f>
        <v>-222205</v>
      </c>
      <c r="F68" s="231">
        <f t="shared" si="47"/>
        <v>-207142</v>
      </c>
      <c r="G68" s="231">
        <f t="shared" si="47"/>
        <v>-230845</v>
      </c>
      <c r="H68" s="231">
        <f t="shared" si="47"/>
        <v>-248826</v>
      </c>
      <c r="I68" s="231">
        <f t="shared" si="47"/>
        <v>-228564</v>
      </c>
      <c r="J68" s="231">
        <f>SUM(J58:J67)</f>
        <v>-260581</v>
      </c>
      <c r="K68" s="231">
        <f t="shared" si="47"/>
        <v>-241706</v>
      </c>
      <c r="L68" s="231">
        <f t="shared" si="47"/>
        <v>-270688</v>
      </c>
      <c r="M68" s="231">
        <f t="shared" si="47"/>
        <v>-272090</v>
      </c>
      <c r="N68" s="231">
        <f t="shared" si="47"/>
        <v>-278218</v>
      </c>
      <c r="O68" s="231">
        <f t="shared" si="47"/>
        <v>-279009</v>
      </c>
      <c r="P68" s="231">
        <f t="shared" si="47"/>
        <v>-279008</v>
      </c>
      <c r="Q68" s="231">
        <f t="shared" si="47"/>
        <v>-288064.51577999996</v>
      </c>
      <c r="R68" s="231">
        <f t="shared" si="47"/>
        <v>-309413.00692000001</v>
      </c>
      <c r="S68" s="231">
        <f t="shared" si="47"/>
        <v>-309223.00692000001</v>
      </c>
      <c r="T68" s="231">
        <f t="shared" si="47"/>
        <v>-330637</v>
      </c>
      <c r="U68" s="231">
        <f t="shared" si="47"/>
        <v>-330637</v>
      </c>
      <c r="V68" s="231">
        <f t="shared" si="47"/>
        <v>-302302.00692000001</v>
      </c>
      <c r="W68" s="231">
        <f t="shared" si="47"/>
        <v>-339121.00692000001</v>
      </c>
      <c r="X68" s="231">
        <f t="shared" si="47"/>
        <v>-373313.40914</v>
      </c>
      <c r="Y68" s="231">
        <f t="shared" si="47"/>
        <v>-309345.52753999998</v>
      </c>
      <c r="Z68" s="231">
        <f t="shared" si="47"/>
        <v>-309345.52753999998</v>
      </c>
      <c r="AA68" s="231">
        <f t="shared" si="47"/>
        <v>-248008</v>
      </c>
      <c r="AB68" s="231">
        <f t="shared" si="47"/>
        <v>-243093</v>
      </c>
      <c r="AC68" s="231">
        <f t="shared" si="47"/>
        <v>-244289</v>
      </c>
      <c r="AD68" s="231">
        <f>SUM(AD58:AD67)</f>
        <v>-264843.73661000002</v>
      </c>
      <c r="AE68" s="231">
        <f t="shared" si="47"/>
        <v>-264843.73661000002</v>
      </c>
      <c r="AF68" s="231">
        <f t="shared" si="47"/>
        <v>-261303</v>
      </c>
      <c r="AG68" s="231">
        <f t="shared" si="47"/>
        <v>-276223</v>
      </c>
      <c r="AH68" s="231">
        <f t="shared" si="47"/>
        <v>-316027.93200000003</v>
      </c>
      <c r="AI68" s="231">
        <f t="shared" si="47"/>
        <v>-320267</v>
      </c>
      <c r="AJ68" s="231">
        <f t="shared" si="47"/>
        <v>-320267</v>
      </c>
      <c r="AK68" s="231">
        <f t="shared" si="47"/>
        <v>-316328</v>
      </c>
      <c r="AL68" s="231">
        <f t="shared" si="47"/>
        <v>-304698</v>
      </c>
      <c r="AM68" s="231">
        <f t="shared" si="47"/>
        <v>-319861</v>
      </c>
      <c r="AN68" s="231">
        <f t="shared" si="47"/>
        <v>-324230</v>
      </c>
      <c r="AO68" s="231">
        <f t="shared" si="47"/>
        <v>-324230</v>
      </c>
      <c r="AP68" s="231">
        <f t="shared" si="47"/>
        <v>-339044</v>
      </c>
      <c r="AQ68" s="231">
        <f t="shared" si="47"/>
        <v>-346349</v>
      </c>
      <c r="AR68" s="231">
        <f t="shared" si="47"/>
        <v>-342715</v>
      </c>
      <c r="AS68" s="231">
        <f t="shared" si="47"/>
        <v>-340748.72750814998</v>
      </c>
      <c r="AT68" s="231">
        <f t="shared" si="47"/>
        <v>-340748.72750814998</v>
      </c>
      <c r="AU68" s="231">
        <f t="shared" si="47"/>
        <v>-383269.16166915989</v>
      </c>
      <c r="AV68" s="231">
        <f t="shared" si="47"/>
        <v>-363755.18959582661</v>
      </c>
      <c r="AW68" s="231">
        <f t="shared" si="47"/>
        <v>-343269.02473399695</v>
      </c>
      <c r="AX68" s="231">
        <f t="shared" si="47"/>
        <v>-346471.99055191659</v>
      </c>
      <c r="AY68" s="231">
        <f t="shared" si="47"/>
        <v>-346471.99055191659</v>
      </c>
      <c r="AZ68" s="231">
        <f t="shared" si="47"/>
        <v>-352612.34319015389</v>
      </c>
      <c r="BA68" s="231">
        <f t="shared" si="47"/>
        <v>-358923.04842074751</v>
      </c>
      <c r="BB68" s="231">
        <f>SUM(BB58:BB67)</f>
        <v>-364966.9470180404</v>
      </c>
      <c r="BC68" s="231">
        <f>SUM(BC58:BC67)</f>
        <v>-366545.86615646933</v>
      </c>
      <c r="BD68" s="231">
        <f t="shared" ref="BD68:BL68" si="48">SUM(BD58:BD67)</f>
        <v>-368089.86127603613</v>
      </c>
      <c r="BE68" s="231">
        <f t="shared" si="48"/>
        <v>-370910.23313938279</v>
      </c>
      <c r="BF68" s="231">
        <f t="shared" si="48"/>
        <v>-377481.18992388051</v>
      </c>
      <c r="BG68" s="231">
        <f t="shared" si="48"/>
        <v>-381768.97313064645</v>
      </c>
      <c r="BH68" s="231">
        <f t="shared" si="48"/>
        <v>-390241.47925651027</v>
      </c>
      <c r="BI68" s="231">
        <f t="shared" si="48"/>
        <v>-404400.26255109248</v>
      </c>
      <c r="BJ68" s="231">
        <f t="shared" si="48"/>
        <v>-414561.50907622563</v>
      </c>
      <c r="BK68" s="231">
        <f t="shared" si="48"/>
        <v>-428256.5484681477</v>
      </c>
      <c r="BL68" s="231">
        <f t="shared" si="48"/>
        <v>-442881.1961313822</v>
      </c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</row>
    <row r="69" spans="1:272" s="222" customFormat="1" hidden="1" outlineLevel="1">
      <c r="A69" s="230" t="s">
        <v>391</v>
      </c>
      <c r="B69" s="230"/>
      <c r="C69" s="231">
        <f>C57+C68</f>
        <v>12698</v>
      </c>
      <c r="D69" s="231">
        <f>D57+D68</f>
        <v>47797</v>
      </c>
      <c r="E69" s="231">
        <f t="shared" ref="E69:BA69" si="49">E57+E68</f>
        <v>37205</v>
      </c>
      <c r="F69" s="231">
        <f t="shared" si="49"/>
        <v>46477</v>
      </c>
      <c r="G69" s="231">
        <f t="shared" si="49"/>
        <v>39808</v>
      </c>
      <c r="H69" s="231">
        <f t="shared" si="49"/>
        <v>60468.714999999967</v>
      </c>
      <c r="I69" s="231">
        <f t="shared" si="49"/>
        <v>29796</v>
      </c>
      <c r="J69" s="231">
        <f t="shared" si="49"/>
        <v>21397</v>
      </c>
      <c r="K69" s="231">
        <f t="shared" si="49"/>
        <v>23007</v>
      </c>
      <c r="L69" s="231">
        <f>L57+L68</f>
        <v>23536</v>
      </c>
      <c r="M69" s="231">
        <f>M57+M68</f>
        <v>27356</v>
      </c>
      <c r="N69" s="231">
        <f>N57+N68</f>
        <v>33128</v>
      </c>
      <c r="O69" s="231">
        <f>O57+O68</f>
        <v>38365</v>
      </c>
      <c r="P69" s="231">
        <f>P57+P68</f>
        <v>38366</v>
      </c>
      <c r="Q69" s="231">
        <f t="shared" si="49"/>
        <v>45161.549330000009</v>
      </c>
      <c r="R69" s="231">
        <f t="shared" si="49"/>
        <v>45965.993079999986</v>
      </c>
      <c r="S69" s="231">
        <f t="shared" si="49"/>
        <v>47905.993079999986</v>
      </c>
      <c r="T69" s="231">
        <f t="shared" si="49"/>
        <v>56715</v>
      </c>
      <c r="U69" s="231">
        <f t="shared" si="49"/>
        <v>56715</v>
      </c>
      <c r="V69" s="231">
        <f t="shared" si="49"/>
        <v>69799.993079999986</v>
      </c>
      <c r="W69" s="231">
        <f t="shared" si="49"/>
        <v>70674.993079999986</v>
      </c>
      <c r="X69" s="231">
        <f t="shared" si="49"/>
        <v>72592.590859999997</v>
      </c>
      <c r="Y69" s="231">
        <f t="shared" si="49"/>
        <v>59016.845559999987</v>
      </c>
      <c r="Z69" s="231">
        <f t="shared" si="49"/>
        <v>59016.845559999987</v>
      </c>
      <c r="AA69" s="231">
        <f t="shared" si="49"/>
        <v>57558</v>
      </c>
      <c r="AB69" s="231">
        <f t="shared" si="49"/>
        <v>51323</v>
      </c>
      <c r="AC69" s="231">
        <f t="shared" si="49"/>
        <v>50189</v>
      </c>
      <c r="AD69" s="231">
        <f t="shared" si="49"/>
        <v>57631.224489999993</v>
      </c>
      <c r="AE69" s="231">
        <f t="shared" si="49"/>
        <v>57631.224489999993</v>
      </c>
      <c r="AF69" s="231">
        <f t="shared" si="49"/>
        <v>51861.392855479673</v>
      </c>
      <c r="AG69" s="231">
        <f t="shared" si="49"/>
        <v>45160.721985479642</v>
      </c>
      <c r="AH69" s="231">
        <f t="shared" si="49"/>
        <v>20889.974125479639</v>
      </c>
      <c r="AI69" s="231">
        <f t="shared" si="49"/>
        <v>9101.974125479639</v>
      </c>
      <c r="AJ69" s="231">
        <f t="shared" si="49"/>
        <v>9101.974125479639</v>
      </c>
      <c r="AK69" s="231">
        <f t="shared" si="49"/>
        <v>-48659</v>
      </c>
      <c r="AL69" s="231">
        <f t="shared" si="49"/>
        <v>-52902</v>
      </c>
      <c r="AM69" s="231">
        <f t="shared" si="49"/>
        <v>-62723</v>
      </c>
      <c r="AN69" s="231">
        <f t="shared" si="49"/>
        <v>-78138.854574520316</v>
      </c>
      <c r="AO69" s="231">
        <f t="shared" si="49"/>
        <v>-78138.854574520316</v>
      </c>
      <c r="AP69" s="231">
        <f t="shared" si="49"/>
        <v>-79569.23980982072</v>
      </c>
      <c r="AQ69" s="231">
        <f t="shared" si="49"/>
        <v>-77611</v>
      </c>
      <c r="AR69" s="231">
        <f t="shared" si="49"/>
        <v>-79832.807805307209</v>
      </c>
      <c r="AS69" s="231">
        <f t="shared" si="49"/>
        <v>-92195.284059207188</v>
      </c>
      <c r="AT69" s="231">
        <f>AT57+AT68</f>
        <v>-92195.284059207188</v>
      </c>
      <c r="AU69" s="231">
        <f t="shared" ref="AU69:AY69" si="50">AU57+AU68</f>
        <v>-93357.064269159979</v>
      </c>
      <c r="AV69" s="231">
        <f t="shared" si="50"/>
        <v>-93139.718435826653</v>
      </c>
      <c r="AW69" s="231">
        <f t="shared" si="50"/>
        <v>-92892.071627330297</v>
      </c>
      <c r="AX69" s="231">
        <f t="shared" si="50"/>
        <v>-90660.048214580282</v>
      </c>
      <c r="AY69" s="231">
        <f t="shared" si="50"/>
        <v>-90660.048214580282</v>
      </c>
      <c r="AZ69" s="231">
        <f t="shared" si="49"/>
        <v>-75827.105305154924</v>
      </c>
      <c r="BA69" s="231">
        <f t="shared" si="49"/>
        <v>-56874.969041626027</v>
      </c>
      <c r="BB69" s="231">
        <f>BB57+BB68</f>
        <v>-31815.936192478577</v>
      </c>
      <c r="BC69" s="231">
        <f>BC57+BC68</f>
        <v>360.73659893369768</v>
      </c>
      <c r="BD69" s="231">
        <f t="shared" ref="BD69:BL69" si="51">BD57+BD68</f>
        <v>38207.326436909731</v>
      </c>
      <c r="BE69" s="231">
        <f t="shared" si="51"/>
        <v>68902.870639904926</v>
      </c>
      <c r="BF69" s="231">
        <f t="shared" si="51"/>
        <v>91674.58079942601</v>
      </c>
      <c r="BG69" s="231">
        <f t="shared" si="51"/>
        <v>111500.08958984236</v>
      </c>
      <c r="BH69" s="231">
        <f t="shared" si="51"/>
        <v>130696.83030528162</v>
      </c>
      <c r="BI69" s="231">
        <f t="shared" si="51"/>
        <v>150707.29114127374</v>
      </c>
      <c r="BJ69" s="231">
        <f t="shared" si="51"/>
        <v>173071.50747532683</v>
      </c>
      <c r="BK69" s="231">
        <f t="shared" si="51"/>
        <v>197294.57461145701</v>
      </c>
      <c r="BL69" s="231">
        <f t="shared" si="51"/>
        <v>223886.26602309645</v>
      </c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</row>
    <row r="70" spans="1:272" s="222" customFormat="1" hidden="1" outlineLevel="1">
      <c r="A70" s="232" t="s">
        <v>392</v>
      </c>
      <c r="B70" s="232"/>
      <c r="C70" s="233">
        <f>C48+C69</f>
        <v>15288</v>
      </c>
      <c r="D70" s="233">
        <f>D48+D69</f>
        <v>52583</v>
      </c>
      <c r="E70" s="233">
        <f t="shared" ref="E70:BA70" si="52">E48+E69</f>
        <v>43704</v>
      </c>
      <c r="F70" s="233">
        <f t="shared" si="52"/>
        <v>53020</v>
      </c>
      <c r="G70" s="233">
        <f t="shared" si="52"/>
        <v>44813</v>
      </c>
      <c r="H70" s="233">
        <f t="shared" si="52"/>
        <v>64565.714999999967</v>
      </c>
      <c r="I70" s="233">
        <f t="shared" si="52"/>
        <v>33203</v>
      </c>
      <c r="J70" s="233">
        <f t="shared" si="52"/>
        <v>31623</v>
      </c>
      <c r="K70" s="233">
        <f t="shared" si="52"/>
        <v>32907</v>
      </c>
      <c r="L70" s="233">
        <f>L48+L69</f>
        <v>33472</v>
      </c>
      <c r="M70" s="233">
        <f>M48+M69</f>
        <v>37626</v>
      </c>
      <c r="N70" s="233">
        <f>N48+N69</f>
        <v>43340</v>
      </c>
      <c r="O70" s="233">
        <f>O48+O69</f>
        <v>41423</v>
      </c>
      <c r="P70" s="233">
        <f>P48+P69</f>
        <v>41425</v>
      </c>
      <c r="Q70" s="233">
        <f t="shared" si="52"/>
        <v>48144.949510000006</v>
      </c>
      <c r="R70" s="233">
        <f t="shared" si="52"/>
        <v>49435.993079999986</v>
      </c>
      <c r="S70" s="233">
        <f t="shared" si="52"/>
        <v>51206.993079999986</v>
      </c>
      <c r="T70" s="233">
        <f t="shared" si="52"/>
        <v>59862</v>
      </c>
      <c r="U70" s="233">
        <f t="shared" si="52"/>
        <v>59862</v>
      </c>
      <c r="V70" s="233">
        <f t="shared" si="52"/>
        <v>72844.993079999986</v>
      </c>
      <c r="W70" s="233">
        <f t="shared" si="52"/>
        <v>73650.993079999986</v>
      </c>
      <c r="X70" s="233">
        <f t="shared" si="52"/>
        <v>75451.590859999997</v>
      </c>
      <c r="Y70" s="233">
        <f t="shared" si="52"/>
        <v>63600.537199999984</v>
      </c>
      <c r="Z70" s="233">
        <f t="shared" si="52"/>
        <v>63600.537199999984</v>
      </c>
      <c r="AA70" s="233">
        <f t="shared" si="52"/>
        <v>62064</v>
      </c>
      <c r="AB70" s="233">
        <f t="shared" si="52"/>
        <v>60089</v>
      </c>
      <c r="AC70" s="233">
        <f t="shared" si="52"/>
        <v>59213</v>
      </c>
      <c r="AD70" s="233">
        <f t="shared" si="52"/>
        <v>62212.935349999992</v>
      </c>
      <c r="AE70" s="233">
        <f t="shared" si="52"/>
        <v>62212.935349999992</v>
      </c>
      <c r="AF70" s="233">
        <f t="shared" si="52"/>
        <v>56288.392855479673</v>
      </c>
      <c r="AG70" s="233">
        <f t="shared" si="52"/>
        <v>49456.721985479642</v>
      </c>
      <c r="AH70" s="233">
        <f t="shared" si="52"/>
        <v>25070.974125479639</v>
      </c>
      <c r="AI70" s="233">
        <f t="shared" si="52"/>
        <v>13195.974125479639</v>
      </c>
      <c r="AJ70" s="233">
        <f t="shared" si="52"/>
        <v>13195.974125479639</v>
      </c>
      <c r="AK70" s="233">
        <f t="shared" si="52"/>
        <v>-39980</v>
      </c>
      <c r="AL70" s="233">
        <f t="shared" si="52"/>
        <v>-46064</v>
      </c>
      <c r="AM70" s="233">
        <f t="shared" si="52"/>
        <v>-56154</v>
      </c>
      <c r="AN70" s="233">
        <f t="shared" si="52"/>
        <v>-73366.141874520312</v>
      </c>
      <c r="AO70" s="233">
        <f t="shared" si="52"/>
        <v>-73366.141874520312</v>
      </c>
      <c r="AP70" s="233">
        <f t="shared" si="52"/>
        <v>-75022.630129820725</v>
      </c>
      <c r="AQ70" s="233">
        <f t="shared" si="52"/>
        <v>-73340.390320000006</v>
      </c>
      <c r="AR70" s="233">
        <f t="shared" si="52"/>
        <v>-74370.187017627206</v>
      </c>
      <c r="AS70" s="233">
        <f t="shared" si="52"/>
        <v>-87009.046311527185</v>
      </c>
      <c r="AT70" s="233">
        <f t="shared" si="52"/>
        <v>-87009.046311527185</v>
      </c>
      <c r="AU70" s="233">
        <f t="shared" si="52"/>
        <v>-88120.206288193862</v>
      </c>
      <c r="AV70" s="233">
        <f t="shared" si="52"/>
        <v>-87902.860454860536</v>
      </c>
      <c r="AW70" s="233">
        <f t="shared" si="52"/>
        <v>-87608.902981527179</v>
      </c>
      <c r="AX70" s="233">
        <f t="shared" si="52"/>
        <v>-85376.879568777164</v>
      </c>
      <c r="AY70" s="233">
        <f t="shared" si="52"/>
        <v>-85376.879568777164</v>
      </c>
      <c r="AZ70" s="233">
        <f t="shared" si="52"/>
        <v>-70472.825134066006</v>
      </c>
      <c r="BA70" s="233">
        <f t="shared" si="52"/>
        <v>-51462.600831524003</v>
      </c>
      <c r="BB70" s="233">
        <f>BB48+BB69</f>
        <v>-26294.740992092164</v>
      </c>
      <c r="BC70" s="233">
        <f>BC48+BC69</f>
        <v>6021.3953010986934</v>
      </c>
      <c r="BD70" s="233">
        <f t="shared" ref="BD70:BL70" si="53">BD48+BD69</f>
        <v>43984.036884648856</v>
      </c>
      <c r="BE70" s="233">
        <f t="shared" si="53"/>
        <v>74776.988566193482</v>
      </c>
      <c r="BF70" s="233">
        <f t="shared" si="53"/>
        <v>97631.277546203972</v>
      </c>
      <c r="BG70" s="233">
        <f t="shared" si="53"/>
        <v>117527.59063457703</v>
      </c>
      <c r="BH70" s="233">
        <f t="shared" si="53"/>
        <v>136785.80611353659</v>
      </c>
      <c r="BI70" s="233">
        <f t="shared" si="53"/>
        <v>156850.36988067784</v>
      </c>
      <c r="BJ70" s="233">
        <f t="shared" si="53"/>
        <v>179262.88521926943</v>
      </c>
      <c r="BK70" s="233">
        <f t="shared" si="53"/>
        <v>203529.70353518237</v>
      </c>
      <c r="BL70" s="233">
        <f t="shared" si="53"/>
        <v>230161.60499434688</v>
      </c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</row>
    <row r="71" spans="1:272" s="222" customFormat="1" hidden="1" outlineLevel="1">
      <c r="A71" s="222" t="str">
        <f>'[33]Actual &amp; Assumptions'!A258</f>
        <v>Paid In Capital</v>
      </c>
      <c r="C71" s="152">
        <f>-'[33]Actual &amp; Assumptions'!C259</f>
        <v>-3000</v>
      </c>
      <c r="D71" s="152">
        <f>-'[33]Actual &amp; Assumptions'!D259</f>
        <v>-7000</v>
      </c>
      <c r="E71" s="152">
        <f>-'[33]Actual &amp; Assumptions'!E259</f>
        <v>-7000</v>
      </c>
      <c r="F71" s="152">
        <f>-'[33]Actual &amp; Assumptions'!F259</f>
        <v>-7000</v>
      </c>
      <c r="G71" s="152">
        <f>-'[33]Actual &amp; Assumptions'!G259</f>
        <v>-7000</v>
      </c>
      <c r="H71" s="152">
        <f>-'[33]Actual &amp; Assumptions'!H259</f>
        <v>-7000</v>
      </c>
      <c r="I71" s="152">
        <f>-'[33]Actual &amp; Assumptions'!I259</f>
        <v>-7000</v>
      </c>
      <c r="J71" s="152">
        <f>-'[33]Actual &amp; Assumptions'!J259</f>
        <v>-7000</v>
      </c>
      <c r="K71" s="152">
        <f>-'[33]Actual &amp; Assumptions'!K259</f>
        <v>-7000</v>
      </c>
      <c r="L71" s="152">
        <f>-'[33]Actual &amp; Assumptions'!L259</f>
        <v>-7000</v>
      </c>
      <c r="M71" s="152">
        <f>-'[33]Actual &amp; Assumptions'!M259</f>
        <v>-7000</v>
      </c>
      <c r="N71" s="152">
        <f>-'[33]Actual &amp; Assumptions'!N259</f>
        <v>-7000</v>
      </c>
      <c r="O71" s="152">
        <f>-'[33]Actual &amp; Assumptions'!O259</f>
        <v>-7000</v>
      </c>
      <c r="P71" s="152">
        <f t="shared" ref="P71:P76" si="54">O71</f>
        <v>-7000</v>
      </c>
      <c r="Q71" s="152">
        <f>-'[33]Actual &amp; Assumptions'!Q259</f>
        <v>-7000</v>
      </c>
      <c r="R71" s="152">
        <f>-'[33]Actual &amp; Assumptions'!R259</f>
        <v>-7000</v>
      </c>
      <c r="S71" s="152">
        <f>-'[33]Actual &amp; Assumptions'!S259</f>
        <v>-7000</v>
      </c>
      <c r="T71" s="152">
        <f>-'[33]Actual &amp; Assumptions'!T259</f>
        <v>-7000</v>
      </c>
      <c r="U71" s="152">
        <f>T71</f>
        <v>-7000</v>
      </c>
      <c r="V71" s="152">
        <f>-'[33]Actual &amp; Assumptions'!V259</f>
        <v>-7000</v>
      </c>
      <c r="W71" s="152">
        <f>-'[33]Actual &amp; Assumptions'!W259</f>
        <v>-7000</v>
      </c>
      <c r="X71" s="152">
        <f>-'[33]Actual &amp; Assumptions'!X259</f>
        <v>-7000</v>
      </c>
      <c r="Y71" s="152">
        <f>-'[33]Actual &amp; Assumptions'!Y259</f>
        <v>-7000</v>
      </c>
      <c r="Z71" s="152">
        <f>Y71</f>
        <v>-7000</v>
      </c>
      <c r="AA71" s="152">
        <f>-'[33]Actual &amp; Assumptions'!AA259</f>
        <v>-7000</v>
      </c>
      <c r="AB71" s="152">
        <f>-'[33]Actual &amp; Assumptions'!AB259</f>
        <v>-7000</v>
      </c>
      <c r="AC71" s="152">
        <f>-'[33]Actual &amp; Assumptions'!AC259</f>
        <v>-7000</v>
      </c>
      <c r="AD71" s="152">
        <f>-'[33]Actual &amp; Assumptions'!AD259</f>
        <v>-7000</v>
      </c>
      <c r="AE71" s="152">
        <f>AD71</f>
        <v>-7000</v>
      </c>
      <c r="AF71" s="152">
        <f>-'[33]Actual &amp; Assumptions'!AF259</f>
        <v>-7000</v>
      </c>
      <c r="AG71" s="152">
        <f>-'[33]Actual &amp; Assumptions'!AG259</f>
        <v>-7000</v>
      </c>
      <c r="AH71" s="152">
        <f>-'[33]Actual &amp; Assumptions'!AH259</f>
        <v>-7000</v>
      </c>
      <c r="AI71" s="152">
        <f>-'[33]Actual &amp; Assumptions'!AI259</f>
        <v>-7000</v>
      </c>
      <c r="AJ71" s="152">
        <f>AI71</f>
        <v>-7000</v>
      </c>
      <c r="AK71" s="152">
        <f>-'[33]Actual &amp; Assumptions'!AK259</f>
        <v>-7000</v>
      </c>
      <c r="AL71" s="152">
        <f>-'[33]Actual &amp; Assumptions'!AL259</f>
        <v>-7000</v>
      </c>
      <c r="AM71" s="152">
        <f>-'[33]Actual &amp; Assumptions'!AM259</f>
        <v>-7000</v>
      </c>
      <c r="AN71" s="152">
        <f>-'[33]Actual &amp; Assumptions'!AN259</f>
        <v>-7000</v>
      </c>
      <c r="AO71" s="152">
        <f>AN71</f>
        <v>-7000</v>
      </c>
      <c r="AP71" s="152">
        <f>-'[33]Actual &amp; Assumptions'!AP259</f>
        <v>-7000</v>
      </c>
      <c r="AQ71" s="152">
        <f>-'[33]Actual &amp; Assumptions'!AQ259</f>
        <v>-7000</v>
      </c>
      <c r="AR71" s="152">
        <f>-'[33]Actual &amp; Assumptions'!AR259</f>
        <v>-7000</v>
      </c>
      <c r="AS71" s="152">
        <f>-'[33]Actual &amp; Assumptions'!AS259</f>
        <v>-7000</v>
      </c>
      <c r="AT71" s="152">
        <f t="shared" ref="AT71:AT78" si="55">AS71</f>
        <v>-7000</v>
      </c>
      <c r="AU71" s="152">
        <f>-'[33]Actual &amp; Assumptions'!AU259</f>
        <v>-7000</v>
      </c>
      <c r="AV71" s="152">
        <f>-'[33]Actual &amp; Assumptions'!AV259</f>
        <v>-7000</v>
      </c>
      <c r="AW71" s="152">
        <f>-'[33]Actual &amp; Assumptions'!AW259</f>
        <v>-7000</v>
      </c>
      <c r="AX71" s="152">
        <f>-'[33]Actual &amp; Assumptions'!AX259</f>
        <v>-7000</v>
      </c>
      <c r="AY71" s="152">
        <f t="shared" ref="AY71:AY78" si="56">AX71</f>
        <v>-7000</v>
      </c>
      <c r="AZ71" s="152">
        <f>-'[33]Actual &amp; Assumptions'!AZ259</f>
        <v>-7000</v>
      </c>
      <c r="BA71" s="152">
        <f>-'[33]Actual &amp; Assumptions'!BA259</f>
        <v>-7000</v>
      </c>
      <c r="BB71" s="152">
        <f>-'[33]Actual &amp; Assumptions'!BB259</f>
        <v>-7000</v>
      </c>
      <c r="BC71" s="152">
        <f>-'[33]Actual &amp; Assumptions'!BC259</f>
        <v>-7000</v>
      </c>
      <c r="BD71" s="152">
        <f>-'[33]Actual &amp; Assumptions'!BD259</f>
        <v>-7000</v>
      </c>
      <c r="BE71" s="152">
        <f>-'[33]Actual &amp; Assumptions'!BE259</f>
        <v>-7000</v>
      </c>
      <c r="BF71" s="152">
        <f>-'[33]Actual &amp; Assumptions'!BF259</f>
        <v>-7000</v>
      </c>
      <c r="BG71" s="152">
        <f>-'[33]Actual &amp; Assumptions'!BG259</f>
        <v>-7000</v>
      </c>
      <c r="BH71" s="152">
        <f>-'[33]Actual &amp; Assumptions'!BH259</f>
        <v>-7000</v>
      </c>
      <c r="BI71" s="152">
        <f>-'[33]Actual &amp; Assumptions'!BI259</f>
        <v>-7000</v>
      </c>
      <c r="BJ71" s="152">
        <f>-'[33]Actual &amp; Assumptions'!BJ259</f>
        <v>-7000</v>
      </c>
      <c r="BK71" s="152">
        <f>-'[33]Actual &amp; Assumptions'!BK259</f>
        <v>-7000</v>
      </c>
      <c r="BL71" s="152">
        <f>-'[33]Actual &amp; Assumptions'!BL259</f>
        <v>-7000</v>
      </c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</row>
    <row r="72" spans="1:272" s="222" customFormat="1" hidden="1" outlineLevel="1">
      <c r="A72" s="222" t="str">
        <f>'[33]Actual &amp; Assumptions'!A264</f>
        <v>Paid Under Capital Increase</v>
      </c>
      <c r="C72" s="152">
        <f>-'[33]Actual &amp; Assumptions'!C265</f>
        <v>-4000</v>
      </c>
      <c r="D72" s="152">
        <f>-'[33]Actual &amp; Assumptions'!D265</f>
        <v>0</v>
      </c>
      <c r="E72" s="152">
        <f>-'[33]Actual &amp; Assumptions'!E265</f>
        <v>0</v>
      </c>
      <c r="F72" s="152">
        <f>-'[33]Actual &amp; Assumptions'!F265</f>
        <v>0</v>
      </c>
      <c r="G72" s="152">
        <f>-'[33]Actual &amp; Assumptions'!G265</f>
        <v>0</v>
      </c>
      <c r="H72" s="152">
        <f>-'[33]Actual &amp; Assumptions'!H265</f>
        <v>0</v>
      </c>
      <c r="I72" s="152">
        <f>-'[33]Actual &amp; Assumptions'!I265</f>
        <v>0</v>
      </c>
      <c r="J72" s="152">
        <f>-'[33]Actual &amp; Assumptions'!J265</f>
        <v>0</v>
      </c>
      <c r="K72" s="152">
        <f>-'[33]Actual &amp; Assumptions'!K265</f>
        <v>0</v>
      </c>
      <c r="L72" s="152">
        <f>-'[33]Actual &amp; Assumptions'!L265</f>
        <v>0</v>
      </c>
      <c r="M72" s="152">
        <f>-'[33]Actual &amp; Assumptions'!M265</f>
        <v>0</v>
      </c>
      <c r="N72" s="152">
        <f>-'[33]Actual &amp; Assumptions'!N265</f>
        <v>0</v>
      </c>
      <c r="O72" s="152">
        <f>-'[33]Actual &amp; Assumptions'!O265</f>
        <v>0</v>
      </c>
      <c r="P72" s="152">
        <f t="shared" si="54"/>
        <v>0</v>
      </c>
      <c r="Q72" s="152">
        <f>-'[33]Actual &amp; Assumptions'!Q265</f>
        <v>0</v>
      </c>
      <c r="R72" s="152">
        <f>-'[33]Actual &amp; Assumptions'!R265</f>
        <v>0</v>
      </c>
      <c r="S72" s="152">
        <f>-'[33]Actual &amp; Assumptions'!S265</f>
        <v>0</v>
      </c>
      <c r="T72" s="152">
        <f>-'[33]Actual &amp; Assumptions'!T265</f>
        <v>0</v>
      </c>
      <c r="U72" s="152">
        <f>T72</f>
        <v>0</v>
      </c>
      <c r="V72" s="152">
        <f>-'[33]Actual &amp; Assumptions'!V265</f>
        <v>0</v>
      </c>
      <c r="W72" s="152">
        <f>-'[33]Actual &amp; Assumptions'!W265</f>
        <v>0</v>
      </c>
      <c r="X72" s="152">
        <f>-'[33]Actual &amp; Assumptions'!X265</f>
        <v>0</v>
      </c>
      <c r="Y72" s="152">
        <f>-'[33]Actual &amp; Assumptions'!Y265</f>
        <v>0</v>
      </c>
      <c r="Z72" s="152">
        <f>Y72</f>
        <v>0</v>
      </c>
      <c r="AA72" s="152">
        <f>-'[33]Actual &amp; Assumptions'!AA265</f>
        <v>0</v>
      </c>
      <c r="AB72" s="152">
        <f>-'[33]Actual &amp; Assumptions'!AB265</f>
        <v>0</v>
      </c>
      <c r="AC72" s="152">
        <f>-'[33]Actual &amp; Assumptions'!AC265</f>
        <v>0</v>
      </c>
      <c r="AD72" s="152">
        <f>-'[33]Actual &amp; Assumptions'!AD265</f>
        <v>0</v>
      </c>
      <c r="AE72" s="152">
        <f>AD72</f>
        <v>0</v>
      </c>
      <c r="AF72" s="152">
        <f>-'[33]Actual &amp; Assumptions'!AF265</f>
        <v>0</v>
      </c>
      <c r="AG72" s="152">
        <f>-'[33]Actual &amp; Assumptions'!AG265</f>
        <v>0</v>
      </c>
      <c r="AH72" s="152">
        <f>-'[33]Actual &amp; Assumptions'!AH265</f>
        <v>0</v>
      </c>
      <c r="AI72" s="152">
        <f>-'[33]Actual &amp; Assumptions'!AI265</f>
        <v>0</v>
      </c>
      <c r="AJ72" s="152">
        <f>AI72</f>
        <v>0</v>
      </c>
      <c r="AK72" s="152">
        <f>-'[33]Actual &amp; Assumptions'!AK265</f>
        <v>0</v>
      </c>
      <c r="AL72" s="152">
        <f>-'[33]Actual &amp; Assumptions'!AL265</f>
        <v>0</v>
      </c>
      <c r="AM72" s="152">
        <f>-'[33]Actual &amp; Assumptions'!AM265</f>
        <v>0</v>
      </c>
      <c r="AN72" s="152">
        <f>-'[33]Actual &amp; Assumptions'!AN265</f>
        <v>0</v>
      </c>
      <c r="AO72" s="152">
        <f>AN72</f>
        <v>0</v>
      </c>
      <c r="AP72" s="152">
        <f>-'[33]Actual &amp; Assumptions'!AP265</f>
        <v>0</v>
      </c>
      <c r="AQ72" s="152">
        <f>-'[33]Actual &amp; Assumptions'!AQ265</f>
        <v>0</v>
      </c>
      <c r="AR72" s="152">
        <f>-'[33]Actual &amp; Assumptions'!AR265</f>
        <v>0</v>
      </c>
      <c r="AS72" s="152">
        <f>-'[33]Actual &amp; Assumptions'!AS265</f>
        <v>0</v>
      </c>
      <c r="AT72" s="152">
        <f t="shared" si="55"/>
        <v>0</v>
      </c>
      <c r="AU72" s="152">
        <f>-'[33]Actual &amp; Assumptions'!AU265</f>
        <v>0</v>
      </c>
      <c r="AV72" s="152">
        <f>-'[33]Actual &amp; Assumptions'!AV265</f>
        <v>0</v>
      </c>
      <c r="AW72" s="152">
        <f>-'[33]Actual &amp; Assumptions'!AW265</f>
        <v>0</v>
      </c>
      <c r="AX72" s="152">
        <f>-'[33]Actual &amp; Assumptions'!AX265</f>
        <v>0</v>
      </c>
      <c r="AY72" s="152">
        <f t="shared" si="56"/>
        <v>0</v>
      </c>
      <c r="AZ72" s="152">
        <f>-'[33]Actual &amp; Assumptions'!AZ265</f>
        <v>0</v>
      </c>
      <c r="BA72" s="152">
        <f>-'[33]Actual &amp; Assumptions'!BA265</f>
        <v>0</v>
      </c>
      <c r="BB72" s="152">
        <f>-'[33]Actual &amp; Assumptions'!BB265</f>
        <v>0</v>
      </c>
      <c r="BC72" s="152">
        <f>-'[33]Actual &amp; Assumptions'!BC265</f>
        <v>0</v>
      </c>
      <c r="BD72" s="152">
        <f>-'[33]Actual &amp; Assumptions'!BD265</f>
        <v>0</v>
      </c>
      <c r="BE72" s="152">
        <f>-'[33]Actual &amp; Assumptions'!BE265</f>
        <v>0</v>
      </c>
      <c r="BF72" s="152">
        <f>-'[33]Actual &amp; Assumptions'!BF265</f>
        <v>0</v>
      </c>
      <c r="BG72" s="152">
        <f>-'[33]Actual &amp; Assumptions'!BG265</f>
        <v>0</v>
      </c>
      <c r="BH72" s="152">
        <f>-'[33]Actual &amp; Assumptions'!BH265</f>
        <v>0</v>
      </c>
      <c r="BI72" s="152">
        <f>-'[33]Actual &amp; Assumptions'!BI265</f>
        <v>0</v>
      </c>
      <c r="BJ72" s="152">
        <f>-'[33]Actual &amp; Assumptions'!BJ265</f>
        <v>0</v>
      </c>
      <c r="BK72" s="152">
        <f>-'[33]Actual &amp; Assumptions'!BK265</f>
        <v>0</v>
      </c>
      <c r="BL72" s="152">
        <f>-'[33]Actual &amp; Assumptions'!BL265</f>
        <v>0</v>
      </c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</row>
    <row r="73" spans="1:272" s="222" customFormat="1" hidden="1" outlineLevel="1">
      <c r="A73" s="222" t="str">
        <f>'[33]Actual &amp; Assumptions'!A272</f>
        <v>Treasury Stock</v>
      </c>
      <c r="C73" s="152">
        <f>-'[33]Actual &amp; Assumptions'!C273</f>
        <v>0</v>
      </c>
      <c r="D73" s="152">
        <f>-'[33]Actual &amp; Assumptions'!D273</f>
        <v>0</v>
      </c>
      <c r="E73" s="152">
        <f>-'[33]Actual &amp; Assumptions'!E273</f>
        <v>0</v>
      </c>
      <c r="F73" s="152">
        <f>-'[33]Actual &amp; Assumptions'!F273</f>
        <v>0</v>
      </c>
      <c r="G73" s="152">
        <f>-'[33]Actual &amp; Assumptions'!G273</f>
        <v>0</v>
      </c>
      <c r="H73" s="152">
        <f>-'[33]Actual &amp; Assumptions'!H273</f>
        <v>0</v>
      </c>
      <c r="I73" s="152">
        <f>-'[33]Actual &amp; Assumptions'!I273</f>
        <v>0</v>
      </c>
      <c r="J73" s="152">
        <f>-'[33]Actual &amp; Assumptions'!J273</f>
        <v>0</v>
      </c>
      <c r="K73" s="152">
        <f>-'[33]Actual &amp; Assumptions'!K273</f>
        <v>0</v>
      </c>
      <c r="L73" s="152">
        <f>-'[33]Actual &amp; Assumptions'!L273</f>
        <v>0</v>
      </c>
      <c r="M73" s="152">
        <f>-'[33]Actual &amp; Assumptions'!M273</f>
        <v>0</v>
      </c>
      <c r="N73" s="152">
        <f>-'[33]Actual &amp; Assumptions'!N273</f>
        <v>0</v>
      </c>
      <c r="O73" s="152">
        <f>-'[33]Actual &amp; Assumptions'!O273</f>
        <v>0</v>
      </c>
      <c r="P73" s="152">
        <f t="shared" si="54"/>
        <v>0</v>
      </c>
      <c r="Q73" s="152">
        <f>-'[33]Actual &amp; Assumptions'!Q273</f>
        <v>0</v>
      </c>
      <c r="R73" s="152">
        <f>-'[33]Actual &amp; Assumptions'!R273</f>
        <v>0</v>
      </c>
      <c r="S73" s="152">
        <f>-'[33]Actual &amp; Assumptions'!S273</f>
        <v>0</v>
      </c>
      <c r="T73" s="152">
        <f>-'[33]Actual &amp; Assumptions'!T273</f>
        <v>0</v>
      </c>
      <c r="U73" s="152">
        <f>T73</f>
        <v>0</v>
      </c>
      <c r="V73" s="152">
        <f>-'[33]Actual &amp; Assumptions'!V273</f>
        <v>0</v>
      </c>
      <c r="W73" s="152">
        <f>-'[33]Actual &amp; Assumptions'!W273</f>
        <v>0</v>
      </c>
      <c r="X73" s="152">
        <f>-'[33]Actual &amp; Assumptions'!X273</f>
        <v>0</v>
      </c>
      <c r="Y73" s="152">
        <f>-'[33]Actual &amp; Assumptions'!Y273</f>
        <v>0</v>
      </c>
      <c r="Z73" s="152">
        <f>Y73</f>
        <v>0</v>
      </c>
      <c r="AA73" s="152">
        <f>-'[33]Actual &amp; Assumptions'!AA273</f>
        <v>0</v>
      </c>
      <c r="AB73" s="152">
        <f>-'[33]Actual &amp; Assumptions'!AB273</f>
        <v>0</v>
      </c>
      <c r="AC73" s="152">
        <f>-'[33]Actual &amp; Assumptions'!AC273</f>
        <v>0</v>
      </c>
      <c r="AD73" s="152">
        <f>-'[33]Actual &amp; Assumptions'!AD273</f>
        <v>0</v>
      </c>
      <c r="AE73" s="152">
        <f>AD73</f>
        <v>0</v>
      </c>
      <c r="AF73" s="152">
        <f>-'[33]Actual &amp; Assumptions'!AF273</f>
        <v>0</v>
      </c>
      <c r="AG73" s="152">
        <f>-'[33]Actual &amp; Assumptions'!AG273</f>
        <v>0</v>
      </c>
      <c r="AH73" s="152">
        <f>-'[33]Actual &amp; Assumptions'!AH273</f>
        <v>0</v>
      </c>
      <c r="AI73" s="152">
        <f>-'[33]Actual &amp; Assumptions'!AI273</f>
        <v>0</v>
      </c>
      <c r="AJ73" s="152">
        <f>AI73</f>
        <v>0</v>
      </c>
      <c r="AK73" s="152">
        <f>-'[33]Actual &amp; Assumptions'!AK273</f>
        <v>0</v>
      </c>
      <c r="AL73" s="152">
        <f>-'[33]Actual &amp; Assumptions'!AL273</f>
        <v>0</v>
      </c>
      <c r="AM73" s="152">
        <f>-'[33]Actual &amp; Assumptions'!AM273</f>
        <v>0</v>
      </c>
      <c r="AN73" s="152">
        <f>-'[33]Actual &amp; Assumptions'!AN273</f>
        <v>0</v>
      </c>
      <c r="AO73" s="152">
        <f>AN73</f>
        <v>0</v>
      </c>
      <c r="AP73" s="152">
        <f>-'[33]Actual &amp; Assumptions'!AP273</f>
        <v>0</v>
      </c>
      <c r="AQ73" s="152">
        <f>-'[33]Actual &amp; Assumptions'!AQ273</f>
        <v>0</v>
      </c>
      <c r="AR73" s="152">
        <f>-'[33]Actual &amp; Assumptions'!AR273</f>
        <v>0</v>
      </c>
      <c r="AS73" s="152">
        <f>-'[33]Actual &amp; Assumptions'!AS273</f>
        <v>0</v>
      </c>
      <c r="AT73" s="152">
        <f t="shared" si="55"/>
        <v>0</v>
      </c>
      <c r="AU73" s="152">
        <f>-'[33]Actual &amp; Assumptions'!AU273</f>
        <v>0</v>
      </c>
      <c r="AV73" s="152">
        <f>-'[33]Actual &amp; Assumptions'!AV273</f>
        <v>0</v>
      </c>
      <c r="AW73" s="152">
        <f>-'[33]Actual &amp; Assumptions'!AW273</f>
        <v>0</v>
      </c>
      <c r="AX73" s="152">
        <f>-'[33]Actual &amp; Assumptions'!AX273</f>
        <v>0</v>
      </c>
      <c r="AY73" s="152">
        <f t="shared" si="56"/>
        <v>0</v>
      </c>
      <c r="AZ73" s="152">
        <f>-'[33]Actual &amp; Assumptions'!AZ273</f>
        <v>0</v>
      </c>
      <c r="BA73" s="152">
        <f>-'[33]Actual &amp; Assumptions'!BA273</f>
        <v>0</v>
      </c>
      <c r="BB73" s="152">
        <f>-'[33]Actual &amp; Assumptions'!BB273</f>
        <v>0</v>
      </c>
      <c r="BC73" s="152">
        <f>-'[33]Actual &amp; Assumptions'!BC273</f>
        <v>0</v>
      </c>
      <c r="BD73" s="152">
        <f>-'[33]Actual &amp; Assumptions'!BD273</f>
        <v>0</v>
      </c>
      <c r="BE73" s="152">
        <f>-'[33]Actual &amp; Assumptions'!BE273</f>
        <v>0</v>
      </c>
      <c r="BF73" s="152">
        <f>-'[33]Actual &amp; Assumptions'!BF273</f>
        <v>0</v>
      </c>
      <c r="BG73" s="152">
        <f>-'[33]Actual &amp; Assumptions'!BG273</f>
        <v>0</v>
      </c>
      <c r="BH73" s="152">
        <f>-'[33]Actual &amp; Assumptions'!BH273</f>
        <v>0</v>
      </c>
      <c r="BI73" s="152">
        <f>-'[33]Actual &amp; Assumptions'!BI273</f>
        <v>0</v>
      </c>
      <c r="BJ73" s="152">
        <f>-'[33]Actual &amp; Assumptions'!BJ273</f>
        <v>0</v>
      </c>
      <c r="BK73" s="152">
        <f>-'[33]Actual &amp; Assumptions'!BK273</f>
        <v>0</v>
      </c>
      <c r="BL73" s="152">
        <f>-'[33]Actual &amp; Assumptions'!BL273</f>
        <v>0</v>
      </c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</row>
    <row r="74" spans="1:272" s="222" customFormat="1" hidden="1" outlineLevel="1">
      <c r="A74" s="222" t="str">
        <f>'[33]Actual &amp; Assumptions'!A277</f>
        <v>Reserves</v>
      </c>
      <c r="C74" s="152">
        <f>-'[33]Actual &amp; Assumptions'!C278</f>
        <v>-280</v>
      </c>
      <c r="D74" s="152">
        <f>-'[33]Actual &amp; Assumptions'!D278</f>
        <v>-1020</v>
      </c>
      <c r="E74" s="152">
        <f>-'[33]Actual &amp; Assumptions'!E278</f>
        <v>-2935</v>
      </c>
      <c r="F74" s="152">
        <f>-'[33]Actual &amp; Assumptions'!F278</f>
        <v>-5551</v>
      </c>
      <c r="G74" s="152">
        <f>-'[33]Actual &amp; Assumptions'!G278</f>
        <v>-5551</v>
      </c>
      <c r="H74" s="152">
        <f>-'[33]Actual &amp; Assumptions'!H278</f>
        <v>-5551</v>
      </c>
      <c r="I74" s="152">
        <f>-'[33]Actual &amp; Assumptions'!I278</f>
        <v>-5551</v>
      </c>
      <c r="J74" s="152">
        <f>-'[33]Actual &amp; Assumptions'!J278</f>
        <v>-5551</v>
      </c>
      <c r="K74" s="152">
        <f>-'[33]Actual &amp; Assumptions'!K278</f>
        <v>-5551</v>
      </c>
      <c r="L74" s="152">
        <f>-'[33]Actual &amp; Assumptions'!L278</f>
        <v>-5551</v>
      </c>
      <c r="M74" s="152">
        <f>-'[33]Actual &amp; Assumptions'!M278</f>
        <v>-5551</v>
      </c>
      <c r="N74" s="152">
        <f>-'[33]Actual &amp; Assumptions'!N278</f>
        <v>-5551</v>
      </c>
      <c r="O74" s="152">
        <f>-'[33]Actual &amp; Assumptions'!O278</f>
        <v>-5551</v>
      </c>
      <c r="P74" s="152">
        <f t="shared" si="54"/>
        <v>-5551</v>
      </c>
      <c r="Q74" s="152">
        <f>-'[33]Actual &amp; Assumptions'!Q278</f>
        <v>-5551</v>
      </c>
      <c r="R74" s="152">
        <f>-'[33]Actual &amp; Assumptions'!R278</f>
        <v>-5551</v>
      </c>
      <c r="S74" s="152">
        <f>-'[33]Actual &amp; Assumptions'!S278</f>
        <v>-5551</v>
      </c>
      <c r="T74" s="152">
        <f>-'[33]Actual &amp; Assumptions'!T278</f>
        <v>-5551</v>
      </c>
      <c r="U74" s="152">
        <f>T74</f>
        <v>-5551</v>
      </c>
      <c r="V74" s="152">
        <f>-'[33]Actual &amp; Assumptions'!V278</f>
        <v>-5551</v>
      </c>
      <c r="W74" s="152">
        <f>-'[33]Actual &amp; Assumptions'!W278</f>
        <v>-5551</v>
      </c>
      <c r="X74" s="152">
        <f>-'[33]Actual &amp; Assumptions'!X278</f>
        <v>-5551</v>
      </c>
      <c r="Y74" s="152">
        <f>-'[33]Actual &amp; Assumptions'!Y278</f>
        <v>-5551</v>
      </c>
      <c r="Z74" s="152">
        <f>Y74</f>
        <v>-5551</v>
      </c>
      <c r="AA74" s="152">
        <f>-'[33]Actual &amp; Assumptions'!AA278</f>
        <v>-5551</v>
      </c>
      <c r="AB74" s="152">
        <f>-'[33]Actual &amp; Assumptions'!AB278</f>
        <v>-5551</v>
      </c>
      <c r="AC74" s="152">
        <f>-'[33]Actual &amp; Assumptions'!AC278</f>
        <v>-5551</v>
      </c>
      <c r="AD74" s="152">
        <f>-'[33]Actual &amp; Assumptions'!AD278</f>
        <v>-5551</v>
      </c>
      <c r="AE74" s="152">
        <f>AD74</f>
        <v>-5551</v>
      </c>
      <c r="AF74" s="152">
        <f>-'[33]Actual &amp; Assumptions'!AF278</f>
        <v>-5551</v>
      </c>
      <c r="AG74" s="152">
        <f>-'[33]Actual &amp; Assumptions'!AG278</f>
        <v>-5551</v>
      </c>
      <c r="AH74" s="152">
        <f>-'[33]Actual &amp; Assumptions'!AH278</f>
        <v>-5551</v>
      </c>
      <c r="AI74" s="152">
        <f>-'[33]Actual &amp; Assumptions'!AI278</f>
        <v>-5551</v>
      </c>
      <c r="AJ74" s="152">
        <f>AI74</f>
        <v>-5551</v>
      </c>
      <c r="AK74" s="152">
        <f>-'[33]Actual &amp; Assumptions'!AK278</f>
        <v>-5551</v>
      </c>
      <c r="AL74" s="152">
        <f>-'[33]Actual &amp; Assumptions'!AL278</f>
        <v>-5551</v>
      </c>
      <c r="AM74" s="152">
        <f>-'[33]Actual &amp; Assumptions'!AM278</f>
        <v>-5551</v>
      </c>
      <c r="AN74" s="152">
        <f>-'[33]Actual &amp; Assumptions'!AN278</f>
        <v>-5551</v>
      </c>
      <c r="AO74" s="152">
        <f>AN74</f>
        <v>-5551</v>
      </c>
      <c r="AP74" s="152">
        <f>-'[33]Actual &amp; Assumptions'!AP278</f>
        <v>-5551</v>
      </c>
      <c r="AQ74" s="152">
        <f>-'[33]Actual &amp; Assumptions'!AQ278</f>
        <v>-5551</v>
      </c>
      <c r="AR74" s="152">
        <f>-'[33]Actual &amp; Assumptions'!AR278</f>
        <v>-5551</v>
      </c>
      <c r="AS74" s="152">
        <f>-'[33]Actual &amp; Assumptions'!AS278</f>
        <v>-5551</v>
      </c>
      <c r="AT74" s="152">
        <f t="shared" si="55"/>
        <v>-5551</v>
      </c>
      <c r="AU74" s="152">
        <f>-'[33]Actual &amp; Assumptions'!AU278</f>
        <v>-5551</v>
      </c>
      <c r="AV74" s="152">
        <f>-'[33]Actual &amp; Assumptions'!AV278</f>
        <v>-5551</v>
      </c>
      <c r="AW74" s="152">
        <f>-'[33]Actual &amp; Assumptions'!AW278</f>
        <v>-5551</v>
      </c>
      <c r="AX74" s="152">
        <f>-'[33]Actual &amp; Assumptions'!AX278</f>
        <v>-5551</v>
      </c>
      <c r="AY74" s="152">
        <f t="shared" si="56"/>
        <v>-5551</v>
      </c>
      <c r="AZ74" s="152">
        <f>-'[33]Actual &amp; Assumptions'!AZ278</f>
        <v>-5551</v>
      </c>
      <c r="BA74" s="152">
        <f>-'[33]Actual &amp; Assumptions'!BA278</f>
        <v>-5551</v>
      </c>
      <c r="BB74" s="152">
        <f>-'[33]Actual &amp; Assumptions'!BB278</f>
        <v>-5551</v>
      </c>
      <c r="BC74" s="152">
        <f>-'[33]Actual &amp; Assumptions'!BC278</f>
        <v>-5551</v>
      </c>
      <c r="BD74" s="152">
        <f>-'[33]Actual &amp; Assumptions'!BD278</f>
        <v>-5551</v>
      </c>
      <c r="BE74" s="152">
        <f>-'[33]Actual &amp; Assumptions'!BE278</f>
        <v>-5551</v>
      </c>
      <c r="BF74" s="152">
        <f>-'[33]Actual &amp; Assumptions'!BF278</f>
        <v>-5551</v>
      </c>
      <c r="BG74" s="152">
        <f>-'[33]Actual &amp; Assumptions'!BG278</f>
        <v>-5551</v>
      </c>
      <c r="BH74" s="152">
        <f>-'[33]Actual &amp; Assumptions'!BH278</f>
        <v>-5551</v>
      </c>
      <c r="BI74" s="152">
        <f>-'[33]Actual &amp; Assumptions'!BI278</f>
        <v>-5551</v>
      </c>
      <c r="BJ74" s="152">
        <f>-'[33]Actual &amp; Assumptions'!BJ278</f>
        <v>-5551</v>
      </c>
      <c r="BK74" s="152">
        <f>-'[33]Actual &amp; Assumptions'!BK278</f>
        <v>-5551</v>
      </c>
      <c r="BL74" s="152">
        <f>-'[33]Actual &amp; Assumptions'!BL278</f>
        <v>-5551</v>
      </c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</row>
    <row r="75" spans="1:272" s="222" customFormat="1" hidden="1" outlineLevel="1">
      <c r="A75" s="222" t="str">
        <f>'[33]Actual &amp; Assumptions'!A284</f>
        <v>Retained Earnings</v>
      </c>
      <c r="C75" s="152">
        <f>-'[33]Actual &amp; Assumptions'!C285</f>
        <v>-608</v>
      </c>
      <c r="D75" s="152">
        <f>-'[33]Actual &amp; Assumptions'!D285</f>
        <v>-4604</v>
      </c>
      <c r="E75" s="152">
        <f>-'[33]Actual &amp; Assumptions'!E285</f>
        <v>-7604</v>
      </c>
      <c r="F75" s="152">
        <f>-'[33]Actual &amp; Assumptions'!F285</f>
        <v>-13254</v>
      </c>
      <c r="G75" s="152">
        <f>-'[33]Actual &amp; Assumptions'!G285</f>
        <v>-22573</v>
      </c>
      <c r="H75" s="152">
        <f>-'[33]Actual &amp; Assumptions'!H285</f>
        <v>-35972</v>
      </c>
      <c r="I75" s="152">
        <f>-'[33]Actual &amp; Assumptions'!I285</f>
        <v>-18230.511500000001</v>
      </c>
      <c r="J75" s="152">
        <f>-'[33]Actual &amp; Assumptions'!J285</f>
        <v>-20996.765032500021</v>
      </c>
      <c r="K75" s="152">
        <f>-'[33]Actual &amp; Assumptions'!K285</f>
        <v>-15881</v>
      </c>
      <c r="L75" s="152">
        <f>-'[33]Actual &amp; Assumptions'!L285</f>
        <v>-20173</v>
      </c>
      <c r="M75" s="152">
        <f>-'[33]Actual &amp; Assumptions'!M285</f>
        <v>-20173</v>
      </c>
      <c r="N75" s="152">
        <f>-'[33]Actual &amp; Assumptions'!N285</f>
        <v>-20173</v>
      </c>
      <c r="O75" s="152">
        <f>-'[33]Actual &amp; Assumptions'!O285</f>
        <v>-18442</v>
      </c>
      <c r="P75" s="152">
        <f t="shared" si="54"/>
        <v>-18442</v>
      </c>
      <c r="Q75" s="152">
        <f>-'[33]Actual &amp; Assumptions'!Q285</f>
        <v>-28690.531999999999</v>
      </c>
      <c r="R75" s="152">
        <f>-'[33]Actual &amp; Assumptions'!R285</f>
        <v>-28689.030486599251</v>
      </c>
      <c r="S75" s="152">
        <f>-'[33]Actual &amp; Assumptions'!S285</f>
        <v>-28689.030486599251</v>
      </c>
      <c r="T75" s="152">
        <f>-'[33]Actual &amp; Assumptions'!T285</f>
        <v>-28689.030486599251</v>
      </c>
      <c r="U75" s="152">
        <f>-'[33]Actual &amp; Assumptions'!U285</f>
        <v>-28689.030486599251</v>
      </c>
      <c r="V75" s="152">
        <f>-'[33]Actual &amp; Assumptions'!V285</f>
        <v>-41704.74306398764</v>
      </c>
      <c r="W75" s="152">
        <f>-'[33]Actual &amp; Assumptions'!W285</f>
        <v>-41704.74306398764</v>
      </c>
      <c r="X75" s="152">
        <f>-'[33]Actual &amp; Assumptions'!X285</f>
        <v>-41704.74306398764</v>
      </c>
      <c r="Y75" s="152">
        <f>-'[33]Actual &amp; Assumptions'!Y285</f>
        <v>-41709.74306398764</v>
      </c>
      <c r="Z75" s="152">
        <f>-'[33]Actual &amp; Assumptions'!Z285</f>
        <v>-41709.74306398764</v>
      </c>
      <c r="AA75" s="152">
        <f>-'[33]Actual &amp; Assumptions'!AA285</f>
        <v>-42529.256993987634</v>
      </c>
      <c r="AB75" s="152">
        <f>-'[33]Actual &amp; Assumptions'!AB285</f>
        <v>-42529.256993987634</v>
      </c>
      <c r="AC75" s="152">
        <f>-'[33]Actual &amp; Assumptions'!AC285</f>
        <v>-42529.256993987634</v>
      </c>
      <c r="AD75" s="152">
        <f>-'[33]Actual &amp; Assumptions'!AD285</f>
        <v>-42529.256993987634</v>
      </c>
      <c r="AE75" s="152">
        <f>-'[33]Actual &amp; Assumptions'!AE285</f>
        <v>-42529.256993987634</v>
      </c>
      <c r="AF75" s="152">
        <f>-'[33]Actual &amp; Assumptions'!AF285</f>
        <v>-42309.723085479651</v>
      </c>
      <c r="AG75" s="152">
        <f>-'[33]Actual &amp; Assumptions'!AG285</f>
        <v>-42309.723085479651</v>
      </c>
      <c r="AH75" s="152">
        <f>-'[33]Actual &amp; Assumptions'!AH285</f>
        <v>-42309.723085479651</v>
      </c>
      <c r="AI75" s="152">
        <f>-'[33]Actual &amp; Assumptions'!AI285</f>
        <v>-42309.723085479651</v>
      </c>
      <c r="AJ75" s="152">
        <f>-'[33]Actual &amp; Assumptions'!AJ285</f>
        <v>-42309.723085479651</v>
      </c>
      <c r="AK75" s="152">
        <f>-'[33]Actual &amp; Assumptions'!AK285</f>
        <v>13148</v>
      </c>
      <c r="AL75" s="152">
        <f>-'[33]Actual &amp; Assumptions'!AL285</f>
        <v>13148</v>
      </c>
      <c r="AM75" s="152">
        <f>-'[33]Actual &amp; Assumptions'!AM285</f>
        <v>13148</v>
      </c>
      <c r="AN75" s="152">
        <f>-'[33]Actual &amp; Assumptions'!AN285</f>
        <v>30706.025874520332</v>
      </c>
      <c r="AO75" s="152">
        <f>-'[33]Actual &amp; Assumptions'!AO285</f>
        <v>30706.025874520332</v>
      </c>
      <c r="AP75" s="152">
        <f>-'[33]Actual &amp; Assumptions'!AP285</f>
        <v>91014</v>
      </c>
      <c r="AQ75" s="152">
        <f>-'[33]Actual &amp; Assumptions'!AQ285</f>
        <v>91014</v>
      </c>
      <c r="AR75" s="152">
        <f>-'[33]Actual &amp; Assumptions'!AR285</f>
        <v>91013.141874520341</v>
      </c>
      <c r="AS75" s="152">
        <f>-'[33]Actual &amp; Assumptions'!AS285</f>
        <v>91013.141874520341</v>
      </c>
      <c r="AT75" s="152">
        <f t="shared" si="55"/>
        <v>91013.141874520341</v>
      </c>
      <c r="AU75" s="152">
        <f>-'[33]Actual &amp; Assumptions'!AU285</f>
        <v>99311.141311527215</v>
      </c>
      <c r="AV75" s="152">
        <f>-'[33]Actual &amp; Assumptions'!AV285</f>
        <v>99311.141311527215</v>
      </c>
      <c r="AW75" s="152">
        <f>-'[33]Actual &amp; Assumptions'!AW285</f>
        <v>99311.141311527215</v>
      </c>
      <c r="AX75" s="152">
        <f>-'[33]Actual &amp; Assumptions'!AX285</f>
        <v>99311.141311527215</v>
      </c>
      <c r="AY75" s="152">
        <f t="shared" si="56"/>
        <v>99311.141311527215</v>
      </c>
      <c r="AZ75" s="152">
        <f>-'[33]Actual &amp; Assumptions'!AZ285</f>
        <v>97927.879568777149</v>
      </c>
      <c r="BA75" s="152">
        <f>-'[33]Actual &amp; Assumptions'!BA285</f>
        <v>83023.825134065934</v>
      </c>
      <c r="BB75" s="152">
        <f>-'[33]Actual &amp; Assumptions'!BB285</f>
        <v>64013.600831524054</v>
      </c>
      <c r="BC75" s="152">
        <f>-'[33]Actual &amp; Assumptions'!BC285</f>
        <v>38845.740992092193</v>
      </c>
      <c r="BD75" s="152">
        <f>-'[33]Actual &amp; Assumptions'!BD285</f>
        <v>6529.6046989013339</v>
      </c>
      <c r="BE75" s="152">
        <f>-'[33]Actual &amp; Assumptions'!BE285</f>
        <v>-15716.51844232445</v>
      </c>
      <c r="BF75" s="152">
        <f>-'[33]Actual &amp; Assumptions'!BF285</f>
        <v>-31112.99428309677</v>
      </c>
      <c r="BG75" s="152">
        <f>-'[33]Actual &amp; Assumptions'!BG285</f>
        <v>-42540.138773101964</v>
      </c>
      <c r="BH75" s="152">
        <f>-'[33]Actual &amp; Assumptions'!BH285</f>
        <v>-52488.295317288503</v>
      </c>
      <c r="BI75" s="152">
        <f>-'[33]Actual &amp; Assumptions'!BI285</f>
        <v>-62117.403056768351</v>
      </c>
      <c r="BJ75" s="152">
        <f>-'[33]Actual &amp; Assumptions'!BJ285</f>
        <v>-72149.684940338891</v>
      </c>
      <c r="BK75" s="152">
        <f>-'[33]Actual &amp; Assumptions'!BK285</f>
        <v>-83355.942609634716</v>
      </c>
      <c r="BL75" s="152">
        <f>-'[33]Actual &amp; Assumptions'!BL285</f>
        <v>-95489.351767591201</v>
      </c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</row>
    <row r="76" spans="1:272" s="222" customFormat="1" hidden="1" outlineLevel="1">
      <c r="A76" s="222" t="s">
        <v>393</v>
      </c>
      <c r="C76" s="152">
        <f>-C36</f>
        <v>-7400</v>
      </c>
      <c r="D76" s="152">
        <f>-D36</f>
        <v>-19146</v>
      </c>
      <c r="E76" s="152">
        <f t="shared" ref="E76:K76" si="57">-E36</f>
        <v>-26165</v>
      </c>
      <c r="F76" s="152">
        <f t="shared" si="57"/>
        <v>-27216</v>
      </c>
      <c r="G76" s="152">
        <f t="shared" si="57"/>
        <v>-9497.0580000000482</v>
      </c>
      <c r="H76" s="152">
        <f t="shared" si="57"/>
        <v>-15754.993000000046</v>
      </c>
      <c r="I76" s="152">
        <f t="shared" si="57"/>
        <v>-2240</v>
      </c>
      <c r="J76" s="152">
        <f t="shared" si="57"/>
        <v>2106.4181759005587</v>
      </c>
      <c r="K76" s="152">
        <f t="shared" si="57"/>
        <v>-4291.3250200001075</v>
      </c>
      <c r="L76" s="152">
        <f>-L36</f>
        <v>-564.98962999998184</v>
      </c>
      <c r="M76" s="152">
        <f>-M36-L36</f>
        <v>-4718.8095499996998</v>
      </c>
      <c r="N76" s="152">
        <f>-N36-M36-L36</f>
        <v>-10435.093609999705</v>
      </c>
      <c r="O76" s="152">
        <f>-O36-N36-M36-L36</f>
        <v>-10248.205609999728</v>
      </c>
      <c r="P76" s="152">
        <f t="shared" si="54"/>
        <v>-10248.205609999728</v>
      </c>
      <c r="Q76" s="152">
        <f>-Q36</f>
        <v>-6721.0500355000067</v>
      </c>
      <c r="R76" s="152">
        <f>-R36+Q76</f>
        <v>-8013.2159073884322</v>
      </c>
      <c r="S76" s="152">
        <f>-S36+R76</f>
        <v>-9781.187367388331</v>
      </c>
      <c r="T76" s="152">
        <f>-T36+S76</f>
        <v>-13017.865577388329</v>
      </c>
      <c r="U76" s="152">
        <f>-U36</f>
        <v>-13017.865577388387</v>
      </c>
      <c r="V76" s="152">
        <f>-V36</f>
        <v>-12946.741370000014</v>
      </c>
      <c r="W76" s="152">
        <f>-W36+V76</f>
        <v>-13759.190820000014</v>
      </c>
      <c r="X76" s="152">
        <f>-X36+W76</f>
        <v>-15553.410240000132</v>
      </c>
      <c r="Y76" s="152">
        <f>-Y36+X76</f>
        <v>-824.51393000003191</v>
      </c>
      <c r="Z76" s="152">
        <f>-Z36</f>
        <v>-824.51392999999234</v>
      </c>
      <c r="AA76" s="152">
        <f>-AA36</f>
        <v>1667.543335088691</v>
      </c>
      <c r="AB76" s="152">
        <f>-AB36+AA76</f>
        <v>3620.4957385879948</v>
      </c>
      <c r="AC76" s="152">
        <f>-AC36+AB76</f>
        <v>4500.5947219479867</v>
      </c>
      <c r="AD76" s="152">
        <f>-AD36+AC76</f>
        <v>219.53390850800224</v>
      </c>
      <c r="AE76" s="152">
        <f t="shared" ref="AE76:BA76" si="58">-AE36</f>
        <v>219.53390850798678</v>
      </c>
      <c r="AF76" s="152">
        <f>-AF36</f>
        <v>5922.3302300000032</v>
      </c>
      <c r="AG76" s="152">
        <f>-AG36+AF76</f>
        <v>12713.001099999998</v>
      </c>
      <c r="AH76" s="152">
        <f>-AH36+AG76</f>
        <v>37076.748959999997</v>
      </c>
      <c r="AI76" s="152">
        <f>-AI36+AH76</f>
        <v>48951.748959999997</v>
      </c>
      <c r="AJ76" s="152">
        <f t="shared" si="58"/>
        <v>48951.748959999983</v>
      </c>
      <c r="AK76" s="152">
        <f>-AK36</f>
        <v>43203</v>
      </c>
      <c r="AL76" s="152">
        <f>-AL36+AK76</f>
        <v>49900</v>
      </c>
      <c r="AM76" s="152">
        <f>-AM36+AL76</f>
        <v>60653</v>
      </c>
      <c r="AN76" s="152">
        <f>-AN36+AM76</f>
        <v>60307.116000000002</v>
      </c>
      <c r="AO76" s="152">
        <f>-AO36</f>
        <v>60307.116000000002</v>
      </c>
      <c r="AP76" s="152">
        <f>-AP36</f>
        <v>1265.6301298207215</v>
      </c>
      <c r="AQ76" s="152">
        <f>-AQ36+AP76</f>
        <v>-232.09156858653796</v>
      </c>
      <c r="AR76" s="152">
        <f>-AR36+AQ76</f>
        <v>629.0451431068343</v>
      </c>
      <c r="AS76" s="152">
        <f>-AS36+AR76</f>
        <v>8297.9994370068307</v>
      </c>
      <c r="AT76" s="152">
        <f t="shared" si="55"/>
        <v>8297.9994370068307</v>
      </c>
      <c r="AU76" s="152">
        <f>-AU36</f>
        <v>1360.0649766666802</v>
      </c>
      <c r="AV76" s="152">
        <f>-AV36+AU76</f>
        <v>1142.7191433333155</v>
      </c>
      <c r="AW76" s="152">
        <f>-AW36+AV76</f>
        <v>848.76166999995758</v>
      </c>
      <c r="AX76" s="152">
        <f>-AX36+AW76</f>
        <v>-1383.2617427500481</v>
      </c>
      <c r="AY76" s="152">
        <f t="shared" si="56"/>
        <v>-1383.2617427500481</v>
      </c>
      <c r="AZ76" s="152">
        <f t="shared" si="58"/>
        <v>-14904.05443471121</v>
      </c>
      <c r="BA76" s="152">
        <f t="shared" si="58"/>
        <v>-19010.224302541879</v>
      </c>
      <c r="BB76" s="152">
        <f>-BB36</f>
        <v>-25167.859839431858</v>
      </c>
      <c r="BC76" s="152">
        <f>-BC36</f>
        <v>-32316.136293190859</v>
      </c>
      <c r="BD76" s="152">
        <f t="shared" ref="BD76:BL76" si="59">-BD36</f>
        <v>-37962.641583550234</v>
      </c>
      <c r="BE76" s="152">
        <f t="shared" si="59"/>
        <v>-46509.470123869098</v>
      </c>
      <c r="BF76" s="152">
        <f t="shared" si="59"/>
        <v>-53967.283263107172</v>
      </c>
      <c r="BG76" s="152">
        <f t="shared" si="59"/>
        <v>-62436.451861475034</v>
      </c>
      <c r="BH76" s="152">
        <f t="shared" si="59"/>
        <v>-71746.510796248185</v>
      </c>
      <c r="BI76" s="152">
        <f t="shared" si="59"/>
        <v>-82181.966823909519</v>
      </c>
      <c r="BJ76" s="152">
        <f t="shared" si="59"/>
        <v>-94562.200278930613</v>
      </c>
      <c r="BK76" s="152">
        <f t="shared" si="59"/>
        <v>-107622.76092554763</v>
      </c>
      <c r="BL76" s="152">
        <f t="shared" si="59"/>
        <v>-122121.25322675562</v>
      </c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</row>
    <row r="77" spans="1:272" s="222" customFormat="1" hidden="1" outlineLevel="1">
      <c r="A77" s="222" t="str">
        <f>'[33]Actual &amp; Assumptions'!A288</f>
        <v xml:space="preserve">Revaluation of Investment Available for Sale </v>
      </c>
      <c r="C77" s="152">
        <f>-'[33]Actual &amp; Assumptions'!C289</f>
        <v>0</v>
      </c>
      <c r="D77" s="152">
        <f>-'[33]Actual &amp; Assumptions'!D289</f>
        <v>0</v>
      </c>
      <c r="E77" s="152">
        <f>-'[33]Actual &amp; Assumptions'!E289</f>
        <v>0</v>
      </c>
      <c r="F77" s="152">
        <f>-'[33]Actual &amp; Assumptions'!F289</f>
        <v>0</v>
      </c>
      <c r="G77" s="152">
        <f>-'[33]Actual &amp; Assumptions'!G289</f>
        <v>0</v>
      </c>
      <c r="H77" s="152">
        <f>-'[33]Actual &amp; Assumptions'!H289</f>
        <v>0</v>
      </c>
      <c r="I77" s="152">
        <f>-'[33]Actual &amp; Assumptions'!I289</f>
        <v>0</v>
      </c>
      <c r="J77" s="152">
        <f>-'[33]Actual &amp; Assumptions'!J289</f>
        <v>0</v>
      </c>
      <c r="K77" s="152">
        <f>-'[33]Actual &amp; Assumptions'!K289</f>
        <v>0</v>
      </c>
      <c r="L77" s="152">
        <f>-'[33]Actual &amp; Assumptions'!L289</f>
        <v>0</v>
      </c>
      <c r="M77" s="152">
        <f>-'[33]Actual &amp; Assumptions'!M289</f>
        <v>0</v>
      </c>
      <c r="N77" s="152">
        <f>-'[33]Actual &amp; Assumptions'!N289</f>
        <v>0</v>
      </c>
      <c r="O77" s="152">
        <f>-'[33]Actual &amp; Assumptions'!O289</f>
        <v>0</v>
      </c>
      <c r="P77" s="152">
        <f>-'[33]Actual &amp; Assumptions'!P289</f>
        <v>0</v>
      </c>
      <c r="Q77" s="152">
        <f>-'[33]Actual &amp; Assumptions'!Q289</f>
        <v>0</v>
      </c>
      <c r="R77" s="152">
        <f>-'[33]Actual &amp; Assumptions'!R289</f>
        <v>0</v>
      </c>
      <c r="S77" s="152">
        <f>-'[33]Actual &amp; Assumptions'!S289</f>
        <v>0</v>
      </c>
      <c r="T77" s="152">
        <f>-'[33]Actual &amp; Assumptions'!T289</f>
        <v>0</v>
      </c>
      <c r="U77" s="152">
        <f>-'[33]Actual &amp; Assumptions'!U289</f>
        <v>0</v>
      </c>
      <c r="V77" s="152">
        <f>-'[33]Actual &amp; Assumptions'!V289</f>
        <v>0</v>
      </c>
      <c r="W77" s="152">
        <f>-'[33]Actual &amp; Assumptions'!W289</f>
        <v>0</v>
      </c>
      <c r="X77" s="152">
        <f>-'[33]Actual &amp; Assumptions'!X289</f>
        <v>0</v>
      </c>
      <c r="Y77" s="152">
        <f>-'[33]Actual &amp; Assumptions'!Y289</f>
        <v>0</v>
      </c>
      <c r="Z77" s="152">
        <f>-'[33]Actual &amp; Assumptions'!Z289</f>
        <v>0</v>
      </c>
      <c r="AA77" s="152">
        <f>-'[33]Actual &amp; Assumptions'!AA289</f>
        <v>0</v>
      </c>
      <c r="AB77" s="152">
        <f>-'[33]Actual &amp; Assumptions'!AB289</f>
        <v>0</v>
      </c>
      <c r="AC77" s="152">
        <f>-'[33]Actual &amp; Assumptions'!AC289</f>
        <v>0</v>
      </c>
      <c r="AD77" s="152">
        <f>-'[33]Actual &amp; Assumptions'!AD289</f>
        <v>0</v>
      </c>
      <c r="AE77" s="152">
        <f>-'[33]Actual &amp; Assumptions'!AE289</f>
        <v>0</v>
      </c>
      <c r="AF77" s="152">
        <f>-'[33]Actual &amp; Assumptions'!AF289</f>
        <v>0</v>
      </c>
      <c r="AG77" s="152">
        <f>-'[33]Actual &amp; Assumptions'!AG289</f>
        <v>0</v>
      </c>
      <c r="AH77" s="152">
        <f>-'[33]Actual &amp; Assumptions'!AH289</f>
        <v>0</v>
      </c>
      <c r="AI77" s="152">
        <f>-'[33]Actual &amp; Assumptions'!AI289</f>
        <v>0</v>
      </c>
      <c r="AJ77" s="152">
        <f>-'[33]Actual &amp; Assumptions'!AJ289</f>
        <v>0</v>
      </c>
      <c r="AK77" s="152">
        <f>-'[33]Actual &amp; Assumptions'!AK289</f>
        <v>0</v>
      </c>
      <c r="AL77" s="152">
        <f>-'[33]Actual &amp; Assumptions'!AL289</f>
        <v>0</v>
      </c>
      <c r="AM77" s="152">
        <f>-'[33]Actual &amp; Assumptions'!AM289</f>
        <v>0</v>
      </c>
      <c r="AN77" s="152">
        <f>-'[33]Actual &amp; Assumptions'!AN289</f>
        <v>0</v>
      </c>
      <c r="AO77" s="152">
        <f>-'[33]Actual &amp; Assumptions'!AO289</f>
        <v>0</v>
      </c>
      <c r="AP77" s="152">
        <f>-'[33]Actual &amp; Assumptions'!AP289</f>
        <v>0</v>
      </c>
      <c r="AQ77" s="152">
        <f>-'[33]Actual &amp; Assumptions'!AQ289</f>
        <v>0</v>
      </c>
      <c r="AR77" s="152">
        <f>-'[33]Actual &amp; Assumptions'!AR289</f>
        <v>0</v>
      </c>
      <c r="AS77" s="152">
        <f>-'[33]Actual &amp; Assumptions'!AS289</f>
        <v>0</v>
      </c>
      <c r="AT77" s="152">
        <f t="shared" si="55"/>
        <v>0</v>
      </c>
      <c r="AU77" s="152">
        <f>-'[33]Actual &amp; Assumptions'!AU289</f>
        <v>0</v>
      </c>
      <c r="AV77" s="152">
        <f>-'[33]Actual &amp; Assumptions'!AV289</f>
        <v>0</v>
      </c>
      <c r="AW77" s="152">
        <f>-'[33]Actual &amp; Assumptions'!AW289</f>
        <v>0</v>
      </c>
      <c r="AX77" s="152">
        <f>-'[33]Actual &amp; Assumptions'!AX289</f>
        <v>0</v>
      </c>
      <c r="AY77" s="152">
        <f t="shared" si="56"/>
        <v>0</v>
      </c>
      <c r="AZ77" s="152">
        <f>-'[33]Actual &amp; Assumptions'!AZ289</f>
        <v>0</v>
      </c>
      <c r="BA77" s="152">
        <f>-'[33]Actual &amp; Assumptions'!BA289</f>
        <v>0</v>
      </c>
      <c r="BB77" s="152">
        <f>-'[33]Actual &amp; Assumptions'!BB289</f>
        <v>0</v>
      </c>
      <c r="BC77" s="152">
        <f>-'[33]Actual &amp; Assumptions'!BC289</f>
        <v>0</v>
      </c>
      <c r="BD77" s="152">
        <f>-'[33]Actual &amp; Assumptions'!BD289</f>
        <v>0</v>
      </c>
      <c r="BE77" s="152">
        <f>-'[33]Actual &amp; Assumptions'!BE289</f>
        <v>0</v>
      </c>
      <c r="BF77" s="152">
        <f>-'[33]Actual &amp; Assumptions'!BF289</f>
        <v>0</v>
      </c>
      <c r="BG77" s="152">
        <f>-'[33]Actual &amp; Assumptions'!BG289</f>
        <v>0</v>
      </c>
      <c r="BH77" s="152">
        <f>-'[33]Actual &amp; Assumptions'!BH289</f>
        <v>0</v>
      </c>
      <c r="BI77" s="152">
        <f>-'[33]Actual &amp; Assumptions'!BI289</f>
        <v>0</v>
      </c>
      <c r="BJ77" s="152">
        <f>-'[33]Actual &amp; Assumptions'!BJ289</f>
        <v>0</v>
      </c>
      <c r="BK77" s="152">
        <f>-'[33]Actual &amp; Assumptions'!BK289</f>
        <v>0</v>
      </c>
      <c r="BL77" s="152">
        <f>-'[33]Actual &amp; Assumptions'!BL289</f>
        <v>0</v>
      </c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</row>
    <row r="78" spans="1:272" s="222" customFormat="1" hidden="1" outlineLevel="1">
      <c r="A78" s="222" t="str">
        <f>'[33]Actual &amp; Assumptions'!A292</f>
        <v>Financial statement Translation Diff.</v>
      </c>
      <c r="C78" s="152">
        <f>-'[33]Actual &amp; Assumptions'!C293</f>
        <v>0</v>
      </c>
      <c r="D78" s="152">
        <f>-'[33]Actual &amp; Assumptions'!D293</f>
        <v>0</v>
      </c>
      <c r="E78" s="152">
        <f>-'[33]Actual &amp; Assumptions'!E293</f>
        <v>0</v>
      </c>
      <c r="F78" s="152">
        <f>-'[33]Actual &amp; Assumptions'!F293</f>
        <v>0</v>
      </c>
      <c r="G78" s="152">
        <f>-'[33]Actual &amp; Assumptions'!G293</f>
        <v>0</v>
      </c>
      <c r="H78" s="152">
        <f>-'[33]Actual &amp; Assumptions'!H293</f>
        <v>0</v>
      </c>
      <c r="I78" s="152">
        <f>-'[33]Actual &amp; Assumptions'!I293</f>
        <v>0</v>
      </c>
      <c r="J78" s="152">
        <f>-'[33]Actual &amp; Assumptions'!J293</f>
        <v>0</v>
      </c>
      <c r="K78" s="152">
        <f>-'[33]Actual &amp; Assumptions'!K293</f>
        <v>0</v>
      </c>
      <c r="L78" s="152">
        <f>-'[33]Actual &amp; Assumptions'!L293</f>
        <v>0</v>
      </c>
      <c r="M78" s="152">
        <f>-'[33]Actual &amp; Assumptions'!M293</f>
        <v>0</v>
      </c>
      <c r="N78" s="152">
        <f>-'[33]Actual &amp; Assumptions'!N293</f>
        <v>0</v>
      </c>
      <c r="O78" s="152">
        <f>-'[33]Actual &amp; Assumptions'!O293</f>
        <v>0</v>
      </c>
      <c r="P78" s="152">
        <f>-'[33]Actual &amp; Assumptions'!P293</f>
        <v>0</v>
      </c>
      <c r="Q78" s="152">
        <f>-'[33]Actual &amp; Assumptions'!Q293</f>
        <v>0</v>
      </c>
      <c r="R78" s="152">
        <f>-'[33]Actual &amp; Assumptions'!R293</f>
        <v>0</v>
      </c>
      <c r="S78" s="152">
        <f>-'[33]Actual &amp; Assumptions'!S293</f>
        <v>0</v>
      </c>
      <c r="T78" s="152">
        <f>-'[33]Actual &amp; Assumptions'!T293</f>
        <v>0</v>
      </c>
      <c r="U78" s="152">
        <f>-'[33]Actual &amp; Assumptions'!U293</f>
        <v>0</v>
      </c>
      <c r="V78" s="152">
        <f>-'[33]Actual &amp; Assumptions'!V293</f>
        <v>0</v>
      </c>
      <c r="W78" s="152">
        <f>-'[33]Actual &amp; Assumptions'!W293</f>
        <v>0</v>
      </c>
      <c r="X78" s="152">
        <f>-'[33]Actual &amp; Assumptions'!X293</f>
        <v>0</v>
      </c>
      <c r="Y78" s="152">
        <f>-'[33]Actual &amp; Assumptions'!Y293</f>
        <v>0</v>
      </c>
      <c r="Z78" s="152">
        <f>-'[33]Actual &amp; Assumptions'!Z293</f>
        <v>0</v>
      </c>
      <c r="AA78" s="152">
        <f>-'[33]Actual &amp; Assumptions'!AA293</f>
        <v>0</v>
      </c>
      <c r="AB78" s="152">
        <f>-'[33]Actual &amp; Assumptions'!AB293</f>
        <v>0</v>
      </c>
      <c r="AC78" s="152">
        <f>-'[33]Actual &amp; Assumptions'!AC293</f>
        <v>0</v>
      </c>
      <c r="AD78" s="152">
        <f>-'[33]Actual &amp; Assumptions'!AD293</f>
        <v>0</v>
      </c>
      <c r="AE78" s="152">
        <f>-'[33]Actual &amp; Assumptions'!AE293</f>
        <v>0</v>
      </c>
      <c r="AF78" s="152">
        <f>-'[33]Actual &amp; Assumptions'!AF293</f>
        <v>0</v>
      </c>
      <c r="AG78" s="152">
        <f>-'[33]Actual &amp; Assumptions'!AG293</f>
        <v>0</v>
      </c>
      <c r="AH78" s="152">
        <f>-'[33]Actual &amp; Assumptions'!AH293</f>
        <v>0</v>
      </c>
      <c r="AI78" s="152">
        <f>-'[33]Actual &amp; Assumptions'!AI293</f>
        <v>0</v>
      </c>
      <c r="AJ78" s="152">
        <f>-'[33]Actual &amp; Assumptions'!AJ293</f>
        <v>0</v>
      </c>
      <c r="AK78" s="152">
        <f>-'[33]Actual &amp; Assumptions'!AK293</f>
        <v>0</v>
      </c>
      <c r="AL78" s="152">
        <f>-'[33]Actual &amp; Assumptions'!AL293</f>
        <v>0</v>
      </c>
      <c r="AM78" s="152">
        <f>-'[33]Actual &amp; Assumptions'!AM293</f>
        <v>0</v>
      </c>
      <c r="AN78" s="152">
        <f>-'[33]Actual &amp; Assumptions'!AN293</f>
        <v>0</v>
      </c>
      <c r="AO78" s="152">
        <f>-'[33]Actual &amp; Assumptions'!AO293</f>
        <v>0</v>
      </c>
      <c r="AP78" s="152">
        <f>-'[33]Actual &amp; Assumptions'!AP293</f>
        <v>0</v>
      </c>
      <c r="AQ78" s="152">
        <f>-'[33]Actual &amp; Assumptions'!AQ293</f>
        <v>0</v>
      </c>
      <c r="AR78" s="152">
        <f>-'[33]Actual &amp; Assumptions'!AR293</f>
        <v>0</v>
      </c>
      <c r="AS78" s="152">
        <f>-'[33]Actual &amp; Assumptions'!AS293</f>
        <v>0</v>
      </c>
      <c r="AT78" s="152">
        <f t="shared" si="55"/>
        <v>0</v>
      </c>
      <c r="AU78" s="152">
        <f>-'[33]Actual &amp; Assumptions'!AU293</f>
        <v>0</v>
      </c>
      <c r="AV78" s="152">
        <f>-'[33]Actual &amp; Assumptions'!AV293</f>
        <v>0</v>
      </c>
      <c r="AW78" s="152">
        <f>-'[33]Actual &amp; Assumptions'!AW293</f>
        <v>0</v>
      </c>
      <c r="AX78" s="152">
        <f>-'[33]Actual &amp; Assumptions'!AX293</f>
        <v>0</v>
      </c>
      <c r="AY78" s="152">
        <f t="shared" si="56"/>
        <v>0</v>
      </c>
      <c r="AZ78" s="152">
        <f>-'[33]Actual &amp; Assumptions'!AZ293</f>
        <v>0</v>
      </c>
      <c r="BA78" s="152">
        <f>-'[33]Actual &amp; Assumptions'!BA293</f>
        <v>0</v>
      </c>
      <c r="BB78" s="152">
        <f>-'[33]Actual &amp; Assumptions'!BB293</f>
        <v>0</v>
      </c>
      <c r="BC78" s="152">
        <f>-'[33]Actual &amp; Assumptions'!BC293</f>
        <v>0</v>
      </c>
      <c r="BD78" s="152">
        <f>-'[33]Actual &amp; Assumptions'!BD293</f>
        <v>0</v>
      </c>
      <c r="BE78" s="152">
        <f>-'[33]Actual &amp; Assumptions'!BE293</f>
        <v>0</v>
      </c>
      <c r="BF78" s="152">
        <f>-'[33]Actual &amp; Assumptions'!BF293</f>
        <v>0</v>
      </c>
      <c r="BG78" s="152">
        <f>-'[33]Actual &amp; Assumptions'!BG293</f>
        <v>0</v>
      </c>
      <c r="BH78" s="152">
        <f>-'[33]Actual &amp; Assumptions'!BH293</f>
        <v>0</v>
      </c>
      <c r="BI78" s="152">
        <f>-'[33]Actual &amp; Assumptions'!BI293</f>
        <v>0</v>
      </c>
      <c r="BJ78" s="152">
        <f>-'[33]Actual &amp; Assumptions'!BJ293</f>
        <v>0</v>
      </c>
      <c r="BK78" s="152">
        <f>-'[33]Actual &amp; Assumptions'!BK293</f>
        <v>0</v>
      </c>
      <c r="BL78" s="152">
        <f>-'[33]Actual &amp; Assumptions'!BL293</f>
        <v>0</v>
      </c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</row>
    <row r="79" spans="1:272" s="222" customFormat="1" hidden="1" outlineLevel="1">
      <c r="A79" s="230" t="s">
        <v>394</v>
      </c>
      <c r="B79" s="230"/>
      <c r="C79" s="231">
        <f>SUM(C71:C78)</f>
        <v>-15288</v>
      </c>
      <c r="D79" s="231">
        <f>SUM(D71:D78)</f>
        <v>-31770</v>
      </c>
      <c r="E79" s="231">
        <f t="shared" ref="E79:BA79" si="60">SUM(E71:E78)</f>
        <v>-43704</v>
      </c>
      <c r="F79" s="231">
        <f t="shared" si="60"/>
        <v>-53021</v>
      </c>
      <c r="G79" s="231">
        <f t="shared" si="60"/>
        <v>-44621.058000000048</v>
      </c>
      <c r="H79" s="231">
        <f t="shared" si="60"/>
        <v>-64277.993000000046</v>
      </c>
      <c r="I79" s="231">
        <f t="shared" si="60"/>
        <v>-33021.511500000001</v>
      </c>
      <c r="J79" s="231">
        <f t="shared" si="60"/>
        <v>-31441.346856599463</v>
      </c>
      <c r="K79" s="231">
        <f t="shared" si="60"/>
        <v>-32723.325020000106</v>
      </c>
      <c r="L79" s="231">
        <f>SUM(L71:L78)</f>
        <v>-33288.989629999982</v>
      </c>
      <c r="M79" s="231">
        <f>SUM(M71:M78)</f>
        <v>-37442.8095499997</v>
      </c>
      <c r="N79" s="231">
        <f>SUM(N71:N78)</f>
        <v>-43159.093609999705</v>
      </c>
      <c r="O79" s="231">
        <f>SUM(O71:O78)</f>
        <v>-41241.205609999728</v>
      </c>
      <c r="P79" s="231">
        <f t="shared" si="60"/>
        <v>-41241.205609999728</v>
      </c>
      <c r="Q79" s="231">
        <f t="shared" si="60"/>
        <v>-47962.582035500003</v>
      </c>
      <c r="R79" s="231">
        <f t="shared" si="60"/>
        <v>-49253.246393987683</v>
      </c>
      <c r="S79" s="231">
        <f t="shared" si="60"/>
        <v>-51021.217853987582</v>
      </c>
      <c r="T79" s="231">
        <f t="shared" si="60"/>
        <v>-54257.89606398758</v>
      </c>
      <c r="U79" s="231">
        <f t="shared" si="60"/>
        <v>-54257.896063987639</v>
      </c>
      <c r="V79" s="231">
        <f t="shared" si="60"/>
        <v>-67202.484433987658</v>
      </c>
      <c r="W79" s="231">
        <f t="shared" si="60"/>
        <v>-68014.933883987658</v>
      </c>
      <c r="X79" s="231">
        <f t="shared" si="60"/>
        <v>-69809.153303987769</v>
      </c>
      <c r="Y79" s="231">
        <f t="shared" si="60"/>
        <v>-55085.25699398767</v>
      </c>
      <c r="Z79" s="231">
        <f t="shared" si="60"/>
        <v>-55085.256993987634</v>
      </c>
      <c r="AA79" s="231">
        <f t="shared" si="60"/>
        <v>-53412.713658898945</v>
      </c>
      <c r="AB79" s="231">
        <f t="shared" si="60"/>
        <v>-51459.761255399637</v>
      </c>
      <c r="AC79" s="231">
        <f t="shared" si="60"/>
        <v>-50579.662272039648</v>
      </c>
      <c r="AD79" s="231">
        <f t="shared" si="60"/>
        <v>-54860.723085479629</v>
      </c>
      <c r="AE79" s="231">
        <f t="shared" si="60"/>
        <v>-54860.723085479651</v>
      </c>
      <c r="AF79" s="231">
        <f t="shared" si="60"/>
        <v>-48938.392855479644</v>
      </c>
      <c r="AG79" s="231">
        <f t="shared" si="60"/>
        <v>-42147.721985479657</v>
      </c>
      <c r="AH79" s="231">
        <f t="shared" si="60"/>
        <v>-17783.974125479654</v>
      </c>
      <c r="AI79" s="231">
        <f t="shared" si="60"/>
        <v>-5908.9741254796536</v>
      </c>
      <c r="AJ79" s="231">
        <f t="shared" si="60"/>
        <v>-5908.9741254796681</v>
      </c>
      <c r="AK79" s="231">
        <f t="shared" si="60"/>
        <v>43800</v>
      </c>
      <c r="AL79" s="231">
        <f t="shared" si="60"/>
        <v>50497</v>
      </c>
      <c r="AM79" s="231">
        <f t="shared" si="60"/>
        <v>61250</v>
      </c>
      <c r="AN79" s="231">
        <f t="shared" si="60"/>
        <v>78462.141874520341</v>
      </c>
      <c r="AO79" s="231">
        <f t="shared" si="60"/>
        <v>78462.141874520341</v>
      </c>
      <c r="AP79" s="231">
        <f t="shared" si="60"/>
        <v>79728.630129820725</v>
      </c>
      <c r="AQ79" s="231">
        <f t="shared" si="60"/>
        <v>78230.908431413467</v>
      </c>
      <c r="AR79" s="231">
        <f t="shared" si="60"/>
        <v>79091.187017627177</v>
      </c>
      <c r="AS79" s="231">
        <f t="shared" si="60"/>
        <v>86760.141311527172</v>
      </c>
      <c r="AT79" s="231">
        <f>SUM(AT71:AT78)</f>
        <v>86760.141311527172</v>
      </c>
      <c r="AU79" s="231">
        <f t="shared" si="60"/>
        <v>88120.206288193891</v>
      </c>
      <c r="AV79" s="231">
        <f t="shared" si="60"/>
        <v>87902.860454860536</v>
      </c>
      <c r="AW79" s="231">
        <f t="shared" si="60"/>
        <v>87608.902981527179</v>
      </c>
      <c r="AX79" s="231">
        <f t="shared" si="60"/>
        <v>85376.879568777164</v>
      </c>
      <c r="AY79" s="231">
        <f>SUM(AY71:AY78)</f>
        <v>85376.879568777164</v>
      </c>
      <c r="AZ79" s="231">
        <f t="shared" si="60"/>
        <v>70472.825134065934</v>
      </c>
      <c r="BA79" s="231">
        <f t="shared" si="60"/>
        <v>51462.600831524054</v>
      </c>
      <c r="BB79" s="231">
        <f>SUM(BB71:BB78)</f>
        <v>26294.740992092196</v>
      </c>
      <c r="BC79" s="231">
        <f>SUM(BC71:BC78)</f>
        <v>-6021.3953010986661</v>
      </c>
      <c r="BD79" s="231">
        <f t="shared" ref="BD79:BL79" si="61">SUM(BD71:BD78)</f>
        <v>-43984.0368846489</v>
      </c>
      <c r="BE79" s="231">
        <f t="shared" si="61"/>
        <v>-74776.988566193555</v>
      </c>
      <c r="BF79" s="231">
        <f t="shared" si="61"/>
        <v>-97631.277546203943</v>
      </c>
      <c r="BG79" s="231">
        <f t="shared" si="61"/>
        <v>-117527.59063457701</v>
      </c>
      <c r="BH79" s="231">
        <f t="shared" si="61"/>
        <v>-136785.8061135367</v>
      </c>
      <c r="BI79" s="231">
        <f t="shared" si="61"/>
        <v>-156850.36988067787</v>
      </c>
      <c r="BJ79" s="231">
        <f t="shared" si="61"/>
        <v>-179262.88521926949</v>
      </c>
      <c r="BK79" s="231">
        <f t="shared" si="61"/>
        <v>-203529.70353518234</v>
      </c>
      <c r="BL79" s="231">
        <f t="shared" si="61"/>
        <v>-230161.60499434682</v>
      </c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</row>
    <row r="80" spans="1:272" s="222" customFormat="1" hidden="1" outlineLevel="1">
      <c r="A80" s="222" t="str">
        <f>'[33]Actual &amp; Assumptions'!A296</f>
        <v>Minority Interest</v>
      </c>
      <c r="C80" s="152">
        <f>-'[33]Actual &amp; Assumptions'!C297</f>
        <v>0</v>
      </c>
      <c r="D80" s="152">
        <f>-'[33]Actual &amp; Assumptions'!D297</f>
        <v>0</v>
      </c>
      <c r="E80" s="152">
        <f>-'[33]Actual &amp; Assumptions'!E297</f>
        <v>0</v>
      </c>
      <c r="F80" s="152">
        <f>-'[33]Actual &amp; Assumptions'!F297</f>
        <v>0</v>
      </c>
      <c r="G80" s="152">
        <f>-'[33]Actual &amp; Assumptions'!G297</f>
        <v>0</v>
      </c>
      <c r="H80" s="152">
        <f>-'[33]Actual &amp; Assumptions'!H297</f>
        <v>0</v>
      </c>
      <c r="I80" s="152">
        <f>-'[33]Actual &amp; Assumptions'!I297</f>
        <v>0</v>
      </c>
      <c r="J80" s="152">
        <f>-'[33]Actual &amp; Assumptions'!J297</f>
        <v>0</v>
      </c>
      <c r="K80" s="152">
        <f>-'[33]Actual &amp; Assumptions'!K297</f>
        <v>0</v>
      </c>
      <c r="L80" s="152">
        <f>-'[33]Actual &amp; Assumptions'!L297</f>
        <v>0</v>
      </c>
      <c r="M80" s="152">
        <f>-'[33]Actual &amp; Assumptions'!M297</f>
        <v>0</v>
      </c>
      <c r="N80" s="152">
        <f>-'[33]Actual &amp; Assumptions'!N297</f>
        <v>0</v>
      </c>
      <c r="O80" s="152">
        <f>-'[33]Actual &amp; Assumptions'!O297</f>
        <v>0</v>
      </c>
      <c r="P80" s="152">
        <f>-'[33]Actual &amp; Assumptions'!P297</f>
        <v>0</v>
      </c>
      <c r="Q80" s="152">
        <f>-'[33]Actual &amp; Assumptions'!Q297</f>
        <v>0</v>
      </c>
      <c r="R80" s="152">
        <f>-'[33]Actual &amp; Assumptions'!R297</f>
        <v>0</v>
      </c>
      <c r="S80" s="152">
        <f>-'[33]Actual &amp; Assumptions'!S297</f>
        <v>0</v>
      </c>
      <c r="T80" s="152">
        <f>-'[33]Actual &amp; Assumptions'!T297</f>
        <v>0</v>
      </c>
      <c r="U80" s="152">
        <f>-'[33]Actual &amp; Assumptions'!U297</f>
        <v>0</v>
      </c>
      <c r="V80" s="152">
        <f>-'[33]Actual &amp; Assumptions'!V297</f>
        <v>0</v>
      </c>
      <c r="W80" s="152">
        <f>-'[33]Actual &amp; Assumptions'!W297</f>
        <v>0</v>
      </c>
      <c r="X80" s="152">
        <f>-'[33]Actual &amp; Assumptions'!X297</f>
        <v>0</v>
      </c>
      <c r="Y80" s="152">
        <f>-'[33]Actual &amp; Assumptions'!Y297</f>
        <v>0</v>
      </c>
      <c r="Z80" s="152">
        <f>-'[33]Actual &amp; Assumptions'!Z297</f>
        <v>0</v>
      </c>
      <c r="AA80" s="152">
        <f>-'[33]Actual &amp; Assumptions'!AA297</f>
        <v>0</v>
      </c>
      <c r="AB80" s="152">
        <f>-'[33]Actual &amp; Assumptions'!AB297</f>
        <v>0</v>
      </c>
      <c r="AC80" s="152">
        <f>-'[33]Actual &amp; Assumptions'!AC297</f>
        <v>0</v>
      </c>
      <c r="AD80" s="152">
        <f>-'[33]Actual &amp; Assumptions'!AD297</f>
        <v>0</v>
      </c>
      <c r="AE80" s="152">
        <f>-'[33]Actual &amp; Assumptions'!AE297</f>
        <v>0</v>
      </c>
      <c r="AF80" s="152">
        <f>-'[33]Actual &amp; Assumptions'!AF297</f>
        <v>0</v>
      </c>
      <c r="AG80" s="152">
        <f>-'[33]Actual &amp; Assumptions'!AG297</f>
        <v>0</v>
      </c>
      <c r="AH80" s="152">
        <f>-'[33]Actual &amp; Assumptions'!AH297</f>
        <v>0</v>
      </c>
      <c r="AI80" s="152">
        <f>-'[33]Actual &amp; Assumptions'!AI297</f>
        <v>0</v>
      </c>
      <c r="AJ80" s="152">
        <f>-'[33]Actual &amp; Assumptions'!AJ297</f>
        <v>0</v>
      </c>
      <c r="AK80" s="152">
        <f>-'[33]Actual &amp; Assumptions'!AK297</f>
        <v>0</v>
      </c>
      <c r="AL80" s="152">
        <f>-'[33]Actual &amp; Assumptions'!AL297</f>
        <v>0</v>
      </c>
      <c r="AM80" s="152">
        <f>-'[33]Actual &amp; Assumptions'!AM297</f>
        <v>0</v>
      </c>
      <c r="AN80" s="152">
        <f>-'[33]Actual &amp; Assumptions'!AN297</f>
        <v>0</v>
      </c>
      <c r="AO80" s="152">
        <f>-'[33]Actual &amp; Assumptions'!AO297</f>
        <v>0</v>
      </c>
      <c r="AP80" s="152">
        <f>-'[33]Actual &amp; Assumptions'!AP297</f>
        <v>0</v>
      </c>
      <c r="AQ80" s="152">
        <f>-'[33]Actual &amp; Assumptions'!AQ297</f>
        <v>0</v>
      </c>
      <c r="AR80" s="152">
        <f>-'[33]Actual &amp; Assumptions'!AR297</f>
        <v>0</v>
      </c>
      <c r="AS80" s="152">
        <f>-'[33]Actual &amp; Assumptions'!AS297</f>
        <v>0</v>
      </c>
      <c r="AT80" s="152">
        <f t="shared" ref="AT80:AT81" si="62">AS80</f>
        <v>0</v>
      </c>
      <c r="AU80" s="152">
        <f>-'[33]Actual &amp; Assumptions'!AU297</f>
        <v>0</v>
      </c>
      <c r="AV80" s="152">
        <f>-'[33]Actual &amp; Assumptions'!AV297</f>
        <v>0</v>
      </c>
      <c r="AW80" s="152">
        <f>-'[33]Actual &amp; Assumptions'!AW297</f>
        <v>0</v>
      </c>
      <c r="AX80" s="152">
        <f>-'[33]Actual &amp; Assumptions'!AX297</f>
        <v>0</v>
      </c>
      <c r="AY80" s="152">
        <f t="shared" ref="AY80:AY81" si="63">AX80</f>
        <v>0</v>
      </c>
      <c r="AZ80" s="152">
        <f>-'[33]Actual &amp; Assumptions'!AZ297</f>
        <v>0</v>
      </c>
      <c r="BA80" s="152">
        <f>-'[33]Actual &amp; Assumptions'!BA297</f>
        <v>0</v>
      </c>
      <c r="BB80" s="152">
        <f>-'[33]Actual &amp; Assumptions'!BB297</f>
        <v>0</v>
      </c>
      <c r="BC80" s="152">
        <f>-'[33]Actual &amp; Assumptions'!BC297</f>
        <v>0</v>
      </c>
      <c r="BD80" s="152">
        <f>-'[33]Actual &amp; Assumptions'!BD297</f>
        <v>0</v>
      </c>
      <c r="BE80" s="152">
        <f>-'[33]Actual &amp; Assumptions'!BE297</f>
        <v>0</v>
      </c>
      <c r="BF80" s="152">
        <f>-'[33]Actual &amp; Assumptions'!BF297</f>
        <v>0</v>
      </c>
      <c r="BG80" s="152">
        <f>-'[33]Actual &amp; Assumptions'!BG297</f>
        <v>0</v>
      </c>
      <c r="BH80" s="152">
        <f>-'[33]Actual &amp; Assumptions'!BH297</f>
        <v>0</v>
      </c>
      <c r="BI80" s="152">
        <f>-'[33]Actual &amp; Assumptions'!BI297</f>
        <v>0</v>
      </c>
      <c r="BJ80" s="152">
        <f>-'[33]Actual &amp; Assumptions'!BJ297</f>
        <v>0</v>
      </c>
      <c r="BK80" s="152">
        <f>-'[33]Actual &amp; Assumptions'!BK297</f>
        <v>0</v>
      </c>
      <c r="BL80" s="152">
        <f>-'[33]Actual &amp; Assumptions'!BL297</f>
        <v>0</v>
      </c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</row>
    <row r="81" spans="1:272" s="222" customFormat="1" hidden="1" outlineLevel="1">
      <c r="A81" s="222" t="str">
        <f>'[33]Actual &amp; Assumptions'!A300</f>
        <v>Minority Interest Portion in Net Profit</v>
      </c>
      <c r="C81" s="152">
        <f>-'[33]Actual &amp; Assumptions'!C301</f>
        <v>0</v>
      </c>
      <c r="D81" s="152">
        <f>-'[33]Actual &amp; Assumptions'!D301</f>
        <v>0</v>
      </c>
      <c r="E81" s="152">
        <f>-'[33]Actual &amp; Assumptions'!E301</f>
        <v>0</v>
      </c>
      <c r="F81" s="152">
        <f>-'[33]Actual &amp; Assumptions'!F301</f>
        <v>0</v>
      </c>
      <c r="G81" s="152">
        <f>-'[33]Actual &amp; Assumptions'!G301</f>
        <v>0</v>
      </c>
      <c r="H81" s="152">
        <f>-'[33]Actual &amp; Assumptions'!H301</f>
        <v>0</v>
      </c>
      <c r="I81" s="152">
        <f>-'[33]Actual &amp; Assumptions'!I301</f>
        <v>0</v>
      </c>
      <c r="J81" s="152">
        <f>-'[33]Actual &amp; Assumptions'!J301</f>
        <v>0</v>
      </c>
      <c r="K81" s="152">
        <f>-'[33]Actual &amp; Assumptions'!K301</f>
        <v>0</v>
      </c>
      <c r="L81" s="152">
        <f>-'[33]Actual &amp; Assumptions'!L301</f>
        <v>0</v>
      </c>
      <c r="M81" s="152">
        <f>-'[33]Actual &amp; Assumptions'!M301</f>
        <v>0</v>
      </c>
      <c r="N81" s="152">
        <f>-'[33]Actual &amp; Assumptions'!N301</f>
        <v>0</v>
      </c>
      <c r="O81" s="152">
        <f>-'[33]Actual &amp; Assumptions'!O301</f>
        <v>0</v>
      </c>
      <c r="P81" s="152">
        <f>-'[33]Actual &amp; Assumptions'!P301</f>
        <v>0</v>
      </c>
      <c r="Q81" s="152">
        <f>-'[33]Actual &amp; Assumptions'!Q301</f>
        <v>0</v>
      </c>
      <c r="R81" s="152">
        <f>-'[33]Actual &amp; Assumptions'!R301</f>
        <v>0</v>
      </c>
      <c r="S81" s="152">
        <f>-'[33]Actual &amp; Assumptions'!S301</f>
        <v>0</v>
      </c>
      <c r="T81" s="152">
        <f>-'[33]Actual &amp; Assumptions'!T301</f>
        <v>0</v>
      </c>
      <c r="U81" s="152">
        <f>-'[33]Actual &amp; Assumptions'!U301</f>
        <v>0</v>
      </c>
      <c r="V81" s="152">
        <f>-'[33]Actual &amp; Assumptions'!V301</f>
        <v>0</v>
      </c>
      <c r="W81" s="152">
        <f>-'[33]Actual &amp; Assumptions'!W301</f>
        <v>0</v>
      </c>
      <c r="X81" s="152">
        <f>-'[33]Actual &amp; Assumptions'!X301</f>
        <v>0</v>
      </c>
      <c r="Y81" s="152">
        <f>-'[33]Actual &amp; Assumptions'!Y301</f>
        <v>0</v>
      </c>
      <c r="Z81" s="152">
        <f>-'[33]Actual &amp; Assumptions'!Z301</f>
        <v>0</v>
      </c>
      <c r="AA81" s="152">
        <f>-'[33]Actual &amp; Assumptions'!AA301</f>
        <v>0</v>
      </c>
      <c r="AB81" s="152">
        <f>-'[33]Actual &amp; Assumptions'!AB301</f>
        <v>0</v>
      </c>
      <c r="AC81" s="152">
        <f>-'[33]Actual &amp; Assumptions'!AC301</f>
        <v>0</v>
      </c>
      <c r="AD81" s="152">
        <f>-'[33]Actual &amp; Assumptions'!AD301</f>
        <v>0</v>
      </c>
      <c r="AE81" s="152">
        <f>-'[33]Actual &amp; Assumptions'!AE301</f>
        <v>0</v>
      </c>
      <c r="AF81" s="152">
        <f>-'[33]Actual &amp; Assumptions'!AF301</f>
        <v>0</v>
      </c>
      <c r="AG81" s="152">
        <f>-'[33]Actual &amp; Assumptions'!AG301</f>
        <v>0</v>
      </c>
      <c r="AH81" s="152">
        <f>-'[33]Actual &amp; Assumptions'!AH301</f>
        <v>0</v>
      </c>
      <c r="AI81" s="152">
        <f>-'[33]Actual &amp; Assumptions'!AI301</f>
        <v>0</v>
      </c>
      <c r="AJ81" s="152">
        <f>-'[33]Actual &amp; Assumptions'!AJ301</f>
        <v>0</v>
      </c>
      <c r="AK81" s="152">
        <f>-'[33]Actual &amp; Assumptions'!AK301</f>
        <v>0</v>
      </c>
      <c r="AL81" s="152">
        <f>-'[33]Actual &amp; Assumptions'!AL301</f>
        <v>0</v>
      </c>
      <c r="AM81" s="152">
        <f>-'[33]Actual &amp; Assumptions'!AM301</f>
        <v>0</v>
      </c>
      <c r="AN81" s="152">
        <f>-'[33]Actual &amp; Assumptions'!AN301</f>
        <v>0</v>
      </c>
      <c r="AO81" s="152">
        <f>-'[33]Actual &amp; Assumptions'!AO301</f>
        <v>0</v>
      </c>
      <c r="AP81" s="152">
        <f>-'[33]Actual &amp; Assumptions'!AP301</f>
        <v>0</v>
      </c>
      <c r="AQ81" s="152">
        <f>-'[33]Actual &amp; Assumptions'!AQ301</f>
        <v>0</v>
      </c>
      <c r="AR81" s="152">
        <f>-'[33]Actual &amp; Assumptions'!AR301</f>
        <v>0</v>
      </c>
      <c r="AS81" s="152">
        <f>-'[33]Actual &amp; Assumptions'!AS301</f>
        <v>0</v>
      </c>
      <c r="AT81" s="152">
        <f t="shared" si="62"/>
        <v>0</v>
      </c>
      <c r="AU81" s="152">
        <f>-'[33]Actual &amp; Assumptions'!AU301</f>
        <v>0</v>
      </c>
      <c r="AV81" s="152">
        <f>-'[33]Actual &amp; Assumptions'!AV301</f>
        <v>0</v>
      </c>
      <c r="AW81" s="152">
        <f>-'[33]Actual &amp; Assumptions'!AW301</f>
        <v>0</v>
      </c>
      <c r="AX81" s="152">
        <f>-'[33]Actual &amp; Assumptions'!AX301</f>
        <v>0</v>
      </c>
      <c r="AY81" s="152">
        <f t="shared" si="63"/>
        <v>0</v>
      </c>
      <c r="AZ81" s="152">
        <f>-'[33]Actual &amp; Assumptions'!AZ301</f>
        <v>0</v>
      </c>
      <c r="BA81" s="152">
        <f>-'[33]Actual &amp; Assumptions'!BA301</f>
        <v>0</v>
      </c>
      <c r="BB81" s="152">
        <f>-'[33]Actual &amp; Assumptions'!BB301</f>
        <v>0</v>
      </c>
      <c r="BC81" s="152">
        <f>-'[33]Actual &amp; Assumptions'!BC301</f>
        <v>0</v>
      </c>
      <c r="BD81" s="152">
        <f>-'[33]Actual &amp; Assumptions'!BD301</f>
        <v>0</v>
      </c>
      <c r="BE81" s="152">
        <f>-'[33]Actual &amp; Assumptions'!BE301</f>
        <v>0</v>
      </c>
      <c r="BF81" s="152">
        <f>-'[33]Actual &amp; Assumptions'!BF301</f>
        <v>0</v>
      </c>
      <c r="BG81" s="152">
        <f>-'[33]Actual &amp; Assumptions'!BG301</f>
        <v>0</v>
      </c>
      <c r="BH81" s="152">
        <f>-'[33]Actual &amp; Assumptions'!BH301</f>
        <v>0</v>
      </c>
      <c r="BI81" s="152">
        <f>-'[33]Actual &amp; Assumptions'!BI301</f>
        <v>0</v>
      </c>
      <c r="BJ81" s="152">
        <f>-'[33]Actual &amp; Assumptions'!BJ301</f>
        <v>0</v>
      </c>
      <c r="BK81" s="152">
        <f>-'[33]Actual &amp; Assumptions'!BK301</f>
        <v>0</v>
      </c>
      <c r="BL81" s="152">
        <f>-'[33]Actual &amp; Assumptions'!BL301</f>
        <v>0</v>
      </c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</row>
    <row r="82" spans="1:272" s="222" customFormat="1" hidden="1" outlineLevel="1">
      <c r="A82" s="230" t="s">
        <v>395</v>
      </c>
      <c r="B82" s="230"/>
      <c r="C82" s="231">
        <f>SUM(C80:C81)</f>
        <v>0</v>
      </c>
      <c r="D82" s="231">
        <f>SUM(D80:D81)</f>
        <v>0</v>
      </c>
      <c r="E82" s="231">
        <f t="shared" ref="E82:BA82" si="64">SUM(E80:E81)</f>
        <v>0</v>
      </c>
      <c r="F82" s="231">
        <f t="shared" si="64"/>
        <v>0</v>
      </c>
      <c r="G82" s="231">
        <f t="shared" si="64"/>
        <v>0</v>
      </c>
      <c r="H82" s="231">
        <f t="shared" si="64"/>
        <v>0</v>
      </c>
      <c r="I82" s="231">
        <f t="shared" si="64"/>
        <v>0</v>
      </c>
      <c r="J82" s="231">
        <f t="shared" si="64"/>
        <v>0</v>
      </c>
      <c r="K82" s="231">
        <f t="shared" si="64"/>
        <v>0</v>
      </c>
      <c r="L82" s="231">
        <f>SUM(L80:L81)</f>
        <v>0</v>
      </c>
      <c r="M82" s="231">
        <f>SUM(M80:M81)</f>
        <v>0</v>
      </c>
      <c r="N82" s="231">
        <f>SUM(N80:N81)</f>
        <v>0</v>
      </c>
      <c r="O82" s="231">
        <f>SUM(O80:O81)</f>
        <v>0</v>
      </c>
      <c r="P82" s="231">
        <f t="shared" si="64"/>
        <v>0</v>
      </c>
      <c r="Q82" s="231">
        <f t="shared" si="64"/>
        <v>0</v>
      </c>
      <c r="R82" s="231">
        <f t="shared" si="64"/>
        <v>0</v>
      </c>
      <c r="S82" s="231">
        <f t="shared" si="64"/>
        <v>0</v>
      </c>
      <c r="T82" s="231">
        <f t="shared" si="64"/>
        <v>0</v>
      </c>
      <c r="U82" s="231">
        <f t="shared" si="64"/>
        <v>0</v>
      </c>
      <c r="V82" s="231">
        <f t="shared" si="64"/>
        <v>0</v>
      </c>
      <c r="W82" s="231">
        <f t="shared" si="64"/>
        <v>0</v>
      </c>
      <c r="X82" s="231">
        <f t="shared" si="64"/>
        <v>0</v>
      </c>
      <c r="Y82" s="231">
        <f t="shared" si="64"/>
        <v>0</v>
      </c>
      <c r="Z82" s="231">
        <f t="shared" si="64"/>
        <v>0</v>
      </c>
      <c r="AA82" s="231">
        <f t="shared" si="64"/>
        <v>0</v>
      </c>
      <c r="AB82" s="231">
        <f t="shared" si="64"/>
        <v>0</v>
      </c>
      <c r="AC82" s="231">
        <f t="shared" si="64"/>
        <v>0</v>
      </c>
      <c r="AD82" s="231">
        <f t="shared" si="64"/>
        <v>0</v>
      </c>
      <c r="AE82" s="231">
        <f t="shared" si="64"/>
        <v>0</v>
      </c>
      <c r="AF82" s="231">
        <f t="shared" si="64"/>
        <v>0</v>
      </c>
      <c r="AG82" s="231">
        <f t="shared" si="64"/>
        <v>0</v>
      </c>
      <c r="AH82" s="231">
        <f t="shared" si="64"/>
        <v>0</v>
      </c>
      <c r="AI82" s="231">
        <f t="shared" si="64"/>
        <v>0</v>
      </c>
      <c r="AJ82" s="231">
        <f t="shared" si="64"/>
        <v>0</v>
      </c>
      <c r="AK82" s="231">
        <f t="shared" si="64"/>
        <v>0</v>
      </c>
      <c r="AL82" s="231">
        <f t="shared" si="64"/>
        <v>0</v>
      </c>
      <c r="AM82" s="231">
        <f t="shared" si="64"/>
        <v>0</v>
      </c>
      <c r="AN82" s="231">
        <f t="shared" si="64"/>
        <v>0</v>
      </c>
      <c r="AO82" s="231">
        <f t="shared" si="64"/>
        <v>0</v>
      </c>
      <c r="AP82" s="231">
        <f t="shared" si="64"/>
        <v>0</v>
      </c>
      <c r="AQ82" s="231">
        <f t="shared" si="64"/>
        <v>0</v>
      </c>
      <c r="AR82" s="231">
        <f t="shared" si="64"/>
        <v>0</v>
      </c>
      <c r="AS82" s="231">
        <f t="shared" si="64"/>
        <v>0</v>
      </c>
      <c r="AT82" s="231">
        <f t="shared" si="64"/>
        <v>0</v>
      </c>
      <c r="AU82" s="231">
        <f t="shared" si="64"/>
        <v>0</v>
      </c>
      <c r="AV82" s="231">
        <f t="shared" si="64"/>
        <v>0</v>
      </c>
      <c r="AW82" s="231">
        <f t="shared" si="64"/>
        <v>0</v>
      </c>
      <c r="AX82" s="231">
        <f t="shared" si="64"/>
        <v>0</v>
      </c>
      <c r="AY82" s="231">
        <f t="shared" si="64"/>
        <v>0</v>
      </c>
      <c r="AZ82" s="231">
        <f t="shared" si="64"/>
        <v>0</v>
      </c>
      <c r="BA82" s="231">
        <f t="shared" si="64"/>
        <v>0</v>
      </c>
      <c r="BB82" s="231">
        <f>SUM(BB80:BB81)</f>
        <v>0</v>
      </c>
      <c r="BC82" s="231">
        <f>SUM(BC80:BC81)</f>
        <v>0</v>
      </c>
      <c r="BD82" s="231">
        <f t="shared" ref="BD82:BL82" si="65">SUM(BD80:BD81)</f>
        <v>0</v>
      </c>
      <c r="BE82" s="231">
        <f t="shared" si="65"/>
        <v>0</v>
      </c>
      <c r="BF82" s="231">
        <f t="shared" si="65"/>
        <v>0</v>
      </c>
      <c r="BG82" s="231">
        <f t="shared" si="65"/>
        <v>0</v>
      </c>
      <c r="BH82" s="231">
        <f t="shared" si="65"/>
        <v>0</v>
      </c>
      <c r="BI82" s="231">
        <f t="shared" si="65"/>
        <v>0</v>
      </c>
      <c r="BJ82" s="231">
        <f t="shared" si="65"/>
        <v>0</v>
      </c>
      <c r="BK82" s="231">
        <f t="shared" si="65"/>
        <v>0</v>
      </c>
      <c r="BL82" s="231">
        <f t="shared" si="65"/>
        <v>0</v>
      </c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</row>
    <row r="83" spans="1:272" s="222" customFormat="1" hidden="1" outlineLevel="1">
      <c r="A83" s="222" t="str">
        <f>'[33]Actual &amp; Assumptions'!A304</f>
        <v>Long Term Loans</v>
      </c>
      <c r="C83" s="152">
        <f>-'[33]Actual &amp; Assumptions'!C305</f>
        <v>0</v>
      </c>
      <c r="D83" s="152">
        <f>-'[33]Actual &amp; Assumptions'!D305</f>
        <v>0</v>
      </c>
      <c r="E83" s="152">
        <f>-'[33]Actual &amp; Assumptions'!E305</f>
        <v>0</v>
      </c>
      <c r="F83" s="152">
        <f>-'[33]Actual &amp; Assumptions'!F305</f>
        <v>0</v>
      </c>
      <c r="G83" s="152">
        <f>-'[33]Actual &amp; Assumptions'!G305</f>
        <v>0</v>
      </c>
      <c r="H83" s="152">
        <f>-'[33]Actual &amp; Assumptions'!H305</f>
        <v>0</v>
      </c>
      <c r="I83" s="152">
        <f>-'[33]Actual &amp; Assumptions'!I305</f>
        <v>0</v>
      </c>
      <c r="J83" s="152">
        <f>-'[33]Actual &amp; Assumptions'!J305</f>
        <v>0</v>
      </c>
      <c r="K83" s="152">
        <f>-'[33]Actual &amp; Assumptions'!K305</f>
        <v>0</v>
      </c>
      <c r="L83" s="152">
        <f>-'[33]Actual &amp; Assumptions'!L305</f>
        <v>0</v>
      </c>
      <c r="M83" s="152">
        <f>-'[33]Actual &amp; Assumptions'!M305</f>
        <v>0</v>
      </c>
      <c r="N83" s="152">
        <f>-'[33]Actual &amp; Assumptions'!N305</f>
        <v>0</v>
      </c>
      <c r="O83" s="152">
        <f>-'[33]Actual &amp; Assumptions'!O305</f>
        <v>0</v>
      </c>
      <c r="P83" s="152">
        <f>-'[33]Actual &amp; Assumptions'!P305</f>
        <v>0</v>
      </c>
      <c r="Q83" s="152">
        <f>-'[33]Actual &amp; Assumptions'!Q305</f>
        <v>0</v>
      </c>
      <c r="R83" s="152">
        <f>-'[33]Actual &amp; Assumptions'!R305</f>
        <v>0</v>
      </c>
      <c r="S83" s="152">
        <f>-'[33]Actual &amp; Assumptions'!S305</f>
        <v>0</v>
      </c>
      <c r="T83" s="152">
        <f>-'[33]Actual &amp; Assumptions'!T305</f>
        <v>0</v>
      </c>
      <c r="U83" s="152">
        <f>-'[33]Actual &amp; Assumptions'!U305</f>
        <v>0</v>
      </c>
      <c r="V83" s="152">
        <f>-'[33]Actual &amp; Assumptions'!V305</f>
        <v>0</v>
      </c>
      <c r="W83" s="152">
        <f>-'[33]Actual &amp; Assumptions'!W305</f>
        <v>0</v>
      </c>
      <c r="X83" s="152">
        <f>-'[33]Actual &amp; Assumptions'!X305</f>
        <v>0</v>
      </c>
      <c r="Y83" s="152">
        <f>-'[33]Actual &amp; Assumptions'!Y305</f>
        <v>0</v>
      </c>
      <c r="Z83" s="152">
        <f>-'[33]Actual &amp; Assumptions'!Z305</f>
        <v>0</v>
      </c>
      <c r="AA83" s="152">
        <f>-'[33]Actual &amp; Assumptions'!AA305</f>
        <v>0</v>
      </c>
      <c r="AB83" s="152">
        <f>-'[33]Actual &amp; Assumptions'!AB305</f>
        <v>0</v>
      </c>
      <c r="AC83" s="152">
        <f>-'[33]Actual &amp; Assumptions'!AC305</f>
        <v>0</v>
      </c>
      <c r="AD83" s="152">
        <f>-'[33]Actual &amp; Assumptions'!AD305</f>
        <v>0</v>
      </c>
      <c r="AE83" s="152">
        <f>-'[33]Actual &amp; Assumptions'!AE305</f>
        <v>0</v>
      </c>
      <c r="AF83" s="152">
        <f>-'[33]Actual &amp; Assumptions'!AF305</f>
        <v>0</v>
      </c>
      <c r="AG83" s="152">
        <f>-'[33]Actual &amp; Assumptions'!AG305</f>
        <v>0</v>
      </c>
      <c r="AH83" s="152">
        <f>-'[33]Actual &amp; Assumptions'!AH305</f>
        <v>0</v>
      </c>
      <c r="AI83" s="152">
        <f>-'[33]Actual &amp; Assumptions'!AI305</f>
        <v>0</v>
      </c>
      <c r="AJ83" s="152">
        <f>-'[33]Actual &amp; Assumptions'!AJ305</f>
        <v>0</v>
      </c>
      <c r="AK83" s="152">
        <f>-'[33]Actual &amp; Assumptions'!AK305</f>
        <v>0</v>
      </c>
      <c r="AL83" s="152">
        <f>-'[33]Actual &amp; Assumptions'!AL305</f>
        <v>0</v>
      </c>
      <c r="AM83" s="152">
        <f>-'[33]Actual &amp; Assumptions'!AM305</f>
        <v>0</v>
      </c>
      <c r="AN83" s="152">
        <f>-'[33]Actual &amp; Assumptions'!AN305</f>
        <v>0</v>
      </c>
      <c r="AO83" s="152">
        <f>-'[33]Actual &amp; Assumptions'!AO305</f>
        <v>0</v>
      </c>
      <c r="AP83" s="152">
        <f>-'[33]Actual &amp; Assumptions'!AP305</f>
        <v>0</v>
      </c>
      <c r="AQ83" s="152">
        <f>-'[33]Actual &amp; Assumptions'!AQ305</f>
        <v>0</v>
      </c>
      <c r="AR83" s="152">
        <f>-'[33]Actual &amp; Assumptions'!AR305</f>
        <v>0</v>
      </c>
      <c r="AS83" s="152">
        <f>-'[33]Actual &amp; Assumptions'!AS305</f>
        <v>0</v>
      </c>
      <c r="AT83" s="152">
        <f t="shared" ref="AT83:AT88" si="66">AS83</f>
        <v>0</v>
      </c>
      <c r="AU83" s="152">
        <f>-'[33]Actual &amp; Assumptions'!AU305</f>
        <v>0</v>
      </c>
      <c r="AV83" s="152">
        <f>-'[33]Actual &amp; Assumptions'!AV305</f>
        <v>0</v>
      </c>
      <c r="AW83" s="152">
        <f>-'[33]Actual &amp; Assumptions'!AW305</f>
        <v>0</v>
      </c>
      <c r="AX83" s="152">
        <f>-'[33]Actual &amp; Assumptions'!AX305</f>
        <v>0</v>
      </c>
      <c r="AY83" s="152">
        <f t="shared" ref="AY83:AY88" si="67">AX83</f>
        <v>0</v>
      </c>
      <c r="AZ83" s="152">
        <f>-'[33]Actual &amp; Assumptions'!AZ305</f>
        <v>0</v>
      </c>
      <c r="BA83" s="152">
        <f>-'[33]Actual &amp; Assumptions'!BA305</f>
        <v>0</v>
      </c>
      <c r="BB83" s="152">
        <f>-'[33]Actual &amp; Assumptions'!BB305</f>
        <v>0</v>
      </c>
      <c r="BC83" s="152">
        <f>-'[33]Actual &amp; Assumptions'!BC305</f>
        <v>0</v>
      </c>
      <c r="BD83" s="152">
        <f>-'[33]Actual &amp; Assumptions'!BD305</f>
        <v>0</v>
      </c>
      <c r="BE83" s="152">
        <f>-'[33]Actual &amp; Assumptions'!BE305</f>
        <v>0</v>
      </c>
      <c r="BF83" s="152">
        <f>-'[33]Actual &amp; Assumptions'!BF305</f>
        <v>0</v>
      </c>
      <c r="BG83" s="152">
        <f>-'[33]Actual &amp; Assumptions'!BG305</f>
        <v>0</v>
      </c>
      <c r="BH83" s="152">
        <f>-'[33]Actual &amp; Assumptions'!BH305</f>
        <v>0</v>
      </c>
      <c r="BI83" s="152">
        <f>-'[33]Actual &amp; Assumptions'!BI305</f>
        <v>0</v>
      </c>
      <c r="BJ83" s="152">
        <f>-'[33]Actual &amp; Assumptions'!BJ305</f>
        <v>0</v>
      </c>
      <c r="BK83" s="152">
        <f>-'[33]Actual &amp; Assumptions'!BK305</f>
        <v>0</v>
      </c>
      <c r="BL83" s="152">
        <f>-'[33]Actual &amp; Assumptions'!BL305</f>
        <v>0</v>
      </c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</row>
    <row r="84" spans="1:272" s="222" customFormat="1" hidden="1" outlineLevel="1">
      <c r="A84" s="222" t="str">
        <f>'[33]Actual &amp; Assumptions'!A308</f>
        <v>Other Long term Liabilities</v>
      </c>
      <c r="C84" s="152">
        <f>-'[33]Actual &amp; Assumptions'!C309</f>
        <v>0</v>
      </c>
      <c r="D84" s="152">
        <f>-'[33]Actual &amp; Assumptions'!D309</f>
        <v>-20845</v>
      </c>
      <c r="E84" s="152">
        <f>-'[33]Actual &amp; Assumptions'!E309</f>
        <v>0</v>
      </c>
      <c r="F84" s="152">
        <f>-'[33]Actual &amp; Assumptions'!F309</f>
        <v>0</v>
      </c>
      <c r="G84" s="152">
        <f>-'[33]Actual &amp; Assumptions'!G309</f>
        <v>-195</v>
      </c>
      <c r="H84" s="152">
        <f>-'[33]Actual &amp; Assumptions'!H309</f>
        <v>-286</v>
      </c>
      <c r="I84" s="152">
        <f>-'[33]Actual &amp; Assumptions'!I309</f>
        <v>-181</v>
      </c>
      <c r="J84" s="152">
        <f>-'[33]Actual &amp; Assumptions'!J309</f>
        <v>-181</v>
      </c>
      <c r="K84" s="152">
        <f>-'[33]Actual &amp; Assumptions'!K309</f>
        <v>-181</v>
      </c>
      <c r="L84" s="152">
        <f>-'[33]Actual &amp; Assumptions'!L309</f>
        <v>-181</v>
      </c>
      <c r="M84" s="152">
        <f>-'[33]Actual &amp; Assumptions'!M309</f>
        <v>-181</v>
      </c>
      <c r="N84" s="152">
        <f>-'[33]Actual &amp; Assumptions'!N309</f>
        <v>-181</v>
      </c>
      <c r="O84" s="152">
        <f>-'[33]Actual &amp; Assumptions'!O309</f>
        <v>-181</v>
      </c>
      <c r="P84" s="152">
        <f>-'[33]Actual &amp; Assumptions'!P309</f>
        <v>-181</v>
      </c>
      <c r="Q84" s="152">
        <f>-'[33]Actual &amp; Assumptions'!Q309</f>
        <v>-181</v>
      </c>
      <c r="R84" s="152">
        <f>-'[33]Actual &amp; Assumptions'!R309</f>
        <v>-181</v>
      </c>
      <c r="S84" s="152">
        <f>-'[33]Actual &amp; Assumptions'!S309</f>
        <v>-181</v>
      </c>
      <c r="T84" s="152">
        <f>-'[33]Actual &amp; Assumptions'!T309</f>
        <v>-181</v>
      </c>
      <c r="U84" s="152">
        <f>-'[33]Actual &amp; Assumptions'!U309</f>
        <v>-181</v>
      </c>
      <c r="V84" s="152">
        <f>-'[33]Actual &amp; Assumptions'!V309</f>
        <v>-181</v>
      </c>
      <c r="W84" s="152">
        <f>-'[33]Actual &amp; Assumptions'!W309</f>
        <v>-181</v>
      </c>
      <c r="X84" s="152">
        <f>-'[33]Actual &amp; Assumptions'!X309</f>
        <v>-181</v>
      </c>
      <c r="Y84" s="152">
        <f>-'[33]Actual &amp; Assumptions'!Y309</f>
        <v>-181</v>
      </c>
      <c r="Z84" s="152">
        <f>-'[33]Actual &amp; Assumptions'!Z309</f>
        <v>-181</v>
      </c>
      <c r="AA84" s="152">
        <f>-'[33]Actual &amp; Assumptions'!AA309</f>
        <v>-316</v>
      </c>
      <c r="AB84" s="152">
        <f>-'[33]Actual &amp; Assumptions'!AB309</f>
        <v>-316</v>
      </c>
      <c r="AC84" s="152">
        <f>-'[33]Actual &amp; Assumptions'!AC309</f>
        <v>-331</v>
      </c>
      <c r="AD84" s="152">
        <f>-'[33]Actual &amp; Assumptions'!AD309</f>
        <v>0</v>
      </c>
      <c r="AE84" s="152">
        <f>-'[33]Actual &amp; Assumptions'!AE309</f>
        <v>0</v>
      </c>
      <c r="AF84" s="152">
        <f>-'[33]Actual &amp; Assumptions'!AF309</f>
        <v>0</v>
      </c>
      <c r="AG84" s="152">
        <f>-'[33]Actual &amp; Assumptions'!AG309</f>
        <v>0</v>
      </c>
      <c r="AH84" s="152">
        <f>-'[33]Actual &amp; Assumptions'!AH309</f>
        <v>0</v>
      </c>
      <c r="AI84" s="152">
        <f>-'[33]Actual &amp; Assumptions'!AI309</f>
        <v>0</v>
      </c>
      <c r="AJ84" s="152">
        <f>-'[33]Actual &amp; Assumptions'!AJ309</f>
        <v>0</v>
      </c>
      <c r="AK84" s="152">
        <f>-'[33]Actual &amp; Assumptions'!AK309</f>
        <v>0</v>
      </c>
      <c r="AL84" s="152">
        <f>-'[33]Actual &amp; Assumptions'!AL309</f>
        <v>0</v>
      </c>
      <c r="AM84" s="152">
        <f>-'[33]Actual &amp; Assumptions'!AM309</f>
        <v>0</v>
      </c>
      <c r="AN84" s="152">
        <f>-'[33]Actual &amp; Assumptions'!AN309</f>
        <v>0</v>
      </c>
      <c r="AO84" s="152">
        <f>-'[33]Actual &amp; Assumptions'!AO309</f>
        <v>0</v>
      </c>
      <c r="AP84" s="152">
        <f>-'[33]Actual &amp; Assumptions'!AP309</f>
        <v>0</v>
      </c>
      <c r="AQ84" s="152">
        <f>-'[33]Actual &amp; Assumptions'!AQ309</f>
        <v>0</v>
      </c>
      <c r="AR84" s="152">
        <f>-'[33]Actual &amp; Assumptions'!AR309</f>
        <v>0</v>
      </c>
      <c r="AS84" s="152">
        <f>-'[33]Actual &amp; Assumptions'!AS309</f>
        <v>0</v>
      </c>
      <c r="AT84" s="152">
        <f t="shared" si="66"/>
        <v>0</v>
      </c>
      <c r="AU84" s="152">
        <f>-'[33]Actual &amp; Assumptions'!AU309</f>
        <v>0</v>
      </c>
      <c r="AV84" s="152">
        <f>-'[33]Actual &amp; Assumptions'!AV309</f>
        <v>0</v>
      </c>
      <c r="AW84" s="152">
        <f>-'[33]Actual &amp; Assumptions'!AW309</f>
        <v>0</v>
      </c>
      <c r="AX84" s="152">
        <f>-'[33]Actual &amp; Assumptions'!AX309</f>
        <v>0</v>
      </c>
      <c r="AY84" s="152">
        <f t="shared" si="67"/>
        <v>0</v>
      </c>
      <c r="AZ84" s="152">
        <f>-'[33]Actual &amp; Assumptions'!AZ309</f>
        <v>0</v>
      </c>
      <c r="BA84" s="152">
        <f>-'[33]Actual &amp; Assumptions'!BA309</f>
        <v>0</v>
      </c>
      <c r="BB84" s="152">
        <f>-'[33]Actual &amp; Assumptions'!BB309</f>
        <v>0</v>
      </c>
      <c r="BC84" s="152">
        <f>-'[33]Actual &amp; Assumptions'!BC309</f>
        <v>0</v>
      </c>
      <c r="BD84" s="152">
        <f>-'[33]Actual &amp; Assumptions'!BD309</f>
        <v>0</v>
      </c>
      <c r="BE84" s="152">
        <f>-'[33]Actual &amp; Assumptions'!BE309</f>
        <v>0</v>
      </c>
      <c r="BF84" s="152">
        <f>-'[33]Actual &amp; Assumptions'!BF309</f>
        <v>0</v>
      </c>
      <c r="BG84" s="152">
        <f>-'[33]Actual &amp; Assumptions'!BG309</f>
        <v>0</v>
      </c>
      <c r="BH84" s="152">
        <f>-'[33]Actual &amp; Assumptions'!BH309</f>
        <v>0</v>
      </c>
      <c r="BI84" s="152">
        <f>-'[33]Actual &amp; Assumptions'!BI309</f>
        <v>0</v>
      </c>
      <c r="BJ84" s="152">
        <f>-'[33]Actual &amp; Assumptions'!BJ309</f>
        <v>0</v>
      </c>
      <c r="BK84" s="152">
        <f>-'[33]Actual &amp; Assumptions'!BK309</f>
        <v>0</v>
      </c>
      <c r="BL84" s="152">
        <f>-'[33]Actual &amp; Assumptions'!BL309</f>
        <v>0</v>
      </c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</row>
    <row r="85" spans="1:272" s="222" customFormat="1" hidden="1" outlineLevel="1">
      <c r="A85" s="222" t="str">
        <f>'[33]Actual &amp; Assumptions'!A312</f>
        <v>Deferred Tax</v>
      </c>
      <c r="C85" s="152">
        <f>-'[33]Actual &amp; Assumptions'!C313</f>
        <v>0</v>
      </c>
      <c r="D85" s="152">
        <f>-'[33]Actual &amp; Assumptions'!D313</f>
        <v>30</v>
      </c>
      <c r="E85" s="152">
        <f>-'[33]Actual &amp; Assumptions'!E313</f>
        <v>0</v>
      </c>
      <c r="F85" s="152">
        <f>-'[33]Actual &amp; Assumptions'!F313</f>
        <v>0</v>
      </c>
      <c r="G85" s="152">
        <f>-'[33]Actual &amp; Assumptions'!G313</f>
        <v>0</v>
      </c>
      <c r="H85" s="152">
        <f>-'[33]Actual &amp; Assumptions'!H313</f>
        <v>0</v>
      </c>
      <c r="I85" s="152">
        <f>-'[33]Actual &amp; Assumptions'!I313</f>
        <v>0</v>
      </c>
      <c r="J85" s="152">
        <f>-'[33]Actual &amp; Assumptions'!J313</f>
        <v>0</v>
      </c>
      <c r="K85" s="152">
        <f>-'[33]Actual &amp; Assumptions'!K313</f>
        <v>0</v>
      </c>
      <c r="L85" s="152">
        <f>-'[33]Actual &amp; Assumptions'!L313</f>
        <v>0</v>
      </c>
      <c r="M85" s="152">
        <f>-'[33]Actual &amp; Assumptions'!M313</f>
        <v>0</v>
      </c>
      <c r="N85" s="152">
        <f>-'[33]Actual &amp; Assumptions'!N313</f>
        <v>0</v>
      </c>
      <c r="O85" s="152">
        <f>-'[33]Actual &amp; Assumptions'!O313</f>
        <v>0</v>
      </c>
      <c r="P85" s="152">
        <f>-'[33]Actual &amp; Assumptions'!P313</f>
        <v>0</v>
      </c>
      <c r="Q85" s="152">
        <f>-'[33]Actual &amp; Assumptions'!Q313</f>
        <v>0</v>
      </c>
      <c r="R85" s="152">
        <f>-'[33]Actual &amp; Assumptions'!R313</f>
        <v>0</v>
      </c>
      <c r="S85" s="152">
        <f>-'[33]Actual &amp; Assumptions'!S313</f>
        <v>0</v>
      </c>
      <c r="T85" s="152">
        <f>-'[33]Actual &amp; Assumptions'!T313</f>
        <v>-5421</v>
      </c>
      <c r="U85" s="152">
        <f>-'[33]Actual &amp; Assumptions'!U313</f>
        <v>-5421</v>
      </c>
      <c r="V85" s="152">
        <f>-'[33]Actual &amp; Assumptions'!V313</f>
        <v>-5459</v>
      </c>
      <c r="W85" s="152">
        <f>-'[33]Actual &amp; Assumptions'!W313</f>
        <v>-5456</v>
      </c>
      <c r="X85" s="152">
        <f>-'[33]Actual &amp; Assumptions'!X313</f>
        <v>-5456</v>
      </c>
      <c r="Y85" s="152">
        <f>-'[33]Actual &amp; Assumptions'!Y313</f>
        <v>-8337</v>
      </c>
      <c r="Z85" s="152">
        <f>-'[33]Actual &amp; Assumptions'!Z313</f>
        <v>-8337</v>
      </c>
      <c r="AA85" s="152">
        <f>-'[33]Actual &amp; Assumptions'!AA313</f>
        <v>-8324</v>
      </c>
      <c r="AB85" s="152">
        <f>-'[33]Actual &amp; Assumptions'!AB313</f>
        <v>-8313</v>
      </c>
      <c r="AC85" s="152">
        <f>-'[33]Actual &amp; Assumptions'!AC313</f>
        <v>-8302</v>
      </c>
      <c r="AD85" s="152">
        <f>-'[33]Actual &amp; Assumptions'!AD313</f>
        <v>-7350</v>
      </c>
      <c r="AE85" s="152">
        <f>-'[33]Actual &amp; Assumptions'!AE313</f>
        <v>-7350</v>
      </c>
      <c r="AF85" s="152">
        <f>-'[33]Actual &amp; Assumptions'!AF313</f>
        <v>-7350</v>
      </c>
      <c r="AG85" s="152">
        <f>-'[33]Actual &amp; Assumptions'!AG313</f>
        <v>-7309</v>
      </c>
      <c r="AH85" s="152">
        <f>-'[33]Actual &amp; Assumptions'!AH313</f>
        <v>-7287</v>
      </c>
      <c r="AI85" s="152">
        <f>-'[33]Actual &amp; Assumptions'!AI313</f>
        <v>-7287</v>
      </c>
      <c r="AJ85" s="152">
        <f>-'[33]Actual &amp; Assumptions'!AJ313</f>
        <v>-7287</v>
      </c>
      <c r="AK85" s="152">
        <f>-'[33]Actual &amp; Assumptions'!AK313</f>
        <v>-3820</v>
      </c>
      <c r="AL85" s="152">
        <f>-'[33]Actual &amp; Assumptions'!AL313</f>
        <v>-4433</v>
      </c>
      <c r="AM85" s="152">
        <f>-'[33]Actual &amp; Assumptions'!AM313</f>
        <v>-5096</v>
      </c>
      <c r="AN85" s="152">
        <f>-'[33]Actual &amp; Assumptions'!AN313</f>
        <v>-5096</v>
      </c>
      <c r="AO85" s="152">
        <f>-'[33]Actual &amp; Assumptions'!AO313</f>
        <v>-5096</v>
      </c>
      <c r="AP85" s="152">
        <f>-'[33]Actual &amp; Assumptions'!AP313</f>
        <v>-4706</v>
      </c>
      <c r="AQ85" s="152">
        <f>-'[33]Actual &amp; Assumptions'!AQ313</f>
        <v>-4888</v>
      </c>
      <c r="AR85" s="152">
        <f>-'[33]Actual &amp; Assumptions'!AR313</f>
        <v>-4721</v>
      </c>
      <c r="AS85" s="152">
        <f>-'[33]Actual &amp; Assumptions'!AS313</f>
        <v>248.905</v>
      </c>
      <c r="AT85" s="152">
        <f t="shared" si="66"/>
        <v>248.905</v>
      </c>
      <c r="AU85" s="152">
        <f>-'[33]Actual &amp; Assumptions'!AU313</f>
        <v>0</v>
      </c>
      <c r="AV85" s="152">
        <f>-'[33]Actual &amp; Assumptions'!AV313</f>
        <v>0</v>
      </c>
      <c r="AW85" s="152">
        <f>-'[33]Actual &amp; Assumptions'!AW313</f>
        <v>0</v>
      </c>
      <c r="AX85" s="152">
        <f>-'[33]Actual &amp; Assumptions'!AX313</f>
        <v>0</v>
      </c>
      <c r="AY85" s="152">
        <f t="shared" si="67"/>
        <v>0</v>
      </c>
      <c r="AZ85" s="152">
        <f>-'[33]Actual &amp; Assumptions'!AZ313</f>
        <v>0</v>
      </c>
      <c r="BA85" s="152">
        <f>-'[33]Actual &amp; Assumptions'!BA313</f>
        <v>0</v>
      </c>
      <c r="BB85" s="152">
        <f>-'[33]Actual &amp; Assumptions'!BB313</f>
        <v>0</v>
      </c>
      <c r="BC85" s="152">
        <f>-'[33]Actual &amp; Assumptions'!BC313</f>
        <v>0</v>
      </c>
      <c r="BD85" s="152">
        <f>-'[33]Actual &amp; Assumptions'!BD313</f>
        <v>0</v>
      </c>
      <c r="BE85" s="152">
        <f>-'[33]Actual &amp; Assumptions'!BE313</f>
        <v>0</v>
      </c>
      <c r="BF85" s="152">
        <f>-'[33]Actual &amp; Assumptions'!BF313</f>
        <v>0</v>
      </c>
      <c r="BG85" s="152">
        <f>-'[33]Actual &amp; Assumptions'!BG313</f>
        <v>0</v>
      </c>
      <c r="BH85" s="152">
        <f>-'[33]Actual &amp; Assumptions'!BH313</f>
        <v>0</v>
      </c>
      <c r="BI85" s="152">
        <f>-'[33]Actual &amp; Assumptions'!BI313</f>
        <v>0</v>
      </c>
      <c r="BJ85" s="152">
        <f>-'[33]Actual &amp; Assumptions'!BJ313</f>
        <v>0</v>
      </c>
      <c r="BK85" s="152">
        <f>-'[33]Actual &amp; Assumptions'!BK313</f>
        <v>0</v>
      </c>
      <c r="BL85" s="152">
        <f>-'[33]Actual &amp; Assumptions'!BL313</f>
        <v>0</v>
      </c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</row>
    <row r="86" spans="1:272" s="222" customFormat="1" hidden="1" outlineLevel="1">
      <c r="A86" s="222" t="str">
        <f>'[33]Actual &amp; Assumptions'!A93</f>
        <v>Medical TaxesTax</v>
      </c>
      <c r="C86" s="152"/>
      <c r="D86" s="152"/>
      <c r="E86" s="152"/>
      <c r="F86" s="152"/>
      <c r="G86" s="152"/>
      <c r="H86" s="152"/>
      <c r="I86" s="152"/>
      <c r="J86" s="152"/>
      <c r="K86" s="152"/>
      <c r="L86" s="152"/>
      <c r="M86" s="152"/>
      <c r="N86" s="152"/>
      <c r="O86" s="152"/>
      <c r="P86" s="152"/>
      <c r="Q86" s="152"/>
      <c r="R86" s="152"/>
      <c r="S86" s="152"/>
      <c r="T86" s="152"/>
      <c r="U86" s="152"/>
      <c r="V86" s="152"/>
      <c r="W86" s="152"/>
      <c r="X86" s="152"/>
      <c r="Y86" s="152"/>
      <c r="Z86" s="152"/>
      <c r="AA86" s="152"/>
      <c r="AB86" s="152"/>
      <c r="AC86" s="152"/>
      <c r="AD86" s="152"/>
      <c r="AE86" s="152"/>
      <c r="AF86" s="152"/>
      <c r="AG86" s="152"/>
      <c r="AH86" s="152"/>
      <c r="AI86" s="152"/>
      <c r="AJ86" s="152"/>
      <c r="AK86" s="152">
        <f>-'[33]Actual &amp; Assumptions'!AK94</f>
        <v>0</v>
      </c>
      <c r="AL86" s="152">
        <f>-'[33]Actual &amp; Assumptions'!AL94</f>
        <v>0</v>
      </c>
      <c r="AM86" s="152">
        <f>-'[33]Actual &amp; Assumptions'!AM94</f>
        <v>0</v>
      </c>
      <c r="AN86" s="152">
        <f>-'[33]Actual &amp; Assumptions'!AN94</f>
        <v>0</v>
      </c>
      <c r="AO86" s="152">
        <f>-'[33]Actual &amp; Assumptions'!AO94</f>
        <v>0</v>
      </c>
      <c r="AP86" s="152">
        <f>'[33]Actual &amp; Assumptions'!AP94</f>
        <v>0</v>
      </c>
      <c r="AQ86" s="152">
        <f>'[33]Actual &amp; Assumptions'!AP94+'[33]Actual &amp; Assumptions'!AQ94</f>
        <v>0</v>
      </c>
      <c r="AR86" s="152">
        <f>'[33]Actual &amp; Assumptions'!AP94+'[33]Actual &amp; Assumptions'!AQ94+'[33]Actual &amp; Assumptions'!AR94</f>
        <v>0</v>
      </c>
      <c r="AS86" s="152">
        <f>'[33]Actual &amp; Assumptions'!AP94+'[33]Actual &amp; Assumptions'!AQ94+'[33]Actual &amp; Assumptions'!AR94+'[33]Actual &amp; Assumptions'!AS94</f>
        <v>0</v>
      </c>
      <c r="AT86" s="152">
        <f t="shared" si="66"/>
        <v>0</v>
      </c>
      <c r="AU86" s="152">
        <f>'[33]Actual &amp; Assumptions'!AU94</f>
        <v>0</v>
      </c>
      <c r="AV86" s="152">
        <f>'[33]Actual &amp; Assumptions'!AU94+'[33]Actual &amp; Assumptions'!AV94</f>
        <v>0</v>
      </c>
      <c r="AW86" s="152">
        <f>'[33]Actual &amp; Assumptions'!AU94+'[33]Actual &amp; Assumptions'!AV94+'[33]Actual &amp; Assumptions'!AW94</f>
        <v>0</v>
      </c>
      <c r="AX86" s="152">
        <f>'[33]Actual &amp; Assumptions'!AU94+'[33]Actual &amp; Assumptions'!AV94+'[33]Actual &amp; Assumptions'!AW94+'[33]Actual &amp; Assumptions'!AX94</f>
        <v>0</v>
      </c>
      <c r="AY86" s="152">
        <f t="shared" si="67"/>
        <v>0</v>
      </c>
      <c r="AZ86" s="152">
        <f>'[33]Actual &amp; Assumptions'!AZ94</f>
        <v>0</v>
      </c>
      <c r="BA86" s="152">
        <f>'[33]Actual &amp; Assumptions'!BA94</f>
        <v>0</v>
      </c>
      <c r="BB86" s="152">
        <f>'[33]Actual &amp; Assumptions'!BB94</f>
        <v>0</v>
      </c>
      <c r="BC86" s="152">
        <f>'[33]Actual &amp; Assumptions'!BC94</f>
        <v>0</v>
      </c>
      <c r="BD86" s="152">
        <f>'[33]Actual &amp; Assumptions'!BD94</f>
        <v>0</v>
      </c>
      <c r="BE86" s="152">
        <f>'[33]Actual &amp; Assumptions'!BE94</f>
        <v>0</v>
      </c>
      <c r="BF86" s="152">
        <f>'[33]Actual &amp; Assumptions'!BF94</f>
        <v>0</v>
      </c>
      <c r="BG86" s="152">
        <f>'[33]Actual &amp; Assumptions'!BG94</f>
        <v>0</v>
      </c>
      <c r="BH86" s="152">
        <f>'[33]Actual &amp; Assumptions'!BH94</f>
        <v>0</v>
      </c>
      <c r="BI86" s="152">
        <f>'[33]Actual &amp; Assumptions'!BI94</f>
        <v>0</v>
      </c>
      <c r="BJ86" s="152">
        <f>'[33]Actual &amp; Assumptions'!BJ94</f>
        <v>0</v>
      </c>
      <c r="BK86" s="152">
        <f>'[33]Actual &amp; Assumptions'!BK94</f>
        <v>0</v>
      </c>
      <c r="BL86" s="152">
        <f>'[33]Actual &amp; Assumptions'!BL94</f>
        <v>0</v>
      </c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</row>
    <row r="87" spans="1:272" s="222" customFormat="1" hidden="1" outlineLevel="1">
      <c r="A87" s="222" t="str">
        <f>'[33]Actual &amp; Assumptions'!A316</f>
        <v>Convertible shareholders Loan</v>
      </c>
      <c r="C87" s="152">
        <f>-'[33]Actual &amp; Assumptions'!C317</f>
        <v>0</v>
      </c>
      <c r="D87" s="152">
        <f>-'[33]Actual &amp; Assumptions'!D317</f>
        <v>0</v>
      </c>
      <c r="E87" s="152">
        <f>-'[33]Actual &amp; Assumptions'!E317</f>
        <v>0</v>
      </c>
      <c r="F87" s="152">
        <f>-'[33]Actual &amp; Assumptions'!F317</f>
        <v>0</v>
      </c>
      <c r="G87" s="152">
        <f>-'[33]Actual &amp; Assumptions'!G317</f>
        <v>0</v>
      </c>
      <c r="H87" s="152">
        <f>-'[33]Actual &amp; Assumptions'!H317</f>
        <v>0</v>
      </c>
      <c r="I87" s="152">
        <f>-'[33]Actual &amp; Assumptions'!I317</f>
        <v>0</v>
      </c>
      <c r="J87" s="152">
        <f>-'[33]Actual &amp; Assumptions'!J317</f>
        <v>0</v>
      </c>
      <c r="K87" s="152">
        <f>-'[33]Actual &amp; Assumptions'!K317</f>
        <v>0</v>
      </c>
      <c r="L87" s="152">
        <f>-'[33]Actual &amp; Assumptions'!L317</f>
        <v>0</v>
      </c>
      <c r="M87" s="152">
        <f>-'[33]Actual &amp; Assumptions'!M317</f>
        <v>0</v>
      </c>
      <c r="N87" s="152">
        <f>-'[33]Actual &amp; Assumptions'!N317</f>
        <v>0</v>
      </c>
      <c r="O87" s="152">
        <f>-'[33]Actual &amp; Assumptions'!O317</f>
        <v>0</v>
      </c>
      <c r="P87" s="152">
        <f>-'[33]Actual &amp; Assumptions'!P317</f>
        <v>0</v>
      </c>
      <c r="Q87" s="152">
        <f>-'[33]Actual &amp; Assumptions'!Q317</f>
        <v>0</v>
      </c>
      <c r="R87" s="152">
        <f>-'[33]Actual &amp; Assumptions'!R317</f>
        <v>0</v>
      </c>
      <c r="S87" s="152">
        <f>-'[33]Actual &amp; Assumptions'!S317</f>
        <v>0</v>
      </c>
      <c r="T87" s="152">
        <f>-'[33]Actual &amp; Assumptions'!T317</f>
        <v>0</v>
      </c>
      <c r="U87" s="152">
        <f>-'[33]Actual &amp; Assumptions'!U317</f>
        <v>0</v>
      </c>
      <c r="V87" s="152">
        <f>-'[33]Actual &amp; Assumptions'!V317</f>
        <v>0</v>
      </c>
      <c r="W87" s="152">
        <f>-'[33]Actual &amp; Assumptions'!W317</f>
        <v>0</v>
      </c>
      <c r="X87" s="152">
        <f>-'[33]Actual &amp; Assumptions'!X317</f>
        <v>0</v>
      </c>
      <c r="Y87" s="152">
        <f>-'[33]Actual &amp; Assumptions'!Y317</f>
        <v>0</v>
      </c>
      <c r="Z87" s="152">
        <f>-'[33]Actual &amp; Assumptions'!Z317</f>
        <v>0</v>
      </c>
      <c r="AA87" s="152">
        <f>-'[33]Actual &amp; Assumptions'!AA317</f>
        <v>0</v>
      </c>
      <c r="AB87" s="152">
        <f>-'[33]Actual &amp; Assumptions'!AB317</f>
        <v>0</v>
      </c>
      <c r="AC87" s="152">
        <f>-'[33]Actual &amp; Assumptions'!AC317</f>
        <v>0</v>
      </c>
      <c r="AD87" s="152">
        <f>-'[33]Actual &amp; Assumptions'!AD317</f>
        <v>0</v>
      </c>
      <c r="AE87" s="152">
        <f>-'[33]Actual &amp; Assumptions'!AE317</f>
        <v>0</v>
      </c>
      <c r="AF87" s="152">
        <f>-'[33]Actual &amp; Assumptions'!AF317</f>
        <v>0</v>
      </c>
      <c r="AG87" s="152">
        <f>-'[33]Actual &amp; Assumptions'!AG317</f>
        <v>0</v>
      </c>
      <c r="AH87" s="152">
        <f>-'[33]Actual &amp; Assumptions'!AH317</f>
        <v>0</v>
      </c>
      <c r="AI87" s="152">
        <f>-'[33]Actual &amp; Assumptions'!AI317</f>
        <v>0</v>
      </c>
      <c r="AJ87" s="152">
        <f>-'[33]Actual &amp; Assumptions'!AJ317</f>
        <v>0</v>
      </c>
      <c r="AK87" s="152">
        <f>-'[33]Actual &amp; Assumptions'!AK317</f>
        <v>0</v>
      </c>
      <c r="AL87" s="152">
        <f>-'[33]Actual &amp; Assumptions'!AL317</f>
        <v>0</v>
      </c>
      <c r="AM87" s="152">
        <f>-'[33]Actual &amp; Assumptions'!AM317</f>
        <v>0</v>
      </c>
      <c r="AN87" s="152">
        <f>-'[33]Actual &amp; Assumptions'!AN317</f>
        <v>0</v>
      </c>
      <c r="AO87" s="152">
        <f>-'[33]Actual &amp; Assumptions'!AO317</f>
        <v>0</v>
      </c>
      <c r="AP87" s="152">
        <f>-'[33]Actual &amp; Assumptions'!AP317</f>
        <v>0</v>
      </c>
      <c r="AQ87" s="152">
        <f>-'[33]Actual &amp; Assumptions'!AQ317</f>
        <v>0</v>
      </c>
      <c r="AR87" s="152">
        <f>-'[33]Actual &amp; Assumptions'!AR317</f>
        <v>0</v>
      </c>
      <c r="AS87" s="152">
        <f>-'[33]Actual &amp; Assumptions'!AS317</f>
        <v>0</v>
      </c>
      <c r="AT87" s="152">
        <f t="shared" si="66"/>
        <v>0</v>
      </c>
      <c r="AU87" s="152">
        <f>-'[33]Actual &amp; Assumptions'!AU317</f>
        <v>0</v>
      </c>
      <c r="AV87" s="152">
        <f>-'[33]Actual &amp; Assumptions'!AV317</f>
        <v>0</v>
      </c>
      <c r="AW87" s="152">
        <f>-'[33]Actual &amp; Assumptions'!AW317</f>
        <v>0</v>
      </c>
      <c r="AX87" s="152">
        <f>-'[33]Actual &amp; Assumptions'!AX317</f>
        <v>0</v>
      </c>
      <c r="AY87" s="152">
        <f t="shared" si="67"/>
        <v>0</v>
      </c>
      <c r="AZ87" s="152">
        <f>-'[33]Actual &amp; Assumptions'!AZ317</f>
        <v>0</v>
      </c>
      <c r="BA87" s="152">
        <f>-'[33]Actual &amp; Assumptions'!BA317</f>
        <v>0</v>
      </c>
      <c r="BB87" s="152">
        <f>-'[33]Actual &amp; Assumptions'!BB317</f>
        <v>0</v>
      </c>
      <c r="BC87" s="152">
        <f>-'[33]Actual &amp; Assumptions'!BC317</f>
        <v>0</v>
      </c>
      <c r="BD87" s="152">
        <f>-'[33]Actual &amp; Assumptions'!BD317</f>
        <v>0</v>
      </c>
      <c r="BE87" s="152">
        <f>-'[33]Actual &amp; Assumptions'!BE317</f>
        <v>0</v>
      </c>
      <c r="BF87" s="152">
        <f>-'[33]Actual &amp; Assumptions'!BF317</f>
        <v>0</v>
      </c>
      <c r="BG87" s="152">
        <f>-'[33]Actual &amp; Assumptions'!BG317</f>
        <v>0</v>
      </c>
      <c r="BH87" s="152">
        <f>-'[33]Actual &amp; Assumptions'!BH317</f>
        <v>0</v>
      </c>
      <c r="BI87" s="152">
        <f>-'[33]Actual &amp; Assumptions'!BI317</f>
        <v>0</v>
      </c>
      <c r="BJ87" s="152">
        <f>-'[33]Actual &amp; Assumptions'!BJ317</f>
        <v>0</v>
      </c>
      <c r="BK87" s="152">
        <f>-'[33]Actual &amp; Assumptions'!BK317</f>
        <v>0</v>
      </c>
      <c r="BL87" s="152">
        <f>-'[33]Actual &amp; Assumptions'!BL317</f>
        <v>0</v>
      </c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</row>
    <row r="88" spans="1:272" s="222" customFormat="1" hidden="1" outlineLevel="1">
      <c r="A88" s="222" t="str">
        <f>'[33]Actual &amp; Assumptions'!A320</f>
        <v>Due To Related Parties Companies - LT</v>
      </c>
      <c r="C88" s="152">
        <f>-'[33]Actual &amp; Assumptions'!C321</f>
        <v>0</v>
      </c>
      <c r="D88" s="152">
        <f>-'[33]Actual &amp; Assumptions'!D321</f>
        <v>0</v>
      </c>
      <c r="E88" s="152">
        <f>-'[33]Actual &amp; Assumptions'!E321</f>
        <v>0</v>
      </c>
      <c r="F88" s="152">
        <f>-'[33]Actual &amp; Assumptions'!F321</f>
        <v>0</v>
      </c>
      <c r="G88" s="152">
        <f>-'[33]Actual &amp; Assumptions'!G321</f>
        <v>0</v>
      </c>
      <c r="H88" s="152">
        <f>-'[33]Actual &amp; Assumptions'!H321</f>
        <v>0</v>
      </c>
      <c r="I88" s="152">
        <f>-'[33]Actual &amp; Assumptions'!I321</f>
        <v>0</v>
      </c>
      <c r="J88" s="152">
        <f>-'[33]Actual &amp; Assumptions'!J321</f>
        <v>0</v>
      </c>
      <c r="K88" s="152">
        <f>-'[33]Actual &amp; Assumptions'!K321</f>
        <v>0</v>
      </c>
      <c r="L88" s="152">
        <f>-'[33]Actual &amp; Assumptions'!L321</f>
        <v>0</v>
      </c>
      <c r="M88" s="152">
        <f>-'[33]Actual &amp; Assumptions'!M321</f>
        <v>0</v>
      </c>
      <c r="N88" s="152">
        <f>-'[33]Actual &amp; Assumptions'!N321</f>
        <v>0</v>
      </c>
      <c r="O88" s="152">
        <f>-'[33]Actual &amp; Assumptions'!O321</f>
        <v>0</v>
      </c>
      <c r="P88" s="152">
        <f>-'[33]Actual &amp; Assumptions'!P321</f>
        <v>0</v>
      </c>
      <c r="Q88" s="152">
        <f>-'[33]Actual &amp; Assumptions'!Q321</f>
        <v>0</v>
      </c>
      <c r="R88" s="152">
        <f>-'[33]Actual &amp; Assumptions'!R321</f>
        <v>0</v>
      </c>
      <c r="S88" s="152">
        <f>-'[33]Actual &amp; Assumptions'!S321</f>
        <v>0</v>
      </c>
      <c r="T88" s="152">
        <f>-'[33]Actual &amp; Assumptions'!T321</f>
        <v>0</v>
      </c>
      <c r="U88" s="152">
        <f>-'[33]Actual &amp; Assumptions'!U321</f>
        <v>0</v>
      </c>
      <c r="V88" s="152">
        <f>-'[33]Actual &amp; Assumptions'!V321</f>
        <v>0</v>
      </c>
      <c r="W88" s="152">
        <f>-'[33]Actual &amp; Assumptions'!W321</f>
        <v>0</v>
      </c>
      <c r="X88" s="152">
        <f>-'[33]Actual &amp; Assumptions'!X321</f>
        <v>0</v>
      </c>
      <c r="Y88" s="152">
        <f>-'[33]Actual &amp; Assumptions'!Y321</f>
        <v>0</v>
      </c>
      <c r="Z88" s="152">
        <f>-'[33]Actual &amp; Assumptions'!Z321</f>
        <v>0</v>
      </c>
      <c r="AA88" s="152">
        <f>-'[33]Actual &amp; Assumptions'!AA321</f>
        <v>0</v>
      </c>
      <c r="AB88" s="152">
        <f>-'[33]Actual &amp; Assumptions'!AB321</f>
        <v>0</v>
      </c>
      <c r="AC88" s="152">
        <f>-'[33]Actual &amp; Assumptions'!AC321</f>
        <v>0</v>
      </c>
      <c r="AD88" s="152">
        <f>-'[33]Actual &amp; Assumptions'!AD321</f>
        <v>0</v>
      </c>
      <c r="AE88" s="152">
        <f>-'[33]Actual &amp; Assumptions'!AE321</f>
        <v>0</v>
      </c>
      <c r="AF88" s="152">
        <f>-'[33]Actual &amp; Assumptions'!AF321</f>
        <v>0</v>
      </c>
      <c r="AG88" s="152">
        <f>-'[33]Actual &amp; Assumptions'!AG321</f>
        <v>0</v>
      </c>
      <c r="AH88" s="152">
        <f>-'[33]Actual &amp; Assumptions'!AH321</f>
        <v>0</v>
      </c>
      <c r="AI88" s="152">
        <f>-'[33]Actual &amp; Assumptions'!AI321</f>
        <v>0</v>
      </c>
      <c r="AJ88" s="152">
        <f>-'[33]Actual &amp; Assumptions'!AJ321</f>
        <v>0</v>
      </c>
      <c r="AK88" s="152">
        <f>-'[33]Actual &amp; Assumptions'!AK321</f>
        <v>0</v>
      </c>
      <c r="AL88" s="152">
        <f>-'[33]Actual &amp; Assumptions'!AL321</f>
        <v>0</v>
      </c>
      <c r="AM88" s="152">
        <f>-'[33]Actual &amp; Assumptions'!AM321</f>
        <v>0</v>
      </c>
      <c r="AN88" s="152">
        <f>-'[33]Actual &amp; Assumptions'!AN321</f>
        <v>0</v>
      </c>
      <c r="AO88" s="152">
        <f>-'[33]Actual &amp; Assumptions'!AO321</f>
        <v>0</v>
      </c>
      <c r="AP88" s="152">
        <f>-'[33]Actual &amp; Assumptions'!AP321</f>
        <v>0</v>
      </c>
      <c r="AQ88" s="152">
        <f>-'[33]Actual &amp; Assumptions'!AQ321</f>
        <v>0</v>
      </c>
      <c r="AR88" s="152">
        <f>-'[33]Actual &amp; Assumptions'!AR321</f>
        <v>0</v>
      </c>
      <c r="AS88" s="152">
        <f>-'[33]Actual &amp; Assumptions'!AS321</f>
        <v>0</v>
      </c>
      <c r="AT88" s="152">
        <f t="shared" si="66"/>
        <v>0</v>
      </c>
      <c r="AU88" s="152">
        <f>-'[33]Actual &amp; Assumptions'!AU321</f>
        <v>0</v>
      </c>
      <c r="AV88" s="152">
        <f>-'[33]Actual &amp; Assumptions'!AV321</f>
        <v>0</v>
      </c>
      <c r="AW88" s="152">
        <f>-'[33]Actual &amp; Assumptions'!AW321</f>
        <v>0</v>
      </c>
      <c r="AX88" s="152">
        <f>-'[33]Actual &amp; Assumptions'!AX321</f>
        <v>0</v>
      </c>
      <c r="AY88" s="152">
        <f t="shared" si="67"/>
        <v>0</v>
      </c>
      <c r="AZ88" s="152">
        <f>-'[33]Actual &amp; Assumptions'!AZ321</f>
        <v>0</v>
      </c>
      <c r="BA88" s="152">
        <f>-'[33]Actual &amp; Assumptions'!BA321</f>
        <v>0</v>
      </c>
      <c r="BB88" s="152">
        <f>-'[33]Actual &amp; Assumptions'!BB321</f>
        <v>0</v>
      </c>
      <c r="BC88" s="152">
        <f>-'[33]Actual &amp; Assumptions'!BC321</f>
        <v>0</v>
      </c>
      <c r="BD88" s="152">
        <f>-'[33]Actual &amp; Assumptions'!BD321</f>
        <v>0</v>
      </c>
      <c r="BE88" s="152">
        <f>-'[33]Actual &amp; Assumptions'!BE321</f>
        <v>0</v>
      </c>
      <c r="BF88" s="152">
        <f>-'[33]Actual &amp; Assumptions'!BF321</f>
        <v>0</v>
      </c>
      <c r="BG88" s="152">
        <f>-'[33]Actual &amp; Assumptions'!BG321</f>
        <v>0</v>
      </c>
      <c r="BH88" s="152">
        <f>-'[33]Actual &amp; Assumptions'!BH321</f>
        <v>0</v>
      </c>
      <c r="BI88" s="152">
        <f>-'[33]Actual &amp; Assumptions'!BI321</f>
        <v>0</v>
      </c>
      <c r="BJ88" s="152">
        <f>-'[33]Actual &amp; Assumptions'!BJ321</f>
        <v>0</v>
      </c>
      <c r="BK88" s="152">
        <f>-'[33]Actual &amp; Assumptions'!BK321</f>
        <v>0</v>
      </c>
      <c r="BL88" s="152">
        <f>-'[33]Actual &amp; Assumptions'!BL321</f>
        <v>0</v>
      </c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</row>
    <row r="89" spans="1:272" s="222" customFormat="1" hidden="1" outlineLevel="1">
      <c r="A89" s="230" t="s">
        <v>396</v>
      </c>
      <c r="B89" s="230"/>
      <c r="C89" s="231">
        <f t="shared" ref="C89:AH89" si="68">SUM(C83:C88)</f>
        <v>0</v>
      </c>
      <c r="D89" s="231">
        <f t="shared" si="68"/>
        <v>-20815</v>
      </c>
      <c r="E89" s="231">
        <f t="shared" si="68"/>
        <v>0</v>
      </c>
      <c r="F89" s="231">
        <f t="shared" si="68"/>
        <v>0</v>
      </c>
      <c r="G89" s="231">
        <f t="shared" si="68"/>
        <v>-195</v>
      </c>
      <c r="H89" s="231">
        <f t="shared" si="68"/>
        <v>-286</v>
      </c>
      <c r="I89" s="231">
        <f t="shared" si="68"/>
        <v>-181</v>
      </c>
      <c r="J89" s="231">
        <f t="shared" si="68"/>
        <v>-181</v>
      </c>
      <c r="K89" s="231">
        <f t="shared" si="68"/>
        <v>-181</v>
      </c>
      <c r="L89" s="231">
        <f t="shared" si="68"/>
        <v>-181</v>
      </c>
      <c r="M89" s="231">
        <f t="shared" si="68"/>
        <v>-181</v>
      </c>
      <c r="N89" s="231">
        <f t="shared" si="68"/>
        <v>-181</v>
      </c>
      <c r="O89" s="231">
        <f t="shared" si="68"/>
        <v>-181</v>
      </c>
      <c r="P89" s="231">
        <f t="shared" si="68"/>
        <v>-181</v>
      </c>
      <c r="Q89" s="231">
        <f t="shared" si="68"/>
        <v>-181</v>
      </c>
      <c r="R89" s="231">
        <f t="shared" si="68"/>
        <v>-181</v>
      </c>
      <c r="S89" s="231">
        <f t="shared" si="68"/>
        <v>-181</v>
      </c>
      <c r="T89" s="231">
        <f t="shared" si="68"/>
        <v>-5602</v>
      </c>
      <c r="U89" s="231">
        <f t="shared" si="68"/>
        <v>-5602</v>
      </c>
      <c r="V89" s="231">
        <f t="shared" si="68"/>
        <v>-5640</v>
      </c>
      <c r="W89" s="231">
        <f t="shared" si="68"/>
        <v>-5637</v>
      </c>
      <c r="X89" s="231">
        <f t="shared" si="68"/>
        <v>-5637</v>
      </c>
      <c r="Y89" s="231">
        <f t="shared" si="68"/>
        <v>-8518</v>
      </c>
      <c r="Z89" s="231">
        <f t="shared" si="68"/>
        <v>-8518</v>
      </c>
      <c r="AA89" s="231">
        <f t="shared" si="68"/>
        <v>-8640</v>
      </c>
      <c r="AB89" s="231">
        <f t="shared" si="68"/>
        <v>-8629</v>
      </c>
      <c r="AC89" s="231">
        <f t="shared" si="68"/>
        <v>-8633</v>
      </c>
      <c r="AD89" s="231">
        <f t="shared" si="68"/>
        <v>-7350</v>
      </c>
      <c r="AE89" s="231">
        <f t="shared" si="68"/>
        <v>-7350</v>
      </c>
      <c r="AF89" s="231">
        <f t="shared" si="68"/>
        <v>-7350</v>
      </c>
      <c r="AG89" s="231">
        <f t="shared" si="68"/>
        <v>-7309</v>
      </c>
      <c r="AH89" s="231">
        <f t="shared" si="68"/>
        <v>-7287</v>
      </c>
      <c r="AI89" s="231">
        <f t="shared" ref="AI89:BL89" si="69">SUM(AI83:AI88)</f>
        <v>-7287</v>
      </c>
      <c r="AJ89" s="231">
        <f t="shared" si="69"/>
        <v>-7287</v>
      </c>
      <c r="AK89" s="231">
        <f t="shared" si="69"/>
        <v>-3820</v>
      </c>
      <c r="AL89" s="231">
        <f t="shared" si="69"/>
        <v>-4433</v>
      </c>
      <c r="AM89" s="231">
        <f t="shared" si="69"/>
        <v>-5096</v>
      </c>
      <c r="AN89" s="231">
        <f t="shared" si="69"/>
        <v>-5096</v>
      </c>
      <c r="AO89" s="231">
        <f t="shared" si="69"/>
        <v>-5096</v>
      </c>
      <c r="AP89" s="231">
        <f t="shared" si="69"/>
        <v>-4706</v>
      </c>
      <c r="AQ89" s="231">
        <f t="shared" si="69"/>
        <v>-4888</v>
      </c>
      <c r="AR89" s="231">
        <f t="shared" si="69"/>
        <v>-4721</v>
      </c>
      <c r="AS89" s="231">
        <f t="shared" si="69"/>
        <v>248.905</v>
      </c>
      <c r="AT89" s="231">
        <f t="shared" si="69"/>
        <v>248.905</v>
      </c>
      <c r="AU89" s="231">
        <f t="shared" si="69"/>
        <v>0</v>
      </c>
      <c r="AV89" s="231">
        <f t="shared" si="69"/>
        <v>0</v>
      </c>
      <c r="AW89" s="231">
        <f t="shared" si="69"/>
        <v>0</v>
      </c>
      <c r="AX89" s="231">
        <f t="shared" si="69"/>
        <v>0</v>
      </c>
      <c r="AY89" s="231">
        <f t="shared" si="69"/>
        <v>0</v>
      </c>
      <c r="AZ89" s="231">
        <f>SUM(AZ83:AZ88)</f>
        <v>0</v>
      </c>
      <c r="BA89" s="231">
        <f t="shared" si="69"/>
        <v>0</v>
      </c>
      <c r="BB89" s="231">
        <f t="shared" si="69"/>
        <v>0</v>
      </c>
      <c r="BC89" s="231">
        <f t="shared" si="69"/>
        <v>0</v>
      </c>
      <c r="BD89" s="231">
        <f t="shared" si="69"/>
        <v>0</v>
      </c>
      <c r="BE89" s="231">
        <f t="shared" si="69"/>
        <v>0</v>
      </c>
      <c r="BF89" s="231">
        <f t="shared" si="69"/>
        <v>0</v>
      </c>
      <c r="BG89" s="231">
        <f t="shared" si="69"/>
        <v>0</v>
      </c>
      <c r="BH89" s="231">
        <f t="shared" si="69"/>
        <v>0</v>
      </c>
      <c r="BI89" s="231">
        <f t="shared" si="69"/>
        <v>0</v>
      </c>
      <c r="BJ89" s="231">
        <f t="shared" si="69"/>
        <v>0</v>
      </c>
      <c r="BK89" s="231">
        <f t="shared" si="69"/>
        <v>0</v>
      </c>
      <c r="BL89" s="231">
        <f t="shared" si="69"/>
        <v>0</v>
      </c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</row>
    <row r="90" spans="1:272" s="239" customFormat="1" hidden="1" outlineLevel="1">
      <c r="A90" s="242" t="s">
        <v>397</v>
      </c>
      <c r="B90" s="242"/>
      <c r="C90" s="243">
        <f t="shared" ref="C90:BL90" si="70">C89+C82+C79</f>
        <v>-15288</v>
      </c>
      <c r="D90" s="243">
        <f t="shared" si="70"/>
        <v>-52585</v>
      </c>
      <c r="E90" s="243">
        <f t="shared" si="70"/>
        <v>-43704</v>
      </c>
      <c r="F90" s="243">
        <f t="shared" si="70"/>
        <v>-53021</v>
      </c>
      <c r="G90" s="243">
        <f t="shared" si="70"/>
        <v>-44816.058000000048</v>
      </c>
      <c r="H90" s="243">
        <f t="shared" si="70"/>
        <v>-64563.993000000046</v>
      </c>
      <c r="I90" s="243">
        <f t="shared" si="70"/>
        <v>-33202.511500000001</v>
      </c>
      <c r="J90" s="243">
        <f t="shared" si="70"/>
        <v>-31622.346856599463</v>
      </c>
      <c r="K90" s="243">
        <f t="shared" si="70"/>
        <v>-32904.325020000106</v>
      </c>
      <c r="L90" s="243">
        <f t="shared" si="70"/>
        <v>-33469.989629999982</v>
      </c>
      <c r="M90" s="243">
        <f t="shared" si="70"/>
        <v>-37623.8095499997</v>
      </c>
      <c r="N90" s="243">
        <f t="shared" si="70"/>
        <v>-43340.093609999705</v>
      </c>
      <c r="O90" s="243">
        <f t="shared" si="70"/>
        <v>-41422.205609999728</v>
      </c>
      <c r="P90" s="243">
        <f t="shared" si="70"/>
        <v>-41422.205609999728</v>
      </c>
      <c r="Q90" s="243">
        <f t="shared" si="70"/>
        <v>-48143.582035500003</v>
      </c>
      <c r="R90" s="243">
        <f t="shared" si="70"/>
        <v>-49434.246393987683</v>
      </c>
      <c r="S90" s="243">
        <f t="shared" si="70"/>
        <v>-51202.217853987582</v>
      </c>
      <c r="T90" s="243">
        <f t="shared" si="70"/>
        <v>-59859.89606398758</v>
      </c>
      <c r="U90" s="243">
        <f t="shared" si="70"/>
        <v>-59859.896063987639</v>
      </c>
      <c r="V90" s="243">
        <f t="shared" si="70"/>
        <v>-72842.484433987658</v>
      </c>
      <c r="W90" s="243">
        <f t="shared" si="70"/>
        <v>-73651.933883987658</v>
      </c>
      <c r="X90" s="243">
        <f t="shared" si="70"/>
        <v>-75446.153303987769</v>
      </c>
      <c r="Y90" s="243">
        <f t="shared" si="70"/>
        <v>-63603.25699398767</v>
      </c>
      <c r="Z90" s="243">
        <f t="shared" si="70"/>
        <v>-63603.256993987634</v>
      </c>
      <c r="AA90" s="243">
        <f t="shared" si="70"/>
        <v>-62052.713658898945</v>
      </c>
      <c r="AB90" s="243">
        <f t="shared" si="70"/>
        <v>-60088.761255399637</v>
      </c>
      <c r="AC90" s="243">
        <f t="shared" si="70"/>
        <v>-59212.662272039648</v>
      </c>
      <c r="AD90" s="243">
        <f t="shared" si="70"/>
        <v>-62210.723085479629</v>
      </c>
      <c r="AE90" s="243">
        <f t="shared" si="70"/>
        <v>-62210.723085479651</v>
      </c>
      <c r="AF90" s="243">
        <f t="shared" si="70"/>
        <v>-56288.392855479644</v>
      </c>
      <c r="AG90" s="243">
        <f t="shared" si="70"/>
        <v>-49456.721985479657</v>
      </c>
      <c r="AH90" s="243">
        <f t="shared" si="70"/>
        <v>-25070.974125479654</v>
      </c>
      <c r="AI90" s="243">
        <f t="shared" si="70"/>
        <v>-13195.974125479654</v>
      </c>
      <c r="AJ90" s="243">
        <f t="shared" si="70"/>
        <v>-13195.974125479668</v>
      </c>
      <c r="AK90" s="243">
        <f t="shared" si="70"/>
        <v>39980</v>
      </c>
      <c r="AL90" s="243">
        <f t="shared" si="70"/>
        <v>46064</v>
      </c>
      <c r="AM90" s="243">
        <f t="shared" si="70"/>
        <v>56154</v>
      </c>
      <c r="AN90" s="243">
        <f t="shared" si="70"/>
        <v>73366.141874520341</v>
      </c>
      <c r="AO90" s="243">
        <f t="shared" si="70"/>
        <v>73366.141874520341</v>
      </c>
      <c r="AP90" s="243">
        <f t="shared" si="70"/>
        <v>75022.630129820725</v>
      </c>
      <c r="AQ90" s="243">
        <f t="shared" si="70"/>
        <v>73342.908431413467</v>
      </c>
      <c r="AR90" s="243">
        <f t="shared" si="70"/>
        <v>74370.187017627177</v>
      </c>
      <c r="AS90" s="243">
        <f t="shared" si="70"/>
        <v>87009.04631152717</v>
      </c>
      <c r="AT90" s="243">
        <f>AT89+AT82+AT79</f>
        <v>87009.04631152717</v>
      </c>
      <c r="AU90" s="243">
        <f t="shared" ref="AU90:AX90" si="71">AU89+AU82+AU79</f>
        <v>88120.206288193891</v>
      </c>
      <c r="AV90" s="243">
        <f t="shared" si="71"/>
        <v>87902.860454860536</v>
      </c>
      <c r="AW90" s="243">
        <f t="shared" si="71"/>
        <v>87608.902981527179</v>
      </c>
      <c r="AX90" s="243">
        <f t="shared" si="71"/>
        <v>85376.879568777164</v>
      </c>
      <c r="AY90" s="243">
        <f>AY89+AY82+AY79</f>
        <v>85376.879568777164</v>
      </c>
      <c r="AZ90" s="243">
        <f t="shared" si="70"/>
        <v>70472.825134065934</v>
      </c>
      <c r="BA90" s="243">
        <f t="shared" si="70"/>
        <v>51462.600831524054</v>
      </c>
      <c r="BB90" s="243">
        <f t="shared" si="70"/>
        <v>26294.740992092196</v>
      </c>
      <c r="BC90" s="243">
        <f t="shared" si="70"/>
        <v>-6021.3953010986661</v>
      </c>
      <c r="BD90" s="243">
        <f t="shared" si="70"/>
        <v>-43984.0368846489</v>
      </c>
      <c r="BE90" s="243">
        <f t="shared" si="70"/>
        <v>-74776.988566193555</v>
      </c>
      <c r="BF90" s="243">
        <f t="shared" si="70"/>
        <v>-97631.277546203943</v>
      </c>
      <c r="BG90" s="243">
        <f t="shared" si="70"/>
        <v>-117527.59063457701</v>
      </c>
      <c r="BH90" s="243">
        <f t="shared" si="70"/>
        <v>-136785.8061135367</v>
      </c>
      <c r="BI90" s="243">
        <f t="shared" si="70"/>
        <v>-156850.36988067787</v>
      </c>
      <c r="BJ90" s="243">
        <f t="shared" si="70"/>
        <v>-179262.88521926949</v>
      </c>
      <c r="BK90" s="243">
        <f t="shared" si="70"/>
        <v>-203529.70353518234</v>
      </c>
      <c r="BL90" s="243">
        <f t="shared" si="70"/>
        <v>-230161.60499434682</v>
      </c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</row>
    <row r="91" spans="1:272" s="222" customFormat="1" hidden="1" outlineLevel="1">
      <c r="C91" s="236"/>
      <c r="D91" s="236"/>
      <c r="E91" s="236"/>
      <c r="F91" s="236"/>
      <c r="G91" s="236"/>
      <c r="H91" s="236"/>
      <c r="I91" s="236"/>
      <c r="J91" s="236"/>
      <c r="K91" s="236"/>
      <c r="L91" s="236"/>
      <c r="M91" s="236"/>
      <c r="N91" s="236"/>
      <c r="O91" s="236"/>
      <c r="P91" s="236"/>
      <c r="Q91" s="236"/>
      <c r="R91" s="236"/>
      <c r="S91" s="236"/>
      <c r="T91" s="236"/>
      <c r="U91" s="236"/>
      <c r="V91" s="236"/>
      <c r="W91" s="236"/>
      <c r="X91" s="236"/>
      <c r="Y91" s="236"/>
      <c r="Z91" s="236"/>
      <c r="AA91" s="236"/>
      <c r="AB91" s="236"/>
      <c r="AC91" s="236"/>
      <c r="AD91" s="236"/>
      <c r="AE91" s="236"/>
      <c r="AF91" s="236"/>
      <c r="AG91" s="236"/>
      <c r="AH91" s="236"/>
      <c r="AI91" s="236"/>
      <c r="AJ91" s="236"/>
      <c r="AK91" s="236"/>
      <c r="AL91" s="236"/>
      <c r="AM91" s="236"/>
      <c r="AN91" s="236"/>
      <c r="AO91" s="236"/>
      <c r="AP91" s="236"/>
      <c r="AQ91" s="236"/>
      <c r="AR91" s="236"/>
      <c r="AS91" s="236"/>
      <c r="AT91" s="236"/>
      <c r="AU91" s="236"/>
      <c r="AV91" s="236"/>
      <c r="AW91" s="236"/>
      <c r="AX91" s="236"/>
      <c r="AY91" s="236"/>
      <c r="AZ91" s="236"/>
      <c r="BA91" s="236"/>
      <c r="BB91" s="236"/>
      <c r="BC91" s="236"/>
      <c r="BD91" s="236"/>
      <c r="BE91" s="236"/>
      <c r="BF91" s="236"/>
      <c r="BG91" s="236"/>
      <c r="BH91" s="236"/>
      <c r="BI91" s="236"/>
      <c r="BJ91" s="236"/>
      <c r="BK91" s="236"/>
      <c r="BL91" s="236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</row>
    <row r="92" spans="1:272" hidden="1"/>
    <row r="93" spans="1:272" s="245" customFormat="1" ht="18" hidden="1">
      <c r="A93" s="244" t="s">
        <v>398</v>
      </c>
      <c r="B93" s="244"/>
      <c r="C93" s="238" t="str">
        <f t="shared" ref="C93:K93" si="72">C4</f>
        <v>2006 A</v>
      </c>
      <c r="D93" s="238" t="str">
        <f t="shared" si="72"/>
        <v>2007 A</v>
      </c>
      <c r="E93" s="238" t="str">
        <f t="shared" si="72"/>
        <v>2008 A</v>
      </c>
      <c r="F93" s="238" t="str">
        <f t="shared" si="72"/>
        <v>2009 A</v>
      </c>
      <c r="G93" s="238" t="str">
        <f t="shared" si="72"/>
        <v>2010 A</v>
      </c>
      <c r="H93" s="238" t="str">
        <f t="shared" si="72"/>
        <v>2011 A</v>
      </c>
      <c r="I93" s="238" t="str">
        <f t="shared" si="72"/>
        <v>2012 A</v>
      </c>
      <c r="J93" s="238" t="str">
        <f t="shared" si="72"/>
        <v>2013 A</v>
      </c>
      <c r="K93" s="238" t="str">
        <f t="shared" si="72"/>
        <v>2014 A</v>
      </c>
      <c r="L93" s="238" t="s">
        <v>352</v>
      </c>
      <c r="M93" s="238" t="s">
        <v>353</v>
      </c>
      <c r="N93" s="238" t="s">
        <v>354</v>
      </c>
      <c r="O93" s="238" t="s">
        <v>355</v>
      </c>
      <c r="P93" s="238" t="str">
        <f>P4</f>
        <v>2015 A</v>
      </c>
      <c r="Q93" s="238" t="s">
        <v>356</v>
      </c>
      <c r="R93" s="238" t="s">
        <v>357</v>
      </c>
      <c r="S93" s="238" t="s">
        <v>358</v>
      </c>
      <c r="T93" s="238" t="s">
        <v>359</v>
      </c>
      <c r="U93" s="238" t="str">
        <f>U4</f>
        <v>2016 A</v>
      </c>
      <c r="V93" s="238" t="s">
        <v>360</v>
      </c>
      <c r="W93" s="238" t="s">
        <v>361</v>
      </c>
      <c r="X93" s="238" t="s">
        <v>362</v>
      </c>
      <c r="Y93" s="238" t="s">
        <v>363</v>
      </c>
      <c r="Z93" s="238" t="str">
        <f>Z4</f>
        <v>2017 A</v>
      </c>
      <c r="AA93" s="238" t="s">
        <v>364</v>
      </c>
      <c r="AB93" s="238" t="s">
        <v>365</v>
      </c>
      <c r="AC93" s="238" t="s">
        <v>366</v>
      </c>
      <c r="AD93" s="238" t="s">
        <v>367</v>
      </c>
      <c r="AE93" s="238" t="str">
        <f t="shared" ref="AE93:AJ93" si="73">AE4</f>
        <v>2018 A</v>
      </c>
      <c r="AF93" s="238" t="str">
        <f t="shared" si="73"/>
        <v>Q1 - 2019</v>
      </c>
      <c r="AG93" s="238" t="str">
        <f t="shared" si="73"/>
        <v>Q2 - 2019</v>
      </c>
      <c r="AH93" s="238" t="str">
        <f t="shared" si="73"/>
        <v>Q3 - 2019</v>
      </c>
      <c r="AI93" s="238" t="str">
        <f t="shared" si="73"/>
        <v>Q4 - 2019</v>
      </c>
      <c r="AJ93" s="238" t="str">
        <f t="shared" si="73"/>
        <v>2019 A</v>
      </c>
      <c r="AK93" s="238" t="s">
        <v>368</v>
      </c>
      <c r="AL93" s="238" t="s">
        <v>369</v>
      </c>
      <c r="AM93" s="238" t="s">
        <v>370</v>
      </c>
      <c r="AN93" s="238" t="s">
        <v>371</v>
      </c>
      <c r="AO93" s="238" t="s">
        <v>293</v>
      </c>
      <c r="AP93" s="238" t="s">
        <v>372</v>
      </c>
      <c r="AQ93" s="238" t="s">
        <v>373</v>
      </c>
      <c r="AR93" s="238" t="s">
        <v>374</v>
      </c>
      <c r="AS93" s="238" t="s">
        <v>375</v>
      </c>
      <c r="AT93" s="238" t="s">
        <v>278</v>
      </c>
      <c r="AU93" s="238" t="s">
        <v>376</v>
      </c>
      <c r="AV93" s="238" t="s">
        <v>377</v>
      </c>
      <c r="AW93" s="238" t="s">
        <v>378</v>
      </c>
      <c r="AX93" s="238" t="s">
        <v>379</v>
      </c>
      <c r="AY93" s="238" t="str">
        <f t="shared" ref="AY93:BL93" si="74">AY4</f>
        <v>2022 P</v>
      </c>
      <c r="AZ93" s="238" t="str">
        <f t="shared" si="74"/>
        <v>2023 P</v>
      </c>
      <c r="BA93" s="238" t="str">
        <f t="shared" si="74"/>
        <v>2024 P</v>
      </c>
      <c r="BB93" s="238" t="str">
        <f t="shared" si="74"/>
        <v>2025 P</v>
      </c>
      <c r="BC93" s="238" t="str">
        <f t="shared" si="74"/>
        <v>2026 P</v>
      </c>
      <c r="BD93" s="238" t="str">
        <f t="shared" si="74"/>
        <v>2027 P</v>
      </c>
      <c r="BE93" s="238" t="str">
        <f t="shared" si="74"/>
        <v>2028 P</v>
      </c>
      <c r="BF93" s="238" t="str">
        <f t="shared" si="74"/>
        <v>2029 P</v>
      </c>
      <c r="BG93" s="238" t="str">
        <f t="shared" si="74"/>
        <v>2030 P</v>
      </c>
      <c r="BH93" s="238" t="str">
        <f t="shared" si="74"/>
        <v>2031 P</v>
      </c>
      <c r="BI93" s="238" t="str">
        <f t="shared" si="74"/>
        <v>2032 P</v>
      </c>
      <c r="BJ93" s="238" t="str">
        <f t="shared" si="74"/>
        <v>2033 P</v>
      </c>
      <c r="BK93" s="238" t="str">
        <f t="shared" si="74"/>
        <v>2034 P</v>
      </c>
      <c r="BL93" s="238" t="str">
        <f t="shared" si="74"/>
        <v>2035 P</v>
      </c>
      <c r="BM93" s="198"/>
      <c r="BN93" s="198"/>
      <c r="BO93" s="198"/>
      <c r="BP93" s="198"/>
      <c r="BQ93" s="198"/>
      <c r="BR93" s="198"/>
      <c r="BS93" s="198"/>
      <c r="BT93" s="198"/>
      <c r="BU93" s="198"/>
      <c r="BV93" s="198"/>
      <c r="BW93" s="198"/>
      <c r="BX93" s="198"/>
      <c r="BY93" s="198"/>
      <c r="BZ93" s="198"/>
      <c r="CA93" s="198"/>
      <c r="CB93" s="198"/>
      <c r="CC93" s="198"/>
      <c r="CD93" s="198"/>
      <c r="CE93" s="198"/>
      <c r="CF93" s="198"/>
      <c r="CG93" s="198"/>
      <c r="CH93" s="198"/>
      <c r="CI93" s="198"/>
      <c r="CJ93" s="198"/>
      <c r="CK93" s="198"/>
      <c r="CL93" s="198"/>
      <c r="CM93" s="198"/>
      <c r="CN93" s="198"/>
      <c r="CO93" s="198"/>
      <c r="CP93" s="198"/>
      <c r="CQ93" s="198"/>
      <c r="CR93" s="198"/>
      <c r="CS93" s="198"/>
      <c r="CT93" s="198"/>
      <c r="CU93" s="198"/>
      <c r="CV93" s="198"/>
      <c r="CW93" s="198"/>
      <c r="CX93" s="198"/>
      <c r="CY93" s="198"/>
      <c r="CZ93" s="198"/>
      <c r="DA93" s="198"/>
      <c r="DB93" s="198"/>
      <c r="DC93" s="198"/>
      <c r="DD93" s="198"/>
      <c r="DE93" s="198"/>
      <c r="DF93" s="198"/>
      <c r="DG93" s="198"/>
      <c r="DH93" s="198"/>
      <c r="DI93" s="198"/>
      <c r="DJ93" s="198"/>
      <c r="DK93" s="198"/>
      <c r="DL93" s="198"/>
      <c r="DM93" s="198"/>
      <c r="DN93" s="198"/>
      <c r="DO93" s="198"/>
      <c r="DP93" s="198"/>
      <c r="DQ93" s="198"/>
      <c r="DR93" s="198"/>
      <c r="DS93" s="198"/>
      <c r="DT93" s="198"/>
      <c r="DU93" s="198"/>
      <c r="DV93" s="198"/>
      <c r="DW93" s="198"/>
      <c r="DX93" s="198"/>
      <c r="DY93" s="198"/>
      <c r="DZ93" s="198"/>
      <c r="EA93" s="198"/>
      <c r="EB93" s="198"/>
      <c r="EC93" s="198"/>
      <c r="ED93" s="198"/>
      <c r="EE93" s="198"/>
      <c r="EF93" s="198"/>
      <c r="EG93" s="198"/>
      <c r="EH93" s="198"/>
      <c r="EI93" s="198"/>
      <c r="EJ93" s="198"/>
      <c r="EK93" s="198"/>
      <c r="EL93" s="198"/>
      <c r="EM93" s="198"/>
      <c r="EN93" s="198"/>
      <c r="EO93" s="198"/>
      <c r="EP93" s="198"/>
      <c r="EQ93" s="198"/>
      <c r="ER93" s="198"/>
      <c r="ES93" s="198"/>
      <c r="ET93" s="198"/>
      <c r="EU93" s="198"/>
      <c r="EV93" s="198"/>
      <c r="EW93" s="198"/>
      <c r="EX93" s="198"/>
      <c r="EY93" s="198"/>
      <c r="EZ93" s="198"/>
      <c r="FA93" s="198"/>
      <c r="FB93" s="198"/>
      <c r="FC93" s="198"/>
      <c r="FD93" s="198"/>
      <c r="FE93" s="198"/>
      <c r="FF93" s="198"/>
      <c r="FG93" s="198"/>
      <c r="FH93" s="198"/>
      <c r="FI93" s="198"/>
      <c r="FJ93" s="198"/>
      <c r="FK93" s="198"/>
      <c r="FL93" s="198"/>
      <c r="FM93" s="198"/>
      <c r="FN93" s="198"/>
      <c r="FO93" s="198"/>
      <c r="FP93" s="198"/>
      <c r="FQ93" s="198"/>
      <c r="FR93" s="198"/>
      <c r="FS93" s="198"/>
      <c r="FT93" s="198"/>
      <c r="FU93" s="198"/>
      <c r="FV93" s="198"/>
      <c r="FW93" s="198"/>
      <c r="FX93" s="198"/>
      <c r="FY93" s="198"/>
      <c r="FZ93" s="198"/>
      <c r="GA93" s="198"/>
      <c r="GB93" s="198"/>
      <c r="GC93" s="198"/>
      <c r="GD93" s="198"/>
      <c r="GE93" s="198"/>
      <c r="GF93" s="198"/>
      <c r="GG93" s="198"/>
      <c r="GH93" s="198"/>
      <c r="GI93" s="198"/>
      <c r="GJ93" s="198"/>
      <c r="GK93" s="198"/>
      <c r="GL93" s="198"/>
      <c r="GM93" s="198"/>
      <c r="GN93" s="198"/>
      <c r="GO93" s="198"/>
      <c r="GP93" s="198"/>
      <c r="GQ93" s="198"/>
      <c r="GR93" s="198"/>
      <c r="GS93" s="198"/>
      <c r="GT93" s="198"/>
      <c r="GU93" s="198"/>
      <c r="GV93" s="198"/>
      <c r="GW93" s="198"/>
      <c r="GX93" s="198"/>
      <c r="GY93" s="198"/>
      <c r="GZ93" s="198"/>
      <c r="HA93" s="198"/>
      <c r="HB93" s="198"/>
      <c r="HC93" s="198"/>
      <c r="HD93" s="198"/>
      <c r="HE93" s="198"/>
      <c r="HF93" s="198"/>
      <c r="HG93" s="198"/>
      <c r="HH93" s="198"/>
      <c r="HI93" s="198"/>
      <c r="HJ93" s="198"/>
      <c r="HK93" s="198"/>
      <c r="HL93" s="198"/>
      <c r="HM93" s="198"/>
      <c r="HN93" s="198"/>
      <c r="HO93" s="198"/>
      <c r="HP93" s="198"/>
      <c r="HQ93" s="198"/>
      <c r="HR93" s="198"/>
      <c r="HS93" s="198"/>
      <c r="HT93" s="198"/>
      <c r="HU93" s="198"/>
      <c r="HV93" s="198"/>
      <c r="HW93" s="198"/>
      <c r="HX93" s="198"/>
      <c r="HY93" s="198"/>
      <c r="HZ93" s="198"/>
      <c r="IA93" s="198"/>
      <c r="IB93" s="198"/>
      <c r="IC93" s="198"/>
      <c r="ID93" s="198"/>
      <c r="IE93" s="198"/>
      <c r="IF93" s="198"/>
      <c r="IG93" s="198"/>
      <c r="IH93" s="198"/>
      <c r="II93" s="198"/>
      <c r="IJ93" s="198"/>
      <c r="IK93" s="198"/>
      <c r="IL93" s="198"/>
      <c r="IM93" s="198"/>
      <c r="IN93" s="198"/>
      <c r="IO93" s="198"/>
      <c r="IP93" s="198"/>
      <c r="IQ93" s="198"/>
      <c r="IR93" s="198"/>
      <c r="IS93" s="198"/>
      <c r="IT93" s="198"/>
      <c r="IU93" s="198"/>
      <c r="IV93" s="198"/>
      <c r="IW93" s="198"/>
      <c r="IX93" s="198"/>
      <c r="IY93" s="198"/>
      <c r="IZ93" s="198"/>
      <c r="JA93" s="198"/>
      <c r="JB93" s="198"/>
      <c r="JC93" s="198"/>
      <c r="JD93" s="198"/>
      <c r="JE93" s="198"/>
      <c r="JF93" s="198"/>
      <c r="JG93" s="198"/>
      <c r="JH93" s="198"/>
      <c r="JI93" s="198"/>
      <c r="JJ93" s="198"/>
      <c r="JK93" s="198"/>
      <c r="JL93" s="198"/>
    </row>
    <row r="94" spans="1:272" s="222" customFormat="1" hidden="1" outlineLevel="1">
      <c r="A94" s="222" t="s">
        <v>399</v>
      </c>
      <c r="C94" s="152"/>
      <c r="D94" s="152">
        <f t="shared" ref="D94:L94" si="75">D31</f>
        <v>25793</v>
      </c>
      <c r="E94" s="152">
        <f t="shared" si="75"/>
        <v>37036</v>
      </c>
      <c r="F94" s="152">
        <f t="shared" si="75"/>
        <v>34483</v>
      </c>
      <c r="G94" s="152">
        <f t="shared" si="75"/>
        <v>11776.058000000048</v>
      </c>
      <c r="H94" s="152">
        <f t="shared" si="75"/>
        <v>15817.993000000046</v>
      </c>
      <c r="I94" s="152">
        <f t="shared" si="75"/>
        <v>4682</v>
      </c>
      <c r="J94" s="152">
        <f t="shared" si="75"/>
        <v>-1447.4181759005587</v>
      </c>
      <c r="K94" s="152">
        <f t="shared" si="75"/>
        <v>5156.3250200001075</v>
      </c>
      <c r="L94" s="152">
        <f t="shared" si="75"/>
        <v>1045.9896299999818</v>
      </c>
      <c r="M94" s="152">
        <f>M31+L31</f>
        <v>7158.8095499996998</v>
      </c>
      <c r="N94" s="152">
        <f>N31+M31+L31</f>
        <v>14697.093609999705</v>
      </c>
      <c r="O94" s="152">
        <f>O31+N31+M31+L31</f>
        <v>12565.205609999728</v>
      </c>
      <c r="P94" s="152">
        <f>P31</f>
        <v>12565.205609999684</v>
      </c>
      <c r="Q94" s="152">
        <f>Q31</f>
        <v>8725.7048200000081</v>
      </c>
      <c r="R94" s="152">
        <f>R31+Q31</f>
        <v>12245.702921888435</v>
      </c>
      <c r="S94" s="152">
        <f>S31+R94</f>
        <v>13501.674381888333</v>
      </c>
      <c r="T94" s="152">
        <f>T31+S94</f>
        <v>23298.352591888332</v>
      </c>
      <c r="U94" s="152">
        <f>U31</f>
        <v>23298.35259188839</v>
      </c>
      <c r="V94" s="152">
        <f>V31</f>
        <v>16279.741370000014</v>
      </c>
      <c r="W94" s="152">
        <f>W31+V31</f>
        <v>18855.190820000014</v>
      </c>
      <c r="X94" s="152">
        <f>X31+W94</f>
        <v>21026.042060000131</v>
      </c>
      <c r="Y94" s="152">
        <f>Y31+X94</f>
        <v>6039.1457500000306</v>
      </c>
      <c r="Z94" s="152">
        <f>Z31</f>
        <v>6039.1457499999924</v>
      </c>
      <c r="AA94" s="152">
        <f>AA31</f>
        <v>-1529.543335088691</v>
      </c>
      <c r="AB94" s="152">
        <f>AB31+AA31</f>
        <v>-3309.4957385879948</v>
      </c>
      <c r="AC94" s="152">
        <f>AC31+AB94</f>
        <v>-4115.5947219479867</v>
      </c>
      <c r="AD94" s="152">
        <f>AD31+AC94</f>
        <v>644.46609149199776</v>
      </c>
      <c r="AE94" s="152">
        <f>AE31</f>
        <v>644.46609149201322</v>
      </c>
      <c r="AF94" s="152">
        <f>AF31</f>
        <v>-5439.3302300000032</v>
      </c>
      <c r="AG94" s="152">
        <f>AG31+AF31</f>
        <v>-12164.001099999998</v>
      </c>
      <c r="AH94" s="152">
        <f>AH31+AG94</f>
        <v>-36549.748959999997</v>
      </c>
      <c r="AI94" s="152">
        <f>AI31+AH94</f>
        <v>-52481.748959999997</v>
      </c>
      <c r="AJ94" s="152">
        <f>AJ31</f>
        <v>-52481.748959999983</v>
      </c>
      <c r="AK94" s="152">
        <f>AK31</f>
        <v>-43203</v>
      </c>
      <c r="AL94" s="152">
        <f>AL31+AK31</f>
        <v>-49288</v>
      </c>
      <c r="AM94" s="152">
        <f>AM31+AL94</f>
        <v>-59377</v>
      </c>
      <c r="AN94" s="152">
        <f>AN31+AM94</f>
        <v>-58237</v>
      </c>
      <c r="AO94" s="152">
        <f>AO31</f>
        <v>-58237</v>
      </c>
      <c r="AP94" s="152">
        <f>AP31</f>
        <v>-2450.4821298207216</v>
      </c>
      <c r="AQ94" s="152">
        <f>AQ31+AP31</f>
        <v>-770.09843141346209</v>
      </c>
      <c r="AR94" s="152">
        <f>AR31+AQ94</f>
        <v>-1798.9461431068344</v>
      </c>
      <c r="AS94" s="152">
        <f>AS31+AR94</f>
        <v>-9716.8054370068294</v>
      </c>
      <c r="AT94" s="152">
        <f t="shared" ref="AT94:BL94" si="76">AT31</f>
        <v>-9716.8054370068712</v>
      </c>
      <c r="AU94" s="152">
        <f>AU31</f>
        <v>-1360.0649766666802</v>
      </c>
      <c r="AV94" s="152">
        <f>AV31+AU31</f>
        <v>-1142.7191433333155</v>
      </c>
      <c r="AW94" s="152">
        <f>AW31+AV94</f>
        <v>-848.76166999995758</v>
      </c>
      <c r="AX94" s="152">
        <f>AX31+AW94</f>
        <v>2031.2685400000523</v>
      </c>
      <c r="AY94" s="152">
        <f t="shared" ref="AY94" si="77">AY31</f>
        <v>2031.2685400000737</v>
      </c>
      <c r="AZ94" s="152">
        <f t="shared" si="76"/>
        <v>14408.315701865387</v>
      </c>
      <c r="BA94" s="152">
        <f t="shared" si="76"/>
        <v>19711.162066445584</v>
      </c>
      <c r="BB94" s="152">
        <f t="shared" si="76"/>
        <v>28570.085141291696</v>
      </c>
      <c r="BC94" s="152">
        <f t="shared" si="76"/>
        <v>38726.687438422268</v>
      </c>
      <c r="BD94" s="152">
        <f t="shared" si="76"/>
        <v>46034.543593210488</v>
      </c>
      <c r="BE94" s="152">
        <f t="shared" si="76"/>
        <v>57106.534454756998</v>
      </c>
      <c r="BF94" s="152">
        <f t="shared" si="76"/>
        <v>66761.449086392982</v>
      </c>
      <c r="BG94" s="152">
        <f t="shared" si="76"/>
        <v>77726.765044570173</v>
      </c>
      <c r="BH94" s="152">
        <f t="shared" si="76"/>
        <v>89780.794572137936</v>
      </c>
      <c r="BI94" s="152">
        <f t="shared" si="76"/>
        <v>103292.69204179491</v>
      </c>
      <c r="BJ94" s="152">
        <f t="shared" si="76"/>
        <v>119326.21935223573</v>
      </c>
      <c r="BK94" s="152">
        <f t="shared" si="76"/>
        <v>136238.828101733</v>
      </c>
      <c r="BL94" s="152">
        <f t="shared" si="76"/>
        <v>155013.97443628038</v>
      </c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</row>
    <row r="95" spans="1:272" s="222" customFormat="1" hidden="1" outlineLevel="1">
      <c r="A95" s="222" t="s">
        <v>319</v>
      </c>
      <c r="C95" s="152"/>
      <c r="D95" s="152">
        <f t="shared" ref="D95:K95" si="78">C42-D42</f>
        <v>513</v>
      </c>
      <c r="E95" s="152">
        <f t="shared" si="78"/>
        <v>1824</v>
      </c>
      <c r="F95" s="152">
        <f t="shared" si="78"/>
        <v>1997</v>
      </c>
      <c r="G95" s="152">
        <f t="shared" si="78"/>
        <v>1578</v>
      </c>
      <c r="H95" s="152">
        <f t="shared" si="78"/>
        <v>1554</v>
      </c>
      <c r="I95" s="152">
        <f t="shared" si="78"/>
        <v>924</v>
      </c>
      <c r="J95" s="152">
        <f t="shared" si="78"/>
        <v>600</v>
      </c>
      <c r="K95" s="152">
        <f t="shared" si="78"/>
        <v>744</v>
      </c>
      <c r="L95" s="152">
        <f>$K$42-L42</f>
        <v>157</v>
      </c>
      <c r="M95" s="152">
        <f>$K$42-M42</f>
        <v>312</v>
      </c>
      <c r="N95" s="152">
        <f>$K$42-N42</f>
        <v>496</v>
      </c>
      <c r="O95" s="152">
        <f>$K$42-O42</f>
        <v>117</v>
      </c>
      <c r="P95" s="152">
        <f>K42-P42</f>
        <v>117</v>
      </c>
      <c r="Q95" s="152">
        <f>$P$42-Q42</f>
        <v>133.54421999999977</v>
      </c>
      <c r="R95" s="152">
        <f>$P$42-R42</f>
        <v>284</v>
      </c>
      <c r="S95" s="152">
        <f>$P$42-S42</f>
        <v>467</v>
      </c>
      <c r="T95" s="152">
        <f>$P$42-T42</f>
        <v>439</v>
      </c>
      <c r="U95" s="152">
        <f>P42-U42</f>
        <v>439</v>
      </c>
      <c r="V95" s="152">
        <f>$U$42-V42</f>
        <v>174</v>
      </c>
      <c r="W95" s="152">
        <f>$U$42-W42</f>
        <v>344</v>
      </c>
      <c r="X95" s="152">
        <f>$U$42-X42</f>
        <v>507</v>
      </c>
      <c r="Y95" s="152">
        <f>$U$42-Y42</f>
        <v>672</v>
      </c>
      <c r="Z95" s="152">
        <f>U42-Z42</f>
        <v>672</v>
      </c>
      <c r="AA95" s="152">
        <f>$Z$42-AA42</f>
        <v>167</v>
      </c>
      <c r="AB95" s="152">
        <f>$Z$42-AB42</f>
        <v>339</v>
      </c>
      <c r="AC95" s="152">
        <f>$Z$42-AC42</f>
        <v>525</v>
      </c>
      <c r="AD95" s="152">
        <f>$Z$42-AD42</f>
        <v>-1607.5502400000005</v>
      </c>
      <c r="AE95" s="152">
        <f>Z42-AE42</f>
        <v>-1607.5502400000005</v>
      </c>
      <c r="AF95" s="152">
        <f>AE42-AF42</f>
        <v>180.55024000000049</v>
      </c>
      <c r="AG95" s="152">
        <f>$AE42-AG42</f>
        <v>331.55024000000049</v>
      </c>
      <c r="AH95" s="152">
        <f>$AE$42-AH42</f>
        <v>446.55024000000049</v>
      </c>
      <c r="AI95" s="152">
        <f>$AE$42-AI42</f>
        <v>556.55024000000049</v>
      </c>
      <c r="AJ95" s="152">
        <f>AE42-AJ42</f>
        <v>556.55024000000049</v>
      </c>
      <c r="AK95" s="152">
        <f>AJ42-AK42</f>
        <v>105</v>
      </c>
      <c r="AL95" s="152">
        <f>$AJ42-AL42</f>
        <v>204</v>
      </c>
      <c r="AM95" s="152">
        <f>$AJ$42-AM42</f>
        <v>295</v>
      </c>
      <c r="AN95" s="152">
        <f>$AJ$42-AN42</f>
        <v>-145</v>
      </c>
      <c r="AO95" s="152">
        <f>AJ42-AO42</f>
        <v>-145</v>
      </c>
      <c r="AP95" s="152">
        <f>AO42-AP42</f>
        <v>73</v>
      </c>
      <c r="AQ95" s="152">
        <f>$AO42-AQ42</f>
        <v>145</v>
      </c>
      <c r="AR95" s="152">
        <f>$AO$42-AR42</f>
        <v>217</v>
      </c>
      <c r="AS95" s="152">
        <f>$AO$42-AS42</f>
        <v>493.38304000000062</v>
      </c>
      <c r="AT95" s="152">
        <f>AO42-AT42</f>
        <v>493.38304000000062</v>
      </c>
      <c r="AU95" s="152">
        <f>AT42-AU42</f>
        <v>0</v>
      </c>
      <c r="AV95" s="152">
        <f>$AT42-AV42</f>
        <v>0</v>
      </c>
      <c r="AW95" s="152">
        <f>$AT$42-AW42</f>
        <v>0</v>
      </c>
      <c r="AX95" s="152">
        <f>$AT$42-AX42</f>
        <v>0</v>
      </c>
      <c r="AY95" s="152">
        <f>AT42-AY42</f>
        <v>0</v>
      </c>
      <c r="AZ95" s="152">
        <f t="shared" ref="AZ95:BL95" si="79">AY42-AZ42</f>
        <v>78.740822772228057</v>
      </c>
      <c r="BA95" s="152">
        <f t="shared" si="79"/>
        <v>93.262832525506383</v>
      </c>
      <c r="BB95" s="152">
        <f t="shared" si="79"/>
        <v>120.46958009660375</v>
      </c>
      <c r="BC95" s="152">
        <f t="shared" si="79"/>
        <v>155.33545554124976</v>
      </c>
      <c r="BD95" s="152">
        <f t="shared" si="79"/>
        <v>184.34839193478183</v>
      </c>
      <c r="BE95" s="152">
        <f t="shared" si="79"/>
        <v>208.70026157213942</v>
      </c>
      <c r="BF95" s="152">
        <f t="shared" si="79"/>
        <v>229.34496669449072</v>
      </c>
      <c r="BG95" s="152">
        <f t="shared" si="79"/>
        <v>247.04604118366842</v>
      </c>
      <c r="BH95" s="152">
        <f t="shared" si="79"/>
        <v>262.41473206374576</v>
      </c>
      <c r="BI95" s="152">
        <f t="shared" si="79"/>
        <v>275.94046485102444</v>
      </c>
      <c r="BJ95" s="152">
        <f t="shared" si="79"/>
        <v>288.01521598565159</v>
      </c>
      <c r="BK95" s="152">
        <f t="shared" si="79"/>
        <v>298.95301093134185</v>
      </c>
      <c r="BL95" s="152">
        <f t="shared" si="79"/>
        <v>309.00552281260752</v>
      </c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</row>
    <row r="96" spans="1:272" s="222" customFormat="1" hidden="1" outlineLevel="1">
      <c r="A96" s="222" t="s">
        <v>400</v>
      </c>
      <c r="C96" s="152"/>
      <c r="D96" s="152">
        <f t="shared" ref="D96:K96" si="80">C59-D59</f>
        <v>5048</v>
      </c>
      <c r="E96" s="152">
        <f t="shared" si="80"/>
        <v>27109</v>
      </c>
      <c r="F96" s="152">
        <f t="shared" si="80"/>
        <v>-12363</v>
      </c>
      <c r="G96" s="152">
        <f t="shared" si="80"/>
        <v>5752</v>
      </c>
      <c r="H96" s="152">
        <f t="shared" si="80"/>
        <v>-15452</v>
      </c>
      <c r="I96" s="152">
        <f t="shared" si="80"/>
        <v>4400</v>
      </c>
      <c r="J96" s="152">
        <f t="shared" si="80"/>
        <v>13290</v>
      </c>
      <c r="K96" s="152">
        <f t="shared" si="80"/>
        <v>-4321</v>
      </c>
      <c r="L96" s="152">
        <f>$K$59-L59</f>
        <v>16518</v>
      </c>
      <c r="M96" s="152">
        <f>$K$59-M59</f>
        <v>13168</v>
      </c>
      <c r="N96" s="152">
        <f>$K$59-N59</f>
        <v>14048</v>
      </c>
      <c r="O96" s="152">
        <f>$K$59-O59</f>
        <v>13307</v>
      </c>
      <c r="P96" s="152">
        <f>K59-P59</f>
        <v>13307</v>
      </c>
      <c r="Q96" s="152">
        <f>$P$59-Q59</f>
        <v>5483.2096199999942</v>
      </c>
      <c r="R96" s="152">
        <f>$P$59-R59</f>
        <v>19897</v>
      </c>
      <c r="S96" s="152">
        <f>$P$59-S59</f>
        <v>39890</v>
      </c>
      <c r="T96" s="152">
        <f>$P$59-T59</f>
        <v>1287</v>
      </c>
      <c r="U96" s="152">
        <f>P59-U59</f>
        <v>1287</v>
      </c>
      <c r="V96" s="152">
        <f>$U$59-V59</f>
        <v>17683</v>
      </c>
      <c r="W96" s="152">
        <f>$U$59-W59</f>
        <v>21495</v>
      </c>
      <c r="X96" s="152">
        <f>$U$59-X59</f>
        <v>21572</v>
      </c>
      <c r="Y96" s="152">
        <f>$U$59-Y59</f>
        <v>5635.5206199999957</v>
      </c>
      <c r="Z96" s="152">
        <f>U59-Z59</f>
        <v>5635.5206199999957</v>
      </c>
      <c r="AA96" s="152">
        <f>$Z$59-AA59</f>
        <v>2112.4793800000043</v>
      </c>
      <c r="AB96" s="152">
        <f>$Z$59-AB59</f>
        <v>6943.4793800000043</v>
      </c>
      <c r="AC96" s="152">
        <f>$Z$59-AC59</f>
        <v>7936.4793800000043</v>
      </c>
      <c r="AD96" s="152">
        <f>$Z$59-AD59</f>
        <v>15199.479380000004</v>
      </c>
      <c r="AE96" s="152">
        <f>Z59-AE59</f>
        <v>15199.479380000004</v>
      </c>
      <c r="AF96" s="152">
        <f>AE59-AF59</f>
        <v>-709</v>
      </c>
      <c r="AG96" s="152">
        <f>$AE59-AG59</f>
        <v>4697</v>
      </c>
      <c r="AH96" s="152">
        <f>$AE59-AH59</f>
        <v>1078.9320000000007</v>
      </c>
      <c r="AI96" s="152">
        <f>$AE59-AI59</f>
        <v>-2023</v>
      </c>
      <c r="AJ96" s="152">
        <f>AE59-AJ59</f>
        <v>-2023</v>
      </c>
      <c r="AK96" s="152">
        <f>AJ59-AK59</f>
        <v>-743</v>
      </c>
      <c r="AL96" s="152">
        <f>$AJ59-AL59</f>
        <v>-4116</v>
      </c>
      <c r="AM96" s="152">
        <f>$AJ59-AM59</f>
        <v>-4175</v>
      </c>
      <c r="AN96" s="152">
        <f>$AJ59-AN59</f>
        <v>-5436</v>
      </c>
      <c r="AO96" s="152">
        <f>AJ59-AO59</f>
        <v>-5436</v>
      </c>
      <c r="AP96" s="152">
        <f>AO59-AP59</f>
        <v>0</v>
      </c>
      <c r="AQ96" s="152">
        <f>$AO59-AQ59</f>
        <v>0</v>
      </c>
      <c r="AR96" s="152">
        <f>$AO59-AR59</f>
        <v>0</v>
      </c>
      <c r="AS96" s="152">
        <f>$AO59-AS59</f>
        <v>2907</v>
      </c>
      <c r="AT96" s="152">
        <f>AO59-AT59</f>
        <v>2907</v>
      </c>
      <c r="AU96" s="152">
        <f>AT59-AU59</f>
        <v>-1907</v>
      </c>
      <c r="AV96" s="152">
        <f>$AT59-AV59</f>
        <v>-2907</v>
      </c>
      <c r="AW96" s="152">
        <f>$AT59-AW59</f>
        <v>-2907</v>
      </c>
      <c r="AX96" s="152">
        <f>$AT59-AX59</f>
        <v>10411</v>
      </c>
      <c r="AY96" s="152">
        <f>AT59-AY59</f>
        <v>10411</v>
      </c>
      <c r="AZ96" s="152">
        <f t="shared" ref="AZ96:BL96" si="81">AY59-AZ59</f>
        <v>16563.701496847221</v>
      </c>
      <c r="BA96" s="152">
        <f t="shared" si="81"/>
        <v>16663.606571212076</v>
      </c>
      <c r="BB96" s="152">
        <f t="shared" si="81"/>
        <v>13777.801220161957</v>
      </c>
      <c r="BC96" s="152">
        <f t="shared" si="81"/>
        <v>10854.725937416137</v>
      </c>
      <c r="BD96" s="152">
        <f t="shared" si="81"/>
        <v>10939.317464252876</v>
      </c>
      <c r="BE96" s="152">
        <f t="shared" si="81"/>
        <v>11032.341711766145</v>
      </c>
      <c r="BF96" s="152">
        <f t="shared" si="81"/>
        <v>11134.641159063351</v>
      </c>
      <c r="BG96" s="152">
        <f t="shared" si="81"/>
        <v>11247.142509373924</v>
      </c>
      <c r="BH96" s="152">
        <f t="shared" si="81"/>
        <v>11370.865111747669</v>
      </c>
      <c r="BI96" s="152">
        <f t="shared" si="81"/>
        <v>11506.93022490188</v>
      </c>
      <c r="BJ96" s="152">
        <f t="shared" si="81"/>
        <v>11656.571207430912</v>
      </c>
      <c r="BK96" s="152">
        <f t="shared" si="81"/>
        <v>11821.144727014005</v>
      </c>
      <c r="BL96" s="152">
        <f t="shared" si="81"/>
        <v>12002.143090520607</v>
      </c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</row>
    <row r="97" spans="1:272" s="222" customFormat="1" hidden="1" outlineLevel="1">
      <c r="A97" s="222" t="s">
        <v>401</v>
      </c>
      <c r="C97" s="152"/>
      <c r="D97" s="152">
        <f t="shared" ref="D97:BL97" si="82">-D24</f>
        <v>2186</v>
      </c>
      <c r="E97" s="152">
        <f t="shared" si="82"/>
        <v>5773</v>
      </c>
      <c r="F97" s="152">
        <f t="shared" si="82"/>
        <v>4988</v>
      </c>
      <c r="G97" s="152">
        <f t="shared" si="82"/>
        <v>7305</v>
      </c>
      <c r="H97" s="152">
        <f t="shared" si="82"/>
        <v>8082</v>
      </c>
      <c r="I97" s="152">
        <f t="shared" si="82"/>
        <v>10193</v>
      </c>
      <c r="J97" s="152">
        <f t="shared" si="82"/>
        <v>9725</v>
      </c>
      <c r="K97" s="152">
        <f t="shared" si="82"/>
        <v>4585</v>
      </c>
      <c r="L97" s="152">
        <f t="shared" si="82"/>
        <v>1232</v>
      </c>
      <c r="M97" s="152">
        <f t="shared" si="82"/>
        <v>1007</v>
      </c>
      <c r="N97" s="152">
        <f t="shared" si="82"/>
        <v>1885</v>
      </c>
      <c r="O97" s="152">
        <f t="shared" si="82"/>
        <v>1326</v>
      </c>
      <c r="P97" s="152">
        <f t="shared" si="82"/>
        <v>1236</v>
      </c>
      <c r="Q97" s="152">
        <f t="shared" si="82"/>
        <v>919.38061000000005</v>
      </c>
      <c r="R97" s="152">
        <f t="shared" si="82"/>
        <v>1469.1366981116696</v>
      </c>
      <c r="S97" s="152">
        <f t="shared" si="82"/>
        <v>1159</v>
      </c>
      <c r="T97" s="152">
        <f t="shared" si="82"/>
        <v>1575</v>
      </c>
      <c r="U97" s="152">
        <f t="shared" si="82"/>
        <v>5122.5173081116691</v>
      </c>
      <c r="V97" s="152">
        <f t="shared" si="82"/>
        <v>2472</v>
      </c>
      <c r="W97" s="152">
        <f t="shared" si="82"/>
        <v>439</v>
      </c>
      <c r="X97" s="152">
        <f t="shared" si="82"/>
        <v>396.43257</v>
      </c>
      <c r="Y97" s="152">
        <f t="shared" si="82"/>
        <v>1093.06762</v>
      </c>
      <c r="Z97" s="152">
        <f t="shared" si="82"/>
        <v>4400.5001899999997</v>
      </c>
      <c r="AA97" s="152">
        <f t="shared" si="82"/>
        <v>69.99914508868315</v>
      </c>
      <c r="AB97" s="152">
        <f t="shared" si="82"/>
        <v>204.99935349930001</v>
      </c>
      <c r="AC97" s="152">
        <f t="shared" si="82"/>
        <v>62.981873360000009</v>
      </c>
      <c r="AD97" s="152">
        <f t="shared" si="82"/>
        <v>218.01728655999989</v>
      </c>
      <c r="AE97" s="152">
        <f t="shared" si="82"/>
        <v>555.99765850798303</v>
      </c>
      <c r="AF97" s="152">
        <f t="shared" si="82"/>
        <v>481.12599999999998</v>
      </c>
      <c r="AG97" s="152">
        <f t="shared" si="82"/>
        <v>165</v>
      </c>
      <c r="AH97" s="152">
        <f t="shared" si="82"/>
        <v>483</v>
      </c>
      <c r="AI97" s="152">
        <f t="shared" si="82"/>
        <v>322</v>
      </c>
      <c r="AJ97" s="152">
        <f t="shared" si="82"/>
        <v>1451.126</v>
      </c>
      <c r="AK97" s="152">
        <f t="shared" si="82"/>
        <v>1012</v>
      </c>
      <c r="AL97" s="152">
        <f t="shared" si="82"/>
        <v>167</v>
      </c>
      <c r="AM97" s="152">
        <f t="shared" si="82"/>
        <v>318</v>
      </c>
      <c r="AN97" s="152">
        <f t="shared" si="82"/>
        <v>10335</v>
      </c>
      <c r="AO97" s="152">
        <f t="shared" si="82"/>
        <v>11832</v>
      </c>
      <c r="AP97" s="152">
        <f t="shared" si="82"/>
        <v>199.42794999999998</v>
      </c>
      <c r="AQ97" s="152">
        <f t="shared" si="82"/>
        <v>159.9033</v>
      </c>
      <c r="AR97" s="152">
        <f t="shared" si="82"/>
        <v>766.65242999999998</v>
      </c>
      <c r="AS97" s="152">
        <f t="shared" si="82"/>
        <v>1575.3546299999998</v>
      </c>
      <c r="AT97" s="152">
        <f t="shared" si="82"/>
        <v>2701.3383099999996</v>
      </c>
      <c r="AU97" s="152">
        <f t="shared" si="82"/>
        <v>699.99999000000003</v>
      </c>
      <c r="AV97" s="152">
        <f t="shared" si="82"/>
        <v>699.99999000000003</v>
      </c>
      <c r="AW97" s="152">
        <f t="shared" si="82"/>
        <v>700</v>
      </c>
      <c r="AX97" s="152">
        <f t="shared" si="82"/>
        <v>700.00002000000006</v>
      </c>
      <c r="AY97" s="152">
        <f t="shared" si="82"/>
        <v>2800</v>
      </c>
      <c r="AZ97" s="152">
        <f t="shared" si="82"/>
        <v>1597.8022477439488</v>
      </c>
      <c r="BA97" s="152">
        <f t="shared" si="82"/>
        <v>1727.6321504148134</v>
      </c>
      <c r="BB97" s="152">
        <f t="shared" si="82"/>
        <v>1869.5465336896584</v>
      </c>
      <c r="BC97" s="152">
        <f t="shared" si="82"/>
        <v>1619.7815122711911</v>
      </c>
      <c r="BD97" s="152">
        <f t="shared" si="82"/>
        <v>1755.5776430013311</v>
      </c>
      <c r="BE97" s="152">
        <f t="shared" si="82"/>
        <v>1904.1679261895749</v>
      </c>
      <c r="BF97" s="152">
        <f t="shared" si="82"/>
        <v>2066.8082132632871</v>
      </c>
      <c r="BG97" s="152">
        <f t="shared" si="82"/>
        <v>2244.8792338780127</v>
      </c>
      <c r="BH97" s="152">
        <f t="shared" si="82"/>
        <v>2439.8990625328634</v>
      </c>
      <c r="BI97" s="152">
        <f t="shared" si="82"/>
        <v>2653.53683121121</v>
      </c>
      <c r="BJ97" s="152">
        <f t="shared" si="82"/>
        <v>2887.6278126301431</v>
      </c>
      <c r="BK97" s="152">
        <f t="shared" si="82"/>
        <v>3144.1900111399041</v>
      </c>
      <c r="BL97" s="152">
        <f t="shared" si="82"/>
        <v>3425.4424120180443</v>
      </c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</row>
    <row r="98" spans="1:272" s="222" customFormat="1" hidden="1" outlineLevel="1">
      <c r="A98" s="222" t="s">
        <v>402</v>
      </c>
      <c r="C98" s="152"/>
      <c r="D98" s="152">
        <f t="shared" ref="D98:K98" si="83">C78-D78</f>
        <v>0</v>
      </c>
      <c r="E98" s="152">
        <f t="shared" si="83"/>
        <v>0</v>
      </c>
      <c r="F98" s="152">
        <f t="shared" si="83"/>
        <v>0</v>
      </c>
      <c r="G98" s="152">
        <f t="shared" si="83"/>
        <v>0</v>
      </c>
      <c r="H98" s="152">
        <f t="shared" si="83"/>
        <v>0</v>
      </c>
      <c r="I98" s="152">
        <f t="shared" si="83"/>
        <v>0</v>
      </c>
      <c r="J98" s="152">
        <f t="shared" si="83"/>
        <v>0</v>
      </c>
      <c r="K98" s="152">
        <f t="shared" si="83"/>
        <v>0</v>
      </c>
      <c r="L98" s="152">
        <f>$K$78-L78</f>
        <v>0</v>
      </c>
      <c r="M98" s="152">
        <f>$K$78-M78</f>
        <v>0</v>
      </c>
      <c r="N98" s="152">
        <f>$K$78-N78</f>
        <v>0</v>
      </c>
      <c r="O98" s="152">
        <f>$K$78-O78</f>
        <v>0</v>
      </c>
      <c r="P98" s="152">
        <f>K78-P78</f>
        <v>0</v>
      </c>
      <c r="Q98" s="152">
        <f>$P$78-Q78</f>
        <v>0</v>
      </c>
      <c r="R98" s="152">
        <f>$P$78-R78</f>
        <v>0</v>
      </c>
      <c r="S98" s="152">
        <f>$P$78-S78</f>
        <v>0</v>
      </c>
      <c r="T98" s="152">
        <f>$P$78-T78</f>
        <v>0</v>
      </c>
      <c r="U98" s="152">
        <f>P78-U78</f>
        <v>0</v>
      </c>
      <c r="V98" s="152">
        <f>$U$78-V78</f>
        <v>0</v>
      </c>
      <c r="W98" s="152">
        <f>$U$78-W78</f>
        <v>0</v>
      </c>
      <c r="X98" s="152">
        <f>$U$78-X78</f>
        <v>0</v>
      </c>
      <c r="Y98" s="152">
        <f>$U$78-Y78</f>
        <v>0</v>
      </c>
      <c r="Z98" s="152">
        <f>U78-Z78</f>
        <v>0</v>
      </c>
      <c r="AA98" s="152">
        <f>$Z$78-AA78</f>
        <v>0</v>
      </c>
      <c r="AB98" s="152">
        <f>$Z$78-AB78</f>
        <v>0</v>
      </c>
      <c r="AC98" s="152">
        <f>$Z$78-AC78</f>
        <v>0</v>
      </c>
      <c r="AD98" s="152">
        <f>$Z$78-AD78</f>
        <v>0</v>
      </c>
      <c r="AE98" s="152">
        <f>Z78-AE78</f>
        <v>0</v>
      </c>
      <c r="AF98" s="152">
        <f>AE78-AF78</f>
        <v>0</v>
      </c>
      <c r="AG98" s="152">
        <f>AE78-AG78</f>
        <v>0</v>
      </c>
      <c r="AH98" s="152">
        <f>$Z$78-AH78</f>
        <v>0</v>
      </c>
      <c r="AI98" s="152">
        <f>$Z$78-AI78</f>
        <v>0</v>
      </c>
      <c r="AJ98" s="152">
        <f>AE78-AJ78</f>
        <v>0</v>
      </c>
      <c r="AK98" s="152">
        <f>AJ78-AK78</f>
        <v>0</v>
      </c>
      <c r="AL98" s="152">
        <f>AJ78-AL78</f>
        <v>0</v>
      </c>
      <c r="AM98" s="152">
        <f>$AJ$78-AM78</f>
        <v>0</v>
      </c>
      <c r="AN98" s="152">
        <f>$AJ$78-AN78</f>
        <v>0</v>
      </c>
      <c r="AO98" s="152">
        <f>AJ78-AO78</f>
        <v>0</v>
      </c>
      <c r="AP98" s="152">
        <f>AO78-AP78</f>
        <v>0</v>
      </c>
      <c r="AQ98" s="152">
        <f>AO78-AQ78</f>
        <v>0</v>
      </c>
      <c r="AR98" s="152">
        <f>$AO$78-AR78</f>
        <v>0</v>
      </c>
      <c r="AS98" s="152">
        <f>$AO$78-AS78</f>
        <v>0</v>
      </c>
      <c r="AT98" s="152">
        <f>AO78-AT78</f>
        <v>0</v>
      </c>
      <c r="AU98" s="152">
        <f>AT78-AU78</f>
        <v>0</v>
      </c>
      <c r="AV98" s="152">
        <f>AT78-AV78</f>
        <v>0</v>
      </c>
      <c r="AW98" s="152">
        <f>$AO$78-AW78</f>
        <v>0</v>
      </c>
      <c r="AX98" s="152">
        <f>$AO$78-AX78</f>
        <v>0</v>
      </c>
      <c r="AY98" s="152">
        <f>AT78-AY78</f>
        <v>0</v>
      </c>
      <c r="AZ98" s="152">
        <f t="shared" ref="AZ98:BL98" si="84">AY78-AZ78</f>
        <v>0</v>
      </c>
      <c r="BA98" s="152">
        <f t="shared" si="84"/>
        <v>0</v>
      </c>
      <c r="BB98" s="152">
        <f t="shared" si="84"/>
        <v>0</v>
      </c>
      <c r="BC98" s="152">
        <f t="shared" si="84"/>
        <v>0</v>
      </c>
      <c r="BD98" s="152">
        <f t="shared" si="84"/>
        <v>0</v>
      </c>
      <c r="BE98" s="152">
        <f t="shared" si="84"/>
        <v>0</v>
      </c>
      <c r="BF98" s="152">
        <f t="shared" si="84"/>
        <v>0</v>
      </c>
      <c r="BG98" s="152">
        <f t="shared" si="84"/>
        <v>0</v>
      </c>
      <c r="BH98" s="152">
        <f t="shared" si="84"/>
        <v>0</v>
      </c>
      <c r="BI98" s="152">
        <f t="shared" si="84"/>
        <v>0</v>
      </c>
      <c r="BJ98" s="152">
        <f t="shared" si="84"/>
        <v>0</v>
      </c>
      <c r="BK98" s="152">
        <f t="shared" si="84"/>
        <v>0</v>
      </c>
      <c r="BL98" s="152">
        <f t="shared" si="84"/>
        <v>0</v>
      </c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</row>
    <row r="99" spans="1:272" s="222" customFormat="1" hidden="1" outlineLevel="1">
      <c r="A99" s="222" t="s">
        <v>403</v>
      </c>
      <c r="C99" s="152"/>
      <c r="D99" s="152">
        <f t="shared" ref="D99:K103" si="85">C50-D50</f>
        <v>-42721</v>
      </c>
      <c r="E99" s="152">
        <f t="shared" si="85"/>
        <v>-9127</v>
      </c>
      <c r="F99" s="152">
        <f t="shared" si="85"/>
        <v>-12625</v>
      </c>
      <c r="G99" s="152">
        <f t="shared" si="85"/>
        <v>9626</v>
      </c>
      <c r="H99" s="152">
        <f t="shared" si="85"/>
        <v>876.28500000000349</v>
      </c>
      <c r="I99" s="152">
        <f t="shared" si="85"/>
        <v>16661.714999999997</v>
      </c>
      <c r="J99" s="152">
        <f t="shared" si="85"/>
        <v>6317</v>
      </c>
      <c r="K99" s="152">
        <f t="shared" si="85"/>
        <v>5251</v>
      </c>
      <c r="L99" s="152">
        <f>$K$50-L50</f>
        <v>-1954</v>
      </c>
      <c r="M99" s="152">
        <f>$K$50-M50</f>
        <v>-1353</v>
      </c>
      <c r="N99" s="152">
        <f>$K$50-N50</f>
        <v>-5873</v>
      </c>
      <c r="O99" s="152">
        <f>$K$50-O50</f>
        <v>-13134</v>
      </c>
      <c r="P99" s="152">
        <f>K50-P50</f>
        <v>-13134</v>
      </c>
      <c r="Q99" s="152">
        <f>$P$50-Q50</f>
        <v>3946.1300300000003</v>
      </c>
      <c r="R99" s="152">
        <f>$P$50-R50</f>
        <v>874</v>
      </c>
      <c r="S99" s="152">
        <f>$P$50-S50</f>
        <v>2051</v>
      </c>
      <c r="T99" s="152">
        <f>$P$50-T50</f>
        <v>-7069</v>
      </c>
      <c r="U99" s="152">
        <f>P50-U50</f>
        <v>-7069</v>
      </c>
      <c r="V99" s="152">
        <f>$U$50-V50</f>
        <v>11244</v>
      </c>
      <c r="W99" s="152">
        <f>$U$50-W50</f>
        <v>11784</v>
      </c>
      <c r="X99" s="152">
        <f>$U$50-X50</f>
        <v>13904</v>
      </c>
      <c r="Y99" s="152">
        <f>$U$50-Y50</f>
        <v>15842.626899999996</v>
      </c>
      <c r="Z99" s="152">
        <f>U50-Z50</f>
        <v>15842.626899999996</v>
      </c>
      <c r="AA99" s="152">
        <f>$Z$50-AA50</f>
        <v>289.37310000000434</v>
      </c>
      <c r="AB99" s="152">
        <f>$Z$50-AB50</f>
        <v>1222.3731000000043</v>
      </c>
      <c r="AC99" s="152">
        <f>$Z$50-AC50</f>
        <v>-2099.6268999999957</v>
      </c>
      <c r="AD99" s="152">
        <f>$Z$50-AD50</f>
        <v>-18488.626899999996</v>
      </c>
      <c r="AE99" s="152">
        <f>Z50-AE50</f>
        <v>-18488.626899999996</v>
      </c>
      <c r="AF99" s="152">
        <f>AE50-AF50</f>
        <v>-199</v>
      </c>
      <c r="AG99" s="152">
        <f>AE50-AG50</f>
        <v>-1421.6434600000066</v>
      </c>
      <c r="AH99" s="152">
        <f>$AE$50-AH50</f>
        <v>-1572.0000000000146</v>
      </c>
      <c r="AI99" s="152">
        <f>$AE$50-AI50</f>
        <v>-209.3800600000468</v>
      </c>
      <c r="AJ99" s="152">
        <f>AE50-AJ50</f>
        <v>-209.3800600000468</v>
      </c>
      <c r="AK99" s="152">
        <f>AJ50-AK50</f>
        <v>210.3800600000468</v>
      </c>
      <c r="AL99" s="152">
        <f>AJ50-AL50</f>
        <v>-2917.6199399999532</v>
      </c>
      <c r="AM99" s="152">
        <f>$AJ$50-AM50</f>
        <v>-6961.6199399999532</v>
      </c>
      <c r="AN99" s="152">
        <f>$AJ$50-AN50</f>
        <v>-7926.6199399999532</v>
      </c>
      <c r="AO99" s="152">
        <f>AJ50-AO50</f>
        <v>-7926.6199399999532</v>
      </c>
      <c r="AP99" s="152">
        <f>AO50-AP50</f>
        <v>1725</v>
      </c>
      <c r="AQ99" s="152">
        <f>AO50-AQ50</f>
        <v>2767</v>
      </c>
      <c r="AR99" s="152">
        <f>$AO$50-AR50</f>
        <v>3092</v>
      </c>
      <c r="AS99" s="152">
        <f>$AO$50-AS50</f>
        <v>3457.5061742333346</v>
      </c>
      <c r="AT99" s="152">
        <f>AO50-AT50</f>
        <v>3457.5061742333346</v>
      </c>
      <c r="AU99" s="152">
        <f>AT50-AU50</f>
        <v>19042.115832433345</v>
      </c>
      <c r="AV99" s="152">
        <f>AT50-AV50</f>
        <v>9705.8474924333568</v>
      </c>
      <c r="AW99" s="152">
        <f>$AT$50-AW50</f>
        <v>10923.207310211132</v>
      </c>
      <c r="AX99" s="152">
        <f>$AT$50-AX50</f>
        <v>24621.657949100008</v>
      </c>
      <c r="AY99" s="152">
        <f>AT50-AY50</f>
        <v>24621.657949100008</v>
      </c>
      <c r="AZ99" s="152">
        <f t="shared" ref="AZ99:BL103" si="86">AY50-AZ50</f>
        <v>-11270.253635369227</v>
      </c>
      <c r="BA99" s="152">
        <f t="shared" si="86"/>
        <v>-12631.729454262451</v>
      </c>
      <c r="BB99" s="152">
        <f t="shared" si="86"/>
        <v>-16136.79052467033</v>
      </c>
      <c r="BC99" s="152">
        <f t="shared" si="86"/>
        <v>-14894.2472931027</v>
      </c>
      <c r="BD99" s="152">
        <f t="shared" si="86"/>
        <v>-14046.644530266291</v>
      </c>
      <c r="BE99" s="152">
        <f t="shared" si="86"/>
        <v>-9463.9254902883549</v>
      </c>
      <c r="BF99" s="152">
        <f t="shared" si="86"/>
        <v>-13582.986256476433</v>
      </c>
      <c r="BG99" s="152">
        <f t="shared" si="86"/>
        <v>-9982.4247535715986</v>
      </c>
      <c r="BH99" s="152">
        <f t="shared" si="86"/>
        <v>-5139.9334946035233</v>
      </c>
      <c r="BI99" s="152">
        <f t="shared" si="86"/>
        <v>-325.6705254499102</v>
      </c>
      <c r="BJ99" s="152">
        <f t="shared" si="86"/>
        <v>-2463.4035540188488</v>
      </c>
      <c r="BK99" s="152">
        <f t="shared" si="86"/>
        <v>159.99043855816126</v>
      </c>
      <c r="BL99" s="152">
        <f t="shared" si="86"/>
        <v>-503.25444759608945</v>
      </c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</row>
    <row r="100" spans="1:272" s="222" customFormat="1" hidden="1" outlineLevel="1">
      <c r="A100" s="222" t="s">
        <v>404</v>
      </c>
      <c r="C100" s="152"/>
      <c r="D100" s="152">
        <f t="shared" si="85"/>
        <v>-6838</v>
      </c>
      <c r="E100" s="152">
        <f t="shared" si="85"/>
        <v>-34963</v>
      </c>
      <c r="F100" s="152">
        <f t="shared" si="85"/>
        <v>13965</v>
      </c>
      <c r="G100" s="152">
        <f t="shared" si="85"/>
        <v>-4160</v>
      </c>
      <c r="H100" s="152">
        <f t="shared" si="85"/>
        <v>4251</v>
      </c>
      <c r="I100" s="152">
        <f t="shared" si="85"/>
        <v>24141</v>
      </c>
      <c r="J100" s="152">
        <f t="shared" si="85"/>
        <v>-2104</v>
      </c>
      <c r="K100" s="152">
        <f t="shared" si="85"/>
        <v>-24991</v>
      </c>
      <c r="L100" s="152">
        <f>$K$51-L51</f>
        <v>3231</v>
      </c>
      <c r="M100" s="152">
        <f>$K$51-M51</f>
        <v>-3512</v>
      </c>
      <c r="N100" s="152">
        <f>$K$51-N51</f>
        <v>20474</v>
      </c>
      <c r="O100" s="152">
        <f>$K$51-O51</f>
        <v>6601</v>
      </c>
      <c r="P100" s="152">
        <f>K51-P51</f>
        <v>6601</v>
      </c>
      <c r="Q100" s="152">
        <f>$P$51-Q51</f>
        <v>-6829.1291300000012</v>
      </c>
      <c r="R100" s="152">
        <f>$P$51-R51</f>
        <v>6960</v>
      </c>
      <c r="S100" s="152">
        <f>$P$51-S51</f>
        <v>1190</v>
      </c>
      <c r="T100" s="152">
        <f>$P$51-T51</f>
        <v>1862</v>
      </c>
      <c r="U100" s="152">
        <f>P51-U51</f>
        <v>1862</v>
      </c>
      <c r="V100" s="152">
        <f>$U$51-V51</f>
        <v>-7198</v>
      </c>
      <c r="W100" s="152">
        <f>$U$51-W51</f>
        <v>-11706</v>
      </c>
      <c r="X100" s="152">
        <f>$U$51-X51</f>
        <v>-41896</v>
      </c>
      <c r="Y100" s="152">
        <f>$U$51-Y51</f>
        <v>-38288</v>
      </c>
      <c r="Z100" s="152">
        <f>U51-Z51</f>
        <v>-38288</v>
      </c>
      <c r="AA100" s="152">
        <f>$Z$51-AA51</f>
        <v>21307</v>
      </c>
      <c r="AB100" s="152">
        <f>$Z$51-AB51</f>
        <v>48568</v>
      </c>
      <c r="AC100" s="152">
        <f>$Z$51-AC51</f>
        <v>39223</v>
      </c>
      <c r="AD100" s="152">
        <f>$Z$51-AD51</f>
        <v>15531</v>
      </c>
      <c r="AE100" s="152">
        <f>Z51-AE51</f>
        <v>15531</v>
      </c>
      <c r="AF100" s="152">
        <f>AE51-AF51</f>
        <v>31750</v>
      </c>
      <c r="AG100" s="152">
        <f>AE51-AG51</f>
        <v>25690</v>
      </c>
      <c r="AH100" s="152">
        <f>$AE$51-AH51</f>
        <v>22448</v>
      </c>
      <c r="AI100" s="152">
        <f>$AE$51-AI51</f>
        <v>31869</v>
      </c>
      <c r="AJ100" s="152">
        <f>AE51-AJ51</f>
        <v>31869</v>
      </c>
      <c r="AK100" s="152">
        <f>AJ51-AK51</f>
        <v>7684</v>
      </c>
      <c r="AL100" s="152">
        <f>AJ51-AL51</f>
        <v>13084</v>
      </c>
      <c r="AM100" s="152">
        <f>$AJ$51-AM51</f>
        <v>17314</v>
      </c>
      <c r="AN100" s="152">
        <f>$AJ$51-AN51</f>
        <v>18602</v>
      </c>
      <c r="AO100" s="152">
        <f>AJ51-AO51</f>
        <v>18602</v>
      </c>
      <c r="AP100" s="152">
        <f>AO51-AP51</f>
        <v>-3716</v>
      </c>
      <c r="AQ100" s="152">
        <f>AO51-AQ51</f>
        <v>-9426</v>
      </c>
      <c r="AR100" s="152">
        <f>$AO$51-AR51</f>
        <v>-9822</v>
      </c>
      <c r="AS100" s="152">
        <f>$AO$51-AS51</f>
        <v>-3827.1720888888922</v>
      </c>
      <c r="AT100" s="152">
        <f>AO51-AT51</f>
        <v>-3827.1720888888922</v>
      </c>
      <c r="AU100" s="152">
        <f>AT51-AU51</f>
        <v>-46694.872337777735</v>
      </c>
      <c r="AV100" s="152">
        <f>AT51-AV51</f>
        <v>-20063.336777777778</v>
      </c>
      <c r="AW100" s="152">
        <f>$AT$51-AW51</f>
        <v>-25916.494542222226</v>
      </c>
      <c r="AX100" s="152">
        <f>$AT$51-AX51</f>
        <v>-19091.824546666667</v>
      </c>
      <c r="AY100" s="152">
        <f>AT51-AY51</f>
        <v>-19091.824546666667</v>
      </c>
      <c r="AZ100" s="152">
        <f t="shared" si="86"/>
        <v>-13328.153049166656</v>
      </c>
      <c r="BA100" s="152">
        <f t="shared" si="86"/>
        <v>-9990.5074364861212</v>
      </c>
      <c r="BB100" s="152">
        <f t="shared" si="86"/>
        <v>-11419.464894988094</v>
      </c>
      <c r="BC100" s="152">
        <f t="shared" si="86"/>
        <v>-7692.4717254176794</v>
      </c>
      <c r="BD100" s="152">
        <f t="shared" si="86"/>
        <v>-8459.1526836733537</v>
      </c>
      <c r="BE100" s="152">
        <f t="shared" si="86"/>
        <v>-9302.424751326078</v>
      </c>
      <c r="BF100" s="152">
        <f t="shared" si="86"/>
        <v>-10229.944729722614</v>
      </c>
      <c r="BG100" s="152">
        <f t="shared" si="86"/>
        <v>-11250.135031056678</v>
      </c>
      <c r="BH100" s="152">
        <f t="shared" si="86"/>
        <v>-12372.260237375085</v>
      </c>
      <c r="BI100" s="152">
        <f t="shared" si="86"/>
        <v>-13606.511315421638</v>
      </c>
      <c r="BJ100" s="152">
        <f t="shared" si="86"/>
        <v>-14964.098252902157</v>
      </c>
      <c r="BK100" s="152">
        <f t="shared" si="86"/>
        <v>-16457.351958308835</v>
      </c>
      <c r="BL100" s="152">
        <f t="shared" si="86"/>
        <v>-18099.836350659752</v>
      </c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</row>
    <row r="101" spans="1:272" s="222" customFormat="1" hidden="1" outlineLevel="1">
      <c r="A101" s="222" t="s">
        <v>405</v>
      </c>
      <c r="C101" s="152"/>
      <c r="D101" s="152">
        <f t="shared" si="85"/>
        <v>-1350</v>
      </c>
      <c r="E101" s="152">
        <f t="shared" si="85"/>
        <v>1104</v>
      </c>
      <c r="F101" s="152">
        <f t="shared" si="85"/>
        <v>8184</v>
      </c>
      <c r="G101" s="152">
        <f t="shared" si="85"/>
        <v>-7372</v>
      </c>
      <c r="H101" s="152">
        <f t="shared" si="85"/>
        <v>-27802</v>
      </c>
      <c r="I101" s="152">
        <f t="shared" si="85"/>
        <v>13895</v>
      </c>
      <c r="J101" s="152">
        <f t="shared" si="85"/>
        <v>10124</v>
      </c>
      <c r="K101" s="152">
        <f t="shared" si="85"/>
        <v>12838</v>
      </c>
      <c r="L101" s="152">
        <f>$K$52-L52</f>
        <v>-26576</v>
      </c>
      <c r="M101" s="152">
        <f>$K$52-M52</f>
        <v>-27114</v>
      </c>
      <c r="N101" s="152">
        <f>$K$52-N52</f>
        <v>-44158</v>
      </c>
      <c r="O101" s="152">
        <f>$K$52-O52</f>
        <v>-35815</v>
      </c>
      <c r="P101" s="152">
        <f>K52-P52</f>
        <v>-35815</v>
      </c>
      <c r="Q101" s="152">
        <f>$P$52-Q52</f>
        <v>-9723.5411100000056</v>
      </c>
      <c r="R101" s="152">
        <f>$P$52-R52</f>
        <v>-37063</v>
      </c>
      <c r="S101" s="152">
        <f>$P$52-S52</f>
        <v>-37751</v>
      </c>
      <c r="T101" s="152">
        <f>$P$52-T52</f>
        <v>-24258</v>
      </c>
      <c r="U101" s="152">
        <f>P52-U52</f>
        <v>-24258</v>
      </c>
      <c r="V101" s="152">
        <f>$U$52-V52</f>
        <v>-9267</v>
      </c>
      <c r="W101" s="152">
        <f>$U$52-W52</f>
        <v>-15947</v>
      </c>
      <c r="X101" s="152">
        <f>$U$52-X52</f>
        <v>-14543</v>
      </c>
      <c r="Y101" s="152">
        <f>$U$52-Y52</f>
        <v>25838</v>
      </c>
      <c r="Z101" s="152">
        <f>U52-Z52</f>
        <v>25838</v>
      </c>
      <c r="AA101" s="152">
        <f>$Z$52-AA52</f>
        <v>12243</v>
      </c>
      <c r="AB101" s="152">
        <f>$Z$52-AB52</f>
        <v>7587</v>
      </c>
      <c r="AC101" s="152">
        <f>$Z$52-AC52</f>
        <v>12472</v>
      </c>
      <c r="AD101" s="152">
        <f>$Z$52-AD52</f>
        <v>19526</v>
      </c>
      <c r="AE101" s="152">
        <f>Z52-AE52</f>
        <v>19526</v>
      </c>
      <c r="AF101" s="152">
        <f>AE52-AF52</f>
        <v>-7739</v>
      </c>
      <c r="AG101" s="152">
        <f>AE52-AG52</f>
        <v>-6196</v>
      </c>
      <c r="AH101" s="152">
        <f>$AE$52-AH52</f>
        <v>-32480</v>
      </c>
      <c r="AI101" s="152">
        <f>$AE$52-AI52</f>
        <v>-30753</v>
      </c>
      <c r="AJ101" s="152">
        <f>AE52-AJ52</f>
        <v>-30753</v>
      </c>
      <c r="AK101" s="152">
        <f>AJ52-AK52</f>
        <v>31216</v>
      </c>
      <c r="AL101" s="152">
        <f>AJ52-AL52</f>
        <v>38982</v>
      </c>
      <c r="AM101" s="152">
        <f>$AJ$52-AM52</f>
        <v>34851</v>
      </c>
      <c r="AN101" s="152">
        <f>$AJ$52-AN52</f>
        <v>30067.998659999997</v>
      </c>
      <c r="AO101" s="152">
        <f>AJ52-AO52</f>
        <v>30067.998659999997</v>
      </c>
      <c r="AP101" s="152">
        <f>AO52-AP52</f>
        <v>-11219.998659999997</v>
      </c>
      <c r="AQ101" s="152">
        <f>AO52-AQ52</f>
        <v>-16481.998659999997</v>
      </c>
      <c r="AR101" s="152">
        <f>$AO$52-AR52</f>
        <v>-21554.998659999997</v>
      </c>
      <c r="AS101" s="152">
        <f>$AO$52-AS52</f>
        <v>-19143.806033333334</v>
      </c>
      <c r="AT101" s="152">
        <f>AO52-AT52</f>
        <v>-19143.806033333334</v>
      </c>
      <c r="AU101" s="152">
        <f>AT52-AU52</f>
        <v>-19300.867606666616</v>
      </c>
      <c r="AV101" s="152">
        <f>AT52-AV52</f>
        <v>-19049.50858666667</v>
      </c>
      <c r="AW101" s="152">
        <f>$AT$52-AW52</f>
        <v>4074.8074133333284</v>
      </c>
      <c r="AX101" s="152">
        <f>$AT$52-AX52</f>
        <v>-7462.6159111111119</v>
      </c>
      <c r="AY101" s="152">
        <f>AT52-AY52</f>
        <v>-7462.6159111111119</v>
      </c>
      <c r="AZ101" s="152">
        <f t="shared" si="86"/>
        <v>-812.0441898611025</v>
      </c>
      <c r="BA101" s="152">
        <f t="shared" si="86"/>
        <v>-11183.321071144441</v>
      </c>
      <c r="BB101" s="152">
        <f t="shared" si="86"/>
        <v>-9814.3517731758911</v>
      </c>
      <c r="BC101" s="152">
        <f t="shared" si="86"/>
        <v>-17393.601858391747</v>
      </c>
      <c r="BD101" s="152">
        <f t="shared" si="86"/>
        <v>-16444.675006172183</v>
      </c>
      <c r="BE101" s="152">
        <f t="shared" si="86"/>
        <v>-12209.432486115475</v>
      </c>
      <c r="BF101" s="152">
        <f t="shared" si="86"/>
        <v>-13426.802457760903</v>
      </c>
      <c r="BG101" s="152">
        <f t="shared" si="86"/>
        <v>-14765.802228261891</v>
      </c>
      <c r="BH101" s="152">
        <f t="shared" si="86"/>
        <v>-7670.6846131318307</v>
      </c>
      <c r="BI101" s="152">
        <f t="shared" si="86"/>
        <v>-17008.139144277055</v>
      </c>
      <c r="BJ101" s="152">
        <f t="shared" si="86"/>
        <v>-8351.5527696844656</v>
      </c>
      <c r="BK101" s="152">
        <f t="shared" si="86"/>
        <v>-24095.967268026725</v>
      </c>
      <c r="BL101" s="152">
        <f t="shared" si="86"/>
        <v>-4427.299533119658</v>
      </c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</row>
    <row r="102" spans="1:272" s="222" customFormat="1" hidden="1" outlineLevel="1">
      <c r="A102" s="222" t="s">
        <v>406</v>
      </c>
      <c r="C102" s="152"/>
      <c r="D102" s="152">
        <f t="shared" si="85"/>
        <v>-2435</v>
      </c>
      <c r="E102" s="152">
        <f t="shared" si="85"/>
        <v>-23815</v>
      </c>
      <c r="F102" s="152">
        <f t="shared" si="85"/>
        <v>-19472</v>
      </c>
      <c r="G102" s="152">
        <f t="shared" si="85"/>
        <v>-11419</v>
      </c>
      <c r="H102" s="152">
        <f t="shared" si="85"/>
        <v>-26382</v>
      </c>
      <c r="I102" s="152">
        <f t="shared" si="85"/>
        <v>-15124</v>
      </c>
      <c r="J102" s="152">
        <f t="shared" si="85"/>
        <v>-39245</v>
      </c>
      <c r="K102" s="152">
        <f t="shared" si="85"/>
        <v>23296</v>
      </c>
      <c r="L102" s="152">
        <f>$K$53-L53</f>
        <v>2217</v>
      </c>
      <c r="M102" s="152">
        <f>$K$53-M53</f>
        <v>-4188</v>
      </c>
      <c r="N102" s="152">
        <f>$K$53-N53</f>
        <v>-5966</v>
      </c>
      <c r="O102" s="152">
        <f>$K$53-O53</f>
        <v>7387</v>
      </c>
      <c r="P102" s="152">
        <f>K53-P53</f>
        <v>7387</v>
      </c>
      <c r="Q102" s="152">
        <f>$P$53-Q53</f>
        <v>-8855.6581699999952</v>
      </c>
      <c r="R102" s="152">
        <f>$P$53-R53</f>
        <v>-12286</v>
      </c>
      <c r="S102" s="152">
        <f>$P$53-S53</f>
        <v>-16897</v>
      </c>
      <c r="T102" s="152">
        <f>$P$53-T53</f>
        <v>-13384</v>
      </c>
      <c r="U102" s="152">
        <f>P53-U53</f>
        <v>-13384</v>
      </c>
      <c r="V102" s="152">
        <f>$U$53-V53</f>
        <v>-4068</v>
      </c>
      <c r="W102" s="152">
        <f>$U$53-W53</f>
        <v>-7578</v>
      </c>
      <c r="X102" s="152">
        <f>$U$53-X53</f>
        <v>-31492</v>
      </c>
      <c r="Y102" s="152">
        <f>$U$53-Y53</f>
        <v>20189</v>
      </c>
      <c r="Z102" s="152">
        <f>U53-Z53</f>
        <v>20189</v>
      </c>
      <c r="AA102" s="152">
        <f>$Z$53-AA53</f>
        <v>299</v>
      </c>
      <c r="AB102" s="152">
        <f>$Z$53-AB53</f>
        <v>3946</v>
      </c>
      <c r="AC102" s="152">
        <f>$Z$53-AC53</f>
        <v>84</v>
      </c>
      <c r="AD102" s="152">
        <f>$Z$53-AD53</f>
        <v>-3689</v>
      </c>
      <c r="AE102" s="152">
        <f>Z53-AE53</f>
        <v>-3689</v>
      </c>
      <c r="AF102" s="152">
        <f>AE53-AF53</f>
        <v>-4054</v>
      </c>
      <c r="AG102" s="152">
        <f>AE53-AG53</f>
        <v>-21760</v>
      </c>
      <c r="AH102" s="152">
        <f>$AE$53-AH53</f>
        <v>-7464</v>
      </c>
      <c r="AI102" s="152">
        <f>$AE$53-AI53</f>
        <v>-11406</v>
      </c>
      <c r="AJ102" s="152">
        <f>AE53-AJ53</f>
        <v>-11406</v>
      </c>
      <c r="AK102" s="152">
        <f>AJ53-AK53</f>
        <v>17995</v>
      </c>
      <c r="AL102" s="152">
        <f>AJ53-AL53</f>
        <v>19767</v>
      </c>
      <c r="AM102" s="152">
        <f>$AJ$53-AM53</f>
        <v>21059</v>
      </c>
      <c r="AN102" s="152">
        <f>$AJ$53-AN53</f>
        <v>21957</v>
      </c>
      <c r="AO102" s="152">
        <f>AJ53-AO53</f>
        <v>21957</v>
      </c>
      <c r="AP102" s="152">
        <f>AO53-AP53</f>
        <v>-720</v>
      </c>
      <c r="AQ102" s="152">
        <f>AO53-AQ53</f>
        <v>-4002</v>
      </c>
      <c r="AR102" s="152">
        <f>$AO$53-AR53</f>
        <v>631</v>
      </c>
      <c r="AS102" s="152">
        <f>$AO$53-AS53</f>
        <v>6631</v>
      </c>
      <c r="AT102" s="152">
        <f>AO53-AT53</f>
        <v>6631</v>
      </c>
      <c r="AU102" s="152">
        <f>AT53-AU53</f>
        <v>1750</v>
      </c>
      <c r="AV102" s="152">
        <f>AT53-AV53</f>
        <v>3500</v>
      </c>
      <c r="AW102" s="152">
        <f>$AT$53-AW53</f>
        <v>5250</v>
      </c>
      <c r="AX102" s="152">
        <f>$AT$53-AX53</f>
        <v>7000</v>
      </c>
      <c r="AY102" s="152">
        <f>AT53-AY53</f>
        <v>7000</v>
      </c>
      <c r="AZ102" s="152">
        <f t="shared" si="86"/>
        <v>15000</v>
      </c>
      <c r="BA102" s="152">
        <f t="shared" si="86"/>
        <v>15000</v>
      </c>
      <c r="BB102" s="152">
        <f t="shared" si="86"/>
        <v>15000</v>
      </c>
      <c r="BC102" s="152">
        <f t="shared" si="86"/>
        <v>3278</v>
      </c>
      <c r="BD102" s="152">
        <f t="shared" si="86"/>
        <v>3000</v>
      </c>
      <c r="BE102" s="152">
        <f t="shared" si="86"/>
        <v>2262</v>
      </c>
      <c r="BF102" s="152">
        <f t="shared" si="86"/>
        <v>0</v>
      </c>
      <c r="BG102" s="152">
        <f t="shared" si="86"/>
        <v>0</v>
      </c>
      <c r="BH102" s="152">
        <f t="shared" si="86"/>
        <v>0</v>
      </c>
      <c r="BI102" s="152">
        <f t="shared" si="86"/>
        <v>0</v>
      </c>
      <c r="BJ102" s="152">
        <f t="shared" si="86"/>
        <v>0</v>
      </c>
      <c r="BK102" s="152">
        <f t="shared" si="86"/>
        <v>0</v>
      </c>
      <c r="BL102" s="152">
        <f t="shared" si="86"/>
        <v>0</v>
      </c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</row>
    <row r="103" spans="1:272" s="222" customFormat="1" hidden="1" outlineLevel="1">
      <c r="A103" s="222" t="s">
        <v>407</v>
      </c>
      <c r="C103" s="152"/>
      <c r="D103" s="152">
        <f t="shared" si="85"/>
        <v>0</v>
      </c>
      <c r="E103" s="152">
        <f t="shared" si="85"/>
        <v>78</v>
      </c>
      <c r="F103" s="152">
        <f t="shared" si="85"/>
        <v>-65</v>
      </c>
      <c r="G103" s="152">
        <f t="shared" si="85"/>
        <v>-5</v>
      </c>
      <c r="H103" s="152">
        <f t="shared" si="85"/>
        <v>4</v>
      </c>
      <c r="I103" s="152">
        <f t="shared" si="85"/>
        <v>-10</v>
      </c>
      <c r="J103" s="152">
        <f t="shared" si="85"/>
        <v>-15</v>
      </c>
      <c r="K103" s="152">
        <f t="shared" si="85"/>
        <v>-20</v>
      </c>
      <c r="L103" s="152">
        <f>$K$54-L54</f>
        <v>-3</v>
      </c>
      <c r="M103" s="152">
        <f>$K$54-M54</f>
        <v>-6</v>
      </c>
      <c r="N103" s="152">
        <f>$K$54-N54</f>
        <v>-10</v>
      </c>
      <c r="O103" s="152">
        <f>$K$54-O54</f>
        <v>-13</v>
      </c>
      <c r="P103" s="152">
        <f>K54-P54</f>
        <v>-13</v>
      </c>
      <c r="Q103" s="152">
        <f>$P$54-Q54</f>
        <v>-5.1493000000000038</v>
      </c>
      <c r="R103" s="152">
        <f>$P$54-R54</f>
        <v>2</v>
      </c>
      <c r="S103" s="152">
        <f>$P$54-S54</f>
        <v>2</v>
      </c>
      <c r="T103" s="152">
        <f>$P$54-T54</f>
        <v>2</v>
      </c>
      <c r="U103" s="152">
        <f>P54-U54</f>
        <v>2</v>
      </c>
      <c r="V103" s="152">
        <f>$U$54-V54</f>
        <v>0</v>
      </c>
      <c r="W103" s="152">
        <f>$U$54-W54</f>
        <v>-8000</v>
      </c>
      <c r="X103" s="152">
        <f>$U$54-X54</f>
        <v>-8051</v>
      </c>
      <c r="Y103" s="152">
        <f>$U$54-Y54</f>
        <v>-8015</v>
      </c>
      <c r="Z103" s="152">
        <f>U54-Z54</f>
        <v>-8015</v>
      </c>
      <c r="AA103" s="152">
        <f>$Z$54-AA54</f>
        <v>4</v>
      </c>
      <c r="AB103" s="152">
        <f>$Z$54-AB54</f>
        <v>14</v>
      </c>
      <c r="AC103" s="152">
        <f>$Z$54-AC54</f>
        <v>-2202</v>
      </c>
      <c r="AD103" s="152">
        <f>$Z$54-AD54</f>
        <v>-2424.3971000000001</v>
      </c>
      <c r="AE103" s="152">
        <f>Z54-AE54</f>
        <v>-2424.3971000000001</v>
      </c>
      <c r="AF103" s="152">
        <f>AE54-AF54</f>
        <v>-5825.6028999999999</v>
      </c>
      <c r="AG103" s="152">
        <f>AE54-AG54</f>
        <v>6901.3971000000001</v>
      </c>
      <c r="AH103" s="152">
        <f>$AE$54-AH54</f>
        <v>2443.3971000000001</v>
      </c>
      <c r="AI103" s="152">
        <f>$AE$54-AI54</f>
        <v>-562.60289999999986</v>
      </c>
      <c r="AJ103" s="152">
        <f>AE54-AJ54</f>
        <v>-562.60289999999986</v>
      </c>
      <c r="AK103" s="152">
        <f>AJ54-AK54</f>
        <v>4177</v>
      </c>
      <c r="AL103" s="152">
        <f>AJ54-AL54</f>
        <v>6357</v>
      </c>
      <c r="AM103" s="152">
        <f>$AJ$54-AM54</f>
        <v>5941</v>
      </c>
      <c r="AN103" s="152">
        <f>$AJ$54-AN54</f>
        <v>5458</v>
      </c>
      <c r="AO103" s="152">
        <f>AJ54-AO54</f>
        <v>5458</v>
      </c>
      <c r="AP103" s="152">
        <f>AO54-AP54</f>
        <v>903</v>
      </c>
      <c r="AQ103" s="152">
        <f>AO54-AQ54</f>
        <v>1903</v>
      </c>
      <c r="AR103" s="152">
        <f>$AO$54-AR54</f>
        <v>3196</v>
      </c>
      <c r="AS103" s="152">
        <f>$AO$54-AS54</f>
        <v>3192</v>
      </c>
      <c r="AT103" s="152">
        <f>AO54-AT54</f>
        <v>3192</v>
      </c>
      <c r="AU103" s="152">
        <f>AT54-AU54</f>
        <v>0</v>
      </c>
      <c r="AV103" s="152">
        <f>AT54-AV54</f>
        <v>0</v>
      </c>
      <c r="AW103" s="152">
        <f>$AT$54-AW54</f>
        <v>0</v>
      </c>
      <c r="AX103" s="152">
        <f>$AT$54-AX54</f>
        <v>0</v>
      </c>
      <c r="AY103" s="152">
        <f>AT54-AY54</f>
        <v>0</v>
      </c>
      <c r="AZ103" s="152">
        <f t="shared" si="86"/>
        <v>0</v>
      </c>
      <c r="BA103" s="152">
        <f t="shared" si="86"/>
        <v>0</v>
      </c>
      <c r="BB103" s="152">
        <f t="shared" si="86"/>
        <v>0</v>
      </c>
      <c r="BC103" s="152">
        <f t="shared" si="86"/>
        <v>0</v>
      </c>
      <c r="BD103" s="152">
        <f t="shared" si="86"/>
        <v>0</v>
      </c>
      <c r="BE103" s="152">
        <f t="shared" si="86"/>
        <v>0</v>
      </c>
      <c r="BF103" s="152">
        <f t="shared" si="86"/>
        <v>0</v>
      </c>
      <c r="BG103" s="152">
        <f t="shared" si="86"/>
        <v>0</v>
      </c>
      <c r="BH103" s="152">
        <f t="shared" si="86"/>
        <v>0</v>
      </c>
      <c r="BI103" s="152">
        <f t="shared" si="86"/>
        <v>0</v>
      </c>
      <c r="BJ103" s="152">
        <f t="shared" si="86"/>
        <v>0</v>
      </c>
      <c r="BK103" s="152">
        <f t="shared" si="86"/>
        <v>0</v>
      </c>
      <c r="BL103" s="152">
        <f t="shared" si="86"/>
        <v>0</v>
      </c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</row>
    <row r="104" spans="1:272" s="222" customFormat="1" hidden="1" outlineLevel="1">
      <c r="A104" s="222" t="s">
        <v>408</v>
      </c>
      <c r="C104" s="152"/>
      <c r="D104" s="152">
        <f t="shared" ref="D104:K104" si="87">C61-D61</f>
        <v>-588</v>
      </c>
      <c r="E104" s="152">
        <f t="shared" si="87"/>
        <v>39003</v>
      </c>
      <c r="F104" s="152">
        <f t="shared" si="87"/>
        <v>-11607</v>
      </c>
      <c r="G104" s="152">
        <f t="shared" si="87"/>
        <v>11485</v>
      </c>
      <c r="H104" s="152">
        <f t="shared" si="87"/>
        <v>-18938</v>
      </c>
      <c r="I104" s="152">
        <f t="shared" si="87"/>
        <v>9360</v>
      </c>
      <c r="J104" s="152">
        <f t="shared" si="87"/>
        <v>-9343</v>
      </c>
      <c r="K104" s="152">
        <f t="shared" si="87"/>
        <v>3878</v>
      </c>
      <c r="L104" s="152">
        <f>$K$61-L61</f>
        <v>8063</v>
      </c>
      <c r="M104" s="152">
        <f>$K$61-M61</f>
        <v>-921</v>
      </c>
      <c r="N104" s="152">
        <f>$K$61-N61</f>
        <v>-6515</v>
      </c>
      <c r="O104" s="152">
        <f>$K$61-O61</f>
        <v>6689</v>
      </c>
      <c r="P104" s="152">
        <f>K61-P61</f>
        <v>6688</v>
      </c>
      <c r="Q104" s="152">
        <f>$P$61-Q61</f>
        <v>7898.5612899999978</v>
      </c>
      <c r="R104" s="152">
        <f>$P$61-R61</f>
        <v>8555</v>
      </c>
      <c r="S104" s="152">
        <f>$P$61-S61</f>
        <v>-4648</v>
      </c>
      <c r="T104" s="152">
        <f>$P$61-T61</f>
        <v>65685</v>
      </c>
      <c r="U104" s="152">
        <f>P61-U61</f>
        <v>65685</v>
      </c>
      <c r="V104" s="152">
        <f>$U$61-V61</f>
        <v>-51548</v>
      </c>
      <c r="W104" s="152">
        <f>$U$61-W61</f>
        <v>-25020</v>
      </c>
      <c r="X104" s="152">
        <f>$U$61-X61</f>
        <v>-23675</v>
      </c>
      <c r="Y104" s="152">
        <f>$U$61-Y61</f>
        <v>-56376</v>
      </c>
      <c r="Z104" s="152">
        <f>U61-Z61</f>
        <v>-56376</v>
      </c>
      <c r="AA104" s="152">
        <f>$Z$61-AA61</f>
        <v>-21792</v>
      </c>
      <c r="AB104" s="152">
        <f>$Z$61-AB61</f>
        <v>-29633</v>
      </c>
      <c r="AC104" s="152">
        <f>$Z$61-AC61</f>
        <v>-30275</v>
      </c>
      <c r="AD104" s="152">
        <f>$Z$61-AD61</f>
        <v>-20977</v>
      </c>
      <c r="AE104" s="152">
        <f>Z61-AE61</f>
        <v>-20977</v>
      </c>
      <c r="AF104" s="152">
        <f>AE61-AF61</f>
        <v>-11579</v>
      </c>
      <c r="AG104" s="152">
        <f>AE61-AG61</f>
        <v>-2528</v>
      </c>
      <c r="AH104" s="152">
        <f>$AE$61-AH61</f>
        <v>4107</v>
      </c>
      <c r="AI104" s="152">
        <f>$AE$61-AI61</f>
        <v>4264</v>
      </c>
      <c r="AJ104" s="152">
        <f>AE61-AJ61</f>
        <v>4264</v>
      </c>
      <c r="AK104" s="152">
        <f>AJ61-AK61</f>
        <v>-11244</v>
      </c>
      <c r="AL104" s="152">
        <f>AJ61-AL61</f>
        <v>-15372</v>
      </c>
      <c r="AM104" s="152">
        <f>$AJ$61-AM61</f>
        <v>-11392</v>
      </c>
      <c r="AN104" s="152">
        <f>$AJ$61-AN61</f>
        <v>-9730</v>
      </c>
      <c r="AO104" s="152">
        <f>AJ61-AO61</f>
        <v>-9730</v>
      </c>
      <c r="AP104" s="152">
        <f>AO61-AP61</f>
        <v>1082</v>
      </c>
      <c r="AQ104" s="152">
        <f>AO61-AQ61</f>
        <v>4625</v>
      </c>
      <c r="AR104" s="152">
        <f>$AO$61-AR61</f>
        <v>3108</v>
      </c>
      <c r="AS104" s="152">
        <f>$AO$61-AS61</f>
        <v>2262.4141675722203</v>
      </c>
      <c r="AT104" s="152">
        <f>AO61-AT61</f>
        <v>2262.4141675722203</v>
      </c>
      <c r="AU104" s="152">
        <f>AT61-AU61</f>
        <v>9673.6193274277684</v>
      </c>
      <c r="AV104" s="152">
        <f>AT61-AV61</f>
        <v>7723.5736324277677</v>
      </c>
      <c r="AW104" s="152">
        <f>$AT$61-AW61</f>
        <v>9119.1317968722069</v>
      </c>
      <c r="AX104" s="152">
        <f>$AT$61-AX61</f>
        <v>8541.1788224277698</v>
      </c>
      <c r="AY104" s="152">
        <f>AT61-AY61</f>
        <v>8541.1788224277698</v>
      </c>
      <c r="AZ104" s="152">
        <f t="shared" ref="AZ104:BL104" si="88">AY61-AZ61</f>
        <v>5400.4741440269208</v>
      </c>
      <c r="BA104" s="152">
        <f t="shared" si="88"/>
        <v>3751.4788435053124</v>
      </c>
      <c r="BB104" s="152">
        <f t="shared" si="88"/>
        <v>4106.5184289199387</v>
      </c>
      <c r="BC104" s="152">
        <f t="shared" si="88"/>
        <v>4496.1302030413135</v>
      </c>
      <c r="BD104" s="152">
        <f t="shared" si="88"/>
        <v>4964.2843371174677</v>
      </c>
      <c r="BE104" s="152">
        <f t="shared" si="88"/>
        <v>4937.7002558026361</v>
      </c>
      <c r="BF104" s="152">
        <f t="shared" si="88"/>
        <v>5866.7762135364028</v>
      </c>
      <c r="BG104" s="152">
        <f t="shared" si="88"/>
        <v>6428.2208351843001</v>
      </c>
      <c r="BH104" s="152">
        <f t="shared" si="88"/>
        <v>7044.6336438808939</v>
      </c>
      <c r="BI104" s="152">
        <f t="shared" si="88"/>
        <v>7721.4552058213158</v>
      </c>
      <c r="BJ104" s="152">
        <f t="shared" si="88"/>
        <v>8464.66740803211</v>
      </c>
      <c r="BK104" s="152">
        <f t="shared" si="88"/>
        <v>9280.847455970099</v>
      </c>
      <c r="BL104" s="152">
        <f t="shared" si="88"/>
        <v>10177.227264226094</v>
      </c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</row>
    <row r="105" spans="1:272" s="222" customFormat="1" hidden="1" outlineLevel="1">
      <c r="A105" s="222" t="s">
        <v>409</v>
      </c>
      <c r="C105" s="152"/>
      <c r="D105" s="152">
        <f t="shared" ref="D105:K105" si="89">(C49-D49)+(C62-D62)</f>
        <v>0</v>
      </c>
      <c r="E105" s="152">
        <f t="shared" si="89"/>
        <v>-19974</v>
      </c>
      <c r="F105" s="152">
        <f t="shared" si="89"/>
        <v>5156</v>
      </c>
      <c r="G105" s="152">
        <f t="shared" si="89"/>
        <v>407</v>
      </c>
      <c r="H105" s="152">
        <f t="shared" si="89"/>
        <v>-1266</v>
      </c>
      <c r="I105" s="152">
        <f t="shared" si="89"/>
        <v>7075</v>
      </c>
      <c r="J105" s="152">
        <f t="shared" si="89"/>
        <v>-2222</v>
      </c>
      <c r="K105" s="152">
        <f t="shared" si="89"/>
        <v>924</v>
      </c>
      <c r="L105" s="152">
        <f>($K$49-L49)+($K$62-L62)</f>
        <v>-1661</v>
      </c>
      <c r="M105" s="152">
        <f>($K$49-M49)+($K$62-M62)</f>
        <v>434</v>
      </c>
      <c r="N105" s="152">
        <f>($K$49-N49)+($K$62-N62)</f>
        <v>-3862</v>
      </c>
      <c r="O105" s="152">
        <f>($K$49-O49)+($K$62-O62)</f>
        <v>-5233</v>
      </c>
      <c r="P105" s="152">
        <f>(K49-P49)+(K62-P62)</f>
        <v>-5233</v>
      </c>
      <c r="Q105" s="152">
        <f>($P$49-Q49)+($P$62-Q62)</f>
        <v>-1383.6389999999992</v>
      </c>
      <c r="R105" s="152">
        <f>($P$49-R49)+($P$62-R62)</f>
        <v>-8439</v>
      </c>
      <c r="S105" s="152">
        <f>($P$49-S49)+($P$62-S62)</f>
        <v>78</v>
      </c>
      <c r="T105" s="152">
        <f>($P$49-T49)+($P$62-T62)</f>
        <v>-39058</v>
      </c>
      <c r="U105" s="152">
        <f>(P49-U49)+(P62-U62)</f>
        <v>-39058</v>
      </c>
      <c r="V105" s="152">
        <f>($U$49-V49)+($U$62-V62)</f>
        <v>21309</v>
      </c>
      <c r="W105" s="152">
        <f>($U$49-W49)+($U$62-W62)</f>
        <v>38</v>
      </c>
      <c r="X105" s="152">
        <f>($U$49-X49)+($U$62-X62)</f>
        <v>19163</v>
      </c>
      <c r="Y105" s="152">
        <f>($U$49-Y49)+($U$62-Y62)</f>
        <v>13215</v>
      </c>
      <c r="Z105" s="152">
        <f>(U49-Z49)+(U62-Z62)</f>
        <v>13215</v>
      </c>
      <c r="AA105" s="152">
        <f>($Z$49-AA49)+($Z$62-AA62)</f>
        <v>13159</v>
      </c>
      <c r="AB105" s="152">
        <f>($Z$49-AB49)+($Z$62-AB62)</f>
        <v>2165</v>
      </c>
      <c r="AC105" s="152">
        <f>($Z$49-AC49)+($Z$62-AC62)</f>
        <v>4930</v>
      </c>
      <c r="AD105" s="152">
        <f>($Z$49-AD49)+($Z$62-AD62)</f>
        <v>10680.436000000002</v>
      </c>
      <c r="AE105" s="152">
        <f>(Z49-AE49)+(Z62-AE62)</f>
        <v>10680.436000000002</v>
      </c>
      <c r="AF105" s="152">
        <f>(AE49-AF49)+(AE62-AF62)</f>
        <v>2605.5639999999985</v>
      </c>
      <c r="AG105" s="152">
        <f>(AE49-AG49)+(AE62-AG62)</f>
        <v>1803.5639999999985</v>
      </c>
      <c r="AH105" s="152">
        <f>($AE$49-AH49)+($AE$62-AH62)</f>
        <v>7968.5639999999985</v>
      </c>
      <c r="AI105" s="152">
        <f>($AE$49-AI49)+($AE$62-AI62)</f>
        <v>10773.563999999998</v>
      </c>
      <c r="AJ105" s="152">
        <f>(AE49-AJ49)+(AE62-AJ62)</f>
        <v>10773.563999999998</v>
      </c>
      <c r="AK105" s="152">
        <f>(AJ49-AK49)+(AJ62-AK62)</f>
        <v>3853</v>
      </c>
      <c r="AL105" s="152">
        <f>(AJ49-AL49)+(AJ62-AL62)</f>
        <v>5772</v>
      </c>
      <c r="AM105" s="152">
        <f>($AJ$49-AM49)+($AJ$62-AM62)</f>
        <v>3398</v>
      </c>
      <c r="AN105" s="152">
        <f>($AJ$49-AN49)+($AJ$62-AN62)</f>
        <v>19522</v>
      </c>
      <c r="AO105" s="152">
        <f>(AJ49-AO49)+(AJ62-AO62)</f>
        <v>19522</v>
      </c>
      <c r="AP105" s="152">
        <f>(AO49-AP49)+(AO62-AP62)</f>
        <v>0</v>
      </c>
      <c r="AQ105" s="152">
        <f>(AO49-AQ49)+(AO62-AQ62)</f>
        <v>0</v>
      </c>
      <c r="AR105" s="152">
        <f>($AO$49-AR49)+($AO$62-AR62)</f>
        <v>0</v>
      </c>
      <c r="AS105" s="152">
        <f>($AO$49-AS49)+($AO$62-AS62)</f>
        <v>0</v>
      </c>
      <c r="AT105" s="152">
        <f>(AO49-AT49)+(AO62-AT62)</f>
        <v>0</v>
      </c>
      <c r="AU105" s="152">
        <f>(AT49-AU49)+(AT62-AU62)</f>
        <v>0</v>
      </c>
      <c r="AV105" s="152">
        <f>(AT49-AV49)+(AT62-AV62)</f>
        <v>0</v>
      </c>
      <c r="AW105" s="152">
        <f>($AO$49-AW49)+($AO$62-AW62)</f>
        <v>0</v>
      </c>
      <c r="AX105" s="152">
        <f>($AO$49-AX49)+($AO$62-AX62)</f>
        <v>-6104.4321649999974</v>
      </c>
      <c r="AY105" s="152">
        <f>(AT49-AY49)+(AT62-AY62)</f>
        <v>-6104.4321649999974</v>
      </c>
      <c r="AZ105" s="152">
        <f t="shared" ref="AZ105:BL105" si="90">(AY49-AZ49)+(AY62-AZ62)</f>
        <v>-900.07902400448802</v>
      </c>
      <c r="BA105" s="152">
        <f t="shared" si="90"/>
        <v>-625.24647391755207</v>
      </c>
      <c r="BB105" s="152">
        <f t="shared" si="90"/>
        <v>-684.41973815332221</v>
      </c>
      <c r="BC105" s="152">
        <f t="shared" si="90"/>
        <v>-749.35503384022013</v>
      </c>
      <c r="BD105" s="152">
        <f t="shared" si="90"/>
        <v>-827.38072285291128</v>
      </c>
      <c r="BE105" s="152">
        <f t="shared" si="90"/>
        <v>-822.95004263377086</v>
      </c>
      <c r="BF105" s="152">
        <f t="shared" si="90"/>
        <v>-977.79603558940289</v>
      </c>
      <c r="BG105" s="152">
        <f t="shared" si="90"/>
        <v>-1071.3701391973809</v>
      </c>
      <c r="BH105" s="152">
        <f t="shared" si="90"/>
        <v>-1174.1056073134841</v>
      </c>
      <c r="BI105" s="152">
        <f t="shared" si="90"/>
        <v>-1286.9092009702163</v>
      </c>
      <c r="BJ105" s="152">
        <f t="shared" si="90"/>
        <v>-1410.7779013386862</v>
      </c>
      <c r="BK105" s="152">
        <f t="shared" si="90"/>
        <v>-1546.8079093283523</v>
      </c>
      <c r="BL105" s="152">
        <f t="shared" si="90"/>
        <v>-1696.2045440376824</v>
      </c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</row>
    <row r="106" spans="1:272" s="222" customFormat="1" hidden="1" outlineLevel="1">
      <c r="A106" s="222" t="s">
        <v>410</v>
      </c>
      <c r="C106" s="152"/>
      <c r="D106" s="152">
        <f t="shared" ref="D106:K106" si="91">C63-D63</f>
        <v>18273</v>
      </c>
      <c r="E106" s="152">
        <f t="shared" si="91"/>
        <v>11383</v>
      </c>
      <c r="F106" s="152">
        <f t="shared" si="91"/>
        <v>10524</v>
      </c>
      <c r="G106" s="152">
        <f t="shared" si="91"/>
        <v>-24395</v>
      </c>
      <c r="H106" s="152">
        <f t="shared" si="91"/>
        <v>43591</v>
      </c>
      <c r="I106" s="152">
        <f t="shared" si="91"/>
        <v>-20768</v>
      </c>
      <c r="J106" s="152">
        <f t="shared" si="91"/>
        <v>9685</v>
      </c>
      <c r="K106" s="152">
        <f t="shared" si="91"/>
        <v>14098</v>
      </c>
      <c r="L106" s="152">
        <f>$K$63-L63</f>
        <v>14920</v>
      </c>
      <c r="M106" s="152">
        <f>$K$63-M63</f>
        <v>29188</v>
      </c>
      <c r="N106" s="152">
        <f>$K$63-N63</f>
        <v>40928</v>
      </c>
      <c r="O106" s="152">
        <f>$K$63-O63</f>
        <v>26683</v>
      </c>
      <c r="P106" s="152">
        <f>K63-P63</f>
        <v>26683</v>
      </c>
      <c r="Q106" s="152">
        <f>$P$63-Q63</f>
        <v>5418</v>
      </c>
      <c r="R106" s="152">
        <f>$P$63-R63</f>
        <v>9015</v>
      </c>
      <c r="S106" s="152">
        <f>$P$63-S63</f>
        <v>12050</v>
      </c>
      <c r="T106" s="152">
        <f>$P$63-T63</f>
        <v>9575</v>
      </c>
      <c r="U106" s="152">
        <f>P63-U63</f>
        <v>9575</v>
      </c>
      <c r="V106" s="152">
        <f>$U$63-V63</f>
        <v>19555</v>
      </c>
      <c r="W106" s="152">
        <f>$U$63-W63</f>
        <v>29334</v>
      </c>
      <c r="X106" s="152">
        <f>$U$63-X63</f>
        <v>67965</v>
      </c>
      <c r="Y106" s="152">
        <f>$U$63-Y63</f>
        <v>58106</v>
      </c>
      <c r="Z106" s="152">
        <f>U63-Z63</f>
        <v>58106</v>
      </c>
      <c r="AA106" s="152">
        <f>$Z$63-AA63</f>
        <v>-39512</v>
      </c>
      <c r="AB106" s="152">
        <f>$Z$63-AB63</f>
        <v>-40970</v>
      </c>
      <c r="AC106" s="152">
        <f>$Z$63-AC63</f>
        <v>-40034</v>
      </c>
      <c r="AD106" s="152">
        <f>$Z$63-AD63</f>
        <v>-37888</v>
      </c>
      <c r="AE106" s="152">
        <f>Z63-AE63</f>
        <v>-37888</v>
      </c>
      <c r="AF106" s="152">
        <f>AE63-AF63</f>
        <v>8584</v>
      </c>
      <c r="AG106" s="152">
        <f>AE63-AG63</f>
        <v>8530</v>
      </c>
      <c r="AH106" s="152">
        <f>$AE$63-AH63</f>
        <v>45726</v>
      </c>
      <c r="AI106" s="152">
        <f>$AE$63-AI63</f>
        <v>53341</v>
      </c>
      <c r="AJ106" s="152">
        <f>AE63-AJ63</f>
        <v>53341</v>
      </c>
      <c r="AK106" s="152">
        <f>AJ63-AK63</f>
        <v>8166</v>
      </c>
      <c r="AL106" s="152">
        <f>AJ63-AL63</f>
        <v>4383</v>
      </c>
      <c r="AM106" s="152">
        <f>$AJ$63-AM63</f>
        <v>14241</v>
      </c>
      <c r="AN106" s="152">
        <f>$AJ$63-AN63</f>
        <v>14614</v>
      </c>
      <c r="AO106" s="152">
        <f>AJ63-AO63</f>
        <v>14614</v>
      </c>
      <c r="AP106" s="152">
        <f>AO63-AP63</f>
        <v>13734</v>
      </c>
      <c r="AQ106" s="152">
        <f>AO63-AQ63</f>
        <v>19721</v>
      </c>
      <c r="AR106" s="152">
        <f>$AO$63-AR63</f>
        <v>21658</v>
      </c>
      <c r="AS106" s="152">
        <f>$AO$63-AS63</f>
        <v>18714.313340577763</v>
      </c>
      <c r="AT106" s="152">
        <f>AO63-AT63</f>
        <v>18714.313340577763</v>
      </c>
      <c r="AU106" s="152">
        <f>AT63-AU63</f>
        <v>1870.8876294221845</v>
      </c>
      <c r="AV106" s="152">
        <f>AT63-AV63</f>
        <v>-9829.3865405778342</v>
      </c>
      <c r="AW106" s="152">
        <f>$AT$63-AW63</f>
        <v>-81180.064620577818</v>
      </c>
      <c r="AX106" s="152">
        <f>$AT$63-AX63</f>
        <v>-13876.922575911158</v>
      </c>
      <c r="AY106" s="152">
        <f>AT63-AY63</f>
        <v>-13876.922575911158</v>
      </c>
      <c r="AZ106" s="152">
        <f t="shared" ref="AZ106:BL106" si="92">AY63-AZ63</f>
        <v>-14680.077472541045</v>
      </c>
      <c r="BA106" s="152">
        <f t="shared" si="92"/>
        <v>-15301.056680873269</v>
      </c>
      <c r="BB106" s="152">
        <f t="shared" si="92"/>
        <v>-14541.708589745103</v>
      </c>
      <c r="BC106" s="152">
        <f t="shared" si="92"/>
        <v>-16735.262845400139</v>
      </c>
      <c r="BD106" s="152">
        <f t="shared" si="92"/>
        <v>-16020.957546232414</v>
      </c>
      <c r="BE106" s="152">
        <f t="shared" si="92"/>
        <v>-15674.832425449757</v>
      </c>
      <c r="BF106" s="152">
        <f t="shared" si="92"/>
        <v>-12627.562080499905</v>
      </c>
      <c r="BG106" s="152">
        <f t="shared" si="92"/>
        <v>-15883.727497601634</v>
      </c>
      <c r="BH106" s="152">
        <f t="shared" si="92"/>
        <v>-12686.963222559425</v>
      </c>
      <c r="BI106" s="152">
        <f t="shared" si="92"/>
        <v>-8146.0435781365522</v>
      </c>
      <c r="BJ106" s="152">
        <f t="shared" si="92"/>
        <v>-13613.285945749638</v>
      </c>
      <c r="BK106" s="152">
        <f t="shared" si="92"/>
        <v>-11259.000893942248</v>
      </c>
      <c r="BL106" s="152">
        <f t="shared" si="92"/>
        <v>-11831.376724851529</v>
      </c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</row>
    <row r="107" spans="1:272" s="222" customFormat="1" hidden="1" outlineLevel="1">
      <c r="A107" s="222" t="s">
        <v>411</v>
      </c>
      <c r="C107" s="152"/>
      <c r="D107" s="152">
        <f t="shared" ref="D107:K108" si="93">C66-D66</f>
        <v>-1259</v>
      </c>
      <c r="E107" s="152">
        <f t="shared" si="93"/>
        <v>19112</v>
      </c>
      <c r="F107" s="152">
        <f t="shared" si="93"/>
        <v>9690</v>
      </c>
      <c r="G107" s="152">
        <f t="shared" si="93"/>
        <v>31273</v>
      </c>
      <c r="H107" s="152">
        <f t="shared" si="93"/>
        <v>-20946</v>
      </c>
      <c r="I107" s="152">
        <f t="shared" si="93"/>
        <v>-24096</v>
      </c>
      <c r="J107" s="152">
        <f t="shared" si="93"/>
        <v>4911</v>
      </c>
      <c r="K107" s="152">
        <f t="shared" si="93"/>
        <v>1026</v>
      </c>
      <c r="L107" s="152">
        <f>$K$66-L66</f>
        <v>-7329</v>
      </c>
      <c r="M107" s="152">
        <f>$K$66-M66</f>
        <v>-6045</v>
      </c>
      <c r="N107" s="152">
        <f>$K$66-N66</f>
        <v>2333</v>
      </c>
      <c r="O107" s="152">
        <f>$K$66-O66</f>
        <v>5120</v>
      </c>
      <c r="P107" s="152">
        <f>K66-P66</f>
        <v>5120</v>
      </c>
      <c r="Q107" s="152">
        <f>$P$66-Q66</f>
        <v>-7640.7956400000003</v>
      </c>
      <c r="R107" s="152">
        <f>$P$66-R66</f>
        <v>-7638</v>
      </c>
      <c r="S107" s="152">
        <f>$P$66-S66</f>
        <v>-19557</v>
      </c>
      <c r="T107" s="152">
        <f>$P$66-T66</f>
        <v>-27799</v>
      </c>
      <c r="U107" s="152">
        <f>P66-U66</f>
        <v>-27799</v>
      </c>
      <c r="V107" s="152">
        <f>$U$66-V66</f>
        <v>646</v>
      </c>
      <c r="W107" s="152">
        <f>$U$66-W66</f>
        <v>2730</v>
      </c>
      <c r="X107" s="152">
        <f>$U$66-X66</f>
        <v>-1119</v>
      </c>
      <c r="Y107" s="152">
        <f>$U$66-Y66</f>
        <v>-1723</v>
      </c>
      <c r="Z107" s="152">
        <f>U66-Z66</f>
        <v>-1723</v>
      </c>
      <c r="AA107" s="152">
        <f>$Z$66-AA66</f>
        <v>8</v>
      </c>
      <c r="AB107" s="152">
        <f>$Z$66-AB66</f>
        <v>16</v>
      </c>
      <c r="AC107" s="152">
        <f>$Z$66-AC66</f>
        <v>24</v>
      </c>
      <c r="AD107" s="152">
        <f>$Z$66-AD66</f>
        <v>2804.7366099999999</v>
      </c>
      <c r="AE107" s="152">
        <f>Z66-AE66</f>
        <v>2804.7366099999999</v>
      </c>
      <c r="AF107" s="152">
        <f>AE66-AF66</f>
        <v>-343.73660999999993</v>
      </c>
      <c r="AG107" s="152">
        <f>AE66-AG66</f>
        <v>-651.73660999999993</v>
      </c>
      <c r="AH107" s="152">
        <f>$AE$66-AH66</f>
        <v>-1157.7366099999999</v>
      </c>
      <c r="AI107" s="152">
        <f>$AE$66-AI66</f>
        <v>-1510.7366099999999</v>
      </c>
      <c r="AJ107" s="152">
        <f>AE66-AJ66</f>
        <v>-1510.7366099999999</v>
      </c>
      <c r="AK107" s="152">
        <f>AJ66-AK66</f>
        <v>-1134</v>
      </c>
      <c r="AL107" s="152">
        <f>AJ66-AL66</f>
        <v>-62</v>
      </c>
      <c r="AM107" s="152">
        <f>$AJ$66-AM66</f>
        <v>1346</v>
      </c>
      <c r="AN107" s="152">
        <f>$AJ$66-AN66</f>
        <v>4942</v>
      </c>
      <c r="AO107" s="152">
        <f>AJ66-AO66</f>
        <v>4942</v>
      </c>
      <c r="AP107" s="152">
        <f>AO66-AP66</f>
        <v>0</v>
      </c>
      <c r="AQ107" s="152">
        <f>AO66-AQ66</f>
        <v>-2224</v>
      </c>
      <c r="AR107" s="152">
        <f>$AO$66-AR66</f>
        <v>-6279</v>
      </c>
      <c r="AS107" s="152">
        <f>$AO$66-AS66</f>
        <v>-6279</v>
      </c>
      <c r="AT107" s="152">
        <f>AO66-AT66</f>
        <v>-6279</v>
      </c>
      <c r="AU107" s="152">
        <f>AT66-AU66</f>
        <v>0</v>
      </c>
      <c r="AV107" s="152">
        <f>AT66-AV66</f>
        <v>0</v>
      </c>
      <c r="AW107" s="152">
        <f>$AT$66-AW66</f>
        <v>0</v>
      </c>
      <c r="AX107" s="152">
        <f>$AT$66-AX66</f>
        <v>0</v>
      </c>
      <c r="AY107" s="152">
        <f>AT66-AY66</f>
        <v>0</v>
      </c>
      <c r="AZ107" s="152">
        <f t="shared" ref="AZ107:BL108" si="94">AY66-AZ66</f>
        <v>0</v>
      </c>
      <c r="BA107" s="152">
        <f t="shared" si="94"/>
        <v>0</v>
      </c>
      <c r="BB107" s="152">
        <f t="shared" si="94"/>
        <v>0</v>
      </c>
      <c r="BC107" s="152">
        <f t="shared" si="94"/>
        <v>-45</v>
      </c>
      <c r="BD107" s="152">
        <f t="shared" si="94"/>
        <v>0</v>
      </c>
      <c r="BE107" s="152">
        <f t="shared" si="94"/>
        <v>0</v>
      </c>
      <c r="BF107" s="152">
        <f t="shared" si="94"/>
        <v>0</v>
      </c>
      <c r="BG107" s="152">
        <f t="shared" si="94"/>
        <v>0</v>
      </c>
      <c r="BH107" s="152">
        <f t="shared" si="94"/>
        <v>0</v>
      </c>
      <c r="BI107" s="152">
        <f t="shared" si="94"/>
        <v>0</v>
      </c>
      <c r="BJ107" s="152">
        <f t="shared" si="94"/>
        <v>0</v>
      </c>
      <c r="BK107" s="152">
        <f t="shared" si="94"/>
        <v>0</v>
      </c>
      <c r="BL107" s="152">
        <f t="shared" si="94"/>
        <v>0</v>
      </c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</row>
    <row r="108" spans="1:272" s="222" customFormat="1" hidden="1" outlineLevel="1">
      <c r="A108" s="222" t="s">
        <v>412</v>
      </c>
      <c r="C108" s="152"/>
      <c r="D108" s="152">
        <f t="shared" si="93"/>
        <v>0</v>
      </c>
      <c r="E108" s="152">
        <f t="shared" si="93"/>
        <v>221</v>
      </c>
      <c r="F108" s="152">
        <f t="shared" si="93"/>
        <v>-60</v>
      </c>
      <c r="G108" s="152">
        <f t="shared" si="93"/>
        <v>0</v>
      </c>
      <c r="H108" s="152">
        <f t="shared" si="93"/>
        <v>0</v>
      </c>
      <c r="I108" s="152">
        <f t="shared" si="93"/>
        <v>0</v>
      </c>
      <c r="J108" s="152">
        <f t="shared" si="93"/>
        <v>0</v>
      </c>
      <c r="K108" s="152">
        <f t="shared" si="93"/>
        <v>0</v>
      </c>
      <c r="L108" s="152">
        <f>$K$67-L67</f>
        <v>0</v>
      </c>
      <c r="M108" s="152">
        <f>$K$67-M67</f>
        <v>0</v>
      </c>
      <c r="N108" s="152">
        <f>$K$67-N67</f>
        <v>0</v>
      </c>
      <c r="O108" s="152">
        <f>$K$67-O67</f>
        <v>0</v>
      </c>
      <c r="P108" s="152">
        <f>K67-P67</f>
        <v>0</v>
      </c>
      <c r="Q108" s="152">
        <f>$P$67-Q67</f>
        <v>6.9200000000080308E-3</v>
      </c>
      <c r="R108" s="152">
        <f>$P$67-R67</f>
        <v>6.9200000000080308E-3</v>
      </c>
      <c r="S108" s="152">
        <f>$P$67-S67</f>
        <v>6.9200000000080308E-3</v>
      </c>
      <c r="T108" s="152">
        <f>$P$67-T67</f>
        <v>0</v>
      </c>
      <c r="U108" s="152">
        <f>P67-U67</f>
        <v>0</v>
      </c>
      <c r="V108" s="152">
        <f>$U$67-V67</f>
        <v>6.9200000000080308E-3</v>
      </c>
      <c r="W108" s="152">
        <f>$U$67-W67</f>
        <v>6.9200000000080308E-3</v>
      </c>
      <c r="X108" s="152">
        <f>$U$67-X67</f>
        <v>6.9200000000080308E-3</v>
      </c>
      <c r="Y108" s="152">
        <f>$U$67-Y67</f>
        <v>6.9200000000080308E-3</v>
      </c>
      <c r="Z108" s="152">
        <f>U67-Z67</f>
        <v>6.9200000000080308E-3</v>
      </c>
      <c r="AA108" s="152">
        <f>$Z$67-AA67</f>
        <v>-6.9200000000080308E-3</v>
      </c>
      <c r="AB108" s="152">
        <f>$Z$67-AB67</f>
        <v>-6.9200000000080308E-3</v>
      </c>
      <c r="AC108" s="152">
        <f>$Z$67-AC67</f>
        <v>-6.9200000000080308E-3</v>
      </c>
      <c r="AD108" s="152">
        <f>$Z$67-AD67</f>
        <v>-6.9200000000080308E-3</v>
      </c>
      <c r="AE108" s="152">
        <f>Z67-AE67</f>
        <v>-6.9200000000080308E-3</v>
      </c>
      <c r="AF108" s="152">
        <f>AE67-AF67</f>
        <v>0</v>
      </c>
      <c r="AG108" s="152">
        <f>AE67-AG67</f>
        <v>1249</v>
      </c>
      <c r="AH108" s="152">
        <f>$AE$67-AH67</f>
        <v>1430</v>
      </c>
      <c r="AI108" s="152">
        <f>$AE$67-AI67</f>
        <v>1942</v>
      </c>
      <c r="AJ108" s="152">
        <f>AE67-AJ67</f>
        <v>1942</v>
      </c>
      <c r="AK108" s="152">
        <f>AJ67-AK67</f>
        <v>426</v>
      </c>
      <c r="AL108" s="152">
        <f>AJ67-AL67</f>
        <v>-992</v>
      </c>
      <c r="AM108" s="152">
        <f>$AJ$67-AM67</f>
        <v>-1016</v>
      </c>
      <c r="AN108" s="152">
        <f>$AJ$67-AN67</f>
        <v>-1017</v>
      </c>
      <c r="AO108" s="152">
        <f>AJ67-AO67</f>
        <v>-1017</v>
      </c>
      <c r="AP108" s="152">
        <f>AO67-AP67</f>
        <v>-2</v>
      </c>
      <c r="AQ108" s="152">
        <f>AO67-AQ67</f>
        <v>-3</v>
      </c>
      <c r="AR108" s="152">
        <f>$AO$67-AR67</f>
        <v>-2</v>
      </c>
      <c r="AS108" s="152">
        <f>$AO$67-AS67</f>
        <v>-1086</v>
      </c>
      <c r="AT108" s="152">
        <f>AO67-AT67</f>
        <v>-1086</v>
      </c>
      <c r="AU108" s="152">
        <f>AT67-AU67</f>
        <v>0</v>
      </c>
      <c r="AV108" s="152">
        <f>AT67-AV67</f>
        <v>0</v>
      </c>
      <c r="AW108" s="152">
        <f>$AT$67-AW67</f>
        <v>0</v>
      </c>
      <c r="AX108" s="152">
        <f>$AT$67-AX67</f>
        <v>0</v>
      </c>
      <c r="AY108" s="152">
        <f>AT67-AY67</f>
        <v>0</v>
      </c>
      <c r="AZ108" s="152">
        <f t="shared" si="94"/>
        <v>0</v>
      </c>
      <c r="BA108" s="152">
        <f t="shared" si="94"/>
        <v>0</v>
      </c>
      <c r="BB108" s="152">
        <f t="shared" si="94"/>
        <v>0</v>
      </c>
      <c r="BC108" s="152">
        <f t="shared" si="94"/>
        <v>0</v>
      </c>
      <c r="BD108" s="152">
        <f t="shared" si="94"/>
        <v>0</v>
      </c>
      <c r="BE108" s="152">
        <f t="shared" si="94"/>
        <v>0</v>
      </c>
      <c r="BF108" s="152">
        <f t="shared" si="94"/>
        <v>0</v>
      </c>
      <c r="BG108" s="152">
        <f t="shared" si="94"/>
        <v>0</v>
      </c>
      <c r="BH108" s="152">
        <f t="shared" si="94"/>
        <v>0</v>
      </c>
      <c r="BI108" s="152">
        <f t="shared" si="94"/>
        <v>0</v>
      </c>
      <c r="BJ108" s="152">
        <f t="shared" si="94"/>
        <v>0</v>
      </c>
      <c r="BK108" s="152">
        <f t="shared" si="94"/>
        <v>0</v>
      </c>
      <c r="BL108" s="152">
        <f t="shared" si="94"/>
        <v>0</v>
      </c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</row>
    <row r="109" spans="1:272" s="222" customFormat="1" hidden="1" outlineLevel="1">
      <c r="A109" s="222" t="s">
        <v>413</v>
      </c>
      <c r="C109" s="152"/>
      <c r="D109" s="152">
        <f t="shared" ref="D109:K109" si="95">C88-D88</f>
        <v>0</v>
      </c>
      <c r="E109" s="152">
        <f t="shared" si="95"/>
        <v>0</v>
      </c>
      <c r="F109" s="152">
        <f t="shared" si="95"/>
        <v>0</v>
      </c>
      <c r="G109" s="152">
        <f t="shared" si="95"/>
        <v>0</v>
      </c>
      <c r="H109" s="152">
        <f t="shared" si="95"/>
        <v>0</v>
      </c>
      <c r="I109" s="152">
        <f t="shared" si="95"/>
        <v>0</v>
      </c>
      <c r="J109" s="152">
        <f t="shared" si="95"/>
        <v>0</v>
      </c>
      <c r="K109" s="152">
        <f t="shared" si="95"/>
        <v>0</v>
      </c>
      <c r="L109" s="152">
        <f>$K$88-L88</f>
        <v>0</v>
      </c>
      <c r="M109" s="152">
        <f>$K$88-M88</f>
        <v>0</v>
      </c>
      <c r="N109" s="152">
        <f>$K$88-N88</f>
        <v>0</v>
      </c>
      <c r="O109" s="152">
        <f>$K$88-O88</f>
        <v>0</v>
      </c>
      <c r="P109" s="152">
        <f>K88-P88</f>
        <v>0</v>
      </c>
      <c r="Q109" s="152">
        <f>$P$88-Q88</f>
        <v>0</v>
      </c>
      <c r="R109" s="152">
        <f>$P$88-R88</f>
        <v>0</v>
      </c>
      <c r="S109" s="152">
        <f>$P$88-S88</f>
        <v>0</v>
      </c>
      <c r="T109" s="152">
        <f>$P$88-T88</f>
        <v>0</v>
      </c>
      <c r="U109" s="152">
        <f>P88-U88</f>
        <v>0</v>
      </c>
      <c r="V109" s="152">
        <f>$U$88-V88</f>
        <v>0</v>
      </c>
      <c r="W109" s="152">
        <f>$U$88-W88</f>
        <v>0</v>
      </c>
      <c r="X109" s="152">
        <f>$U$88-X88</f>
        <v>0</v>
      </c>
      <c r="Y109" s="152">
        <f>$U$88-Y88</f>
        <v>0</v>
      </c>
      <c r="Z109" s="152">
        <f>U88-Z88</f>
        <v>0</v>
      </c>
      <c r="AA109" s="152">
        <f>$Z$88-AA88</f>
        <v>0</v>
      </c>
      <c r="AB109" s="152">
        <f>$Z$88-AB88</f>
        <v>0</v>
      </c>
      <c r="AC109" s="152">
        <f>$Z$88-AC88</f>
        <v>0</v>
      </c>
      <c r="AD109" s="152">
        <f>$Z$88-AD88</f>
        <v>0</v>
      </c>
      <c r="AE109" s="152">
        <f>Z88-AE88</f>
        <v>0</v>
      </c>
      <c r="AF109" s="152">
        <f t="shared" ref="AF109" si="96">AE88-AF88</f>
        <v>0</v>
      </c>
      <c r="AG109" s="152">
        <f>AE88-AG88</f>
        <v>0</v>
      </c>
      <c r="AH109" s="152">
        <f>$Z$88-AH88</f>
        <v>0</v>
      </c>
      <c r="AI109" s="152">
        <f>$Z$88-AI88</f>
        <v>0</v>
      </c>
      <c r="AJ109" s="152">
        <f>AE88-AJ88</f>
        <v>0</v>
      </c>
      <c r="AK109" s="152">
        <f t="shared" ref="AK109" si="97">AJ88-AK88</f>
        <v>0</v>
      </c>
      <c r="AL109" s="152">
        <f>AJ88-AL88</f>
        <v>0</v>
      </c>
      <c r="AM109" s="152">
        <f>$AJ$88-AM88</f>
        <v>0</v>
      </c>
      <c r="AN109" s="152">
        <f>$AJ$88-AN88</f>
        <v>0</v>
      </c>
      <c r="AO109" s="152">
        <f>AJ88-AO88</f>
        <v>0</v>
      </c>
      <c r="AP109" s="152">
        <f t="shared" ref="AP109" si="98">AO88-AP88</f>
        <v>0</v>
      </c>
      <c r="AQ109" s="152">
        <f>AO88-AQ88</f>
        <v>0</v>
      </c>
      <c r="AR109" s="152">
        <f>$AO$88-AR88</f>
        <v>0</v>
      </c>
      <c r="AS109" s="152">
        <f>$AO$88-AS88</f>
        <v>0</v>
      </c>
      <c r="AT109" s="152">
        <f>AO88-AT88</f>
        <v>0</v>
      </c>
      <c r="AU109" s="152">
        <f t="shared" ref="AU109" si="99">AT88-AU88</f>
        <v>0</v>
      </c>
      <c r="AV109" s="152">
        <f>AT88-AV88</f>
        <v>0</v>
      </c>
      <c r="AW109" s="152">
        <f>$AO$88-AW88</f>
        <v>0</v>
      </c>
      <c r="AX109" s="152">
        <f>$AO$88-AX88</f>
        <v>0</v>
      </c>
      <c r="AY109" s="152">
        <f>AT88-AY88</f>
        <v>0</v>
      </c>
      <c r="AZ109" s="152">
        <f t="shared" ref="AZ109:BA109" si="100">AY88-AZ88</f>
        <v>0</v>
      </c>
      <c r="BA109" s="152">
        <f t="shared" si="100"/>
        <v>0</v>
      </c>
      <c r="BB109" s="152">
        <f>BA88-BB88</f>
        <v>0</v>
      </c>
      <c r="BC109" s="152">
        <f>BB88-BC88</f>
        <v>0</v>
      </c>
      <c r="BD109" s="152">
        <f t="shared" ref="BD109:BL109" si="101">BC88-BD88</f>
        <v>0</v>
      </c>
      <c r="BE109" s="152">
        <f t="shared" si="101"/>
        <v>0</v>
      </c>
      <c r="BF109" s="152">
        <f t="shared" si="101"/>
        <v>0</v>
      </c>
      <c r="BG109" s="152">
        <f t="shared" si="101"/>
        <v>0</v>
      </c>
      <c r="BH109" s="152">
        <f t="shared" si="101"/>
        <v>0</v>
      </c>
      <c r="BI109" s="152">
        <f t="shared" si="101"/>
        <v>0</v>
      </c>
      <c r="BJ109" s="152">
        <f t="shared" si="101"/>
        <v>0</v>
      </c>
      <c r="BK109" s="152">
        <f t="shared" si="101"/>
        <v>0</v>
      </c>
      <c r="BL109" s="152">
        <f t="shared" si="101"/>
        <v>0</v>
      </c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</row>
    <row r="110" spans="1:272" s="222" customFormat="1" hidden="1" outlineLevel="1">
      <c r="A110" s="222" t="s">
        <v>414</v>
      </c>
      <c r="C110" s="152"/>
      <c r="D110" s="152">
        <f t="shared" ref="D110:K110" si="102">C84-D84</f>
        <v>20845</v>
      </c>
      <c r="E110" s="152">
        <f t="shared" si="102"/>
        <v>-20845</v>
      </c>
      <c r="F110" s="152">
        <f t="shared" si="102"/>
        <v>0</v>
      </c>
      <c r="G110" s="152">
        <f t="shared" si="102"/>
        <v>195</v>
      </c>
      <c r="H110" s="152">
        <f t="shared" si="102"/>
        <v>91</v>
      </c>
      <c r="I110" s="152">
        <f t="shared" si="102"/>
        <v>-105</v>
      </c>
      <c r="J110" s="152">
        <f t="shared" si="102"/>
        <v>0</v>
      </c>
      <c r="K110" s="152">
        <f t="shared" si="102"/>
        <v>0</v>
      </c>
      <c r="L110" s="152">
        <f>$K$84-L84</f>
        <v>0</v>
      </c>
      <c r="M110" s="152">
        <f>$K$84-M84</f>
        <v>0</v>
      </c>
      <c r="N110" s="152">
        <f>$K$84-N84</f>
        <v>0</v>
      </c>
      <c r="O110" s="152">
        <f>$K$84-O84</f>
        <v>0</v>
      </c>
      <c r="P110" s="152">
        <f>K84-P84</f>
        <v>0</v>
      </c>
      <c r="Q110" s="152">
        <f>$P$84-Q84</f>
        <v>0</v>
      </c>
      <c r="R110" s="152">
        <f>$P$84-R84</f>
        <v>0</v>
      </c>
      <c r="S110" s="152">
        <f>$P$84-S84</f>
        <v>0</v>
      </c>
      <c r="T110" s="152">
        <f>$P$84-T84</f>
        <v>0</v>
      </c>
      <c r="U110" s="152">
        <f>P84-U84</f>
        <v>0</v>
      </c>
      <c r="V110" s="152">
        <f>$U$84-V84</f>
        <v>0</v>
      </c>
      <c r="W110" s="152">
        <f>$U$84-W84</f>
        <v>0</v>
      </c>
      <c r="X110" s="152">
        <f>$U$84-X84</f>
        <v>0</v>
      </c>
      <c r="Y110" s="152">
        <f>$U$84-Y84</f>
        <v>0</v>
      </c>
      <c r="Z110" s="152">
        <f>U84-Z84</f>
        <v>0</v>
      </c>
      <c r="AA110" s="152">
        <f>$Z$84-AA84</f>
        <v>135</v>
      </c>
      <c r="AB110" s="152">
        <f>$Z$84-AB84</f>
        <v>135</v>
      </c>
      <c r="AC110" s="152">
        <f>$Z$84-AC84</f>
        <v>150</v>
      </c>
      <c r="AD110" s="152">
        <f>$Z$84-AD84</f>
        <v>-181</v>
      </c>
      <c r="AE110" s="152">
        <f>Z84-AE84</f>
        <v>-181</v>
      </c>
      <c r="AF110" s="152">
        <f>AE84-AF84</f>
        <v>0</v>
      </c>
      <c r="AG110" s="152">
        <f>AE84-AG84</f>
        <v>0</v>
      </c>
      <c r="AH110" s="152">
        <f>$AE$84-AH84</f>
        <v>0</v>
      </c>
      <c r="AI110" s="152">
        <f>$AE$84-AI84</f>
        <v>0</v>
      </c>
      <c r="AJ110" s="152">
        <f>AE84-AJ84</f>
        <v>0</v>
      </c>
      <c r="AK110" s="152">
        <f>AJ84-AK84</f>
        <v>0</v>
      </c>
      <c r="AL110" s="152">
        <f>AJ84-AL84</f>
        <v>0</v>
      </c>
      <c r="AM110" s="152">
        <f>$AJ$84-AM84</f>
        <v>0</v>
      </c>
      <c r="AN110" s="152">
        <f>$AJ$84-AN84</f>
        <v>0</v>
      </c>
      <c r="AO110" s="152">
        <f>AJ84-AO84</f>
        <v>0</v>
      </c>
      <c r="AP110" s="152">
        <f>AO84-AP84</f>
        <v>0</v>
      </c>
      <c r="AQ110" s="152">
        <f>AO84-AQ84</f>
        <v>0</v>
      </c>
      <c r="AR110" s="152">
        <f>$AO$84-AR84</f>
        <v>0</v>
      </c>
      <c r="AS110" s="152">
        <f>$AO$84-AS84</f>
        <v>0</v>
      </c>
      <c r="AT110" s="152">
        <f>AO84-AT84</f>
        <v>0</v>
      </c>
      <c r="AU110" s="152">
        <f>AT84-AU84</f>
        <v>0</v>
      </c>
      <c r="AV110" s="152">
        <f>AT84-AV84</f>
        <v>0</v>
      </c>
      <c r="AW110" s="152">
        <f>$AO$84-AW84</f>
        <v>0</v>
      </c>
      <c r="AX110" s="152">
        <f>$AO$84-AX84</f>
        <v>0</v>
      </c>
      <c r="AY110" s="152">
        <f>AT84-AY84</f>
        <v>0</v>
      </c>
      <c r="AZ110" s="152">
        <f t="shared" ref="AZ110:BL110" si="103">AY84-AZ84</f>
        <v>0</v>
      </c>
      <c r="BA110" s="152">
        <f t="shared" si="103"/>
        <v>0</v>
      </c>
      <c r="BB110" s="152">
        <f t="shared" si="103"/>
        <v>0</v>
      </c>
      <c r="BC110" s="152">
        <f t="shared" si="103"/>
        <v>0</v>
      </c>
      <c r="BD110" s="152">
        <f t="shared" si="103"/>
        <v>0</v>
      </c>
      <c r="BE110" s="152">
        <f t="shared" si="103"/>
        <v>0</v>
      </c>
      <c r="BF110" s="152">
        <f t="shared" si="103"/>
        <v>0</v>
      </c>
      <c r="BG110" s="152">
        <f t="shared" si="103"/>
        <v>0</v>
      </c>
      <c r="BH110" s="152">
        <f t="shared" si="103"/>
        <v>0</v>
      </c>
      <c r="BI110" s="152">
        <f t="shared" si="103"/>
        <v>0</v>
      </c>
      <c r="BJ110" s="152">
        <f t="shared" si="103"/>
        <v>0</v>
      </c>
      <c r="BK110" s="152">
        <f t="shared" si="103"/>
        <v>0</v>
      </c>
      <c r="BL110" s="152">
        <f t="shared" si="103"/>
        <v>0</v>
      </c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</row>
    <row r="111" spans="1:272" s="222" customFormat="1" hidden="1" outlineLevel="1">
      <c r="A111" s="222" t="s">
        <v>415</v>
      </c>
      <c r="C111" s="152"/>
      <c r="D111" s="152"/>
      <c r="E111" s="152"/>
      <c r="F111" s="152"/>
      <c r="G111" s="152"/>
      <c r="H111" s="152"/>
      <c r="I111" s="152"/>
      <c r="J111" s="152"/>
      <c r="K111" s="152"/>
      <c r="L111" s="152"/>
      <c r="M111" s="152"/>
      <c r="N111" s="152"/>
      <c r="O111" s="152"/>
      <c r="P111" s="152"/>
      <c r="Q111" s="152"/>
      <c r="R111" s="152"/>
      <c r="S111" s="152"/>
      <c r="T111" s="152"/>
      <c r="U111" s="152"/>
      <c r="V111" s="152"/>
      <c r="W111" s="152"/>
      <c r="X111" s="152"/>
      <c r="Y111" s="152"/>
      <c r="Z111" s="152"/>
      <c r="AA111" s="152"/>
      <c r="AB111" s="152"/>
      <c r="AC111" s="152"/>
      <c r="AD111" s="152"/>
      <c r="AE111" s="152"/>
      <c r="AF111" s="152"/>
      <c r="AG111" s="152"/>
      <c r="AH111" s="152"/>
      <c r="AI111" s="152"/>
      <c r="AJ111" s="152"/>
      <c r="AK111" s="152">
        <f>AJ86-AK86</f>
        <v>0</v>
      </c>
      <c r="AL111" s="152">
        <f>AJ86-AL86</f>
        <v>0</v>
      </c>
      <c r="AM111" s="152">
        <f>AJ86-AM86</f>
        <v>0</v>
      </c>
      <c r="AN111" s="152">
        <f>AJ86-AN86</f>
        <v>0</v>
      </c>
      <c r="AO111" s="152">
        <f>AJ86-AO86</f>
        <v>0</v>
      </c>
      <c r="AP111" s="152">
        <f>AO86-AP86</f>
        <v>0</v>
      </c>
      <c r="AQ111" s="152">
        <f>AO86-AQ86</f>
        <v>0</v>
      </c>
      <c r="AR111" s="152">
        <f>AO86-AR86</f>
        <v>0</v>
      </c>
      <c r="AS111" s="152">
        <f>AO86-AS86</f>
        <v>0</v>
      </c>
      <c r="AT111" s="152">
        <f>AO86-AT86</f>
        <v>0</v>
      </c>
      <c r="AU111" s="152">
        <f>AT86-AU86</f>
        <v>0</v>
      </c>
      <c r="AV111" s="152">
        <f>AT86-AV86</f>
        <v>0</v>
      </c>
      <c r="AW111" s="152">
        <f>AT86-AW86</f>
        <v>0</v>
      </c>
      <c r="AX111" s="152">
        <f>AT86-AX86</f>
        <v>0</v>
      </c>
      <c r="AY111" s="152">
        <f>AT86-AY86</f>
        <v>0</v>
      </c>
      <c r="AZ111" s="152">
        <f t="shared" ref="AZ111:BL111" si="104">AY86-AZ86</f>
        <v>0</v>
      </c>
      <c r="BA111" s="152">
        <f t="shared" si="104"/>
        <v>0</v>
      </c>
      <c r="BB111" s="152">
        <f t="shared" si="104"/>
        <v>0</v>
      </c>
      <c r="BC111" s="152">
        <f t="shared" si="104"/>
        <v>0</v>
      </c>
      <c r="BD111" s="152">
        <f t="shared" si="104"/>
        <v>0</v>
      </c>
      <c r="BE111" s="152">
        <f t="shared" si="104"/>
        <v>0</v>
      </c>
      <c r="BF111" s="152">
        <f t="shared" si="104"/>
        <v>0</v>
      </c>
      <c r="BG111" s="152">
        <f>BF86-BG86</f>
        <v>0</v>
      </c>
      <c r="BH111" s="152">
        <f t="shared" si="104"/>
        <v>0</v>
      </c>
      <c r="BI111" s="152">
        <f t="shared" si="104"/>
        <v>0</v>
      </c>
      <c r="BJ111" s="152">
        <f t="shared" si="104"/>
        <v>0</v>
      </c>
      <c r="BK111" s="152">
        <f t="shared" si="104"/>
        <v>0</v>
      </c>
      <c r="BL111" s="152">
        <f t="shared" si="104"/>
        <v>0</v>
      </c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</row>
    <row r="112" spans="1:272" s="222" customFormat="1" hidden="1" outlineLevel="1">
      <c r="A112" s="222" t="s">
        <v>416</v>
      </c>
      <c r="C112" s="152"/>
      <c r="D112" s="152">
        <f t="shared" ref="D112:K112" si="105">C85-D85</f>
        <v>-30</v>
      </c>
      <c r="E112" s="152">
        <f t="shared" si="105"/>
        <v>30</v>
      </c>
      <c r="F112" s="152">
        <f t="shared" si="105"/>
        <v>0</v>
      </c>
      <c r="G112" s="152">
        <f t="shared" si="105"/>
        <v>0</v>
      </c>
      <c r="H112" s="152">
        <f t="shared" si="105"/>
        <v>0</v>
      </c>
      <c r="I112" s="152">
        <f t="shared" si="105"/>
        <v>0</v>
      </c>
      <c r="J112" s="152">
        <f t="shared" si="105"/>
        <v>0</v>
      </c>
      <c r="K112" s="152">
        <f t="shared" si="105"/>
        <v>0</v>
      </c>
      <c r="L112" s="152">
        <f>$K$85-L85</f>
        <v>0</v>
      </c>
      <c r="M112" s="152">
        <f>$K$85-M85</f>
        <v>0</v>
      </c>
      <c r="N112" s="152">
        <f>$K$85-N85</f>
        <v>0</v>
      </c>
      <c r="O112" s="152">
        <f>$K$85-O85</f>
        <v>0</v>
      </c>
      <c r="P112" s="152">
        <f>K85-P85</f>
        <v>0</v>
      </c>
      <c r="Q112" s="152">
        <f>$P$85-Q85</f>
        <v>0</v>
      </c>
      <c r="R112" s="152">
        <f>$P$85-R85</f>
        <v>0</v>
      </c>
      <c r="S112" s="152">
        <f>$P$85-S85</f>
        <v>0</v>
      </c>
      <c r="T112" s="152">
        <f>$P$85-T85</f>
        <v>5421</v>
      </c>
      <c r="U112" s="152">
        <f>P85-U85</f>
        <v>5421</v>
      </c>
      <c r="V112" s="152">
        <f>$U$85-V85</f>
        <v>38</v>
      </c>
      <c r="W112" s="152">
        <f>$U$85-W85</f>
        <v>35</v>
      </c>
      <c r="X112" s="152">
        <f>$U$85-X85</f>
        <v>35</v>
      </c>
      <c r="Y112" s="152">
        <f>$U$85-Y85</f>
        <v>2916</v>
      </c>
      <c r="Z112" s="152">
        <f>U85-Z85</f>
        <v>2916</v>
      </c>
      <c r="AA112" s="152">
        <f>$Z$85-AA85</f>
        <v>-13</v>
      </c>
      <c r="AB112" s="152">
        <f>$Z$85-AB85</f>
        <v>-24</v>
      </c>
      <c r="AC112" s="152">
        <f>$Z$85-AC85</f>
        <v>-35</v>
      </c>
      <c r="AD112" s="152">
        <f>$Z$85-AD85</f>
        <v>-987</v>
      </c>
      <c r="AE112" s="152">
        <f>Z85-AE85</f>
        <v>-987</v>
      </c>
      <c r="AF112" s="152">
        <f>AE85-AF85</f>
        <v>0</v>
      </c>
      <c r="AG112" s="152">
        <f>AE85-AG85</f>
        <v>-41</v>
      </c>
      <c r="AH112" s="152">
        <f>$AE$85-AH85</f>
        <v>-63</v>
      </c>
      <c r="AI112" s="152">
        <f>$AE$85-AI85</f>
        <v>-63</v>
      </c>
      <c r="AJ112" s="152">
        <f>AE85-AJ85</f>
        <v>-63</v>
      </c>
      <c r="AK112" s="152">
        <f>AJ85-AK85</f>
        <v>-3467</v>
      </c>
      <c r="AL112" s="152">
        <f>AJ85-AL85</f>
        <v>-2854</v>
      </c>
      <c r="AM112" s="152">
        <f>$AJ$85-AM85</f>
        <v>-2191</v>
      </c>
      <c r="AN112" s="152">
        <f>$AJ$85-AN85</f>
        <v>-2191</v>
      </c>
      <c r="AO112" s="152">
        <f>AJ85-AO85</f>
        <v>-2191</v>
      </c>
      <c r="AP112" s="152">
        <f>AO85-AP85</f>
        <v>-390</v>
      </c>
      <c r="AQ112" s="152">
        <f>AO85-AQ85</f>
        <v>-208</v>
      </c>
      <c r="AR112" s="152">
        <f>$AO$85-AR85</f>
        <v>-375</v>
      </c>
      <c r="AS112" s="152">
        <f>$AO$85-AS85</f>
        <v>-5344.9049999999997</v>
      </c>
      <c r="AT112" s="152">
        <f>AO85-AT85</f>
        <v>-5344.9049999999997</v>
      </c>
      <c r="AU112" s="152">
        <f>AT85-AU85</f>
        <v>248.905</v>
      </c>
      <c r="AV112" s="152">
        <f>AT85-AV85</f>
        <v>248.905</v>
      </c>
      <c r="AW112" s="152">
        <f>$AT$85-AW85</f>
        <v>248.905</v>
      </c>
      <c r="AX112" s="152">
        <f>$AT$85-AX85</f>
        <v>248.905</v>
      </c>
      <c r="AY112" s="152">
        <f>AT85-AY85</f>
        <v>248.905</v>
      </c>
      <c r="AZ112" s="152">
        <f>AY85-AZ85</f>
        <v>0</v>
      </c>
      <c r="BA112" s="152">
        <f>AZ85-BA85</f>
        <v>0</v>
      </c>
      <c r="BB112" s="152">
        <f>BA85-BB85</f>
        <v>0</v>
      </c>
      <c r="BC112" s="152">
        <f>BB85-BC85</f>
        <v>0</v>
      </c>
      <c r="BD112" s="152">
        <f t="shared" ref="BD112:BL112" si="106">BC85-BD85</f>
        <v>0</v>
      </c>
      <c r="BE112" s="152">
        <f t="shared" si="106"/>
        <v>0</v>
      </c>
      <c r="BF112" s="152">
        <f t="shared" si="106"/>
        <v>0</v>
      </c>
      <c r="BG112" s="152">
        <f t="shared" si="106"/>
        <v>0</v>
      </c>
      <c r="BH112" s="152">
        <f t="shared" si="106"/>
        <v>0</v>
      </c>
      <c r="BI112" s="152">
        <f t="shared" si="106"/>
        <v>0</v>
      </c>
      <c r="BJ112" s="152">
        <f t="shared" si="106"/>
        <v>0</v>
      </c>
      <c r="BK112" s="152">
        <f t="shared" si="106"/>
        <v>0</v>
      </c>
      <c r="BL112" s="152">
        <f t="shared" si="106"/>
        <v>0</v>
      </c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</row>
    <row r="113" spans="1:272" s="222" customFormat="1" hidden="1" outlineLevel="1">
      <c r="A113" s="222" t="s">
        <v>417</v>
      </c>
      <c r="C113" s="152"/>
      <c r="D113" s="152">
        <f t="shared" ref="D113:K113" si="107">C64-D64+D32+D33</f>
        <v>-3244</v>
      </c>
      <c r="E113" s="152">
        <f t="shared" si="107"/>
        <v>-17548</v>
      </c>
      <c r="F113" s="152">
        <f t="shared" si="107"/>
        <v>-7267</v>
      </c>
      <c r="G113" s="152">
        <f t="shared" si="107"/>
        <v>-2279</v>
      </c>
      <c r="H113" s="152">
        <f t="shared" si="107"/>
        <v>-63</v>
      </c>
      <c r="I113" s="152">
        <f t="shared" si="107"/>
        <v>-2442</v>
      </c>
      <c r="J113" s="152">
        <f t="shared" si="107"/>
        <v>-659</v>
      </c>
      <c r="K113" s="152">
        <f t="shared" si="107"/>
        <v>-865</v>
      </c>
      <c r="L113" s="152">
        <f>$K$64-L64+L32+L33</f>
        <v>-4</v>
      </c>
      <c r="M113" s="152">
        <f>$K$64-M64+M32+M33+L32+L33</f>
        <v>-494</v>
      </c>
      <c r="N113" s="152">
        <f>$K$64-N64+N32+N33+M32+M33+L32+L33</f>
        <v>-2470</v>
      </c>
      <c r="O113" s="152">
        <f>$K$64-O64+O32+O33+N32+N33+M32+M33+L32+L33</f>
        <v>-2317</v>
      </c>
      <c r="P113" s="152">
        <f>K64-P64+P32+P33</f>
        <v>-2317</v>
      </c>
      <c r="Q113" s="152">
        <f>$K$64-Q64+Q32+Q33</f>
        <v>-2004.6547845000018</v>
      </c>
      <c r="R113" s="152">
        <f>$K$64-R64+R32+R33+Q32+Q33</f>
        <v>-4232.4870145000004</v>
      </c>
      <c r="S113" s="152">
        <f>$K$64-S64+S32+S33+R32+R33+Q32+Q33</f>
        <v>-3720.4870145000014</v>
      </c>
      <c r="T113" s="152">
        <f>$K$64-T64+T32+T33+S32+S33+R32+R33+Q32+Q33</f>
        <v>-5407.4870145000004</v>
      </c>
      <c r="U113" s="152">
        <f>P64-U64+U32+U33</f>
        <v>-5407.4870145000014</v>
      </c>
      <c r="V113" s="152">
        <f>$U$64-V64+V32+V33</f>
        <v>-4911</v>
      </c>
      <c r="W113" s="152">
        <f>$U$64-W64+W32+W33+V32+V33</f>
        <v>-8203</v>
      </c>
      <c r="X113" s="152">
        <f>$U$64-X64+X32+X33+W32+W33+V32+V33</f>
        <v>-9969.2295999999988</v>
      </c>
      <c r="Y113" s="152">
        <f>$U$64-Y64+Y32+Y33+X32+X33+W32+W33+V32+V33</f>
        <v>-7789.6318200000005</v>
      </c>
      <c r="Z113" s="152">
        <f>U64-Z64+Z32+Z33</f>
        <v>-7789.6318200000005</v>
      </c>
      <c r="AA113" s="152">
        <f>$Z$64-AA64+AA32+AA33</f>
        <v>-2285</v>
      </c>
      <c r="AB113" s="152">
        <f>$Z$64-AB64+AB32+AB33+AA32+AA33</f>
        <v>-2425</v>
      </c>
      <c r="AC113" s="152">
        <f>$Z$64-AC64+AC32+AC33+AB32+AB33+AA32+AA33</f>
        <v>-2598</v>
      </c>
      <c r="AD113" s="152">
        <f>$Z$64-AD64+AD32+AD33+AC32+AC33+AB32+AB33+AA32+AA33</f>
        <v>-3162</v>
      </c>
      <c r="AE113" s="152">
        <f>Z64-AE64+AE32+AE33</f>
        <v>-3162</v>
      </c>
      <c r="AF113" s="152">
        <f>AE64-AF64+AF32+AF33</f>
        <v>24</v>
      </c>
      <c r="AG113" s="152">
        <f>AE64-AG64+AG32+AG33+AF32+AF33</f>
        <v>-466</v>
      </c>
      <c r="AH113" s="152">
        <f>$AE$64-AH64+AH32+AH33+AF33+AG33+AG32+AF32</f>
        <v>-527</v>
      </c>
      <c r="AI113" s="152">
        <f>$AE$64-AI64+AI32+AI33+AG33+AH33+AH32+AG32+AF32+AF33</f>
        <v>2940</v>
      </c>
      <c r="AJ113" s="152">
        <f>AE64-AJ64+AJ32+AJ33</f>
        <v>2940</v>
      </c>
      <c r="AK113" s="152">
        <f>AJ64-AK64+AK32+AK33</f>
        <v>590</v>
      </c>
      <c r="AL113" s="152">
        <f>AJ64-AL64+AL32+AL33+AK64+AK33</f>
        <v>-22</v>
      </c>
      <c r="AM113" s="152">
        <f>$AJ$64-AM64+AM32+AM33+AK64+AL64+AK33+AL33</f>
        <v>-686</v>
      </c>
      <c r="AN113" s="152">
        <f>AJ64-AN32+AN33+AL64+AM64+AN64+AK33+AL33+AM33</f>
        <v>-1480.116</v>
      </c>
      <c r="AO113" s="152">
        <f>AJ64-AO64+AO32+AO33</f>
        <v>-1480.116</v>
      </c>
      <c r="AP113" s="152">
        <f>AO64-AP64+AP32+AP33+AP34</f>
        <v>1184.8520000000001</v>
      </c>
      <c r="AQ113" s="152">
        <f>AO64-AQ64+AQ32+AQ33+AP64+AP33+AQ34+AP34</f>
        <v>1002.19</v>
      </c>
      <c r="AR113" s="152">
        <f>$AO$64-AR64+AR32+AR33+AP64+AQ64+AP33+AQ33+AR34+AQ34+AP34</f>
        <v>1169.9010000000001</v>
      </c>
      <c r="AS113" s="152">
        <f>AO64-AS32+AS33+AQ64+AR64+AS64+AP33+AQ33+AR33+AS34+AR34+AQ34</f>
        <v>1418.806</v>
      </c>
      <c r="AT113" s="152">
        <f>AO64-AT64+AT32+AT33+AT34</f>
        <v>1418.806</v>
      </c>
      <c r="AU113" s="152">
        <f>AT64-AU64+AU32+AU33+AU34</f>
        <v>0</v>
      </c>
      <c r="AV113" s="152">
        <f>AT64-AV64+AV32+AV33+AU64+AU33+AV34+AU34</f>
        <v>0</v>
      </c>
      <c r="AW113" s="152">
        <f>AT64-AW64+AW32+AW33+AU64+AV64+AU33+AV33+AW34+AV34+AU34</f>
        <v>0</v>
      </c>
      <c r="AX113" s="152">
        <f>AT64-AX32+AX33+AV64+AW64+AX64+AU33+AV33+AW33+AX34+AW34+AV34+AU64</f>
        <v>0</v>
      </c>
      <c r="AY113" s="152">
        <f>AT64-AY64+AY32+AY33+AY34</f>
        <v>0</v>
      </c>
      <c r="AZ113" s="152">
        <f t="shared" ref="AZ113:BK113" si="108">AY64-AZ64+AZ32+AZ33+AZ34</f>
        <v>-648.0067972500043</v>
      </c>
      <c r="BA113" s="152">
        <f t="shared" si="108"/>
        <v>495.7387328458218</v>
      </c>
      <c r="BB113" s="152">
        <f t="shared" si="108"/>
        <v>-700.93776390370522</v>
      </c>
      <c r="BC113" s="152">
        <f t="shared" si="108"/>
        <v>-3402.2253018598385</v>
      </c>
      <c r="BD113" s="152">
        <f t="shared" si="108"/>
        <v>-6410.5511452314095</v>
      </c>
      <c r="BE113" s="152">
        <f t="shared" si="108"/>
        <v>-8071.9020096602517</v>
      </c>
      <c r="BF113" s="152">
        <f t="shared" si="108"/>
        <v>-10597.064330887899</v>
      </c>
      <c r="BG113" s="152">
        <f t="shared" si="108"/>
        <v>-12794.165823285812</v>
      </c>
      <c r="BH113" s="152">
        <f t="shared" si="108"/>
        <v>-15290.313183095139</v>
      </c>
      <c r="BI113" s="152">
        <f t="shared" si="108"/>
        <v>-18034.283775889759</v>
      </c>
      <c r="BJ113" s="152">
        <f t="shared" si="108"/>
        <v>-21110.725217885396</v>
      </c>
      <c r="BK113" s="152">
        <f t="shared" si="108"/>
        <v>-24764.019073305109</v>
      </c>
      <c r="BL113" s="152">
        <f>BK64-BL64+BL32+BL33+BL34</f>
        <v>-28616.06717618537</v>
      </c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</row>
    <row r="114" spans="1:272" s="246" customFormat="1" hidden="1" outlineLevel="1">
      <c r="A114" s="230" t="s">
        <v>418</v>
      </c>
      <c r="B114" s="230"/>
      <c r="C114" s="231"/>
      <c r="D114" s="231">
        <f>SUM(D94:D113)</f>
        <v>14193</v>
      </c>
      <c r="E114" s="231">
        <f t="shared" ref="E114:BA114" si="109">SUM(E94:E113)</f>
        <v>16401</v>
      </c>
      <c r="F114" s="231">
        <f t="shared" si="109"/>
        <v>25528</v>
      </c>
      <c r="G114" s="231">
        <f t="shared" si="109"/>
        <v>29767.058000000048</v>
      </c>
      <c r="H114" s="231">
        <f t="shared" si="109"/>
        <v>-36581.721999999951</v>
      </c>
      <c r="I114" s="231">
        <f t="shared" si="109"/>
        <v>28786.714999999997</v>
      </c>
      <c r="J114" s="231">
        <f t="shared" si="109"/>
        <v>-383.41817590055871</v>
      </c>
      <c r="K114" s="231">
        <f t="shared" si="109"/>
        <v>41599.325020000106</v>
      </c>
      <c r="L114" s="231">
        <f>SUM(L94:L113)</f>
        <v>9856.9896299999818</v>
      </c>
      <c r="M114" s="231">
        <f>SUM(M94:M113)</f>
        <v>7634.8095499996998</v>
      </c>
      <c r="N114" s="231">
        <f>SUM(N94:N113)</f>
        <v>26007.093609999705</v>
      </c>
      <c r="O114" s="231">
        <f>SUM(O94:O113)</f>
        <v>23283.205609999728</v>
      </c>
      <c r="P114" s="231">
        <f t="shared" si="109"/>
        <v>23192.205609999684</v>
      </c>
      <c r="Q114" s="231">
        <f t="shared" si="109"/>
        <v>-3918.0296245000009</v>
      </c>
      <c r="R114" s="231">
        <f t="shared" si="109"/>
        <v>-10356.6404744999</v>
      </c>
      <c r="S114" s="231">
        <f t="shared" si="109"/>
        <v>-12184.805712611669</v>
      </c>
      <c r="T114" s="231">
        <f t="shared" si="109"/>
        <v>-7831.1344226116689</v>
      </c>
      <c r="U114" s="231">
        <f t="shared" si="109"/>
        <v>-4283.617114499938</v>
      </c>
      <c r="V114" s="231">
        <f t="shared" si="109"/>
        <v>12408.748290000018</v>
      </c>
      <c r="W114" s="231">
        <f t="shared" si="109"/>
        <v>8600.1977400000178</v>
      </c>
      <c r="X114" s="231">
        <f t="shared" si="109"/>
        <v>13823.251950000129</v>
      </c>
      <c r="Y114" s="231">
        <f t="shared" si="109"/>
        <v>37354.735990000023</v>
      </c>
      <c r="Z114" s="231">
        <f t="shared" si="109"/>
        <v>40662.168559999984</v>
      </c>
      <c r="AA114" s="231">
        <f t="shared" si="109"/>
        <v>-15337.698629999999</v>
      </c>
      <c r="AB114" s="231">
        <f t="shared" si="109"/>
        <v>-5220.6508250886836</v>
      </c>
      <c r="AC114" s="231">
        <f t="shared" si="109"/>
        <v>-15951.76728858798</v>
      </c>
      <c r="AD114" s="231">
        <f t="shared" si="109"/>
        <v>-24800.44579194799</v>
      </c>
      <c r="AE114" s="231">
        <f t="shared" si="109"/>
        <v>-24462.465419999993</v>
      </c>
      <c r="AF114" s="231">
        <f t="shared" si="109"/>
        <v>7736.5704999999962</v>
      </c>
      <c r="AG114" s="231">
        <f t="shared" si="109"/>
        <v>4139.1301699999949</v>
      </c>
      <c r="AH114" s="231">
        <f t="shared" si="109"/>
        <v>6317.9577699999863</v>
      </c>
      <c r="AI114" s="231">
        <f t="shared" si="109"/>
        <v>6998.6457099999534</v>
      </c>
      <c r="AJ114" s="231">
        <f t="shared" si="109"/>
        <v>8127.7717099999645</v>
      </c>
      <c r="AK114" s="231">
        <f>SUM(AK94:AK113)</f>
        <v>15643.380060000047</v>
      </c>
      <c r="AL114" s="231">
        <f t="shared" si="109"/>
        <v>13092.380060000047</v>
      </c>
      <c r="AM114" s="231">
        <f t="shared" si="109"/>
        <v>12964.380060000054</v>
      </c>
      <c r="AN114" s="231">
        <f t="shared" si="109"/>
        <v>39335.262720000042</v>
      </c>
      <c r="AO114" s="231">
        <f t="shared" si="109"/>
        <v>40832.262720000042</v>
      </c>
      <c r="AP114" s="231">
        <f t="shared" si="109"/>
        <v>402.79916017928122</v>
      </c>
      <c r="AQ114" s="231">
        <f t="shared" si="109"/>
        <v>-2792.0037914134614</v>
      </c>
      <c r="AR114" s="231">
        <f t="shared" si="109"/>
        <v>-5993.3913731068296</v>
      </c>
      <c r="AS114" s="231">
        <f t="shared" si="109"/>
        <v>-4745.911206845738</v>
      </c>
      <c r="AT114" s="231">
        <f t="shared" si="109"/>
        <v>-3619.92752684578</v>
      </c>
      <c r="AU114" s="231">
        <f>SUM(AU94:AU113)</f>
        <v>-35977.277141827733</v>
      </c>
      <c r="AV114" s="231">
        <f t="shared" si="109"/>
        <v>-31113.624933494473</v>
      </c>
      <c r="AW114" s="231">
        <f t="shared" si="109"/>
        <v>-80536.269312383345</v>
      </c>
      <c r="AX114" s="231">
        <f t="shared" si="109"/>
        <v>7018.2151328388909</v>
      </c>
      <c r="AY114" s="231">
        <f t="shared" si="109"/>
        <v>9118.2151128389141</v>
      </c>
      <c r="AZ114" s="231">
        <f t="shared" si="109"/>
        <v>11410.420245063182</v>
      </c>
      <c r="BA114" s="231">
        <f t="shared" si="109"/>
        <v>7711.0200802652807</v>
      </c>
      <c r="BB114" s="231">
        <f>SUM(BB94:BB113)</f>
        <v>10146.747619523405</v>
      </c>
      <c r="BC114" s="231">
        <f>SUM(BC94:BC113)</f>
        <v>-1781.5035113201629</v>
      </c>
      <c r="BD114" s="231">
        <f t="shared" ref="BD114:BL114" si="110">SUM(BD94:BD113)</f>
        <v>4668.7097950883763</v>
      </c>
      <c r="BE114" s="231">
        <f t="shared" si="110"/>
        <v>21905.977404613815</v>
      </c>
      <c r="BF114" s="231">
        <f t="shared" si="110"/>
        <v>24616.863748013355</v>
      </c>
      <c r="BG114" s="231">
        <f t="shared" si="110"/>
        <v>32146.428191215091</v>
      </c>
      <c r="BH114" s="231">
        <f t="shared" si="110"/>
        <v>56564.346764284615</v>
      </c>
      <c r="BI114" s="231">
        <f t="shared" si="110"/>
        <v>67042.997228435212</v>
      </c>
      <c r="BJ114" s="231">
        <f t="shared" si="110"/>
        <v>80709.257354735353</v>
      </c>
      <c r="BK114" s="231">
        <f t="shared" si="110"/>
        <v>82820.806642435244</v>
      </c>
      <c r="BL114" s="231">
        <f t="shared" si="110"/>
        <v>115753.75394940763</v>
      </c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</row>
    <row r="115" spans="1:272" s="222" customFormat="1" hidden="1" outlineLevel="1">
      <c r="A115" s="222" t="s">
        <v>419</v>
      </c>
      <c r="C115" s="152"/>
      <c r="D115" s="152">
        <f t="shared" ref="D115:K115" si="111">C41-D41</f>
        <v>-2709</v>
      </c>
      <c r="E115" s="152">
        <f t="shared" si="111"/>
        <v>-3302</v>
      </c>
      <c r="F115" s="152">
        <f t="shared" si="111"/>
        <v>-1575</v>
      </c>
      <c r="G115" s="152">
        <f t="shared" si="111"/>
        <v>543</v>
      </c>
      <c r="H115" s="152">
        <f t="shared" si="111"/>
        <v>-209</v>
      </c>
      <c r="I115" s="152">
        <f t="shared" si="111"/>
        <v>-360</v>
      </c>
      <c r="J115" s="152">
        <f t="shared" si="111"/>
        <v>-7457</v>
      </c>
      <c r="K115" s="152">
        <f t="shared" si="111"/>
        <v>-368</v>
      </c>
      <c r="L115" s="152">
        <f>$K$41-L41</f>
        <v>-197</v>
      </c>
      <c r="M115" s="152">
        <f>$K$41-M41</f>
        <v>-699</v>
      </c>
      <c r="N115" s="152">
        <f>$K$41-N41</f>
        <v>-854</v>
      </c>
      <c r="O115" s="152">
        <f>$K$41-O41</f>
        <v>6589</v>
      </c>
      <c r="P115" s="152">
        <f>K41-P41</f>
        <v>6589</v>
      </c>
      <c r="Q115" s="152">
        <f>$P$41-Q41</f>
        <v>-99.611399999999776</v>
      </c>
      <c r="R115" s="152">
        <f>$P$41-R41</f>
        <v>-751</v>
      </c>
      <c r="S115" s="152">
        <f>$P$41-S41</f>
        <v>-762</v>
      </c>
      <c r="T115" s="152">
        <f>$P$41-T41</f>
        <v>-593</v>
      </c>
      <c r="U115" s="152">
        <f>P41-U41</f>
        <v>-593</v>
      </c>
      <c r="V115" s="152">
        <f>$U$41-V41</f>
        <v>-72</v>
      </c>
      <c r="W115" s="152">
        <f>$U$41-W41</f>
        <v>-173</v>
      </c>
      <c r="X115" s="152">
        <f>$U$41-X41</f>
        <v>-219</v>
      </c>
      <c r="Y115" s="152">
        <f>$U$41-Y41</f>
        <v>-312</v>
      </c>
      <c r="Z115" s="152">
        <f>U41-Z41</f>
        <v>-312</v>
      </c>
      <c r="AA115" s="152">
        <f>$Z$41-AA41</f>
        <v>-89</v>
      </c>
      <c r="AB115" s="152">
        <f>$Z$41-AB41</f>
        <v>-138</v>
      </c>
      <c r="AC115" s="152">
        <f>$Z$41-AC41</f>
        <v>-582</v>
      </c>
      <c r="AD115" s="152">
        <f>$Z$41-AD41</f>
        <v>1609.8393800000013</v>
      </c>
      <c r="AE115" s="152">
        <f>Z41-AE41</f>
        <v>1609.8393800000013</v>
      </c>
      <c r="AF115" s="152">
        <f>AE41-AF41</f>
        <v>-25.839380000001256</v>
      </c>
      <c r="AG115" s="152">
        <f>AE41-AG41</f>
        <v>-45.839380000001256</v>
      </c>
      <c r="AH115" s="152">
        <f>$AE$41-AH41</f>
        <v>-45.839380000001256</v>
      </c>
      <c r="AI115" s="152">
        <f>$AE$41-AI41</f>
        <v>-68.839380000001256</v>
      </c>
      <c r="AJ115" s="152">
        <f>AE41-AJ41</f>
        <v>-68.839380000001256</v>
      </c>
      <c r="AK115" s="152">
        <f>AJ41-AK41</f>
        <v>-34</v>
      </c>
      <c r="AL115" s="152">
        <f>AJ41-AL41</f>
        <v>-112</v>
      </c>
      <c r="AM115" s="152">
        <f>$AJ$41-AM41</f>
        <v>-137</v>
      </c>
      <c r="AN115" s="152">
        <f>$AJ$41-AN41</f>
        <v>376</v>
      </c>
      <c r="AO115" s="152">
        <f>AJ41-AO41</f>
        <v>376</v>
      </c>
      <c r="AP115" s="152">
        <f>AO41-AP41</f>
        <v>-50.29280000000108</v>
      </c>
      <c r="AQ115" s="152">
        <f>AO41-AQ41</f>
        <v>-50.29280000000108</v>
      </c>
      <c r="AR115" s="152">
        <f>$AO$41-AR41</f>
        <v>-96.303907680003249</v>
      </c>
      <c r="AS115" s="152">
        <f>$AO$41-AS41</f>
        <v>-96.303907680003249</v>
      </c>
      <c r="AT115" s="152">
        <f>AO41-AT41</f>
        <v>-96.303907680003249</v>
      </c>
      <c r="AU115" s="152">
        <f>AT41-AU41</f>
        <v>-50.620233286113944</v>
      </c>
      <c r="AV115" s="152">
        <f>AT41-AV41</f>
        <v>-50.620233286113944</v>
      </c>
      <c r="AW115" s="152">
        <f>$AT$41-AW41</f>
        <v>-96.930898123109728</v>
      </c>
      <c r="AX115" s="152">
        <f>$AT$41-AX41</f>
        <v>-96.930898123109728</v>
      </c>
      <c r="AY115" s="152">
        <f>AT41-AY41</f>
        <v>-96.930898123109728</v>
      </c>
      <c r="AZ115" s="152">
        <f t="shared" ref="AZ115:BL115" si="112">AY41-AZ41</f>
        <v>-149.85234805803157</v>
      </c>
      <c r="BA115" s="152">
        <f t="shared" si="112"/>
        <v>-151.35087153861241</v>
      </c>
      <c r="BB115" s="152">
        <f t="shared" si="112"/>
        <v>-229.29657038099504</v>
      </c>
      <c r="BC115" s="152">
        <f t="shared" si="112"/>
        <v>-294.79895731983197</v>
      </c>
      <c r="BD115" s="152">
        <f t="shared" si="112"/>
        <v>-300.40013750891012</v>
      </c>
      <c r="BE115" s="152">
        <f t="shared" si="112"/>
        <v>-306.10774012157708</v>
      </c>
      <c r="BF115" s="152">
        <f t="shared" si="112"/>
        <v>-311.92378718388863</v>
      </c>
      <c r="BG115" s="152">
        <f t="shared" si="112"/>
        <v>-317.85033914038286</v>
      </c>
      <c r="BH115" s="152">
        <f t="shared" si="112"/>
        <v>-323.88949558405147</v>
      </c>
      <c r="BI115" s="152">
        <f t="shared" si="112"/>
        <v>-330.04339600014646</v>
      </c>
      <c r="BJ115" s="152">
        <f t="shared" si="112"/>
        <v>-336.31422052414928</v>
      </c>
      <c r="BK115" s="152">
        <f t="shared" si="112"/>
        <v>-342.70419071411015</v>
      </c>
      <c r="BL115" s="152">
        <f t="shared" si="112"/>
        <v>-349.21557033767749</v>
      </c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</row>
    <row r="116" spans="1:272" s="222" customFormat="1" hidden="1" outlineLevel="1">
      <c r="A116" s="222" t="s">
        <v>420</v>
      </c>
      <c r="C116" s="152"/>
      <c r="D116" s="152">
        <f t="shared" ref="D116:K116" si="113">C44-D44</f>
        <v>0</v>
      </c>
      <c r="E116" s="152">
        <f t="shared" si="113"/>
        <v>0</v>
      </c>
      <c r="F116" s="152">
        <f t="shared" si="113"/>
        <v>0</v>
      </c>
      <c r="G116" s="152">
        <f t="shared" si="113"/>
        <v>-178</v>
      </c>
      <c r="H116" s="152">
        <f t="shared" si="113"/>
        <v>63</v>
      </c>
      <c r="I116" s="152">
        <f t="shared" si="113"/>
        <v>115</v>
      </c>
      <c r="J116" s="152">
        <f t="shared" si="113"/>
        <v>0</v>
      </c>
      <c r="K116" s="152">
        <f t="shared" si="113"/>
        <v>0</v>
      </c>
      <c r="L116" s="152">
        <f>$K$44-L44</f>
        <v>0</v>
      </c>
      <c r="M116" s="152">
        <f>$K$44-M44</f>
        <v>0</v>
      </c>
      <c r="N116" s="152">
        <f>$K$44-N44</f>
        <v>0</v>
      </c>
      <c r="O116" s="152">
        <f>$K$44-O44</f>
        <v>0</v>
      </c>
      <c r="P116" s="152">
        <f>K44-P44</f>
        <v>0</v>
      </c>
      <c r="Q116" s="152">
        <f>$P$44-Q44</f>
        <v>0</v>
      </c>
      <c r="R116" s="152">
        <f>$P$44-R44</f>
        <v>0</v>
      </c>
      <c r="S116" s="152">
        <f>$P$44-S44</f>
        <v>0</v>
      </c>
      <c r="T116" s="152">
        <f>$P$44-T44</f>
        <v>0</v>
      </c>
      <c r="U116" s="152">
        <f>P44-U44</f>
        <v>0</v>
      </c>
      <c r="V116" s="152">
        <f>$U$44-V44</f>
        <v>0</v>
      </c>
      <c r="W116" s="152">
        <f>$U$44-W44</f>
        <v>0</v>
      </c>
      <c r="X116" s="152">
        <f>$U$44-X44</f>
        <v>0</v>
      </c>
      <c r="Y116" s="152">
        <f>$U$44-Y44</f>
        <v>0</v>
      </c>
      <c r="Z116" s="152">
        <f>U44-Z44</f>
        <v>0</v>
      </c>
      <c r="AA116" s="152">
        <f>$Z$44-AA44</f>
        <v>0</v>
      </c>
      <c r="AB116" s="152">
        <f>$Z$44-AB44</f>
        <v>0</v>
      </c>
      <c r="AC116" s="152">
        <f>$Z$44-AC44</f>
        <v>0</v>
      </c>
      <c r="AD116" s="152">
        <f>$Z$44-AD44</f>
        <v>0</v>
      </c>
      <c r="AE116" s="152">
        <f>Z44-AE44</f>
        <v>0</v>
      </c>
      <c r="AF116" s="152">
        <f>AE44-AF44</f>
        <v>0</v>
      </c>
      <c r="AG116" s="152">
        <f>AE44-AG44</f>
        <v>0</v>
      </c>
      <c r="AH116" s="152">
        <f>$Z$44-AH44</f>
        <v>0</v>
      </c>
      <c r="AI116" s="152">
        <f>$Z$44-AI44</f>
        <v>0</v>
      </c>
      <c r="AJ116" s="152">
        <f>AE44-AJ44</f>
        <v>0</v>
      </c>
      <c r="AK116" s="152">
        <f>AJ44-AK44</f>
        <v>0</v>
      </c>
      <c r="AL116" s="152">
        <f>AJ44-AL44</f>
        <v>0</v>
      </c>
      <c r="AM116" s="152">
        <f>$AJ$44-AM44</f>
        <v>0</v>
      </c>
      <c r="AN116" s="152">
        <f>$AJ$44-AN44</f>
        <v>0</v>
      </c>
      <c r="AO116" s="152">
        <f>AJ44-AO44</f>
        <v>0</v>
      </c>
      <c r="AP116" s="152">
        <f>AO44-AP44</f>
        <v>0</v>
      </c>
      <c r="AQ116" s="152">
        <f>AO44-AQ44</f>
        <v>0</v>
      </c>
      <c r="AR116" s="152">
        <f>$AO$44-AR44</f>
        <v>0</v>
      </c>
      <c r="AS116" s="152">
        <f>$AO$44-AS44</f>
        <v>0</v>
      </c>
      <c r="AT116" s="152">
        <f>AO44-AT44</f>
        <v>0</v>
      </c>
      <c r="AU116" s="152">
        <f>AT44-AU44</f>
        <v>0</v>
      </c>
      <c r="AV116" s="152">
        <f>AT44-AV44</f>
        <v>0</v>
      </c>
      <c r="AW116" s="152">
        <f>$AO$44-AW44</f>
        <v>0</v>
      </c>
      <c r="AX116" s="152">
        <f>$AO$44-AX44</f>
        <v>0</v>
      </c>
      <c r="AY116" s="152">
        <f>AT44-AY44</f>
        <v>0</v>
      </c>
      <c r="AZ116" s="152">
        <f t="shared" ref="AZ116:BL116" si="114">AY44-AZ44</f>
        <v>0</v>
      </c>
      <c r="BA116" s="152">
        <f t="shared" si="114"/>
        <v>0</v>
      </c>
      <c r="BB116" s="152">
        <f t="shared" si="114"/>
        <v>0</v>
      </c>
      <c r="BC116" s="152">
        <f t="shared" si="114"/>
        <v>0</v>
      </c>
      <c r="BD116" s="152">
        <f t="shared" si="114"/>
        <v>0</v>
      </c>
      <c r="BE116" s="152">
        <f t="shared" si="114"/>
        <v>0</v>
      </c>
      <c r="BF116" s="152">
        <f t="shared" si="114"/>
        <v>0</v>
      </c>
      <c r="BG116" s="152">
        <f t="shared" si="114"/>
        <v>0</v>
      </c>
      <c r="BH116" s="152">
        <f t="shared" si="114"/>
        <v>0</v>
      </c>
      <c r="BI116" s="152">
        <f t="shared" si="114"/>
        <v>0</v>
      </c>
      <c r="BJ116" s="152">
        <f t="shared" si="114"/>
        <v>0</v>
      </c>
      <c r="BK116" s="152">
        <f t="shared" si="114"/>
        <v>0</v>
      </c>
      <c r="BL116" s="152">
        <f t="shared" si="114"/>
        <v>0</v>
      </c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</row>
    <row r="117" spans="1:272" s="222" customFormat="1" hidden="1" outlineLevel="1">
      <c r="A117" s="222" t="s">
        <v>421</v>
      </c>
      <c r="C117" s="152"/>
      <c r="D117" s="152">
        <f t="shared" ref="D117:K117" si="115">(C46-D46)+(C55-D55)+(C45-D45)</f>
        <v>0</v>
      </c>
      <c r="E117" s="152">
        <f t="shared" si="115"/>
        <v>-267</v>
      </c>
      <c r="F117" s="152">
        <f t="shared" si="115"/>
        <v>-408</v>
      </c>
      <c r="G117" s="152">
        <f t="shared" si="115"/>
        <v>0</v>
      </c>
      <c r="H117" s="152">
        <f t="shared" si="115"/>
        <v>-731</v>
      </c>
      <c r="I117" s="152">
        <f t="shared" si="115"/>
        <v>0</v>
      </c>
      <c r="J117" s="152">
        <f t="shared" si="115"/>
        <v>0</v>
      </c>
      <c r="K117" s="152">
        <f t="shared" si="115"/>
        <v>0</v>
      </c>
      <c r="L117" s="152">
        <f>($K$46-L46)+($K$55-L55)+($K$45-L45)</f>
        <v>0</v>
      </c>
      <c r="M117" s="152">
        <f>($K$46-M46)+($K$55-M55)+($K$45-M45)</f>
        <v>0</v>
      </c>
      <c r="N117" s="152">
        <f>($K$46-N46)+($K$55-N55)+($K$45-N45)</f>
        <v>0</v>
      </c>
      <c r="O117" s="152">
        <f>($K$46-O46)+($K$55-O55)+($K$45-O45)</f>
        <v>0</v>
      </c>
      <c r="P117" s="152">
        <f>(K46-P46)+(K55-P55)+(K45-P45)</f>
        <v>0</v>
      </c>
      <c r="Q117" s="152">
        <f>($P$46-Q46)+($P$55-Q55)+($P$45-Q45)</f>
        <v>0</v>
      </c>
      <c r="R117" s="152">
        <f>($P$46-R46)+($P$55-R55)+($P$45-R45)</f>
        <v>0</v>
      </c>
      <c r="S117" s="152">
        <f>($P$46-S46)+($P$55-S55)+($P$45-S45)</f>
        <v>0</v>
      </c>
      <c r="T117" s="152">
        <f>($P$46-T46)+($P$55-T55)+($P$45-T45)</f>
        <v>0</v>
      </c>
      <c r="U117" s="152">
        <f>(P46-U46)+(P55-U55)+(P45-U45)</f>
        <v>0</v>
      </c>
      <c r="V117" s="152">
        <f>($U$46-V46)+($U$55-V55)+($U$45-V45)</f>
        <v>0</v>
      </c>
      <c r="W117" s="152">
        <f>($U$46-W46)+($U$55-W55)+($U$45-W45)</f>
        <v>0</v>
      </c>
      <c r="X117" s="152">
        <f>($U$46-X46)+($U$55-X55)+($U$45-X45)</f>
        <v>0</v>
      </c>
      <c r="Y117" s="152">
        <f>($U$46-Y46)+($U$55-Y55)+($U$45-Y45)</f>
        <v>-1796.69164</v>
      </c>
      <c r="Z117" s="152">
        <f>(U46-Z46)+(U55-Z55)+(U45-Z45)</f>
        <v>-1796.69164</v>
      </c>
      <c r="AA117" s="152">
        <f>($Z$46-AA46)+($Z$55-AA55)+($Z$45-AA45)</f>
        <v>-0.30835999999999331</v>
      </c>
      <c r="AB117" s="152">
        <f>($Z$46-AB46)+($Z$55-AB55)+($Z$45-AB45)</f>
        <v>-4383.30836</v>
      </c>
      <c r="AC117" s="152">
        <f>($Z$46-AC46)+($Z$55-AC55)+($Z$45-AC45)</f>
        <v>-4383.30836</v>
      </c>
      <c r="AD117" s="152">
        <f>($Z$46-AD46)+($Z$55-AD55)+($Z$45-AD45)</f>
        <v>-0.30835999999999331</v>
      </c>
      <c r="AE117" s="152">
        <f>(Z46-AE46)+(Z55-AE55)+(Z45-AE45)</f>
        <v>-0.30835999999999331</v>
      </c>
      <c r="AF117" s="152">
        <f>(AE46-AF46)+(AE55-AF55)+(AE45-AF45)</f>
        <v>0</v>
      </c>
      <c r="AG117" s="152">
        <f>(AE46-AG46)+(AE55-AG55)+(AE45-AG45)</f>
        <v>0</v>
      </c>
      <c r="AH117" s="152">
        <f>(AF46-AH46)+(AF55-AH55)+(AF45-AH45)</f>
        <v>0</v>
      </c>
      <c r="AI117" s="152">
        <f>(AG46-AI46)+(AG55-AI55)+(AG45-AI45)</f>
        <v>0</v>
      </c>
      <c r="AJ117" s="152">
        <f>(AE46-AJ46)+(AE55-AJ55)+(AE45-AJ45)</f>
        <v>0</v>
      </c>
      <c r="AK117" s="152">
        <f>(AJ46-AK46)+(AJ55-AK55)+(AJ45-AK45)</f>
        <v>0</v>
      </c>
      <c r="AL117" s="152">
        <f>(AJ46-AL46)+(AJ55-AL55)+(AJ45-AL45)</f>
        <v>0</v>
      </c>
      <c r="AM117" s="152">
        <f>(AJ46-AM46)+(AJ55-AM55)+(AJ45-AM45)</f>
        <v>0</v>
      </c>
      <c r="AN117" s="152">
        <f>(AJ46-AN46)+(AJ55-AN55)+(AJ45-AN45)</f>
        <v>1521.6831200000001</v>
      </c>
      <c r="AO117" s="152">
        <f>(AJ46-AO46)+(AJ55-AO55)+(AJ45-AO45)</f>
        <v>1521.6831200000001</v>
      </c>
      <c r="AP117" s="152">
        <f>(AO46-AP46)+(AO55-AP55)+(AO45-AP45)</f>
        <v>0</v>
      </c>
      <c r="AQ117" s="152">
        <f>(AO46-AQ46)+(AO55-AQ55)+(AO45-AQ45)</f>
        <v>0</v>
      </c>
      <c r="AR117" s="152">
        <f>(AO46-AR46)+(AO55-AR55)+(AO45-AR45)</f>
        <v>0</v>
      </c>
      <c r="AS117" s="152">
        <f>(AO46-AS46)+(AO55-AS55)+(AO45-AS45)</f>
        <v>0</v>
      </c>
      <c r="AT117" s="152">
        <f>(AO46-AT46)+(AO55-AT55)+(AO45-AT45)</f>
        <v>0</v>
      </c>
      <c r="AU117" s="152">
        <f>(AT46-AU46)+(AT55-AU55)+(AT45-AU45)</f>
        <v>0</v>
      </c>
      <c r="AV117" s="152">
        <f>(AT46-AV46)+(AT55-AV55)+(AT45-AV45)</f>
        <v>0</v>
      </c>
      <c r="AW117" s="152">
        <f>(AT46-AW46)+(AT55-AW55)+(AT45-AW45)</f>
        <v>0</v>
      </c>
      <c r="AX117" s="152">
        <f>(AT46-AX46)+(AT55-AX55)+(AT45-AX45)</f>
        <v>0</v>
      </c>
      <c r="AY117" s="152">
        <f>(AT46-AY46)+(AT55-AY55)+(AT45-AY45)</f>
        <v>0</v>
      </c>
      <c r="AZ117" s="152">
        <f t="shared" ref="AZ117:BL117" si="116">(AY46-AZ46)+(AY55-AZ55)+(AY45-AZ45)</f>
        <v>0</v>
      </c>
      <c r="BA117" s="152">
        <f t="shared" si="116"/>
        <v>0</v>
      </c>
      <c r="BB117" s="152">
        <f t="shared" si="116"/>
        <v>0</v>
      </c>
      <c r="BC117" s="152">
        <f t="shared" si="116"/>
        <v>0</v>
      </c>
      <c r="BD117" s="152">
        <f t="shared" si="116"/>
        <v>0</v>
      </c>
      <c r="BE117" s="152">
        <f t="shared" si="116"/>
        <v>0</v>
      </c>
      <c r="BF117" s="152">
        <f t="shared" si="116"/>
        <v>0</v>
      </c>
      <c r="BG117" s="152">
        <f t="shared" si="116"/>
        <v>0</v>
      </c>
      <c r="BH117" s="152">
        <f t="shared" si="116"/>
        <v>0</v>
      </c>
      <c r="BI117" s="152">
        <f t="shared" si="116"/>
        <v>0</v>
      </c>
      <c r="BJ117" s="152">
        <f t="shared" si="116"/>
        <v>0</v>
      </c>
      <c r="BK117" s="152">
        <f t="shared" si="116"/>
        <v>0</v>
      </c>
      <c r="BL117" s="152">
        <f t="shared" si="116"/>
        <v>0</v>
      </c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</row>
    <row r="118" spans="1:272" s="222" customFormat="1" hidden="1" outlineLevel="1">
      <c r="A118" s="222" t="s">
        <v>422</v>
      </c>
      <c r="C118" s="152"/>
      <c r="D118" s="152">
        <f t="shared" ref="D118:K118" si="117">C77-D77</f>
        <v>0</v>
      </c>
      <c r="E118" s="152">
        <f t="shared" si="117"/>
        <v>0</v>
      </c>
      <c r="F118" s="152">
        <f t="shared" si="117"/>
        <v>0</v>
      </c>
      <c r="G118" s="152">
        <f t="shared" si="117"/>
        <v>0</v>
      </c>
      <c r="H118" s="152">
        <f t="shared" si="117"/>
        <v>0</v>
      </c>
      <c r="I118" s="152">
        <f t="shared" si="117"/>
        <v>0</v>
      </c>
      <c r="J118" s="152">
        <f t="shared" si="117"/>
        <v>0</v>
      </c>
      <c r="K118" s="152">
        <f t="shared" si="117"/>
        <v>0</v>
      </c>
      <c r="L118" s="152">
        <f>$K$77-L77</f>
        <v>0</v>
      </c>
      <c r="M118" s="152">
        <f>$K$77-M77</f>
        <v>0</v>
      </c>
      <c r="N118" s="152">
        <f>$K$77-N77</f>
        <v>0</v>
      </c>
      <c r="O118" s="152">
        <f>$K$77-O77</f>
        <v>0</v>
      </c>
      <c r="P118" s="152">
        <f>K77-P77</f>
        <v>0</v>
      </c>
      <c r="Q118" s="152">
        <f>$P$77-Q77</f>
        <v>0</v>
      </c>
      <c r="R118" s="152">
        <f>$P$77-R77</f>
        <v>0</v>
      </c>
      <c r="S118" s="152">
        <f>$P$77-S77</f>
        <v>0</v>
      </c>
      <c r="T118" s="152">
        <f>$P$77-T77</f>
        <v>0</v>
      </c>
      <c r="U118" s="152">
        <f>P77-U77</f>
        <v>0</v>
      </c>
      <c r="V118" s="152">
        <f>$U$77-V77</f>
        <v>0</v>
      </c>
      <c r="W118" s="152">
        <f>$U$77-W77</f>
        <v>0</v>
      </c>
      <c r="X118" s="152">
        <f>$U$77-X77</f>
        <v>0</v>
      </c>
      <c r="Y118" s="152">
        <f>$U$77-Y77</f>
        <v>0</v>
      </c>
      <c r="Z118" s="152">
        <f>U77-Z77</f>
        <v>0</v>
      </c>
      <c r="AA118" s="152">
        <f>$Z$77-AA77</f>
        <v>0</v>
      </c>
      <c r="AB118" s="152">
        <f>$Z$77-AB77</f>
        <v>0</v>
      </c>
      <c r="AC118" s="152">
        <f>$Z$77-AC77</f>
        <v>0</v>
      </c>
      <c r="AD118" s="152">
        <f>$Z$77-AD77</f>
        <v>0</v>
      </c>
      <c r="AE118" s="152">
        <f>Z77-AE77</f>
        <v>0</v>
      </c>
      <c r="AF118" s="152">
        <f>AE77-AF77</f>
        <v>0</v>
      </c>
      <c r="AG118" s="152">
        <f>AE77-AG77</f>
        <v>0</v>
      </c>
      <c r="AH118" s="152">
        <f>$Z$77-AH77</f>
        <v>0</v>
      </c>
      <c r="AI118" s="152">
        <f>$Z$77-AI77</f>
        <v>0</v>
      </c>
      <c r="AJ118" s="152">
        <f>AE77-AJ77</f>
        <v>0</v>
      </c>
      <c r="AK118" s="152">
        <f>AJ77-AK77</f>
        <v>0</v>
      </c>
      <c r="AL118" s="152">
        <f>AJ77-AL77</f>
        <v>0</v>
      </c>
      <c r="AM118" s="152">
        <f>$AJ$77-AM77</f>
        <v>0</v>
      </c>
      <c r="AN118" s="152">
        <f>$AJ$77-AN77</f>
        <v>0</v>
      </c>
      <c r="AO118" s="152">
        <f>AJ77-AO77</f>
        <v>0</v>
      </c>
      <c r="AP118" s="152">
        <f>AO77-AP77</f>
        <v>0</v>
      </c>
      <c r="AQ118" s="152">
        <f>AO77-AQ77</f>
        <v>0</v>
      </c>
      <c r="AR118" s="152">
        <f>$AO$77-AR77</f>
        <v>0</v>
      </c>
      <c r="AS118" s="152">
        <f>$AO$77-AS77</f>
        <v>0</v>
      </c>
      <c r="AT118" s="152">
        <f>AO77-AT77</f>
        <v>0</v>
      </c>
      <c r="AU118" s="152">
        <f>AT77-AU77</f>
        <v>0</v>
      </c>
      <c r="AV118" s="152">
        <f>AT77-AV77</f>
        <v>0</v>
      </c>
      <c r="AW118" s="152">
        <f>$AO$77-AW77</f>
        <v>0</v>
      </c>
      <c r="AX118" s="152">
        <f>$AO$77-AX77</f>
        <v>0</v>
      </c>
      <c r="AY118" s="152">
        <f>AT77-AY77</f>
        <v>0</v>
      </c>
      <c r="AZ118" s="152">
        <f t="shared" ref="AZ118:BL118" si="118">AY77-AZ77</f>
        <v>0</v>
      </c>
      <c r="BA118" s="152">
        <f t="shared" si="118"/>
        <v>0</v>
      </c>
      <c r="BB118" s="152">
        <f t="shared" si="118"/>
        <v>0</v>
      </c>
      <c r="BC118" s="152">
        <f t="shared" si="118"/>
        <v>0</v>
      </c>
      <c r="BD118" s="152">
        <f t="shared" si="118"/>
        <v>0</v>
      </c>
      <c r="BE118" s="152">
        <f t="shared" si="118"/>
        <v>0</v>
      </c>
      <c r="BF118" s="152">
        <f t="shared" si="118"/>
        <v>0</v>
      </c>
      <c r="BG118" s="152">
        <f t="shared" si="118"/>
        <v>0</v>
      </c>
      <c r="BH118" s="152">
        <f t="shared" si="118"/>
        <v>0</v>
      </c>
      <c r="BI118" s="152">
        <f t="shared" si="118"/>
        <v>0</v>
      </c>
      <c r="BJ118" s="152">
        <f t="shared" si="118"/>
        <v>0</v>
      </c>
      <c r="BK118" s="152">
        <f t="shared" si="118"/>
        <v>0</v>
      </c>
      <c r="BL118" s="152">
        <f t="shared" si="118"/>
        <v>0</v>
      </c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</row>
    <row r="119" spans="1:272" s="222" customFormat="1" hidden="1" outlineLevel="1">
      <c r="A119" s="222" t="s">
        <v>423</v>
      </c>
      <c r="C119" s="152"/>
      <c r="D119" s="152">
        <f t="shared" ref="D119:K119" si="119">C47-D47</f>
        <v>0</v>
      </c>
      <c r="E119" s="152">
        <f t="shared" si="119"/>
        <v>32</v>
      </c>
      <c r="F119" s="152">
        <f t="shared" si="119"/>
        <v>-58</v>
      </c>
      <c r="G119" s="152">
        <f t="shared" si="119"/>
        <v>-405</v>
      </c>
      <c r="H119" s="152">
        <f t="shared" si="119"/>
        <v>231</v>
      </c>
      <c r="I119" s="152">
        <f t="shared" si="119"/>
        <v>11</v>
      </c>
      <c r="J119" s="152">
        <f t="shared" si="119"/>
        <v>38</v>
      </c>
      <c r="K119" s="152">
        <f t="shared" si="119"/>
        <v>-50</v>
      </c>
      <c r="L119" s="152">
        <f>$K$47-L47</f>
        <v>4</v>
      </c>
      <c r="M119" s="152">
        <f>$K$47-M47</f>
        <v>17</v>
      </c>
      <c r="N119" s="152">
        <f>$K$47-N47</f>
        <v>46</v>
      </c>
      <c r="O119" s="152">
        <f>$K$47-O47</f>
        <v>136</v>
      </c>
      <c r="P119" s="152">
        <f>K47-P47</f>
        <v>135</v>
      </c>
      <c r="Q119" s="152">
        <f>$P$47-Q47</f>
        <v>41.667000000000002</v>
      </c>
      <c r="R119" s="152">
        <f>$P$47-R47</f>
        <v>56</v>
      </c>
      <c r="S119" s="152">
        <f>$P$47-S47</f>
        <v>53</v>
      </c>
      <c r="T119" s="152">
        <f>$P$47-T47</f>
        <v>66</v>
      </c>
      <c r="U119" s="152">
        <f>P47-U47</f>
        <v>66</v>
      </c>
      <c r="V119" s="152">
        <f>$U$47-V47</f>
        <v>0</v>
      </c>
      <c r="W119" s="152">
        <f>$U$47-W47</f>
        <v>0</v>
      </c>
      <c r="X119" s="152">
        <f>$U$47-X47</f>
        <v>0</v>
      </c>
      <c r="Y119" s="152">
        <f>$U$47-Y47</f>
        <v>0</v>
      </c>
      <c r="Z119" s="152">
        <f>U47-Z47</f>
        <v>0</v>
      </c>
      <c r="AA119" s="152">
        <f>$Z$47-AA47</f>
        <v>0</v>
      </c>
      <c r="AB119" s="152">
        <f>$Z$47-AB47</f>
        <v>0</v>
      </c>
      <c r="AC119" s="152">
        <f>$Z$47-AC47</f>
        <v>0</v>
      </c>
      <c r="AD119" s="152">
        <f>$Z$47-AD47</f>
        <v>0</v>
      </c>
      <c r="AE119" s="152">
        <f>Z47-AE47</f>
        <v>0</v>
      </c>
      <c r="AF119" s="152">
        <f>AE47-AF47</f>
        <v>0</v>
      </c>
      <c r="AG119" s="152">
        <f>AE47-AG47</f>
        <v>0</v>
      </c>
      <c r="AH119" s="152">
        <f>$Z$47-AH47</f>
        <v>0</v>
      </c>
      <c r="AI119" s="152">
        <f>$Z$47-AI47</f>
        <v>0</v>
      </c>
      <c r="AJ119" s="152">
        <f>AE47-AJ47</f>
        <v>0</v>
      </c>
      <c r="AK119" s="152">
        <f>AJ47-AK47</f>
        <v>-4656</v>
      </c>
      <c r="AL119" s="152">
        <f>AJ47-AL47</f>
        <v>-2836</v>
      </c>
      <c r="AM119" s="152">
        <f>$AJ$47-AM47</f>
        <v>-2633</v>
      </c>
      <c r="AN119" s="152">
        <f>$AJ$47-AN47</f>
        <v>-2431.3958199999997</v>
      </c>
      <c r="AO119" s="152">
        <f>AJ47-AO47</f>
        <v>-2431.3958199999997</v>
      </c>
      <c r="AP119" s="152">
        <f>AO47-AP47</f>
        <v>203.39581999999973</v>
      </c>
      <c r="AQ119" s="152">
        <f>AO47-AQ47</f>
        <v>407.39581999999973</v>
      </c>
      <c r="AR119" s="152">
        <f>$AO$47-AR47</f>
        <v>-810.60418000000027</v>
      </c>
      <c r="AS119" s="152">
        <f>$AO$47-AS47</f>
        <v>-810.60418000000027</v>
      </c>
      <c r="AT119" s="152">
        <f>AO47-AT47</f>
        <v>-810.60418000000027</v>
      </c>
      <c r="AU119" s="152">
        <f>AT47-AU47</f>
        <v>0</v>
      </c>
      <c r="AV119" s="152">
        <f>AT47-AV47</f>
        <v>0</v>
      </c>
      <c r="AW119" s="152">
        <f>$AT$47-AW47</f>
        <v>0</v>
      </c>
      <c r="AX119" s="152">
        <f>$AT$47-AX47</f>
        <v>0</v>
      </c>
      <c r="AY119" s="152">
        <f>AT47-AY47</f>
        <v>0</v>
      </c>
      <c r="AZ119" s="152">
        <f t="shared" ref="AZ119:BL119" si="120">AY47-AZ47</f>
        <v>0</v>
      </c>
      <c r="BA119" s="152">
        <f t="shared" si="120"/>
        <v>0</v>
      </c>
      <c r="BB119" s="152">
        <f t="shared" si="120"/>
        <v>0</v>
      </c>
      <c r="BC119" s="152">
        <f t="shared" si="120"/>
        <v>0</v>
      </c>
      <c r="BD119" s="152">
        <f t="shared" si="120"/>
        <v>0</v>
      </c>
      <c r="BE119" s="152">
        <f t="shared" si="120"/>
        <v>0</v>
      </c>
      <c r="BF119" s="152">
        <f t="shared" si="120"/>
        <v>0</v>
      </c>
      <c r="BG119" s="152">
        <f t="shared" si="120"/>
        <v>0</v>
      </c>
      <c r="BH119" s="152">
        <f t="shared" si="120"/>
        <v>0</v>
      </c>
      <c r="BI119" s="152">
        <f t="shared" si="120"/>
        <v>0</v>
      </c>
      <c r="BJ119" s="152">
        <f t="shared" si="120"/>
        <v>0</v>
      </c>
      <c r="BK119" s="152">
        <f t="shared" si="120"/>
        <v>0</v>
      </c>
      <c r="BL119" s="152">
        <f t="shared" si="120"/>
        <v>0</v>
      </c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</row>
    <row r="120" spans="1:272" s="246" customFormat="1" hidden="1" outlineLevel="1">
      <c r="A120" s="230" t="s">
        <v>424</v>
      </c>
      <c r="B120" s="230"/>
      <c r="C120" s="231"/>
      <c r="D120" s="231">
        <f>SUM(D115:D119)</f>
        <v>-2709</v>
      </c>
      <c r="E120" s="231">
        <f t="shared" ref="E120:BA120" si="121">SUM(E115:E119)</f>
        <v>-3537</v>
      </c>
      <c r="F120" s="231">
        <f t="shared" si="121"/>
        <v>-2041</v>
      </c>
      <c r="G120" s="231">
        <f t="shared" si="121"/>
        <v>-40</v>
      </c>
      <c r="H120" s="231">
        <f t="shared" si="121"/>
        <v>-646</v>
      </c>
      <c r="I120" s="231">
        <f t="shared" si="121"/>
        <v>-234</v>
      </c>
      <c r="J120" s="231">
        <f t="shared" si="121"/>
        <v>-7419</v>
      </c>
      <c r="K120" s="231">
        <f t="shared" si="121"/>
        <v>-418</v>
      </c>
      <c r="L120" s="231">
        <f>SUM(L115:L119)</f>
        <v>-193</v>
      </c>
      <c r="M120" s="231">
        <f>SUM(M115:M119)</f>
        <v>-682</v>
      </c>
      <c r="N120" s="231">
        <f>SUM(N115:N119)</f>
        <v>-808</v>
      </c>
      <c r="O120" s="231">
        <f>SUM(O115:O119)</f>
        <v>6725</v>
      </c>
      <c r="P120" s="231">
        <f t="shared" si="121"/>
        <v>6724</v>
      </c>
      <c r="Q120" s="231">
        <f t="shared" si="121"/>
        <v>-57.944399999999774</v>
      </c>
      <c r="R120" s="231">
        <f t="shared" si="121"/>
        <v>-695</v>
      </c>
      <c r="S120" s="231">
        <f t="shared" si="121"/>
        <v>-709</v>
      </c>
      <c r="T120" s="231">
        <f t="shared" si="121"/>
        <v>-527</v>
      </c>
      <c r="U120" s="231">
        <f t="shared" si="121"/>
        <v>-527</v>
      </c>
      <c r="V120" s="231">
        <f t="shared" si="121"/>
        <v>-72</v>
      </c>
      <c r="W120" s="231">
        <f t="shared" si="121"/>
        <v>-173</v>
      </c>
      <c r="X120" s="231">
        <f t="shared" si="121"/>
        <v>-219</v>
      </c>
      <c r="Y120" s="231">
        <f t="shared" si="121"/>
        <v>-2108.69164</v>
      </c>
      <c r="Z120" s="231">
        <f t="shared" si="121"/>
        <v>-2108.69164</v>
      </c>
      <c r="AA120" s="231">
        <f t="shared" si="121"/>
        <v>-89.308359999999993</v>
      </c>
      <c r="AB120" s="231">
        <f t="shared" si="121"/>
        <v>-4521.30836</v>
      </c>
      <c r="AC120" s="231">
        <f t="shared" si="121"/>
        <v>-4965.30836</v>
      </c>
      <c r="AD120" s="231">
        <f t="shared" si="121"/>
        <v>1609.5310200000013</v>
      </c>
      <c r="AE120" s="231">
        <f t="shared" si="121"/>
        <v>1609.5310200000013</v>
      </c>
      <c r="AF120" s="231">
        <f t="shared" si="121"/>
        <v>-25.839380000001256</v>
      </c>
      <c r="AG120" s="231">
        <f t="shared" si="121"/>
        <v>-45.839380000001256</v>
      </c>
      <c r="AH120" s="231">
        <f t="shared" si="121"/>
        <v>-45.839380000001256</v>
      </c>
      <c r="AI120" s="231">
        <f t="shared" si="121"/>
        <v>-68.839380000001256</v>
      </c>
      <c r="AJ120" s="231">
        <f t="shared" si="121"/>
        <v>-68.839380000001256</v>
      </c>
      <c r="AK120" s="231">
        <f t="shared" si="121"/>
        <v>-4690</v>
      </c>
      <c r="AL120" s="231">
        <f t="shared" si="121"/>
        <v>-2948</v>
      </c>
      <c r="AM120" s="231">
        <f t="shared" si="121"/>
        <v>-2770</v>
      </c>
      <c r="AN120" s="231">
        <f t="shared" si="121"/>
        <v>-533.71269999999959</v>
      </c>
      <c r="AO120" s="231">
        <f t="shared" si="121"/>
        <v>-533.71269999999959</v>
      </c>
      <c r="AP120" s="231">
        <f t="shared" si="121"/>
        <v>153.10301999999865</v>
      </c>
      <c r="AQ120" s="231">
        <f t="shared" si="121"/>
        <v>357.10301999999865</v>
      </c>
      <c r="AR120" s="231">
        <f t="shared" si="121"/>
        <v>-906.90808768000352</v>
      </c>
      <c r="AS120" s="231">
        <f t="shared" si="121"/>
        <v>-906.90808768000352</v>
      </c>
      <c r="AT120" s="231">
        <f t="shared" si="121"/>
        <v>-906.90808768000352</v>
      </c>
      <c r="AU120" s="231">
        <f t="shared" si="121"/>
        <v>-50.620233286113944</v>
      </c>
      <c r="AV120" s="231">
        <f t="shared" si="121"/>
        <v>-50.620233286113944</v>
      </c>
      <c r="AW120" s="231">
        <f t="shared" si="121"/>
        <v>-96.930898123109728</v>
      </c>
      <c r="AX120" s="231">
        <f t="shared" si="121"/>
        <v>-96.930898123109728</v>
      </c>
      <c r="AY120" s="231">
        <f t="shared" si="121"/>
        <v>-96.930898123109728</v>
      </c>
      <c r="AZ120" s="231">
        <f t="shared" si="121"/>
        <v>-149.85234805803157</v>
      </c>
      <c r="BA120" s="231">
        <f t="shared" si="121"/>
        <v>-151.35087153861241</v>
      </c>
      <c r="BB120" s="231">
        <f>SUM(BB115:BB119)</f>
        <v>-229.29657038099504</v>
      </c>
      <c r="BC120" s="231">
        <f>SUM(BC115:BC119)</f>
        <v>-294.79895731983197</v>
      </c>
      <c r="BD120" s="231">
        <f t="shared" ref="BD120:BL120" si="122">SUM(BD115:BD119)</f>
        <v>-300.40013750891012</v>
      </c>
      <c r="BE120" s="231">
        <f t="shared" si="122"/>
        <v>-306.10774012157708</v>
      </c>
      <c r="BF120" s="231">
        <f t="shared" si="122"/>
        <v>-311.92378718388863</v>
      </c>
      <c r="BG120" s="231">
        <f t="shared" si="122"/>
        <v>-317.85033914038286</v>
      </c>
      <c r="BH120" s="231">
        <f t="shared" si="122"/>
        <v>-323.88949558405147</v>
      </c>
      <c r="BI120" s="231">
        <f t="shared" si="122"/>
        <v>-330.04339600014646</v>
      </c>
      <c r="BJ120" s="231">
        <f t="shared" si="122"/>
        <v>-336.31422052414928</v>
      </c>
      <c r="BK120" s="231">
        <f t="shared" si="122"/>
        <v>-342.70419071411015</v>
      </c>
      <c r="BL120" s="231">
        <f t="shared" si="122"/>
        <v>-349.21557033767749</v>
      </c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</row>
    <row r="121" spans="1:272" s="222" customFormat="1" hidden="1" outlineLevel="1">
      <c r="A121" s="222" t="s">
        <v>425</v>
      </c>
      <c r="B121" s="247"/>
      <c r="C121" s="152"/>
      <c r="D121" s="152">
        <f t="shared" ref="D121:K121" si="123">(C58-D58)+(C60-D60)+(C83-D83)</f>
        <v>8889</v>
      </c>
      <c r="E121" s="152">
        <f t="shared" si="123"/>
        <v>29511</v>
      </c>
      <c r="F121" s="152">
        <f t="shared" si="123"/>
        <v>-11447</v>
      </c>
      <c r="G121" s="152">
        <f t="shared" si="123"/>
        <v>-613</v>
      </c>
      <c r="H121" s="152">
        <f t="shared" si="123"/>
        <v>29726</v>
      </c>
      <c r="I121" s="152">
        <f t="shared" si="123"/>
        <v>-13950</v>
      </c>
      <c r="J121" s="152">
        <f t="shared" si="123"/>
        <v>13474</v>
      </c>
      <c r="K121" s="152">
        <f t="shared" si="123"/>
        <v>-33556</v>
      </c>
      <c r="L121" s="152">
        <f>($K$58-L58)+($K$60-L60)+($K$83-L83)</f>
        <v>-3667</v>
      </c>
      <c r="M121" s="152">
        <f>($K$58-M58)+($K$60-M60)+($K$83-M83)</f>
        <v>-6952</v>
      </c>
      <c r="N121" s="152">
        <f>($K$58-N58)+($K$60-N60)+($K$83-N83)</f>
        <v>-16074</v>
      </c>
      <c r="O121" s="152">
        <f>($K$58-O58)+($K$60-O60)+($K$83-O83)</f>
        <v>-14496</v>
      </c>
      <c r="P121" s="152">
        <f>(K58-P58)+(K60-P60)+(K83-P83)</f>
        <v>-14496</v>
      </c>
      <c r="Q121" s="152">
        <f>($P$58-Q58)+($P$60-Q60)+($P$83-Q83)</f>
        <v>-2102.4664100000009</v>
      </c>
      <c r="R121" s="152">
        <f>($P$58-R58)+($P$60-R60)+($P$83-R83)</f>
        <v>576</v>
      </c>
      <c r="S121" s="152">
        <f>($P$58-S58)+($P$60-S60)+($P$83-S83)</f>
        <v>2480</v>
      </c>
      <c r="T121" s="152">
        <f>($P$58-T58)+($P$60-T60)+($P$83-T83)</f>
        <v>-1992</v>
      </c>
      <c r="U121" s="152">
        <f>(P58-U58)+(P60-U60)+(P83-U83)</f>
        <v>-1992</v>
      </c>
      <c r="V121" s="152">
        <f>($U$58-V58)+($U$60-V60)+($U$83-V83)</f>
        <v>-13093</v>
      </c>
      <c r="W121" s="152">
        <f>($U$58-W58)+($U$60-W60)+($U$83-W83)</f>
        <v>-16948</v>
      </c>
      <c r="X121" s="152">
        <f>($U$58-X58)+($U$60-X60)+($U$83-X83)</f>
        <v>-17570</v>
      </c>
      <c r="Y121" s="152">
        <f>($U$58-Y58)+($U$60-Y60)+($U$83-Y83)</f>
        <v>-24359</v>
      </c>
      <c r="Z121" s="152">
        <f>(U58-Z58)+(U60-Z60)+(U83-Z83)</f>
        <v>-24359</v>
      </c>
      <c r="AA121" s="152">
        <f>($Z$58-AA58)+($Z$60-AA60)+($Z$83-AA83)</f>
        <v>-7</v>
      </c>
      <c r="AB121" s="152">
        <f>($Z$58-AB58)+($Z$60-AB60)+($Z$83-AB83)</f>
        <v>-495</v>
      </c>
      <c r="AC121" s="152">
        <f>($Z$58-AC58)+($Z$60-AC60)+($Z$83-AC83)</f>
        <v>-495</v>
      </c>
      <c r="AD121" s="152">
        <f>($Z$58-AD58)+($Z$60-AD60)+($Z$83-AD83)</f>
        <v>-1343</v>
      </c>
      <c r="AE121" s="152">
        <f>(Z58-AE58)+(Z60-AE60)+(Z83-AE83)</f>
        <v>-1343</v>
      </c>
      <c r="AF121" s="152">
        <f>(AE58-AF58)+(AE60-AF60)+(AE83-AF83)</f>
        <v>0</v>
      </c>
      <c r="AG121" s="152">
        <f>(AE58-AG58)+(AE60-AG60)+(AE83-AG83)</f>
        <v>0</v>
      </c>
      <c r="AH121" s="152">
        <f>($AE$58-AH58)+($AE$60-AH60)+($AE$83-AH83)</f>
        <v>0</v>
      </c>
      <c r="AI121" s="152">
        <f>($AE$58-AI58)+($AE$60-AI60)+($AE$83-AI83)</f>
        <v>0</v>
      </c>
      <c r="AJ121" s="152">
        <f>(AE58-AJ58)+(AE60-AJ60)+(AE83-AJ83)</f>
        <v>0</v>
      </c>
      <c r="AK121" s="152">
        <f>(AJ58-AK58)+(AJ60-AK60)+(AJ83-AK83)</f>
        <v>0</v>
      </c>
      <c r="AL121" s="152">
        <f>(AJ58-AL58)+(AJ60-AL60)+(AJ83-AL83)</f>
        <v>0</v>
      </c>
      <c r="AM121" s="152">
        <f>($AJ$58-AM58)+($AJ$60-AM60)+($AJ$83-AM83)</f>
        <v>0</v>
      </c>
      <c r="AN121" s="152">
        <f>($AJ$58-AN58)+($AJ$60-AN60)+($AJ$83-AN83)</f>
        <v>0</v>
      </c>
      <c r="AO121" s="152">
        <f>(AJ58-AO58)+(AJ60-AO60)+(AJ83-AO83)</f>
        <v>0</v>
      </c>
      <c r="AP121" s="152">
        <f>(AO58-AP58)+(AO60-AP60)+(AO83-AP83)</f>
        <v>0</v>
      </c>
      <c r="AQ121" s="152">
        <f>(AO58-AQ58)+(AO60-AQ60)+(AO83-AQ83)</f>
        <v>0</v>
      </c>
      <c r="AR121" s="152">
        <f>($AO$58-AR58)+($AO$60-AR60)+($AO$83-AR83)</f>
        <v>0</v>
      </c>
      <c r="AS121" s="152">
        <f>($AO$58-AS58)+($AO$60-AS60)+($AO$83-AS83)</f>
        <v>0</v>
      </c>
      <c r="AT121" s="152">
        <f>(AO58-AT58)+(AO60-AT60)+(AO83-AT83)</f>
        <v>0</v>
      </c>
      <c r="AU121" s="152">
        <f>(AT58-AU58)+(AT60-AU60)+(AT83-AU83)</f>
        <v>32882.927204159983</v>
      </c>
      <c r="AV121" s="152">
        <f>(AT58-AV58)+(AT60-AV60)+(AT83-AV83)</f>
        <v>28019.274995826716</v>
      </c>
      <c r="AW121" s="152">
        <f>($AO$58-AW58)+($AO$60-AW60)+($AO$83-AW83)</f>
        <v>77488.230049552571</v>
      </c>
      <c r="AX121" s="152">
        <f>($AO$58-AX58)+($AO$60-AX60)+($AO$83-AX83)</f>
        <v>0</v>
      </c>
      <c r="AY121" s="152">
        <f>(AT58-AY58)+(AT60-AY60)+(AT83-AY83)</f>
        <v>0</v>
      </c>
      <c r="AZ121" s="152">
        <f t="shared" ref="AZ121:BL121" si="124">(AY58-AZ58)+(AY60-AZ60)+(AY83-AZ83)</f>
        <v>0</v>
      </c>
      <c r="BA121" s="152">
        <f t="shared" si="124"/>
        <v>0</v>
      </c>
      <c r="BB121" s="152">
        <f t="shared" si="124"/>
        <v>0</v>
      </c>
      <c r="BC121" s="152">
        <f t="shared" si="124"/>
        <v>0</v>
      </c>
      <c r="BD121" s="152">
        <f t="shared" si="124"/>
        <v>0</v>
      </c>
      <c r="BE121" s="152">
        <f t="shared" si="124"/>
        <v>0</v>
      </c>
      <c r="BF121" s="152">
        <f t="shared" si="124"/>
        <v>0</v>
      </c>
      <c r="BG121" s="152">
        <f t="shared" si="124"/>
        <v>0</v>
      </c>
      <c r="BH121" s="152">
        <f t="shared" si="124"/>
        <v>0</v>
      </c>
      <c r="BI121" s="152">
        <f t="shared" si="124"/>
        <v>0</v>
      </c>
      <c r="BJ121" s="152">
        <f t="shared" si="124"/>
        <v>0</v>
      </c>
      <c r="BK121" s="152">
        <f t="shared" si="124"/>
        <v>0</v>
      </c>
      <c r="BL121" s="152">
        <f t="shared" si="124"/>
        <v>0</v>
      </c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</row>
    <row r="122" spans="1:272" s="222" customFormat="1" hidden="1" outlineLevel="1">
      <c r="A122" s="222" t="s">
        <v>426</v>
      </c>
      <c r="B122" s="247"/>
      <c r="C122" s="152"/>
      <c r="D122" s="152">
        <f t="shared" ref="D122:BL122" si="125">D24</f>
        <v>-2186</v>
      </c>
      <c r="E122" s="152">
        <f t="shared" si="125"/>
        <v>-5773</v>
      </c>
      <c r="F122" s="152">
        <f t="shared" si="125"/>
        <v>-4988</v>
      </c>
      <c r="G122" s="152">
        <f t="shared" si="125"/>
        <v>-7305</v>
      </c>
      <c r="H122" s="152">
        <f t="shared" si="125"/>
        <v>-8082</v>
      </c>
      <c r="I122" s="152">
        <f t="shared" si="125"/>
        <v>-10193</v>
      </c>
      <c r="J122" s="152">
        <f t="shared" si="125"/>
        <v>-9725</v>
      </c>
      <c r="K122" s="152">
        <f t="shared" si="125"/>
        <v>-4585</v>
      </c>
      <c r="L122" s="152">
        <f t="shared" si="125"/>
        <v>-1232</v>
      </c>
      <c r="M122" s="152">
        <f t="shared" si="125"/>
        <v>-1007</v>
      </c>
      <c r="N122" s="152">
        <f t="shared" si="125"/>
        <v>-1885</v>
      </c>
      <c r="O122" s="152">
        <f t="shared" si="125"/>
        <v>-1326</v>
      </c>
      <c r="P122" s="152">
        <f t="shared" si="125"/>
        <v>-1236</v>
      </c>
      <c r="Q122" s="152">
        <f t="shared" si="125"/>
        <v>-919.38061000000005</v>
      </c>
      <c r="R122" s="152">
        <f t="shared" si="125"/>
        <v>-1469.1366981116696</v>
      </c>
      <c r="S122" s="152">
        <f t="shared" si="125"/>
        <v>-1159</v>
      </c>
      <c r="T122" s="152">
        <f t="shared" si="125"/>
        <v>-1575</v>
      </c>
      <c r="U122" s="152">
        <f t="shared" si="125"/>
        <v>-5122.5173081116691</v>
      </c>
      <c r="V122" s="152">
        <f t="shared" si="125"/>
        <v>-2472</v>
      </c>
      <c r="W122" s="152">
        <f t="shared" si="125"/>
        <v>-439</v>
      </c>
      <c r="X122" s="152">
        <f t="shared" si="125"/>
        <v>-396.43257</v>
      </c>
      <c r="Y122" s="152">
        <f t="shared" si="125"/>
        <v>-1093.06762</v>
      </c>
      <c r="Z122" s="152">
        <f t="shared" si="125"/>
        <v>-4400.5001899999997</v>
      </c>
      <c r="AA122" s="152">
        <f t="shared" si="125"/>
        <v>-69.99914508868315</v>
      </c>
      <c r="AB122" s="152">
        <f t="shared" si="125"/>
        <v>-204.99935349930001</v>
      </c>
      <c r="AC122" s="152">
        <f t="shared" si="125"/>
        <v>-62.981873360000009</v>
      </c>
      <c r="AD122" s="152">
        <f t="shared" si="125"/>
        <v>-218.01728655999989</v>
      </c>
      <c r="AE122" s="152">
        <f t="shared" si="125"/>
        <v>-555.99765850798303</v>
      </c>
      <c r="AF122" s="152">
        <f t="shared" si="125"/>
        <v>-481.12599999999998</v>
      </c>
      <c r="AG122" s="152">
        <f t="shared" si="125"/>
        <v>-165</v>
      </c>
      <c r="AH122" s="152">
        <f t="shared" si="125"/>
        <v>-483</v>
      </c>
      <c r="AI122" s="152">
        <f t="shared" si="125"/>
        <v>-322</v>
      </c>
      <c r="AJ122" s="152">
        <f t="shared" si="125"/>
        <v>-1451.126</v>
      </c>
      <c r="AK122" s="152">
        <f t="shared" si="125"/>
        <v>-1012</v>
      </c>
      <c r="AL122" s="152">
        <f t="shared" si="125"/>
        <v>-167</v>
      </c>
      <c r="AM122" s="152">
        <f t="shared" si="125"/>
        <v>-318</v>
      </c>
      <c r="AN122" s="152">
        <f t="shared" si="125"/>
        <v>-10335</v>
      </c>
      <c r="AO122" s="152">
        <f t="shared" si="125"/>
        <v>-11832</v>
      </c>
      <c r="AP122" s="152">
        <f t="shared" si="125"/>
        <v>-199.42794999999998</v>
      </c>
      <c r="AQ122" s="152">
        <f t="shared" si="125"/>
        <v>-159.9033</v>
      </c>
      <c r="AR122" s="152">
        <f t="shared" si="125"/>
        <v>-766.65242999999998</v>
      </c>
      <c r="AS122" s="152">
        <f t="shared" si="125"/>
        <v>-1575.3546299999998</v>
      </c>
      <c r="AT122" s="152">
        <f t="shared" si="125"/>
        <v>-2701.3383099999996</v>
      </c>
      <c r="AU122" s="152">
        <f t="shared" si="125"/>
        <v>-699.99999000000003</v>
      </c>
      <c r="AV122" s="152">
        <f t="shared" si="125"/>
        <v>-699.99999000000003</v>
      </c>
      <c r="AW122" s="152">
        <f t="shared" si="125"/>
        <v>-700</v>
      </c>
      <c r="AX122" s="152">
        <f t="shared" si="125"/>
        <v>-700.00002000000006</v>
      </c>
      <c r="AY122" s="152">
        <f t="shared" si="125"/>
        <v>-2800</v>
      </c>
      <c r="AZ122" s="152">
        <f t="shared" si="125"/>
        <v>-1597.8022477439488</v>
      </c>
      <c r="BA122" s="152">
        <f t="shared" si="125"/>
        <v>-1727.6321504148134</v>
      </c>
      <c r="BB122" s="152">
        <f t="shared" si="125"/>
        <v>-1869.5465336896584</v>
      </c>
      <c r="BC122" s="152">
        <f t="shared" si="125"/>
        <v>-1619.7815122711911</v>
      </c>
      <c r="BD122" s="152">
        <f t="shared" si="125"/>
        <v>-1755.5776430013311</v>
      </c>
      <c r="BE122" s="152">
        <f t="shared" si="125"/>
        <v>-1904.1679261895749</v>
      </c>
      <c r="BF122" s="152">
        <f t="shared" si="125"/>
        <v>-2066.8082132632871</v>
      </c>
      <c r="BG122" s="152">
        <f t="shared" si="125"/>
        <v>-2244.8792338780127</v>
      </c>
      <c r="BH122" s="152">
        <f t="shared" si="125"/>
        <v>-2439.8990625328634</v>
      </c>
      <c r="BI122" s="152">
        <f t="shared" si="125"/>
        <v>-2653.53683121121</v>
      </c>
      <c r="BJ122" s="152">
        <f t="shared" si="125"/>
        <v>-2887.6278126301431</v>
      </c>
      <c r="BK122" s="152">
        <f t="shared" si="125"/>
        <v>-3144.1900111399041</v>
      </c>
      <c r="BL122" s="152">
        <f t="shared" si="125"/>
        <v>-3425.4424120180443</v>
      </c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</row>
    <row r="123" spans="1:272" s="222" customFormat="1" hidden="1" outlineLevel="1">
      <c r="A123" s="222" t="s">
        <v>427</v>
      </c>
      <c r="C123" s="152"/>
      <c r="D123" s="152">
        <f t="shared" ref="D123:K123" si="126">C65-D65</f>
        <v>428</v>
      </c>
      <c r="E123" s="152">
        <f t="shared" si="126"/>
        <v>1970</v>
      </c>
      <c r="F123" s="152">
        <f t="shared" si="126"/>
        <v>200</v>
      </c>
      <c r="G123" s="152">
        <f t="shared" si="126"/>
        <v>201</v>
      </c>
      <c r="H123" s="152">
        <f t="shared" si="126"/>
        <v>0</v>
      </c>
      <c r="I123" s="152">
        <f t="shared" si="126"/>
        <v>24792</v>
      </c>
      <c r="J123" s="152">
        <f t="shared" si="126"/>
        <v>0</v>
      </c>
      <c r="K123" s="152">
        <f t="shared" si="126"/>
        <v>0</v>
      </c>
      <c r="L123" s="152">
        <f>$K$65-L65</f>
        <v>0</v>
      </c>
      <c r="M123" s="152">
        <f>$K$65-M65</f>
        <v>0</v>
      </c>
      <c r="N123" s="152">
        <f>$K$65-N65</f>
        <v>0</v>
      </c>
      <c r="O123" s="152">
        <f>$K$65-O65</f>
        <v>0</v>
      </c>
      <c r="P123" s="152">
        <f>K65-P65</f>
        <v>0</v>
      </c>
      <c r="Q123" s="152">
        <f>$P$65-Q65</f>
        <v>0</v>
      </c>
      <c r="R123" s="152">
        <f>$P$65-R65</f>
        <v>0</v>
      </c>
      <c r="S123" s="152">
        <f>$P$65-S65</f>
        <v>0</v>
      </c>
      <c r="T123" s="152">
        <f>$P$65-T65</f>
        <v>0</v>
      </c>
      <c r="U123" s="152">
        <f>P65-U65</f>
        <v>0</v>
      </c>
      <c r="V123" s="152">
        <f>$U$65-V65</f>
        <v>0</v>
      </c>
      <c r="W123" s="152">
        <f>$U$65-W65</f>
        <v>0</v>
      </c>
      <c r="X123" s="152">
        <f>$U$65-X65</f>
        <v>0</v>
      </c>
      <c r="Y123" s="152">
        <f>$U$65-Y65</f>
        <v>0</v>
      </c>
      <c r="Z123" s="152">
        <f>U65-Z65</f>
        <v>0</v>
      </c>
      <c r="AA123" s="152">
        <f>$Z$65-AA65</f>
        <v>0</v>
      </c>
      <c r="AB123" s="152">
        <f>$Z$65-AB65</f>
        <v>0</v>
      </c>
      <c r="AC123" s="152">
        <f>$Z$65-AC65</f>
        <v>0</v>
      </c>
      <c r="AD123" s="152">
        <f>$Z$65-AD65</f>
        <v>0</v>
      </c>
      <c r="AE123" s="152">
        <f>Z65-AE65</f>
        <v>0</v>
      </c>
      <c r="AF123" s="152">
        <f>AE65-AF65</f>
        <v>0</v>
      </c>
      <c r="AG123" s="152">
        <f>AE65-AG65</f>
        <v>0</v>
      </c>
      <c r="AH123" s="152">
        <f>$Z$65-AH65</f>
        <v>0</v>
      </c>
      <c r="AI123" s="152">
        <f>$Z$65-AI65</f>
        <v>0</v>
      </c>
      <c r="AJ123" s="152">
        <f>AE65-AJ65</f>
        <v>0</v>
      </c>
      <c r="AK123" s="152">
        <f>AJ65-AK65</f>
        <v>0</v>
      </c>
      <c r="AL123" s="152">
        <f>AJ65-AL65</f>
        <v>0</v>
      </c>
      <c r="AM123" s="152">
        <f>$AJ$65-AM65</f>
        <v>0</v>
      </c>
      <c r="AN123" s="152">
        <f>$AJ$65-AN65</f>
        <v>0</v>
      </c>
      <c r="AO123" s="152">
        <f>AJ65-AO65</f>
        <v>0</v>
      </c>
      <c r="AP123" s="152">
        <f>AO65-AP65</f>
        <v>0</v>
      </c>
      <c r="AQ123" s="152">
        <f>AO65-AQ65</f>
        <v>0</v>
      </c>
      <c r="AR123" s="152">
        <f>$AO$65-AR65</f>
        <v>0</v>
      </c>
      <c r="AS123" s="152">
        <f>$AO$65-AS65</f>
        <v>0</v>
      </c>
      <c r="AT123" s="152">
        <f>AO65-AT65</f>
        <v>0</v>
      </c>
      <c r="AU123" s="152">
        <f>AT65-AU65</f>
        <v>0</v>
      </c>
      <c r="AV123" s="152">
        <f>AT65-AV65</f>
        <v>0</v>
      </c>
      <c r="AW123" s="152">
        <f>$AO$65-AW65</f>
        <v>0</v>
      </c>
      <c r="AX123" s="152">
        <f>$AO$65-AX65</f>
        <v>0</v>
      </c>
      <c r="AY123" s="152">
        <f>AT65-AY65</f>
        <v>0</v>
      </c>
      <c r="AZ123" s="152">
        <f t="shared" ref="AZ123:BL123" si="127">AY65-AZ65</f>
        <v>0</v>
      </c>
      <c r="BA123" s="152">
        <f t="shared" si="127"/>
        <v>0</v>
      </c>
      <c r="BB123" s="152">
        <f t="shared" si="127"/>
        <v>0</v>
      </c>
      <c r="BC123" s="152">
        <f t="shared" si="127"/>
        <v>0</v>
      </c>
      <c r="BD123" s="152">
        <f t="shared" si="127"/>
        <v>0</v>
      </c>
      <c r="BE123" s="152">
        <f t="shared" si="127"/>
        <v>0</v>
      </c>
      <c r="BF123" s="152">
        <f t="shared" si="127"/>
        <v>0</v>
      </c>
      <c r="BG123" s="152">
        <f t="shared" si="127"/>
        <v>0</v>
      </c>
      <c r="BH123" s="152">
        <f t="shared" si="127"/>
        <v>0</v>
      </c>
      <c r="BI123" s="152">
        <f t="shared" si="127"/>
        <v>0</v>
      </c>
      <c r="BJ123" s="152">
        <f t="shared" si="127"/>
        <v>0</v>
      </c>
      <c r="BK123" s="152">
        <f t="shared" si="127"/>
        <v>0</v>
      </c>
      <c r="BL123" s="152">
        <f t="shared" si="127"/>
        <v>0</v>
      </c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</row>
    <row r="124" spans="1:272" s="222" customFormat="1" hidden="1" outlineLevel="1">
      <c r="A124" s="222" t="s">
        <v>428</v>
      </c>
      <c r="C124" s="152"/>
      <c r="D124" s="152">
        <f t="shared" ref="D124:K124" si="128">(C71-D71)+(C72-D72)</f>
        <v>0</v>
      </c>
      <c r="E124" s="152">
        <f t="shared" si="128"/>
        <v>0</v>
      </c>
      <c r="F124" s="152">
        <f t="shared" si="128"/>
        <v>0</v>
      </c>
      <c r="G124" s="152">
        <f t="shared" si="128"/>
        <v>0</v>
      </c>
      <c r="H124" s="152">
        <f t="shared" si="128"/>
        <v>0</v>
      </c>
      <c r="I124" s="152">
        <f t="shared" si="128"/>
        <v>0</v>
      </c>
      <c r="J124" s="152">
        <f t="shared" si="128"/>
        <v>0</v>
      </c>
      <c r="K124" s="152">
        <f t="shared" si="128"/>
        <v>0</v>
      </c>
      <c r="L124" s="152">
        <f>($K$71-L71)+($K$72-L72)</f>
        <v>0</v>
      </c>
      <c r="M124" s="152">
        <f>($K$71-M71)+($K$72-M72)</f>
        <v>0</v>
      </c>
      <c r="N124" s="152">
        <f>($K$71-N71)+($K$72-N72)</f>
        <v>0</v>
      </c>
      <c r="O124" s="152">
        <f>($K$71-O71)+($K$72-O72)</f>
        <v>0</v>
      </c>
      <c r="P124" s="152">
        <f>(K71-P71)+(K72-P72)</f>
        <v>0</v>
      </c>
      <c r="Q124" s="152">
        <f>($P$71-Q71)+($P$72-Q72)</f>
        <v>0</v>
      </c>
      <c r="R124" s="152">
        <f>($P$71-R71)+($P$72-R72)</f>
        <v>0</v>
      </c>
      <c r="S124" s="152">
        <f>($P$71-S71)+($P$72-S72)</f>
        <v>0</v>
      </c>
      <c r="T124" s="152">
        <f>($P$71-T71)+($P$72-T72)</f>
        <v>0</v>
      </c>
      <c r="U124" s="152">
        <f>(P71-U71)+(P72-U72)</f>
        <v>0</v>
      </c>
      <c r="V124" s="152">
        <f>($U$71-V71)+($U$72-V72)</f>
        <v>0</v>
      </c>
      <c r="W124" s="152">
        <f>($U$71-W71)+($U$72-W72)</f>
        <v>0</v>
      </c>
      <c r="X124" s="152">
        <f>($U$71-X71)+($U$72-X72)</f>
        <v>0</v>
      </c>
      <c r="Y124" s="152">
        <f>($U$71-Y71)+($U$72-Y72)</f>
        <v>0</v>
      </c>
      <c r="Z124" s="152">
        <f>(U71-Z71)+(U72-Z72)</f>
        <v>0</v>
      </c>
      <c r="AA124" s="152">
        <f>($Z$71-AA71)+($Z$72-AA72)</f>
        <v>0</v>
      </c>
      <c r="AB124" s="152">
        <f>($Z$71-AB71)+($Z$72-AB72)</f>
        <v>0</v>
      </c>
      <c r="AC124" s="152">
        <f>($Z$71-AC71)+($Z$72-AC72)</f>
        <v>0</v>
      </c>
      <c r="AD124" s="152">
        <f>($Z$71-AD71)+($Z$72-AD72)</f>
        <v>0</v>
      </c>
      <c r="AE124" s="152">
        <f>(Z71-AE71)+(Z72-AE72)</f>
        <v>0</v>
      </c>
      <c r="AF124" s="152">
        <f>($AE$71-AF71)+($AE$72-AF72)</f>
        <v>0</v>
      </c>
      <c r="AG124" s="152">
        <f>($AE$71-AG71)+($AE$72-AG72)</f>
        <v>0</v>
      </c>
      <c r="AH124" s="152">
        <f>($AE$71-AH71)+($AE$72-AH72)</f>
        <v>0</v>
      </c>
      <c r="AI124" s="152">
        <f>($Z$71-AI71)+($Z$72-AI72)</f>
        <v>0</v>
      </c>
      <c r="AJ124" s="152">
        <f>(AE71-AJ71)+(AE72-AJ72)</f>
        <v>0</v>
      </c>
      <c r="AK124" s="152">
        <f>($AJ$71-AK71)+($AJ$72-AK72)</f>
        <v>0</v>
      </c>
      <c r="AL124" s="152">
        <f>($AJ$71-AL71)+($AJ$72-AL72)</f>
        <v>0</v>
      </c>
      <c r="AM124" s="152">
        <f>($AJ$71-AM71)+($AJ$72-AM72)</f>
        <v>0</v>
      </c>
      <c r="AN124" s="152">
        <f>($AJ$71-AN71)+($AJ$72-AN72)</f>
        <v>0</v>
      </c>
      <c r="AO124" s="152">
        <f>(AJ71-AO71)+(AJ72-AO72)</f>
        <v>0</v>
      </c>
      <c r="AP124" s="152">
        <f>($AO$71-AP71)+($AO$72-AP72)</f>
        <v>0</v>
      </c>
      <c r="AQ124" s="152">
        <f>($AO$71-AQ71)+($AO$72-AQ72)</f>
        <v>0</v>
      </c>
      <c r="AR124" s="152">
        <f>($AO$71-AR71)+($AO$72-AR72)</f>
        <v>0</v>
      </c>
      <c r="AS124" s="152">
        <f>($AO$71-AS71)+($AO$72-AS72)</f>
        <v>0</v>
      </c>
      <c r="AT124" s="152">
        <f>(AO71-AT71)+(AO72-AT72)</f>
        <v>0</v>
      </c>
      <c r="AU124" s="152">
        <f>($AO$71-AU71)+($AO$72-AU72)</f>
        <v>0</v>
      </c>
      <c r="AV124" s="152">
        <f>($AO$71-AV71)+($AO$72-AV72)</f>
        <v>0</v>
      </c>
      <c r="AW124" s="152">
        <f>($AO$71-AW71)+($AO$72-AW72)</f>
        <v>0</v>
      </c>
      <c r="AX124" s="152">
        <f>($AO$71-AX71)+($AO$72-AX72)</f>
        <v>0</v>
      </c>
      <c r="AY124" s="152">
        <f>(AT71-AY71)+(AT72-AY72)</f>
        <v>0</v>
      </c>
      <c r="AZ124" s="152">
        <f t="shared" ref="AZ124:BL124" si="129">(AY71-AZ71)+(AY72-AZ72)</f>
        <v>0</v>
      </c>
      <c r="BA124" s="152">
        <f t="shared" si="129"/>
        <v>0</v>
      </c>
      <c r="BB124" s="152">
        <f t="shared" si="129"/>
        <v>0</v>
      </c>
      <c r="BC124" s="152">
        <f t="shared" si="129"/>
        <v>0</v>
      </c>
      <c r="BD124" s="152">
        <f t="shared" si="129"/>
        <v>0</v>
      </c>
      <c r="BE124" s="152">
        <f t="shared" si="129"/>
        <v>0</v>
      </c>
      <c r="BF124" s="152">
        <f t="shared" si="129"/>
        <v>0</v>
      </c>
      <c r="BG124" s="152">
        <f t="shared" si="129"/>
        <v>0</v>
      </c>
      <c r="BH124" s="152">
        <f t="shared" si="129"/>
        <v>0</v>
      </c>
      <c r="BI124" s="152">
        <f t="shared" si="129"/>
        <v>0</v>
      </c>
      <c r="BJ124" s="152">
        <f t="shared" si="129"/>
        <v>0</v>
      </c>
      <c r="BK124" s="152">
        <f t="shared" si="129"/>
        <v>0</v>
      </c>
      <c r="BL124" s="152">
        <f t="shared" si="129"/>
        <v>0</v>
      </c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</row>
    <row r="125" spans="1:272" s="222" customFormat="1" hidden="1" outlineLevel="1">
      <c r="A125" s="222" t="s">
        <v>429</v>
      </c>
      <c r="C125" s="152"/>
      <c r="D125" s="152">
        <f t="shared" ref="D125:K125" si="130">C87-D87</f>
        <v>0</v>
      </c>
      <c r="E125" s="152">
        <f t="shared" si="130"/>
        <v>0</v>
      </c>
      <c r="F125" s="152">
        <f t="shared" si="130"/>
        <v>0</v>
      </c>
      <c r="G125" s="152">
        <f t="shared" si="130"/>
        <v>0</v>
      </c>
      <c r="H125" s="152">
        <f t="shared" si="130"/>
        <v>0</v>
      </c>
      <c r="I125" s="152">
        <f t="shared" si="130"/>
        <v>0</v>
      </c>
      <c r="J125" s="152">
        <f t="shared" si="130"/>
        <v>0</v>
      </c>
      <c r="K125" s="152">
        <f t="shared" si="130"/>
        <v>0</v>
      </c>
      <c r="L125" s="152">
        <f>$K$87-L87</f>
        <v>0</v>
      </c>
      <c r="M125" s="152">
        <f>$K$87-M87</f>
        <v>0</v>
      </c>
      <c r="N125" s="152">
        <f>$K$87-N87</f>
        <v>0</v>
      </c>
      <c r="O125" s="152">
        <f>$K$87-O87</f>
        <v>0</v>
      </c>
      <c r="P125" s="152">
        <f>K87-P87</f>
        <v>0</v>
      </c>
      <c r="Q125" s="152">
        <f>$P$87-Q87</f>
        <v>0</v>
      </c>
      <c r="R125" s="152">
        <f>$P$87-R87</f>
        <v>0</v>
      </c>
      <c r="S125" s="152">
        <f>$P$87-S87</f>
        <v>0</v>
      </c>
      <c r="T125" s="152">
        <f>$P$87-T87</f>
        <v>0</v>
      </c>
      <c r="U125" s="152">
        <f>P87-U87</f>
        <v>0</v>
      </c>
      <c r="V125" s="152">
        <f>$U$87-V87</f>
        <v>0</v>
      </c>
      <c r="W125" s="152">
        <f>$U$87-W87</f>
        <v>0</v>
      </c>
      <c r="X125" s="152">
        <f>$U$87-X87</f>
        <v>0</v>
      </c>
      <c r="Y125" s="152">
        <f>$U$87-Y87</f>
        <v>0</v>
      </c>
      <c r="Z125" s="152">
        <f>U87-Z87</f>
        <v>0</v>
      </c>
      <c r="AA125" s="152">
        <f>$Z$87-AA87</f>
        <v>0</v>
      </c>
      <c r="AB125" s="152">
        <f>$Z$87-AB87</f>
        <v>0</v>
      </c>
      <c r="AC125" s="152">
        <f>$Z$87-AC87</f>
        <v>0</v>
      </c>
      <c r="AD125" s="152">
        <f>$Z$87-AD87</f>
        <v>0</v>
      </c>
      <c r="AE125" s="152">
        <f>Z87-AE87</f>
        <v>0</v>
      </c>
      <c r="AF125" s="152">
        <f t="shared" ref="AF125" si="131">AE87-AF87</f>
        <v>0</v>
      </c>
      <c r="AG125" s="152">
        <f>AE87-AG87</f>
        <v>0</v>
      </c>
      <c r="AH125" s="152">
        <f>$Z$87-AH87</f>
        <v>0</v>
      </c>
      <c r="AI125" s="152">
        <f>$Z$87-AI87</f>
        <v>0</v>
      </c>
      <c r="AJ125" s="152">
        <f>AE87-AJ87</f>
        <v>0</v>
      </c>
      <c r="AK125" s="152">
        <f t="shared" ref="AK125" si="132">AJ87-AK87</f>
        <v>0</v>
      </c>
      <c r="AL125" s="152">
        <f>AJ87-AL87</f>
        <v>0</v>
      </c>
      <c r="AM125" s="152">
        <f>$AJ$87-AM87</f>
        <v>0</v>
      </c>
      <c r="AN125" s="152">
        <f>$AJ$87-AN87</f>
        <v>0</v>
      </c>
      <c r="AO125" s="152">
        <f>AJ87-AO87</f>
        <v>0</v>
      </c>
      <c r="AP125" s="152">
        <f t="shared" ref="AP125" si="133">AO87-AP87</f>
        <v>0</v>
      </c>
      <c r="AQ125" s="152">
        <f>AO87-AQ87</f>
        <v>0</v>
      </c>
      <c r="AR125" s="152">
        <f>$AO$87-AR87</f>
        <v>0</v>
      </c>
      <c r="AS125" s="152">
        <f>$AO$87-AS87</f>
        <v>0</v>
      </c>
      <c r="AT125" s="152">
        <f>AO87-AT87</f>
        <v>0</v>
      </c>
      <c r="AU125" s="152">
        <f t="shared" ref="AU125" si="134">AT87-AU87</f>
        <v>0</v>
      </c>
      <c r="AV125" s="152">
        <f>AT87-AV87</f>
        <v>0</v>
      </c>
      <c r="AW125" s="152">
        <f>$AO$87-AW87</f>
        <v>0</v>
      </c>
      <c r="AX125" s="152">
        <f>$AO$87-AX87</f>
        <v>0</v>
      </c>
      <c r="AY125" s="152">
        <f>AT87-AY87</f>
        <v>0</v>
      </c>
      <c r="AZ125" s="152">
        <f t="shared" ref="AZ125:BA125" si="135">AY87-AZ87</f>
        <v>0</v>
      </c>
      <c r="BA125" s="152">
        <f t="shared" si="135"/>
        <v>0</v>
      </c>
      <c r="BB125" s="152">
        <f>BA87-BB87</f>
        <v>0</v>
      </c>
      <c r="BC125" s="152">
        <f>BB87-BC87</f>
        <v>0</v>
      </c>
      <c r="BD125" s="152">
        <f t="shared" ref="BD125:BL125" si="136">BC87-BD87</f>
        <v>0</v>
      </c>
      <c r="BE125" s="152">
        <f t="shared" si="136"/>
        <v>0</v>
      </c>
      <c r="BF125" s="152">
        <f t="shared" si="136"/>
        <v>0</v>
      </c>
      <c r="BG125" s="152">
        <f t="shared" si="136"/>
        <v>0</v>
      </c>
      <c r="BH125" s="152">
        <f t="shared" si="136"/>
        <v>0</v>
      </c>
      <c r="BI125" s="152">
        <f t="shared" si="136"/>
        <v>0</v>
      </c>
      <c r="BJ125" s="152">
        <f t="shared" si="136"/>
        <v>0</v>
      </c>
      <c r="BK125" s="152">
        <f t="shared" si="136"/>
        <v>0</v>
      </c>
      <c r="BL125" s="152">
        <f t="shared" si="136"/>
        <v>0</v>
      </c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</row>
    <row r="126" spans="1:272" s="222" customFormat="1" hidden="1" outlineLevel="1">
      <c r="A126" s="222" t="s">
        <v>430</v>
      </c>
      <c r="C126" s="152"/>
      <c r="D126" s="152">
        <f t="shared" ref="D126:K127" si="137">C73-D73</f>
        <v>0</v>
      </c>
      <c r="E126" s="152">
        <f t="shared" si="137"/>
        <v>0</v>
      </c>
      <c r="F126" s="152">
        <f t="shared" si="137"/>
        <v>0</v>
      </c>
      <c r="G126" s="152">
        <f t="shared" si="137"/>
        <v>0</v>
      </c>
      <c r="H126" s="152">
        <f t="shared" si="137"/>
        <v>0</v>
      </c>
      <c r="I126" s="152">
        <f t="shared" si="137"/>
        <v>0</v>
      </c>
      <c r="J126" s="152">
        <f t="shared" si="137"/>
        <v>0</v>
      </c>
      <c r="K126" s="152">
        <f t="shared" si="137"/>
        <v>0</v>
      </c>
      <c r="L126" s="152">
        <f>$K$73-L73</f>
        <v>0</v>
      </c>
      <c r="M126" s="152">
        <f>$K$73-M73</f>
        <v>0</v>
      </c>
      <c r="N126" s="152">
        <f>$K$73-N73</f>
        <v>0</v>
      </c>
      <c r="O126" s="152">
        <f>$K$73-O73</f>
        <v>0</v>
      </c>
      <c r="P126" s="152">
        <f>K73-P73</f>
        <v>0</v>
      </c>
      <c r="Q126" s="152">
        <f>$P$73-Q73</f>
        <v>0</v>
      </c>
      <c r="R126" s="152">
        <f>$P$73-R73</f>
        <v>0</v>
      </c>
      <c r="S126" s="152">
        <f>$P$73-S73</f>
        <v>0</v>
      </c>
      <c r="T126" s="152">
        <f>$P$73-T73</f>
        <v>0</v>
      </c>
      <c r="U126" s="152">
        <f>P73-U73</f>
        <v>0</v>
      </c>
      <c r="V126" s="152">
        <f>$U$73-V73</f>
        <v>0</v>
      </c>
      <c r="W126" s="152">
        <f>$U$73-W73</f>
        <v>0</v>
      </c>
      <c r="X126" s="152">
        <f>$U$73-X73</f>
        <v>0</v>
      </c>
      <c r="Y126" s="152">
        <f>$U$73-Y73</f>
        <v>0</v>
      </c>
      <c r="Z126" s="152">
        <f>U73-Z73</f>
        <v>0</v>
      </c>
      <c r="AA126" s="152">
        <f>$Z$73-AA73</f>
        <v>0</v>
      </c>
      <c r="AB126" s="152">
        <f>$Z$73-AB73</f>
        <v>0</v>
      </c>
      <c r="AC126" s="152">
        <f>$Z$73-AC73</f>
        <v>0</v>
      </c>
      <c r="AD126" s="152">
        <f>$Z$73-AD73</f>
        <v>0</v>
      </c>
      <c r="AE126" s="152">
        <f>Z73-AE73</f>
        <v>0</v>
      </c>
      <c r="AF126" s="152">
        <f>AE73-AF73</f>
        <v>0</v>
      </c>
      <c r="AG126" s="152">
        <f>AE73-AG73</f>
        <v>0</v>
      </c>
      <c r="AH126" s="152">
        <f>$Z$73-AH73</f>
        <v>0</v>
      </c>
      <c r="AI126" s="152">
        <f>$Z$73-AI73</f>
        <v>0</v>
      </c>
      <c r="AJ126" s="152">
        <f>AE73-AJ73</f>
        <v>0</v>
      </c>
      <c r="AK126" s="152">
        <f>AJ73-AK73</f>
        <v>0</v>
      </c>
      <c r="AL126" s="152">
        <f>AJ73-AL73</f>
        <v>0</v>
      </c>
      <c r="AM126" s="152">
        <f>$AJ$73-AM73</f>
        <v>0</v>
      </c>
      <c r="AN126" s="152">
        <f>$AJ$73-AN73</f>
        <v>0</v>
      </c>
      <c r="AO126" s="152">
        <f>AJ73-AO73</f>
        <v>0</v>
      </c>
      <c r="AP126" s="152">
        <f>AO73-AP73</f>
        <v>0</v>
      </c>
      <c r="AQ126" s="152">
        <f>AO73-AQ73</f>
        <v>0</v>
      </c>
      <c r="AR126" s="152">
        <f>$AO$73-AR73</f>
        <v>0</v>
      </c>
      <c r="AS126" s="152">
        <f>$AO$73-AS73</f>
        <v>0</v>
      </c>
      <c r="AT126" s="152">
        <f>AO73-AT73</f>
        <v>0</v>
      </c>
      <c r="AU126" s="152">
        <f>AT73-AU73</f>
        <v>0</v>
      </c>
      <c r="AV126" s="152">
        <f>AT73-AV73</f>
        <v>0</v>
      </c>
      <c r="AW126" s="152">
        <f>$AO$73-AW73</f>
        <v>0</v>
      </c>
      <c r="AX126" s="152">
        <f>$AO$73-AX73</f>
        <v>0</v>
      </c>
      <c r="AY126" s="152">
        <f>AT73-AY73</f>
        <v>0</v>
      </c>
      <c r="AZ126" s="152">
        <f t="shared" ref="AZ126:BL127" si="138">AY73-AZ73</f>
        <v>0</v>
      </c>
      <c r="BA126" s="152">
        <f t="shared" si="138"/>
        <v>0</v>
      </c>
      <c r="BB126" s="152">
        <f t="shared" si="138"/>
        <v>0</v>
      </c>
      <c r="BC126" s="152">
        <f t="shared" si="138"/>
        <v>0</v>
      </c>
      <c r="BD126" s="152">
        <f t="shared" si="138"/>
        <v>0</v>
      </c>
      <c r="BE126" s="152">
        <f t="shared" si="138"/>
        <v>0</v>
      </c>
      <c r="BF126" s="152">
        <f t="shared" si="138"/>
        <v>0</v>
      </c>
      <c r="BG126" s="152">
        <f t="shared" si="138"/>
        <v>0</v>
      </c>
      <c r="BH126" s="152">
        <f t="shared" si="138"/>
        <v>0</v>
      </c>
      <c r="BI126" s="152">
        <f t="shared" si="138"/>
        <v>0</v>
      </c>
      <c r="BJ126" s="152">
        <f t="shared" si="138"/>
        <v>0</v>
      </c>
      <c r="BK126" s="152">
        <f t="shared" si="138"/>
        <v>0</v>
      </c>
      <c r="BL126" s="152">
        <f t="shared" si="138"/>
        <v>0</v>
      </c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</row>
    <row r="127" spans="1:272" s="222" customFormat="1" hidden="1" outlineLevel="1">
      <c r="A127" s="222" t="s">
        <v>431</v>
      </c>
      <c r="C127" s="152"/>
      <c r="D127" s="152">
        <f t="shared" si="137"/>
        <v>740</v>
      </c>
      <c r="E127" s="152">
        <f t="shared" si="137"/>
        <v>1915</v>
      </c>
      <c r="F127" s="152">
        <f t="shared" si="137"/>
        <v>2616</v>
      </c>
      <c r="G127" s="152">
        <f t="shared" si="137"/>
        <v>0</v>
      </c>
      <c r="H127" s="152">
        <f t="shared" si="137"/>
        <v>0</v>
      </c>
      <c r="I127" s="152">
        <f t="shared" si="137"/>
        <v>0</v>
      </c>
      <c r="J127" s="152">
        <f t="shared" si="137"/>
        <v>0</v>
      </c>
      <c r="K127" s="152">
        <f t="shared" si="137"/>
        <v>0</v>
      </c>
      <c r="L127" s="152">
        <f>$K$74-L74</f>
        <v>0</v>
      </c>
      <c r="M127" s="152">
        <f>$K$74-M74</f>
        <v>0</v>
      </c>
      <c r="N127" s="152">
        <f>$K$74-N74</f>
        <v>0</v>
      </c>
      <c r="O127" s="152">
        <f>$K$74-O74</f>
        <v>0</v>
      </c>
      <c r="P127" s="152">
        <f>K74-P74</f>
        <v>0</v>
      </c>
      <c r="Q127" s="152">
        <f>$P$74-Q74</f>
        <v>0</v>
      </c>
      <c r="R127" s="152">
        <f>$P$74-R74</f>
        <v>0</v>
      </c>
      <c r="S127" s="152">
        <f>$P$74-S74</f>
        <v>0</v>
      </c>
      <c r="T127" s="152">
        <f>$P$74-T74</f>
        <v>0</v>
      </c>
      <c r="U127" s="152">
        <f>P74-U74</f>
        <v>0</v>
      </c>
      <c r="V127" s="152">
        <f>$U$74-V74</f>
        <v>0</v>
      </c>
      <c r="W127" s="152">
        <f>$U$74-W74</f>
        <v>0</v>
      </c>
      <c r="X127" s="152">
        <f>$U$74-X74</f>
        <v>0</v>
      </c>
      <c r="Y127" s="152">
        <f>$U$74-Y74</f>
        <v>0</v>
      </c>
      <c r="Z127" s="152">
        <f>U74-Z74</f>
        <v>0</v>
      </c>
      <c r="AA127" s="152">
        <f>$Z$74-AA74</f>
        <v>0</v>
      </c>
      <c r="AB127" s="152">
        <f>$Z$74-AB74</f>
        <v>0</v>
      </c>
      <c r="AC127" s="152">
        <f>$Z$74-AC74</f>
        <v>0</v>
      </c>
      <c r="AD127" s="152">
        <f>$Z$74-AD74</f>
        <v>0</v>
      </c>
      <c r="AE127" s="152">
        <f>Z74-AE74</f>
        <v>0</v>
      </c>
      <c r="AF127" s="152">
        <f>AE74-AF74</f>
        <v>0</v>
      </c>
      <c r="AG127" s="152">
        <f>AE74-AG74</f>
        <v>0</v>
      </c>
      <c r="AH127" s="152">
        <f>$Z$74-AH74</f>
        <v>0</v>
      </c>
      <c r="AI127" s="152">
        <f>$Z$74-AI74</f>
        <v>0</v>
      </c>
      <c r="AJ127" s="152">
        <f>AE74-AJ74</f>
        <v>0</v>
      </c>
      <c r="AK127" s="152">
        <f>AJ74-AK74</f>
        <v>0</v>
      </c>
      <c r="AL127" s="152">
        <f>AJ74-AL74</f>
        <v>0</v>
      </c>
      <c r="AM127" s="152">
        <f>$AJ$74-AM74</f>
        <v>0</v>
      </c>
      <c r="AN127" s="152">
        <f>$AJ$74-AN74</f>
        <v>0</v>
      </c>
      <c r="AO127" s="152">
        <f>AJ74-AO74</f>
        <v>0</v>
      </c>
      <c r="AP127" s="152">
        <f>AO74-AP74</f>
        <v>0</v>
      </c>
      <c r="AQ127" s="152">
        <f>AO74-AQ74</f>
        <v>0</v>
      </c>
      <c r="AR127" s="152">
        <f>$AO$74-AR74</f>
        <v>0</v>
      </c>
      <c r="AS127" s="152">
        <f>$AO$74-AS74</f>
        <v>0</v>
      </c>
      <c r="AT127" s="152">
        <f>AO74-AT74</f>
        <v>0</v>
      </c>
      <c r="AU127" s="152">
        <f>AT74-AU74</f>
        <v>0</v>
      </c>
      <c r="AV127" s="152">
        <f>AT74-AV74</f>
        <v>0</v>
      </c>
      <c r="AW127" s="152">
        <f>$AO$74-AW74</f>
        <v>0</v>
      </c>
      <c r="AX127" s="152">
        <f>$AO$74-AX74</f>
        <v>0</v>
      </c>
      <c r="AY127" s="152">
        <f>AT74-AY74</f>
        <v>0</v>
      </c>
      <c r="AZ127" s="152">
        <f t="shared" si="138"/>
        <v>0</v>
      </c>
      <c r="BA127" s="152">
        <f t="shared" si="138"/>
        <v>0</v>
      </c>
      <c r="BB127" s="152">
        <f t="shared" si="138"/>
        <v>0</v>
      </c>
      <c r="BC127" s="152">
        <f t="shared" si="138"/>
        <v>0</v>
      </c>
      <c r="BD127" s="152">
        <f t="shared" si="138"/>
        <v>0</v>
      </c>
      <c r="BE127" s="152">
        <f t="shared" si="138"/>
        <v>0</v>
      </c>
      <c r="BF127" s="152">
        <f t="shared" si="138"/>
        <v>0</v>
      </c>
      <c r="BG127" s="152">
        <f t="shared" si="138"/>
        <v>0</v>
      </c>
      <c r="BH127" s="152">
        <f t="shared" si="138"/>
        <v>0</v>
      </c>
      <c r="BI127" s="152">
        <f t="shared" si="138"/>
        <v>0</v>
      </c>
      <c r="BJ127" s="152">
        <f t="shared" si="138"/>
        <v>0</v>
      </c>
      <c r="BK127" s="152">
        <f t="shared" si="138"/>
        <v>0</v>
      </c>
      <c r="BL127" s="152">
        <f t="shared" si="138"/>
        <v>0</v>
      </c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</row>
    <row r="128" spans="1:272" s="222" customFormat="1" hidden="1" outlineLevel="1">
      <c r="A128" s="222" t="s">
        <v>432</v>
      </c>
      <c r="C128" s="152"/>
      <c r="D128" s="152">
        <f t="shared" ref="D128:K128" si="139">(C75+C76)-D75+(C80-D80)+(C81-D81)</f>
        <v>-3404</v>
      </c>
      <c r="E128" s="152">
        <f t="shared" si="139"/>
        <v>-16146</v>
      </c>
      <c r="F128" s="152">
        <f t="shared" si="139"/>
        <v>-20515</v>
      </c>
      <c r="G128" s="152">
        <f t="shared" si="139"/>
        <v>-17897</v>
      </c>
      <c r="H128" s="152">
        <f t="shared" si="139"/>
        <v>3901.9419999999518</v>
      </c>
      <c r="I128" s="152">
        <f t="shared" si="139"/>
        <v>-33496.481500000045</v>
      </c>
      <c r="J128" s="152">
        <f t="shared" si="139"/>
        <v>526.25353250002081</v>
      </c>
      <c r="K128" s="152">
        <f t="shared" si="139"/>
        <v>-3009.3468565994626</v>
      </c>
      <c r="L128" s="152">
        <f>($K$75+$K$76)-L75+($K$80-L80)+($K$81-L81)</f>
        <v>0.67497999989427626</v>
      </c>
      <c r="M128" s="152">
        <f>($K$75+$K$76)-M75+($K$80-M80)+($K$81-M81)</f>
        <v>0.67497999989427626</v>
      </c>
      <c r="N128" s="152">
        <f>($K$75+$K$76)-N75+($K$80-N80)+($K$81-N81)</f>
        <v>0.67497999989427626</v>
      </c>
      <c r="O128" s="152">
        <f>($K$75+$K$76)-O75+($K$80-O80)+($K$81-O81)</f>
        <v>-1730.3250200001057</v>
      </c>
      <c r="P128" s="152">
        <f>(K75+K76)-P75+(K80-P80)+(K81-P81)</f>
        <v>-1730.3250200001057</v>
      </c>
      <c r="Q128" s="152">
        <f>(O75+O76)-Q75+(O80-Q80)+(O81-Q81)</f>
        <v>0.32639000027120346</v>
      </c>
      <c r="R128" s="152">
        <f>(O75+O76)-R75+(O80-R80)+(O81-R81)</f>
        <v>-1.1751234004768776</v>
      </c>
      <c r="S128" s="152">
        <f>(O75+O76)-S75+(O80-S80)+(O81-S81)</f>
        <v>-1.1751234004768776</v>
      </c>
      <c r="T128" s="152">
        <f>(O75+O76)-T75+(O80-T80)+(O81-T81)</f>
        <v>-1.1751234004768776</v>
      </c>
      <c r="U128" s="152">
        <f>(P75+P76)-U75+(P80-U80)+(P81-U81)</f>
        <v>-1.1751234004768776</v>
      </c>
      <c r="V128" s="152">
        <f>(T75+T76)-V75+(T80-V80)+(T81-V81)</f>
        <v>-2.1529999999402207</v>
      </c>
      <c r="W128" s="152">
        <f>(T75+T76)-W75+(T80-W80)+(T81-W81)</f>
        <v>-2.1529999999402207</v>
      </c>
      <c r="X128" s="152">
        <f>(T75+T76)-X75+(T80-X80)+(T81-X81)</f>
        <v>-2.1529999999402207</v>
      </c>
      <c r="Y128" s="152">
        <f>(T75+T76)-Y75+(T80-Y80)+(T81-Y81)</f>
        <v>2.8470000000597793</v>
      </c>
      <c r="Z128" s="152">
        <f>(U75+U76)-Z75+(U80-Z80)+(U81-Z81)</f>
        <v>2.8470000000015716</v>
      </c>
      <c r="AA128" s="152">
        <f>(Y75+Y76)-AA75+(Y80-AA80)+(Y81-AA81)</f>
        <v>-5.0000000000363798</v>
      </c>
      <c r="AB128" s="152">
        <f>(Y75+Y76)-AB75+(Y80-AB80)+(Y81-AB81)</f>
        <v>-5.0000000000363798</v>
      </c>
      <c r="AC128" s="152">
        <f>(Y75+Y76)-AC75+(Y80-AC80)+(Y81-AC81)</f>
        <v>-5.0000000000363798</v>
      </c>
      <c r="AD128" s="152">
        <f>(Y75+Y76)-AD75+(Y80-AD80)+(Y81-AD81)</f>
        <v>-5.0000000000363798</v>
      </c>
      <c r="AE128" s="152">
        <f>(Z75+Z76)-AE75+(Z80-AE80)+(Z81-AE81)</f>
        <v>-5</v>
      </c>
      <c r="AF128" s="152">
        <f>(AD75+AD76)-AF75+(AD80-AF80)+(AD81-AF81)</f>
        <v>2.1827872842550278E-11</v>
      </c>
      <c r="AG128" s="152">
        <f>(AD75+AD76)-AG75+(AD80-AG80)+(AD81-AG81)</f>
        <v>2.1827872842550278E-11</v>
      </c>
      <c r="AH128" s="152">
        <f>(AD75+AD76)-AH75+(AD80-AH80)+(AD81-AH81)</f>
        <v>2.1827872842550278E-11</v>
      </c>
      <c r="AI128" s="152">
        <f>(AD75+AD76)-AI75+(AD80-AI80)+(AD81-AI81)</f>
        <v>2.1827872842550278E-11</v>
      </c>
      <c r="AJ128" s="152">
        <f>(AE75+AE76)-AJ75+(AE80-AJ80)+(AE81-AJ81)</f>
        <v>0</v>
      </c>
      <c r="AK128" s="152">
        <f>(AJ75+AJ76)-AK75+(AJ80-AK80)+(AJ81-AK81)</f>
        <v>-6505.9741254796681</v>
      </c>
      <c r="AL128" s="152">
        <f>(AJ75+AJ76)-AL75+(AJ80-AL80)+(AJ81-AL81)</f>
        <v>-6505.9741254796681</v>
      </c>
      <c r="AM128" s="152">
        <f>(AJ75+AJ76)-AM75+(AJ80-AM80)+(AJ81-AM81)</f>
        <v>-6505.9741254796681</v>
      </c>
      <c r="AN128" s="152">
        <f>(AJ75+AJ76)-AN75+(AJ80-AN80)+(AJ81-AN81)</f>
        <v>-24064</v>
      </c>
      <c r="AO128" s="152">
        <f>(AJ75+AJ76)-AO75+(AJ80-AO80)+(AJ81-AO81)</f>
        <v>-24064</v>
      </c>
      <c r="AP128" s="152">
        <f>(AO75+AO76)-AP75+(AO80-AP80)+(AO81-AP81)</f>
        <v>-0.8581254796590656</v>
      </c>
      <c r="AQ128" s="152">
        <f>(AO75+AO76)-AQ75+(AO80-AQ80)+(AO81-AQ81)</f>
        <v>-0.8581254796590656</v>
      </c>
      <c r="AR128" s="152">
        <f>(AO75+AO76)-AR75+(AO80-AR80)+(AO81-AR81)</f>
        <v>0</v>
      </c>
      <c r="AS128" s="152">
        <f>(AO75+AO76)-AS75+(AO80-AS80)+(AO81-AS81)</f>
        <v>0</v>
      </c>
      <c r="AT128" s="152">
        <f>(AO75+AO76)-AT75+(AO80-AT80)+(AO81-AT81)</f>
        <v>0</v>
      </c>
      <c r="AU128" s="152">
        <f>(AT75+AT76)-AU75+(AT80-AU80)+(AT81-AU81)</f>
        <v>-4.3655745685100555E-11</v>
      </c>
      <c r="AV128" s="152">
        <f>(AT75+AT76)-AV75+(AT80-AV80)+(AT81-AV81)</f>
        <v>-4.3655745685100555E-11</v>
      </c>
      <c r="AW128" s="152">
        <f>(AT75+AT76)-AW75+(AT80-AW80)+(AT81-AW81)</f>
        <v>-4.3655745685100555E-11</v>
      </c>
      <c r="AX128" s="152">
        <f>(AT75+AT76)-AX75+(AT80-AX80)+(AT81-AX81)</f>
        <v>-4.3655745685100555E-11</v>
      </c>
      <c r="AY128" s="152">
        <f>(AT75+AT76)-AY75+(AT80-AY80)+(AT81-AY81)</f>
        <v>-4.3655745685100555E-11</v>
      </c>
      <c r="AZ128" s="152">
        <f t="shared" ref="AZ128:BL128" si="140">(AY75+AY76)-AZ75+(AY80-AZ80)+(AY81-AZ81)</f>
        <v>1.4551915228366852E-11</v>
      </c>
      <c r="BA128" s="152">
        <f t="shared" si="140"/>
        <v>0</v>
      </c>
      <c r="BB128" s="152">
        <f t="shared" si="140"/>
        <v>0</v>
      </c>
      <c r="BC128" s="152">
        <f t="shared" si="140"/>
        <v>0</v>
      </c>
      <c r="BD128" s="152">
        <f t="shared" si="140"/>
        <v>0</v>
      </c>
      <c r="BE128" s="152">
        <f t="shared" si="140"/>
        <v>-15716.51844232445</v>
      </c>
      <c r="BF128" s="152">
        <f t="shared" si="140"/>
        <v>-31112.994283096778</v>
      </c>
      <c r="BG128" s="152">
        <f t="shared" si="140"/>
        <v>-42540.138773101979</v>
      </c>
      <c r="BH128" s="152">
        <f t="shared" si="140"/>
        <v>-52488.295317288503</v>
      </c>
      <c r="BI128" s="152">
        <f t="shared" si="140"/>
        <v>-62117.403056768337</v>
      </c>
      <c r="BJ128" s="152">
        <f t="shared" si="140"/>
        <v>-72149.684940338979</v>
      </c>
      <c r="BK128" s="152">
        <f t="shared" si="140"/>
        <v>-83355.942609634774</v>
      </c>
      <c r="BL128" s="152">
        <f t="shared" si="140"/>
        <v>-95489.351767591143</v>
      </c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</row>
    <row r="129" spans="1:272" s="246" customFormat="1" hidden="1" outlineLevel="1">
      <c r="A129" s="230" t="s">
        <v>433</v>
      </c>
      <c r="B129" s="230"/>
      <c r="C129" s="231"/>
      <c r="D129" s="231">
        <f>SUM(D121:D128)</f>
        <v>4467</v>
      </c>
      <c r="E129" s="231">
        <f t="shared" ref="E129:BA129" si="141">SUM(E121:E128)</f>
        <v>11477</v>
      </c>
      <c r="F129" s="231">
        <f t="shared" si="141"/>
        <v>-34134</v>
      </c>
      <c r="G129" s="231">
        <f t="shared" si="141"/>
        <v>-25614</v>
      </c>
      <c r="H129" s="231">
        <f t="shared" si="141"/>
        <v>25545.941999999952</v>
      </c>
      <c r="I129" s="231">
        <f t="shared" si="141"/>
        <v>-32847.481500000045</v>
      </c>
      <c r="J129" s="231">
        <f t="shared" si="141"/>
        <v>4275.2535325000208</v>
      </c>
      <c r="K129" s="231">
        <f t="shared" si="141"/>
        <v>-41150.346856599463</v>
      </c>
      <c r="L129" s="231">
        <f>SUM(L121:L128)</f>
        <v>-4898.3250200001057</v>
      </c>
      <c r="M129" s="231">
        <f>SUM(M121:M128)</f>
        <v>-7958.3250200001057</v>
      </c>
      <c r="N129" s="231">
        <f>SUM(N121:N128)</f>
        <v>-17958.325020000106</v>
      </c>
      <c r="O129" s="231">
        <f>SUM(O121:O128)</f>
        <v>-17552.325020000106</v>
      </c>
      <c r="P129" s="231">
        <f t="shared" si="141"/>
        <v>-17462.325020000106</v>
      </c>
      <c r="Q129" s="231">
        <f t="shared" si="141"/>
        <v>-3021.5206299997299</v>
      </c>
      <c r="R129" s="231">
        <f t="shared" si="141"/>
        <v>-894.31182151214648</v>
      </c>
      <c r="S129" s="231">
        <f t="shared" si="141"/>
        <v>1319.8248765995231</v>
      </c>
      <c r="T129" s="231">
        <f t="shared" si="141"/>
        <v>-3568.1751234004769</v>
      </c>
      <c r="U129" s="231">
        <f t="shared" si="141"/>
        <v>-7115.692431512146</v>
      </c>
      <c r="V129" s="231">
        <f t="shared" si="141"/>
        <v>-15567.15299999994</v>
      </c>
      <c r="W129" s="231">
        <f t="shared" si="141"/>
        <v>-17389.15299999994</v>
      </c>
      <c r="X129" s="231">
        <f t="shared" si="141"/>
        <v>-17968.585569999941</v>
      </c>
      <c r="Y129" s="231">
        <f t="shared" si="141"/>
        <v>-25449.220619999942</v>
      </c>
      <c r="Z129" s="231">
        <f t="shared" si="141"/>
        <v>-28756.653189999997</v>
      </c>
      <c r="AA129" s="231">
        <f t="shared" si="141"/>
        <v>-81.99914508871953</v>
      </c>
      <c r="AB129" s="231">
        <f t="shared" si="141"/>
        <v>-704.99935349933639</v>
      </c>
      <c r="AC129" s="231">
        <f t="shared" si="141"/>
        <v>-562.98187336003639</v>
      </c>
      <c r="AD129" s="231">
        <f t="shared" si="141"/>
        <v>-1566.0172865600362</v>
      </c>
      <c r="AE129" s="231">
        <f t="shared" si="141"/>
        <v>-1903.997658507983</v>
      </c>
      <c r="AF129" s="231">
        <f t="shared" si="141"/>
        <v>-481.12599999997815</v>
      </c>
      <c r="AG129" s="231">
        <f t="shared" si="141"/>
        <v>-164.99999999997817</v>
      </c>
      <c r="AH129" s="231">
        <f t="shared" si="141"/>
        <v>-482.99999999997817</v>
      </c>
      <c r="AI129" s="231">
        <f t="shared" si="141"/>
        <v>-321.99999999997817</v>
      </c>
      <c r="AJ129" s="231">
        <f t="shared" si="141"/>
        <v>-1451.126</v>
      </c>
      <c r="AK129" s="231">
        <f t="shared" si="141"/>
        <v>-7517.9741254796681</v>
      </c>
      <c r="AL129" s="231">
        <f t="shared" si="141"/>
        <v>-6672.9741254796681</v>
      </c>
      <c r="AM129" s="231">
        <f t="shared" si="141"/>
        <v>-6823.9741254796681</v>
      </c>
      <c r="AN129" s="231">
        <f t="shared" si="141"/>
        <v>-34399</v>
      </c>
      <c r="AO129" s="231">
        <f t="shared" si="141"/>
        <v>-35896</v>
      </c>
      <c r="AP129" s="231">
        <f t="shared" si="141"/>
        <v>-200.28607547965905</v>
      </c>
      <c r="AQ129" s="231">
        <f t="shared" si="141"/>
        <v>-160.76142547965907</v>
      </c>
      <c r="AR129" s="231">
        <f t="shared" si="141"/>
        <v>-766.65242999999998</v>
      </c>
      <c r="AS129" s="231">
        <f t="shared" si="141"/>
        <v>-1575.3546299999998</v>
      </c>
      <c r="AT129" s="231">
        <f t="shared" si="141"/>
        <v>-2701.3383099999996</v>
      </c>
      <c r="AU129" s="231">
        <f t="shared" si="141"/>
        <v>32182.927214159939</v>
      </c>
      <c r="AV129" s="231">
        <f t="shared" si="141"/>
        <v>27319.275005826672</v>
      </c>
      <c r="AW129" s="231">
        <f t="shared" si="141"/>
        <v>76788.230049552527</v>
      </c>
      <c r="AX129" s="231">
        <f t="shared" si="141"/>
        <v>-700.00002000004372</v>
      </c>
      <c r="AY129" s="231">
        <f t="shared" si="141"/>
        <v>-2800.0000000000437</v>
      </c>
      <c r="AZ129" s="231">
        <f t="shared" si="141"/>
        <v>-1597.8022477439342</v>
      </c>
      <c r="BA129" s="231">
        <f t="shared" si="141"/>
        <v>-1727.6321504148134</v>
      </c>
      <c r="BB129" s="231">
        <f>SUM(BB121:BB128)</f>
        <v>-1869.5465336896584</v>
      </c>
      <c r="BC129" s="231">
        <f>SUM(BC121:BC128)</f>
        <v>-1619.7815122711911</v>
      </c>
      <c r="BD129" s="231">
        <f t="shared" ref="BD129:BL129" si="142">SUM(BD121:BD128)</f>
        <v>-1755.5776430013311</v>
      </c>
      <c r="BE129" s="231">
        <f t="shared" si="142"/>
        <v>-17620.686368514023</v>
      </c>
      <c r="BF129" s="231">
        <f t="shared" si="142"/>
        <v>-33179.802496360062</v>
      </c>
      <c r="BG129" s="231">
        <f t="shared" si="142"/>
        <v>-44785.01800697999</v>
      </c>
      <c r="BH129" s="231">
        <f t="shared" si="142"/>
        <v>-54928.194379821369</v>
      </c>
      <c r="BI129" s="231">
        <f t="shared" si="142"/>
        <v>-64770.939887979548</v>
      </c>
      <c r="BJ129" s="231">
        <f t="shared" si="142"/>
        <v>-75037.312752969126</v>
      </c>
      <c r="BK129" s="231">
        <f t="shared" si="142"/>
        <v>-86500.132620774675</v>
      </c>
      <c r="BL129" s="231">
        <f t="shared" si="142"/>
        <v>-98914.794179609191</v>
      </c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</row>
    <row r="130" spans="1:272" s="222" customFormat="1" hidden="1" outlineLevel="1">
      <c r="A130" s="230" t="s">
        <v>434</v>
      </c>
      <c r="B130" s="230"/>
      <c r="C130" s="231"/>
      <c r="D130" s="231">
        <f t="shared" ref="D130:BA130" si="143">SUM(D129,D120,D114)</f>
        <v>15951</v>
      </c>
      <c r="E130" s="231">
        <f t="shared" si="143"/>
        <v>24341</v>
      </c>
      <c r="F130" s="231">
        <f t="shared" si="143"/>
        <v>-10647</v>
      </c>
      <c r="G130" s="231">
        <f t="shared" si="143"/>
        <v>4113.0580000000482</v>
      </c>
      <c r="H130" s="231">
        <f t="shared" si="143"/>
        <v>-11681.779999999999</v>
      </c>
      <c r="I130" s="231">
        <f t="shared" si="143"/>
        <v>-4294.7665000000488</v>
      </c>
      <c r="J130" s="231">
        <f t="shared" si="143"/>
        <v>-3527.1646434005379</v>
      </c>
      <c r="K130" s="231">
        <f t="shared" si="143"/>
        <v>30.978163400643098</v>
      </c>
      <c r="L130" s="231">
        <f>SUM(L129,L120,L114)</f>
        <v>4765.6646099998761</v>
      </c>
      <c r="M130" s="231">
        <f>SUM(M129,M120,M114)</f>
        <v>-1005.5154700004059</v>
      </c>
      <c r="N130" s="231">
        <f>SUM(N129,N120,N114)</f>
        <v>7240.7685899995995</v>
      </c>
      <c r="O130" s="231">
        <f>SUM(O129,O120,O114)</f>
        <v>12455.880589999622</v>
      </c>
      <c r="P130" s="231">
        <f t="shared" si="143"/>
        <v>12453.880589999579</v>
      </c>
      <c r="Q130" s="231">
        <f t="shared" si="143"/>
        <v>-6997.494654499731</v>
      </c>
      <c r="R130" s="231">
        <f t="shared" si="143"/>
        <v>-11945.952296012047</v>
      </c>
      <c r="S130" s="231">
        <f t="shared" si="143"/>
        <v>-11573.980836012146</v>
      </c>
      <c r="T130" s="231">
        <f t="shared" si="143"/>
        <v>-11926.309546012146</v>
      </c>
      <c r="U130" s="231">
        <f t="shared" si="143"/>
        <v>-11926.309546012084</v>
      </c>
      <c r="V130" s="231">
        <f t="shared" si="143"/>
        <v>-3230.4047099999225</v>
      </c>
      <c r="W130" s="231">
        <f t="shared" si="143"/>
        <v>-8961.9552599999224</v>
      </c>
      <c r="X130" s="231">
        <f t="shared" si="143"/>
        <v>-4364.3336199998121</v>
      </c>
      <c r="Y130" s="231">
        <f t="shared" si="143"/>
        <v>9796.8237300000801</v>
      </c>
      <c r="Z130" s="231">
        <f t="shared" si="143"/>
        <v>9796.8237299999855</v>
      </c>
      <c r="AA130" s="231">
        <f t="shared" si="143"/>
        <v>-15509.006135088719</v>
      </c>
      <c r="AB130" s="231">
        <f t="shared" si="143"/>
        <v>-10446.95853858802</v>
      </c>
      <c r="AC130" s="231">
        <f t="shared" si="143"/>
        <v>-21480.057521948016</v>
      </c>
      <c r="AD130" s="231">
        <f t="shared" si="143"/>
        <v>-24756.932058508024</v>
      </c>
      <c r="AE130" s="231">
        <f t="shared" si="143"/>
        <v>-24756.932058507977</v>
      </c>
      <c r="AF130" s="231">
        <f t="shared" si="143"/>
        <v>7229.6051200000165</v>
      </c>
      <c r="AG130" s="231">
        <f t="shared" si="143"/>
        <v>3928.2907900000155</v>
      </c>
      <c r="AH130" s="231">
        <f t="shared" si="143"/>
        <v>5789.1183900000069</v>
      </c>
      <c r="AI130" s="231">
        <f t="shared" si="143"/>
        <v>6607.806329999974</v>
      </c>
      <c r="AJ130" s="231">
        <f t="shared" si="143"/>
        <v>6607.8063299999631</v>
      </c>
      <c r="AK130" s="231">
        <f t="shared" si="143"/>
        <v>3435.4059345203787</v>
      </c>
      <c r="AL130" s="231">
        <f t="shared" si="143"/>
        <v>3471.4059345203787</v>
      </c>
      <c r="AM130" s="231">
        <f t="shared" si="143"/>
        <v>3370.4059345203859</v>
      </c>
      <c r="AN130" s="231">
        <f t="shared" si="143"/>
        <v>4402.5500200000461</v>
      </c>
      <c r="AO130" s="231">
        <f t="shared" si="143"/>
        <v>4402.5500200000461</v>
      </c>
      <c r="AP130" s="231">
        <f t="shared" si="143"/>
        <v>355.61610469962079</v>
      </c>
      <c r="AQ130" s="231">
        <f t="shared" si="143"/>
        <v>-2595.6621968931217</v>
      </c>
      <c r="AR130" s="231">
        <f t="shared" si="143"/>
        <v>-7666.9518907868332</v>
      </c>
      <c r="AS130" s="231">
        <f t="shared" si="143"/>
        <v>-7228.1739245257413</v>
      </c>
      <c r="AT130" s="231">
        <f t="shared" si="143"/>
        <v>-7228.1739245257831</v>
      </c>
      <c r="AU130" s="231">
        <f t="shared" si="143"/>
        <v>-3844.9701609539079</v>
      </c>
      <c r="AV130" s="231">
        <f t="shared" si="143"/>
        <v>-3844.9701609539152</v>
      </c>
      <c r="AW130" s="231">
        <f t="shared" si="143"/>
        <v>-3844.9701609539334</v>
      </c>
      <c r="AX130" s="231">
        <f t="shared" si="143"/>
        <v>6221.2842147157371</v>
      </c>
      <c r="AY130" s="231">
        <f>SUM(AY129,AY120,AY114)</f>
        <v>6221.2842147157608</v>
      </c>
      <c r="AZ130" s="231">
        <f t="shared" si="143"/>
        <v>9662.7656492612168</v>
      </c>
      <c r="BA130" s="231">
        <f t="shared" si="143"/>
        <v>5832.0370583118547</v>
      </c>
      <c r="BB130" s="231">
        <f>SUM(BB129,BB120,BB114)</f>
        <v>8047.9045154527512</v>
      </c>
      <c r="BC130" s="231">
        <f>SUM(BC129,BC120,BC114)</f>
        <v>-3696.0839809111858</v>
      </c>
      <c r="BD130" s="231">
        <f t="shared" ref="BD130:BL130" si="144">SUM(BD129,BD120,BD114)</f>
        <v>2612.732014578135</v>
      </c>
      <c r="BE130" s="231">
        <f t="shared" si="144"/>
        <v>3979.183295978215</v>
      </c>
      <c r="BF130" s="231">
        <f t="shared" si="144"/>
        <v>-8874.8625355305921</v>
      </c>
      <c r="BG130" s="231">
        <f t="shared" si="144"/>
        <v>-12956.440154905285</v>
      </c>
      <c r="BH130" s="231">
        <f t="shared" si="144"/>
        <v>1312.2628888791951</v>
      </c>
      <c r="BI130" s="231">
        <f t="shared" si="144"/>
        <v>1942.013944455517</v>
      </c>
      <c r="BJ130" s="231">
        <f t="shared" si="144"/>
        <v>5335.6303812420811</v>
      </c>
      <c r="BK130" s="231">
        <f t="shared" si="144"/>
        <v>-4022.0301690535416</v>
      </c>
      <c r="BL130" s="231">
        <f t="shared" si="144"/>
        <v>16489.744199460765</v>
      </c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</row>
    <row r="131" spans="1:272" s="222" customFormat="1" hidden="1" outlineLevel="1">
      <c r="A131" s="222" t="s">
        <v>435</v>
      </c>
      <c r="B131" s="247"/>
      <c r="C131" s="152"/>
      <c r="D131" s="152">
        <f t="shared" ref="D131:K131" si="145">C132</f>
        <v>210</v>
      </c>
      <c r="E131" s="152">
        <f t="shared" si="145"/>
        <v>16161</v>
      </c>
      <c r="F131" s="152">
        <f t="shared" si="145"/>
        <v>40502</v>
      </c>
      <c r="G131" s="152">
        <f t="shared" si="145"/>
        <v>29855</v>
      </c>
      <c r="H131" s="152">
        <f t="shared" si="145"/>
        <v>33968</v>
      </c>
      <c r="I131" s="152">
        <f t="shared" si="145"/>
        <v>22286</v>
      </c>
      <c r="J131" s="152">
        <f t="shared" si="145"/>
        <v>17991</v>
      </c>
      <c r="K131" s="152">
        <f t="shared" si="145"/>
        <v>14464</v>
      </c>
      <c r="L131" s="152">
        <f>$K$132</f>
        <v>14494</v>
      </c>
      <c r="M131" s="152">
        <f>$K$132</f>
        <v>14494</v>
      </c>
      <c r="N131" s="152">
        <f>$K$132</f>
        <v>14494</v>
      </c>
      <c r="O131" s="152">
        <f>$K$132</f>
        <v>14494</v>
      </c>
      <c r="P131" s="152">
        <f>K132</f>
        <v>14494</v>
      </c>
      <c r="Q131" s="152">
        <f>$P$132</f>
        <v>26948</v>
      </c>
      <c r="R131" s="152">
        <f>$P$132</f>
        <v>26948</v>
      </c>
      <c r="S131" s="152">
        <f>$P$132</f>
        <v>26948</v>
      </c>
      <c r="T131" s="152">
        <f>$P$132</f>
        <v>26948</v>
      </c>
      <c r="U131" s="152">
        <f>P132</f>
        <v>26948</v>
      </c>
      <c r="V131" s="152">
        <f>$U$132</f>
        <v>15022</v>
      </c>
      <c r="W131" s="152">
        <f>$U$132</f>
        <v>15022</v>
      </c>
      <c r="X131" s="152">
        <f>$U$132</f>
        <v>15022</v>
      </c>
      <c r="Y131" s="152">
        <f>$U$132</f>
        <v>15022</v>
      </c>
      <c r="Z131" s="152">
        <f>U132</f>
        <v>15022</v>
      </c>
      <c r="AA131" s="152">
        <f>$Z$132</f>
        <v>24819</v>
      </c>
      <c r="AB131" s="152">
        <f>$Z$132</f>
        <v>24819</v>
      </c>
      <c r="AC131" s="152">
        <f>$Z$132</f>
        <v>24819</v>
      </c>
      <c r="AD131" s="152">
        <f>$Z$132</f>
        <v>24819</v>
      </c>
      <c r="AE131" s="152">
        <f>Z132</f>
        <v>24819</v>
      </c>
      <c r="AF131" s="152">
        <f t="shared" ref="AF131" si="146">AE132</f>
        <v>62</v>
      </c>
      <c r="AG131" s="152">
        <f>AE132</f>
        <v>62</v>
      </c>
      <c r="AH131" s="152">
        <f>AE132</f>
        <v>62</v>
      </c>
      <c r="AI131" s="152">
        <f>AE132</f>
        <v>62</v>
      </c>
      <c r="AJ131" s="152">
        <f>AE132</f>
        <v>62</v>
      </c>
      <c r="AK131" s="152">
        <f t="shared" ref="AK131" si="147">AJ132</f>
        <v>6670</v>
      </c>
      <c r="AL131" s="152">
        <f>AJ132</f>
        <v>6670</v>
      </c>
      <c r="AM131" s="152">
        <f>AJ132</f>
        <v>6670</v>
      </c>
      <c r="AN131" s="152">
        <f>AJ132</f>
        <v>6670</v>
      </c>
      <c r="AO131" s="152">
        <f>AJ132</f>
        <v>6670</v>
      </c>
      <c r="AP131" s="152">
        <f t="shared" ref="AP131" si="148">AO132</f>
        <v>11073</v>
      </c>
      <c r="AQ131" s="152">
        <f>AO132</f>
        <v>11073</v>
      </c>
      <c r="AR131" s="152">
        <f>AO132</f>
        <v>11073</v>
      </c>
      <c r="AS131" s="152">
        <f>+AO132</f>
        <v>11073</v>
      </c>
      <c r="AT131" s="152">
        <f>AO132</f>
        <v>11073</v>
      </c>
      <c r="AU131" s="152">
        <f t="shared" ref="AU131" si="149">AT132</f>
        <v>3845</v>
      </c>
      <c r="AV131" s="152">
        <f>AT132</f>
        <v>3845</v>
      </c>
      <c r="AW131" s="152">
        <f>AT132</f>
        <v>3845</v>
      </c>
      <c r="AX131" s="152">
        <f>+AT132</f>
        <v>3845</v>
      </c>
      <c r="AY131" s="152">
        <f>AT132</f>
        <v>3845</v>
      </c>
      <c r="AZ131" s="152">
        <f>AY132</f>
        <v>10066</v>
      </c>
      <c r="BA131" s="152">
        <f>AZ132</f>
        <v>19729</v>
      </c>
      <c r="BB131" s="152">
        <f>BA132</f>
        <v>25561</v>
      </c>
      <c r="BC131" s="152">
        <f>BB132</f>
        <v>33609</v>
      </c>
      <c r="BD131" s="152">
        <f t="shared" ref="BD131:BL131" si="150">BC132</f>
        <v>29913</v>
      </c>
      <c r="BE131" s="152">
        <f t="shared" si="150"/>
        <v>32526</v>
      </c>
      <c r="BF131" s="152">
        <f t="shared" si="150"/>
        <v>36505</v>
      </c>
      <c r="BG131" s="152">
        <f t="shared" si="150"/>
        <v>27630</v>
      </c>
      <c r="BH131" s="152">
        <f t="shared" si="150"/>
        <v>14674</v>
      </c>
      <c r="BI131" s="152">
        <f t="shared" si="150"/>
        <v>15986</v>
      </c>
      <c r="BJ131" s="152">
        <f t="shared" si="150"/>
        <v>17928</v>
      </c>
      <c r="BK131" s="152">
        <f t="shared" si="150"/>
        <v>23264</v>
      </c>
      <c r="BL131" s="152">
        <f t="shared" si="150"/>
        <v>19242</v>
      </c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</row>
    <row r="132" spans="1:272" s="246" customFormat="1" hidden="1" outlineLevel="1">
      <c r="A132" s="232" t="s">
        <v>436</v>
      </c>
      <c r="B132" s="232"/>
      <c r="C132" s="248">
        <f>C56</f>
        <v>210</v>
      </c>
      <c r="D132" s="248">
        <f t="shared" ref="D132:J132" si="151">ROUND(SUM(D130:D131),0)</f>
        <v>16161</v>
      </c>
      <c r="E132" s="248">
        <f t="shared" si="151"/>
        <v>40502</v>
      </c>
      <c r="F132" s="248">
        <f t="shared" si="151"/>
        <v>29855</v>
      </c>
      <c r="G132" s="248">
        <f t="shared" si="151"/>
        <v>33968</v>
      </c>
      <c r="H132" s="248">
        <f t="shared" si="151"/>
        <v>22286</v>
      </c>
      <c r="I132" s="248">
        <f t="shared" si="151"/>
        <v>17991</v>
      </c>
      <c r="J132" s="248">
        <f t="shared" si="151"/>
        <v>14464</v>
      </c>
      <c r="K132" s="248">
        <f>ROUND(SUM(K130:K131),0)-1</f>
        <v>14494</v>
      </c>
      <c r="L132" s="248">
        <f>ROUND(SUM(L130:L131),0)-1</f>
        <v>19259</v>
      </c>
      <c r="M132" s="248">
        <f>ROUND(SUM(M130:M131),0)-1</f>
        <v>13487</v>
      </c>
      <c r="N132" s="248">
        <f>ROUND(SUM(N130:N131),0)-1</f>
        <v>21734</v>
      </c>
      <c r="O132" s="248">
        <f>ROUND(SUM(O130:O131),0)</f>
        <v>26950</v>
      </c>
      <c r="P132" s="248">
        <f>ROUND(SUM(P130:P131),0)</f>
        <v>26948</v>
      </c>
      <c r="Q132" s="248">
        <f>ROUND(SUM(Q130:Q131),0)-1</f>
        <v>19950</v>
      </c>
      <c r="R132" s="248">
        <f>ROUND(SUM(R130:R131),0)-1</f>
        <v>15001</v>
      </c>
      <c r="S132" s="248">
        <f>ROUND(SUM(S130:S131),0)-1</f>
        <v>15373</v>
      </c>
      <c r="T132" s="248">
        <f>ROUND(SUM(T130:T131),0)</f>
        <v>15022</v>
      </c>
      <c r="U132" s="248">
        <f>ROUND(SUM(U130:U131),0)</f>
        <v>15022</v>
      </c>
      <c r="V132" s="248">
        <f>ROUND(SUM(V130:V131),0)-1</f>
        <v>11791</v>
      </c>
      <c r="W132" s="248">
        <f>ROUND(SUM(W130:W131),0)-1</f>
        <v>6059</v>
      </c>
      <c r="X132" s="248">
        <f>ROUND(SUM(X130:X131),0)-1</f>
        <v>10657</v>
      </c>
      <c r="Y132" s="248">
        <f>ROUND(SUM(Y130:Y131),0)</f>
        <v>24819</v>
      </c>
      <c r="Z132" s="248">
        <f>ROUND(SUM(Z130:Z131),0)</f>
        <v>24819</v>
      </c>
      <c r="AA132" s="248">
        <f>ROUND(SUM(AA130:AA131),0)-1</f>
        <v>9309</v>
      </c>
      <c r="AB132" s="248">
        <f t="shared" ref="AB132:BA132" si="152">ROUND(SUM(AB130:AB131),0)</f>
        <v>14372</v>
      </c>
      <c r="AC132" s="248">
        <f t="shared" si="152"/>
        <v>3339</v>
      </c>
      <c r="AD132" s="248">
        <f t="shared" si="152"/>
        <v>62</v>
      </c>
      <c r="AE132" s="248">
        <f t="shared" si="152"/>
        <v>62</v>
      </c>
      <c r="AF132" s="248">
        <f t="shared" si="152"/>
        <v>7292</v>
      </c>
      <c r="AG132" s="248">
        <f t="shared" si="152"/>
        <v>3990</v>
      </c>
      <c r="AH132" s="248">
        <f t="shared" si="152"/>
        <v>5851</v>
      </c>
      <c r="AI132" s="248">
        <f t="shared" si="152"/>
        <v>6670</v>
      </c>
      <c r="AJ132" s="248">
        <f t="shared" si="152"/>
        <v>6670</v>
      </c>
      <c r="AK132" s="248">
        <f t="shared" si="152"/>
        <v>10105</v>
      </c>
      <c r="AL132" s="248">
        <f t="shared" si="152"/>
        <v>10141</v>
      </c>
      <c r="AM132" s="248">
        <f t="shared" si="152"/>
        <v>10040</v>
      </c>
      <c r="AN132" s="248">
        <f t="shared" si="152"/>
        <v>11073</v>
      </c>
      <c r="AO132" s="248">
        <f t="shared" si="152"/>
        <v>11073</v>
      </c>
      <c r="AP132" s="248">
        <f t="shared" si="152"/>
        <v>11429</v>
      </c>
      <c r="AQ132" s="248">
        <f t="shared" si="152"/>
        <v>8477</v>
      </c>
      <c r="AR132" s="248">
        <f t="shared" si="152"/>
        <v>3406</v>
      </c>
      <c r="AS132" s="248">
        <f t="shared" si="152"/>
        <v>3845</v>
      </c>
      <c r="AT132" s="248">
        <f>ROUND(SUM(AT130:AT131),0)</f>
        <v>3845</v>
      </c>
      <c r="AU132" s="248">
        <f>ROUND(SUM(AU130:AU131),0)</f>
        <v>0</v>
      </c>
      <c r="AV132" s="248">
        <f t="shared" ref="AV132:AX132" si="153">ROUND(SUM(AV130:AV131),0)</f>
        <v>0</v>
      </c>
      <c r="AW132" s="248">
        <f t="shared" si="153"/>
        <v>0</v>
      </c>
      <c r="AX132" s="248">
        <f t="shared" si="153"/>
        <v>10066</v>
      </c>
      <c r="AY132" s="248">
        <f>ROUND(SUM(AY130:AY131),0)</f>
        <v>10066</v>
      </c>
      <c r="AZ132" s="248">
        <f t="shared" si="152"/>
        <v>19729</v>
      </c>
      <c r="BA132" s="248">
        <f t="shared" si="152"/>
        <v>25561</v>
      </c>
      <c r="BB132" s="248">
        <f>ROUND(SUM(BB130:BB131),0)</f>
        <v>33609</v>
      </c>
      <c r="BC132" s="248">
        <f>ROUND(SUM(BC130:BC131),0)</f>
        <v>29913</v>
      </c>
      <c r="BD132" s="248">
        <f t="shared" ref="BD132:BI132" si="154">ROUND(SUM(BD130:BD131),0)</f>
        <v>32526</v>
      </c>
      <c r="BE132" s="248">
        <f t="shared" si="154"/>
        <v>36505</v>
      </c>
      <c r="BF132" s="248">
        <f t="shared" si="154"/>
        <v>27630</v>
      </c>
      <c r="BG132" s="248">
        <f t="shared" si="154"/>
        <v>14674</v>
      </c>
      <c r="BH132" s="248">
        <f t="shared" si="154"/>
        <v>15986</v>
      </c>
      <c r="BI132" s="248">
        <f t="shared" si="154"/>
        <v>17928</v>
      </c>
      <c r="BJ132" s="248">
        <f>ROUND(SUM(BJ130:BJ131),0)</f>
        <v>23264</v>
      </c>
      <c r="BK132" s="248">
        <f t="shared" ref="BK132:BL132" si="155">ROUND(SUM(BK130:BK131),0)</f>
        <v>19242</v>
      </c>
      <c r="BL132" s="248">
        <f t="shared" si="155"/>
        <v>35732</v>
      </c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</row>
    <row r="133" spans="1:272" hidden="1" outlineLevel="1">
      <c r="AT133" s="215"/>
      <c r="AU133" s="215"/>
      <c r="AV133" s="215"/>
      <c r="AW133" s="215"/>
      <c r="AX133" s="215"/>
    </row>
    <row r="134" spans="1:272" hidden="1">
      <c r="C134" s="215"/>
      <c r="D134" s="215"/>
      <c r="E134" s="215"/>
      <c r="F134" s="215"/>
      <c r="G134" s="215"/>
      <c r="H134" s="215"/>
      <c r="I134" s="215"/>
      <c r="J134" s="215"/>
      <c r="K134" s="215"/>
      <c r="L134" s="215"/>
      <c r="M134" s="215"/>
      <c r="N134" s="215"/>
      <c r="O134" s="215"/>
      <c r="P134" s="215"/>
      <c r="Q134" s="215"/>
      <c r="R134" s="215"/>
      <c r="S134" s="215"/>
      <c r="T134" s="215"/>
      <c r="U134" s="215"/>
      <c r="V134" s="215"/>
      <c r="W134" s="215"/>
      <c r="X134" s="215"/>
      <c r="Y134" s="215"/>
      <c r="Z134" s="215"/>
      <c r="AA134" s="215"/>
      <c r="AB134" s="215"/>
      <c r="AC134" s="215"/>
      <c r="AD134" s="215"/>
      <c r="AE134" s="215"/>
      <c r="AF134" s="215"/>
      <c r="AG134" s="215"/>
      <c r="AH134" s="215"/>
      <c r="AI134" s="215"/>
      <c r="AJ134" s="215"/>
      <c r="AK134" s="215"/>
      <c r="AL134" s="215"/>
      <c r="AM134" s="215"/>
      <c r="AN134" s="215"/>
      <c r="AO134" s="215"/>
      <c r="AP134" s="215"/>
      <c r="AQ134" s="215"/>
      <c r="AR134" s="215"/>
      <c r="AS134" s="215"/>
      <c r="AT134" s="215"/>
      <c r="AU134" s="215"/>
      <c r="AV134" s="215"/>
      <c r="AW134" s="215"/>
      <c r="AX134" s="215"/>
      <c r="AY134" s="215"/>
      <c r="AZ134" s="215"/>
      <c r="BA134" s="215"/>
      <c r="BB134" s="215"/>
      <c r="BC134" s="215"/>
      <c r="BD134" s="215"/>
      <c r="BE134" s="215"/>
      <c r="BF134" s="215"/>
      <c r="BG134" s="215"/>
      <c r="BH134" s="215"/>
      <c r="BI134" s="215"/>
      <c r="BJ134" s="215"/>
      <c r="BK134" s="215"/>
      <c r="BL134" s="215"/>
    </row>
    <row r="135" spans="1:272" hidden="1">
      <c r="A135" s="249" t="s">
        <v>437</v>
      </c>
      <c r="B135" s="249"/>
      <c r="C135" s="250"/>
      <c r="D135" s="250"/>
      <c r="E135" s="250"/>
      <c r="F135" s="250"/>
      <c r="G135" s="250"/>
      <c r="H135" s="250"/>
      <c r="I135" s="250"/>
      <c r="J135" s="250"/>
      <c r="K135" s="250"/>
      <c r="L135" s="250"/>
      <c r="M135" s="250"/>
      <c r="N135" s="250"/>
      <c r="O135" s="250"/>
      <c r="P135" s="250"/>
      <c r="Q135" s="250"/>
      <c r="R135" s="250"/>
      <c r="S135" s="250"/>
      <c r="T135" s="250"/>
      <c r="U135" s="250"/>
      <c r="V135" s="250"/>
      <c r="W135" s="250"/>
      <c r="X135" s="250"/>
      <c r="Y135" s="250"/>
      <c r="Z135" s="250"/>
      <c r="AA135" s="250"/>
      <c r="AB135" s="250"/>
      <c r="AC135" s="250"/>
      <c r="AD135" s="250"/>
      <c r="AE135" s="250"/>
      <c r="AF135" s="250"/>
      <c r="AG135" s="250"/>
      <c r="AH135" s="250"/>
      <c r="AI135" s="250"/>
      <c r="AJ135" s="250"/>
      <c r="AK135" s="250"/>
      <c r="AL135" s="250"/>
      <c r="AM135" s="250"/>
      <c r="AN135" s="250"/>
      <c r="AO135" s="250"/>
      <c r="AP135" s="250"/>
      <c r="AQ135" s="250"/>
      <c r="AR135" s="250"/>
      <c r="AS135" s="250"/>
      <c r="AT135" s="250"/>
      <c r="AU135" s="250"/>
      <c r="AV135" s="250"/>
      <c r="AW135" s="250"/>
      <c r="AX135" s="250"/>
      <c r="AY135" s="250"/>
      <c r="AZ135" s="250"/>
      <c r="BA135" s="250"/>
      <c r="BB135" s="250"/>
      <c r="BC135" s="250"/>
      <c r="BD135" s="250"/>
      <c r="BE135" s="250"/>
      <c r="BF135" s="250"/>
      <c r="BG135" s="250"/>
      <c r="BH135" s="250"/>
      <c r="BI135" s="250"/>
      <c r="BJ135" s="250"/>
      <c r="BK135" s="250"/>
      <c r="BL135" s="250"/>
    </row>
    <row r="136" spans="1:272" hidden="1" outlineLevel="1">
      <c r="A136" s="251" t="s">
        <v>438</v>
      </c>
      <c r="B136" s="159"/>
      <c r="C136" s="252"/>
      <c r="D136" s="252"/>
      <c r="E136" s="252"/>
      <c r="F136" s="252"/>
      <c r="G136" s="252"/>
      <c r="H136" s="252"/>
      <c r="I136" s="252">
        <f>IF(I41+I42+I44+I46+I47+I49+I50+I51+I52+I53+I54+I55+I59+I60+I61+I62+I63+I65+I66+I67+I71+I72+I73+I74+I75+I77+I78+I80+I81+I83+I84+I85+I87+I88+'[33]Actual &amp; Assumptions'!I185-(I9+I10+I12+I16+I17+I19+I22+I25+I26+I27+I29+I30+I33+I35+'[33]Actual &amp; Assumptions'!I48+'[33]Actual &amp; Assumptions'!I49)&lt;0,0,-(I41+I42+I44+I46+I47+I49+I50+I51+I52+I53+I54+I55+I59+I60+I61+I62+I63+I65+I66+I67+I71+I72+I73+I74+I75+I77+I78+I80+I81+I83+I84+I85+I87+I88+'[33]Actual &amp; Assumptions'!I185-(I9+I10+I12+I16+I17+I19+I22+I25+I26+I27+I29+I30+I33+I35+'[33]Actual &amp; Assumptions'!I48+'[33]Actual &amp; Assumptions'!I49)))</f>
        <v>-31571.488499999999</v>
      </c>
      <c r="J136" s="252">
        <f>IF(J41+J42+J44+J46+J47+J49+J50+J51+J52+J53+J54+J55+J59+J60+J61+J62+J63+J65+J66+J67+J71+J72+J73+J74+J75+J77+J78+J80+J81+J83+J84+J85+J87+J88+'[33]Actual &amp; Assumptions'!J185-(J9+J10+J12+J16+J17+J19+J22+J25+J26+J27+J29+J30+J33+J35+'[33]Actual &amp; Assumptions'!J48+'[33]Actual &amp; Assumptions'!J49)&lt;0,0,-(J41+J42+J44+J46+J47+J49+J50+J51+J52+J53+J54+J55+J59+J60+J61+J62+J63+J65+J66+J67+J71+J72+J73+J74+J75+J77+J78+J80+J81+J83+J84+J85+J87+J88+'[33]Actual &amp; Assumptions'!J185-(J9+J10+J12+J16+J17+J19+J22+J25+J26+J27+J29+J30+J33+J35+'[33]Actual &amp; Assumptions'!J48+'[33]Actual &amp; Assumptions'!J49)))</f>
        <v>-50935.653143400537</v>
      </c>
      <c r="K136" s="252">
        <f>IF(K41+K42+K44+K46+K47+K49+K50+K51+K52+K53+K54+K55+K59+K60+K61+K62+K63+K65+K66+K67+K71+K72+K73+K74+K75+K77+K78+K80+K81+K83+K84+K85+K87+K88+'[33]Actual &amp; Assumptions'!K185-(K9+K10+K12+K16+K17+K19+K22+K25+K26+K27+K29+K30+K33+K35+'[33]Actual &amp; Assumptions'!K48+'[33]Actual &amp; Assumptions'!K49)&lt;0,0,-(K41+K42+K44+K46+K47+K49+K50+K51+K52+K53+K54+K55+K59+K60+K61+K62+K63+K65+K66+K67+K71+K72+K73+K74+K75+K77+K78+K80+K81+K83+K84+K85+K87+K88+'[33]Actual &amp; Assumptions'!K185-(K9+K10+K12+K16+K17+K19+K22+K25+K26+K27+K29+K30+K33+K35+'[33]Actual &amp; Assumptions'!K48+'[33]Actual &amp; Assumptions'!K49)))</f>
        <v>-22194.674979999894</v>
      </c>
      <c r="L136" s="252">
        <f>IF(L41+L42+L44+L46+L47+L49+L50+L51+L52+L53+L54+L55+L59+L60+L61+L62+L63+L65+L66+L67+L71+L72+L73+L74+L75+L77+L78+L80+L81+L83+L84+L85+L87+L88+'[33]Actual &amp; Assumptions'!L185-(L9+L10+L12+L16+L17+L19+L22+L25+L26+L27+L29+L30+L33+L35+'[33]Actual &amp; Assumptions'!L48+'[33]Actual &amp; Assumptions'!L49)&lt;0,0,-(L41+L42+L44+L46+L47+L49+L50+L51+L52+L53+L54+L55+L59+L60+L61+L62+L63+L65+L66+L67+L71+L72+L73+L74+L75+L77+L78+L80+L81+L83+L84+L85+L87+L88+'[33]Actual &amp; Assumptions'!L185-(L9+L10+L12+L16+L17+L19+L22+L25+L26+L27+L29+L30+L33+L35+'[33]Actual &amp; Assumptions'!L48+'[33]Actual &amp; Assumptions'!L49)))</f>
        <v>0</v>
      </c>
      <c r="M136" s="252">
        <f>IF(M41+M42+M44+M46+M47+M49+M50+M51+M52+M53+M54+M55+M59+M60+M61+M62+M63+M65+M66+M67+M71+M72+M73+M74+M75+M77+M78+M80+M81+M83+M84+M85+M87+M88+'[33]Actual &amp; Assumptions'!M185-(M9+M10+M12+M16+M17+M19+M22+M25+M26+M27+M29+M30+M33+M35+'[33]Actual &amp; Assumptions'!M48+'[33]Actual &amp; Assumptions'!M49)&lt;0,0,-(M41+M42+M44+M46+M47+M49+M50+M51+M52+M53+M54+M55+M59+M60+M61+M62+M63+M65+M66+M67+M71+M72+M73+M74+M75+M77+M78+M80+M81+M83+M84+M85+M87+M88+'[33]Actual &amp; Assumptions'!M185-(M9+M10+M12+M16+M17+M19+M22+M25+M26+M27+M29+M30+M33+M35+'[33]Actual &amp; Assumptions'!M48+'[33]Actual &amp; Assumptions'!M49)))</f>
        <v>0</v>
      </c>
      <c r="N136" s="252">
        <f>IF(N41+N42+N44+N46+N47+N49+N50+N51+N52+N53+N54+N55+N59+N60+N61+N62+N63+N65+N66+N67+N71+N72+N73+N74+N75+N77+N78+N80+N81+N83+N84+N85+N87+N88+'[33]Actual &amp; Assumptions'!N185-(N9+N10+N12+N16+N17+N19+N22+N25+N26+N27+N29+N30+N33+N35+'[33]Actual &amp; Assumptions'!N48+'[33]Actual &amp; Assumptions'!N49)&lt;0,0,-(N41+N42+N44+N46+N47+N49+N50+N51+N52+N53+N54+N55+N59+N60+N61+N62+N63+N65+N66+N67+N71+N72+N73+N74+N75+N77+N78+N80+N81+N83+N84+N85+N87+N88+'[33]Actual &amp; Assumptions'!N185-(N9+N10+N12+N16+N17+N19+N22+N25+N26+N27+N29+N30+N33+N35+'[33]Actual &amp; Assumptions'!N48+'[33]Actual &amp; Assumptions'!N49)))</f>
        <v>0</v>
      </c>
      <c r="O136" s="252">
        <f>IF(O41+O42+O44+O46+O47+O49+O50+O51+O52+O53+O54+O55+O59+O60+O61+O62+O63+O65+O66+O67+O71+O72+O73+O74+O75+O77+O78+O80+O81+O83+O84+O85+O87+O88+'[33]Actual &amp; Assumptions'!O185-(O9+O10+O12+O16+O17+O19+O22+O25+O26+O27+O29+O30+O33+O35+'[33]Actual &amp; Assumptions'!O48+'[33]Actual &amp; Assumptions'!O49)&lt;0,0,-(O41+O42+O44+O46+O47+O49+O50+O51+O52+O53+O54+O55+O59+O60+O61+O62+O63+O65+O66+O67+O71+O72+O73+O74+O75+O77+O78+O80+O81+O83+O84+O85+O87+O88+'[33]Actual &amp; Assumptions'!O185-(O9+O10+O12+O16+O17+O19+O22+O25+O26+O27+O29+O30+O33+O35+'[33]Actual &amp; Assumptions'!O48+'[33]Actual &amp; Assumptions'!O49)))</f>
        <v>-13211.887999999977</v>
      </c>
      <c r="P136" s="252">
        <f>IF(P41+P42+P44+P46+P47+P49+P50+P51+P52+P53+P54+P55+P59+P60+P61+P62+P63+P65+P66+P67+P71+P72+P73+P74+P75+P77+P78+P80+P81+P83+P84+P85+P87+P88+'[33]Actual &amp; Assumptions'!P185-(P9+P10+P12+P16+P17+P19+P22+P25+P26+P27+P29+P30+P33+P35+'[33]Actual &amp; Assumptions'!P48+'[33]Actual &amp; Assumptions'!P49)&lt;0,0,-(P41+P42+P44+P46+P47+P49+P50+P51+P52+P53+P54+P55+P59+P60+P61+P62+P63+P65+P66+P67+P71+P72+P73+P74+P75+P77+P78+P80+P81+P83+P84+P85+P87+P88+'[33]Actual &amp; Assumptions'!P185-(P9+P10+P12+P16+P17+P19+P22+P25+P26+P27+P29+P30+P33+P35+'[33]Actual &amp; Assumptions'!P48+'[33]Actual &amp; Assumptions'!P49)))</f>
        <v>0</v>
      </c>
      <c r="Q136" s="252">
        <f>IF(Q41+Q42+Q44+Q46+Q47+Q49+Q50+Q51+Q52+Q53+Q54+Q55+Q59+Q60+Q61+Q62+Q63+Q65+Q66+Q67+Q71+Q72+Q73+Q74+Q75+Q77+Q78+Q80+Q81+Q83+Q84+Q85+Q87+Q88+'[33]Actual &amp; Assumptions'!Q185-(Q9+Q10+Q12+Q16+Q17+Q19+Q22+Q25+Q26+Q27+Q29+Q30+Q33+Q35+'[33]Actual &amp; Assumptions'!Q48+'[33]Actual &amp; Assumptions'!Q49)&lt;0,0,-(Q41+Q42+Q44+Q46+Q47+Q49+Q50+Q51+Q52+Q53+Q54+Q55+Q59+Q60+Q61+Q62+Q63+Q65+Q66+Q67+Q71+Q72+Q73+Q74+Q75+Q77+Q78+Q80+Q81+Q83+Q84+Q85+Q87+Q88+'[33]Actual &amp; Assumptions'!Q185-(Q9+Q10+Q12+Q16+Q17+Q19+Q22+Q25+Q26+Q27+Q29+Q30+Q33+Q35+'[33]Actual &amp; Assumptions'!Q48+'[33]Actual &amp; Assumptions'!Q49)))</f>
        <v>0</v>
      </c>
      <c r="R136" s="252">
        <f>IF(R41+R42+R44+R46+R47+R49+R50+R51+R52+R53+R54+R55+R59+R60+R61+R62+R63+R65+R66+R67+R71+R72+R73+R74+R75+R77+R78+R80+R81+R83+R84+R85+R87+R88+'[33]Actual &amp; Assumptions'!R185-(R9+R10+R12+R16+R17+R19+R22+R25+R26+R27+R29+R30+R33+R35+'[33]Actual &amp; Assumptions'!R48+'[33]Actual &amp; Assumptions'!R49)&lt;0,0,-(R41+R42+R44+R46+R47+R49+R50+R51+R52+R53+R54+R55+R59+R60+R61+R62+R63+R65+R66+R67+R71+R72+R73+R74+R75+R77+R78+R80+R81+R83+R84+R85+R87+R88+'[33]Actual &amp; Assumptions'!R185-(R9+R10+R12+R16+R17+R19+R22+R25+R26+R27+R29+R30+R33+R35+'[33]Actual &amp; Assumptions'!R48+'[33]Actual &amp; Assumptions'!R49)))</f>
        <v>0</v>
      </c>
      <c r="S136" s="252">
        <f>IF(S41+S42+S44+S46+S47+S49+S50+S51+S52+S53+S54+S55+S59+S60+S61+S62+S63+S65+S66+S67+S71+S72+S73+S74+S75+S77+S78+S80+S81+S83+S84+S85+S87+S88+'[33]Actual &amp; Assumptions'!S185-(S9+S10+S12+S16+S17+S19+S22+S25+S26+S27+S29+S30+S33+S35+'[33]Actual &amp; Assumptions'!S48+'[33]Actual &amp; Assumptions'!S49)&lt;0,0,-(S41+S42+S44+S46+S47+S49+S50+S51+S52+S53+S54+S55+S59+S60+S61+S62+S63+S65+S66+S67+S71+S72+S73+S74+S75+S77+S78+S80+S81+S83+S84+S85+S87+S88+'[33]Actual &amp; Assumptions'!S185-(S9+S10+S12+S16+S17+S19+S22+S25+S26+S27+S29+S30+S33+S35+'[33]Actual &amp; Assumptions'!S48+'[33]Actual &amp; Assumptions'!S49)))</f>
        <v>0</v>
      </c>
      <c r="T136" s="252">
        <f>IF(T41+T42+T44+T46+T47+T49+T50+T51+T52+T53+T54+T55+T59+T60+T61+T62+T63+T65+T66+T67+T71+T72+T73+T74+T75+T77+T78+T80+T81+T83+T84+T85+T87+T88+'[33]Actual &amp; Assumptions'!T185-(T9+T10+T12+T16+T17+T19+T22+T25+T26+T27+T29+T30+T33+T35+'[33]Actual &amp; Assumptions'!T48+'[33]Actual &amp; Assumptions'!T49)&lt;0,0,-(T41+T42+T44+T46+T47+T49+T50+T51+T52+T53+T54+T55+T59+T60+T61+T62+T63+T65+T66+T67+T71+T72+T73+T74+T75+T77+T78+T80+T81+T83+T84+T85+T87+T88+'[33]Actual &amp; Assumptions'!T185-(T9+T10+T12+T16+T17+T19+T22+T25+T26+T27+T29+T30+T33+T35+'[33]Actual &amp; Assumptions'!T48+'[33]Actual &amp; Assumptions'!T49)))</f>
        <v>-19564.291303400751</v>
      </c>
      <c r="U136" s="252">
        <f>IF(U41+U42+U44+U46+U47+U49+U50+U51+U52+U53+U54+U55+U59+U60+U61+U62+U63+U65+U66+U67+U71+U72+U73+U74+U75+U77+U78+U80+U81+U83+U84+U85+U87+U88+'[33]Actual &amp; Assumptions'!U185-(U9+U10+U12+U16+U17+U19+U22+U25+U26+U27+U29+U30+U33+U35+'[33]Actual &amp; Assumptions'!U48+'[33]Actual &amp; Assumptions'!U49)&lt;0,0,-(U41+U42+U44+U46+U47+U49+U50+U51+U52+U53+U54+U55+U59+U60+U61+U62+U63+U65+U66+U67+U71+U72+U73+U74+U75+U77+U78+U80+U81+U83+U84+U85+U87+U88+'[33]Actual &amp; Assumptions'!U185-(U9+U10+U12+U16+U17+U19+U22+U25+U26+U27+U29+U30+U33+U35+'[33]Actual &amp; Assumptions'!U48+'[33]Actual &amp; Assumptions'!U49)))</f>
        <v>-3973.1997434006917</v>
      </c>
      <c r="V136" s="252">
        <f>IF(V41+V42+V44+V46+V47+V49+V50+V51+V52+V53+V54+V55+V59+V60+V61+V62+V63+V65+V66+V67+V71+V72+V73+V74+V75+V77+V78+V80+V81+V83+V84+V85+V87+V88+'[33]Actual &amp; Assumptions'!V185-(V9+V10+V12+V16+V17+V19+V22+V25+V26+V27+V29+V30+V33+V35+'[33]Actual &amp; Assumptions'!V48+'[33]Actual &amp; Assumptions'!V49)&lt;0,0,-(V41+V42+V44+V46+V47+V49+V50+V51+V52+V53+V54+V55+V59+V60+V61+V62+V63+V65+V66+V67+V71+V72+V73+V74+V75+V77+V78+V80+V81+V83+V84+V85+V87+V88+'[33]Actual &amp; Assumptions'!V185-(V9+V10+V12+V16+V17+V19+V22+V25+V26+V27+V29+V30+V33+V35+'[33]Actual &amp; Assumptions'!V48+'[33]Actual &amp; Assumptions'!V49)))</f>
        <v>0</v>
      </c>
      <c r="W136" s="252">
        <f>IF(W41+W42+W44+W46+W47+W49+W50+W51+W52+W53+W54+W55+W59+W60+W61+W62+W63+W65+W66+W67+W71+W72+W73+W74+W75+W77+W78+W80+W81+W83+W84+W85+W87+W88+'[33]Actual &amp; Assumptions'!W185-(W9+W10+W12+W16+W17+W19+W22+W25+W26+W27+W29+W30+W33+W35+'[33]Actual &amp; Assumptions'!W48+'[33]Actual &amp; Assumptions'!W49)&lt;0,0,-(W41+W42+W44+W46+W47+W49+W50+W51+W52+W53+W54+W55+W59+W60+W61+W62+W63+W65+W66+W67+W71+W72+W73+W74+W75+W77+W78+W80+W81+W83+W84+W85+W87+W88+'[33]Actual &amp; Assumptions'!W185-(W9+W10+W12+W16+W17+W19+W22+W25+W26+W27+W29+W30+W33+W35+'[33]Actual &amp; Assumptions'!W48+'[33]Actual &amp; Assumptions'!W49)))</f>
        <v>-9373.8005660123599</v>
      </c>
      <c r="X136" s="252">
        <f>IF(X41+X42+X44+X46+X47+X49+X50+X51+X52+X53+X54+X55+X59+X60+X61+X62+X63+X65+X66+X67+X71+X72+X73+X74+X75+X77+X78+X80+X81+X83+X84+X85+X87+X88+'[33]Actual &amp; Assumptions'!X185-(X9+X10+X12+X16+X17+X19+X22+X25+X26+X27+X29+X30+X33+X35+'[33]Actual &amp; Assumptions'!X48+'[33]Actual &amp; Assumptions'!X49)&lt;0,0,-(X41+X42+X44+X46+X47+X49+X50+X51+X52+X53+X54+X55+X59+X60+X61+X62+X63+X65+X66+X67+X71+X72+X73+X74+X75+X77+X78+X80+X81+X83+X84+X85+X87+X88+'[33]Actual &amp; Assumptions'!X185-(X9+X10+X12+X16+X17+X19+X22+X25+X26+X27+X29+X30+X33+X35+'[33]Actual &amp; Assumptions'!X48+'[33]Actual &amp; Assumptions'!X49)))</f>
        <v>0</v>
      </c>
      <c r="Y136" s="252">
        <f>IF(Y41+Y42+Y44+Y46+Y47+Y49+Y50+Y51+Y52+Y53+Y54+Y55+Y59+Y60+Y61+Y62+Y63+Y65+Y66+Y67+Y71+Y72+Y73+Y74+Y75+Y77+Y78+Y80+Y81+Y83+Y84+Y85+Y87+Y88+'[33]Actual &amp; Assumptions'!Y185-(Y9+Y10+Y12+Y16+Y17+Y19+Y22+Y25+Y26+Y27+Y29+Y30+Y33+Y35+'[33]Actual &amp; Assumptions'!Y48+'[33]Actual &amp; Assumptions'!Y49)&lt;0,0,-(Y41+Y42+Y44+Y46+Y47+Y49+Y50+Y51+Y52+Y53+Y54+Y55+Y59+Y60+Y61+Y62+Y63+Y65+Y66+Y67+Y71+Y72+Y73+Y74+Y75+Y77+Y78+Y80+Y81+Y83+Y84+Y85+Y87+Y88+'[33]Actual &amp; Assumptions'!Y185-(Y9+Y10+Y12+Y16+Y17+Y19+Y22+Y25+Y26+Y27+Y29+Y30+Y33+Y35+'[33]Actual &amp; Assumptions'!Y48+'[33]Actual &amp; Assumptions'!Y49)))</f>
        <v>0</v>
      </c>
      <c r="Z136" s="252">
        <f>IF(Z41+Z42+Z44+Z46+Z47+Z49+Z50+Z51+Z52+Z53+Z54+Z55+Z59+Z60+Z61+Z62+Z63+Z65+Z66+Z67+Z71+Z72+Z73+Z74+Z75+Z77+Z78+Z80+Z81+Z83+Z84+Z85+Z87+Z88+'[33]Actual &amp; Assumptions'!Z185-(Z9+Z10+Z12+Z16+Z17+Z19+Z22+Z25+Z26+Z27+Z29+Z30+Z33+Z35+'[33]Actual &amp; Assumptions'!Z48+'[33]Actual &amp; Assumptions'!Z49)&lt;0,0,-(Z41+Z42+Z44+Z46+Z47+Z49+Z50+Z51+Z52+Z53+Z54+Z55+Z59+Z60+Z61+Z62+Z63+Z65+Z66+Z67+Z71+Z72+Z73+Z74+Z75+Z77+Z78+Z80+Z81+Z83+Z84+Z85+Z87+Z88+'[33]Actual &amp; Assumptions'!Z185-(Z9+Z10+Z12+Z16+Z17+Z19+Z22+Z25+Z26+Z27+Z29+Z30+Z33+Z35+'[33]Actual &amp; Assumptions'!Z48+'[33]Actual &amp; Assumptions'!Z49)))</f>
        <v>0</v>
      </c>
      <c r="AA136" s="252">
        <f>IF(AA41+AA42+AA44+AA46+AA47+AA49+AA50+AA51+AA52+AA53+AA54+AA55+AA59+AA60+AA61+AA62+AA63+AA65+AA66+AA67+AA71+AA72+AA73+AA74+AA75+AA77+AA78+AA80+AA81+AA83+AA84+AA85+AA87+AA88+'[33]Actual &amp; Assumptions'!AA185-(AA9+AA10+AA12+AA16+AA17+AA19+AA22+AA25+AA26+AA27+AA29+AA30+AA33+AA35+'[33]Actual &amp; Assumptions'!AA48+'[33]Actual &amp; Assumptions'!AA49)&lt;0,0,-(AA41+AA42+AA44+AA46+AA47+AA49+AA50+AA51+AA52+AA53+AA54+AA55+AA59+AA60+AA61+AA62+AA63+AA65+AA66+AA67+AA71+AA72+AA73+AA74+AA75+AA77+AA78+AA80+AA81+AA83+AA84+AA85+AA87+AA88+'[33]Actual &amp; Assumptions'!AA185-(AA9+AA10+AA12+AA16+AA17+AA19+AA22+AA25+AA26+AA27+AA29+AA30+AA33+AA35+'[33]Actual &amp; Assumptions'!AA48+'[33]Actual &amp; Assumptions'!AA49)))</f>
        <v>0</v>
      </c>
      <c r="AB136" s="252">
        <f>IF(AB41+AB42+AB44+AB46+AB47+AB49+AB50+AB51+AB52+AB53+AB54+AB55+AB59+AB60+AB61+AB62+AB63+AB65+AB66+AB67+AB71+AB72+AB73+AB74+AB75+AB77+AB78+AB80+AB81+AB83+AB84+AB85+AB87+AB88+'[33]Actual &amp; Assumptions'!AB185-(AB9+AB10+AB12+AB16+AB17+AB19+AB22+AB25+AB26+AB27+AB29+AB30+AB33+AB35+'[33]Actual &amp; Assumptions'!AB48+'[33]Actual &amp; Assumptions'!AB49)&lt;0,0,-(AB41+AB42+AB44+AB46+AB47+AB49+AB50+AB51+AB52+AB53+AB54+AB55+AB59+AB60+AB61+AB62+AB63+AB65+AB66+AB67+AB71+AB72+AB73+AB74+AB75+AB77+AB78+AB80+AB81+AB83+AB84+AB85+AB87+AB88+'[33]Actual &amp; Assumptions'!AB185-(AB9+AB10+AB12+AB16+AB17+AB19+AB22+AB25+AB26+AB27+AB29+AB30+AB33+AB35+'[33]Actual &amp; Assumptions'!AB48+'[33]Actual &amp; Assumptions'!AB49)))</f>
        <v>0</v>
      </c>
      <c r="AC136" s="252">
        <f>IF(AC41+AC42+AC44+AC46+AC47+AC49+AC50+AC51+AC52+AC53+AC54+AC55+AC59+AC60+AC61+AC62+AC63+AC65+AC66+AC67+AC71+AC72+AC73+AC74+AC75+AC77+AC78+AC80+AC81+AC83+AC84+AC85+AC87+AC88+'[33]Actual &amp; Assumptions'!AC185-(AC9+AC10+AC12+AC16+AC17+AC19+AC22+AC25+AC26+AC27+AC29+AC30+AC33+AC35+'[33]Actual &amp; Assumptions'!AC48+'[33]Actual &amp; Assumptions'!AC49)&lt;0,0,-(AC41+AC42+AC44+AC46+AC47+AC49+AC50+AC51+AC52+AC53+AC54+AC55+AC59+AC60+AC61+AC62+AC63+AC65+AC66+AC67+AC71+AC72+AC73+AC74+AC75+AC77+AC78+AC80+AC81+AC83+AC84+AC85+AC87+AC88+'[33]Actual &amp; Assumptions'!AC185-(AC9+AC10+AC12+AC16+AC17+AC19+AC22+AC25+AC26+AC27+AC29+AC30+AC33+AC35+'[33]Actual &amp; Assumptions'!AC48+'[33]Actual &amp; Assumptions'!AC49)))</f>
        <v>0</v>
      </c>
      <c r="AD136" s="252">
        <f>IF(AD41+AD42+AD44+AD46+AD47+AD49+AD50+AD51+AD52+AD53+AD54+AD55+AD59+AD60+AD61+AD62+AD63+AD65+AD66+AD67+AD71+AD72+AD73+AD74+AD75+AD77+AD78+AD80+AD81+AD83+AD84+AD85+AD87+AD88+'[33]Actual &amp; Assumptions'!AD185-(AD9+AD10+AD12+AD16+AD17+AD19+AD22+AD25+AD26+AD27+AD29+AD30+AD33+AD35+'[33]Actual &amp; Assumptions'!AD48+'[33]Actual &amp; Assumptions'!AD49)&lt;0,0,-(AD41+AD42+AD44+AD46+AD47+AD49+AD50+AD51+AD52+AD53+AD54+AD55+AD59+AD60+AD61+AD62+AD63+AD65+AD66+AD67+AD71+AD72+AD73+AD74+AD75+AD77+AD78+AD80+AD81+AD83+AD84+AD85+AD87+AD88+'[33]Actual &amp; Assumptions'!AD185-(AD9+AD10+AD12+AD16+AD17+AD19+AD22+AD25+AD26+AD27+AD29+AD30+AD33+AD35+'[33]Actual &amp; Assumptions'!AD48+'[33]Actual &amp; Assumptions'!AD49)))</f>
        <v>0</v>
      </c>
      <c r="AE136" s="252"/>
      <c r="AF136" s="252">
        <f>IF(AF41+AF42+AF44+AF46+AF47+AF49+AF50+AF51+AF52+AF53+AF54+AF55+AF59+AF60+AF61+AF62+AF63+AF65+AF66+AF67+AF71+AF72+AF73+AF74+AF75+AF77+AF78+AF80+AF81+AF83+AF84+AF85+AF87+AF88+'[33]Actual &amp; Assumptions'!AF185-(AF9+AF10+AF12+AF16+AF17+AF19+AF22+AF25+AF26+AF27+AF29+AF30+AF33+AF35+'[33]Actual &amp; Assumptions'!AF48+'[33]Actual &amp; Assumptions'!AF49+'[33]Actual &amp; Assumptions'!AF51+AF162)&lt;0,0,-(AF41+AF42+AF44+AF46+AF47+AF49+AF50+AF51+AF52+AF53+AF54+AF55+AF59+AF60+AF61+AF62+AF63+AF65+AF66+AF67+AF71+AF72+AF73+AF74+AF75+AF77+AF78+AF80+AF81+AF83+AF84+AF85+AF87+AF88+'[33]Actual &amp; Assumptions'!AF185-(AF9+AF10+AF12+AF16+AF17+AF19+AF22+AF25+AF26+AF27+AF29+AF30+AF33+AF35+'[33]Actual &amp; Assumptions'!AF48+'[33]Actual &amp; Assumptions'!AF49+'[33]Actual &amp; Assumptions'!AF51+AF162)))</f>
        <v>0</v>
      </c>
      <c r="AG136" s="252">
        <f>IF(AG41+AG42+AG44+AG46+AG47+AG49+AG50+AG51+AG52+AG53+AG54+AG55+AG59+AG60+AG61+AG62+AG63+AG65+AG66+AG67+AG71+AG72+AG73+AG74+AG75+AG77+AG78+AG80+AG81+AG83+AG84+AG85+AG87+AG88+'[33]Actual &amp; Assumptions'!AG185-(AG9+AG10+AG12+AG16+AG17+AG19+AG22+AG25+AG26+AG27+AG29+AG30+AG33+AG35+'[33]Actual &amp; Assumptions'!AG48+'[33]Actual &amp; Assumptions'!AG49+'[33]Actual &amp; Assumptions'!AG51+AG162)&lt;0,0,-(AG41+AG42+AG44+AG46+AG47+AG49+AG50+AG51+AG52+AG53+AG54+AG55+AG59+AG60+AG61+AG62+AG63+AG65+AG66+AG67+AG71+AG72+AG73+AG74+AG75+AG77+AG78+AG80+AG81+AG83+AG84+AG85+AG87+AG88+'[33]Actual &amp; Assumptions'!AG185-(AG9+AG10+AG12+AG16+AG17+AG19+AG22+AG25+AG26+AG27+AG29+AG30+AG33+AG35+'[33]Actual &amp; Assumptions'!AG48+'[33]Actual &amp; Assumptions'!AG49+'[33]Actual &amp; Assumptions'!AG51+AG162)))</f>
        <v>0</v>
      </c>
      <c r="AH136" s="252">
        <f>IF(AH41+AH42+AH44+AH46+AH47+AH49+AH50+AH51+AH52+AH53+AH54+AH55+AH59+AH60+AH61+AH62+AH63+AH65+AH66+AH67+AH71+AH72+AH73+AH74+AH75+AH77+AH78+AH80+AH81+AH83+AH84+AH85+AH87+AH88+'[33]Actual &amp; Assumptions'!AH185-(AH9+AH10+AH12+AH16+AH17+AH19+AH22+AH25+AH26+AH27+AH29+AH30+AH33+AH35+'[33]Actual &amp; Assumptions'!AH48+'[33]Actual &amp; Assumptions'!AH49+'[33]Actual &amp; Assumptions'!AH51+AH162)&lt;0,0,-(AH41+AH42+AH44+AH46+AH47+AH49+AH50+AH51+AH52+AH53+AH54+AH55+AH59+AH60+AH61+AH62+AH63+AH65+AH66+AH67+AH71+AH72+AH73+AH74+AH75+AH77+AH78+AH80+AH81+AH83+AH84+AH85+AH87+AH88+'[33]Actual &amp; Assumptions'!AH185-(AH9+AH10+AH12+AH16+AH17+AH19+AH22+AH25+AH26+AH27+AH29+AH30+AH33+AH35+'[33]Actual &amp; Assumptions'!AH48+'[33]Actual &amp; Assumptions'!AH49+'[33]Actual &amp; Assumptions'!AH51+AH162)))</f>
        <v>0</v>
      </c>
      <c r="AI136" s="252">
        <f>IF(AI41+AI42+AI44+AI46+AI47+AI49+AI50+AI51+AI52+AI53+AI54+AI55+AI59+AI60+AI61+AI62+AI63+AI65+AI66+AI67+AI71+AI72+AI73+AI74+AI75+AI77+AI78+AI80+AI81+AI83+AI84+AI85+AI87+AI88+'[33]Actual &amp; Assumptions'!AI185-(AI9+AI10+AI12+AI16+AI17+AI19+AI22+AI25+AI26+AI27+AI29+AI30+AI33+AI35+'[33]Actual &amp; Assumptions'!AI48+'[33]Actual &amp; Assumptions'!AI49+'[33]Actual &amp; Assumptions'!AI51+AI162)&lt;0,0,-(AI41+AI42+AI44+AI46+AI47+AI49+AI50+AI51+AI52+AI53+AI54+AI55+AI59+AI60+AI61+AI62+AI63+AI65+AI66+AI67+AI71+AI72+AI73+AI74+AI75+AI77+AI78+AI80+AI81+AI83+AI84+AI85+AI87+AI88+'[33]Actual &amp; Assumptions'!AI185-(AI9+AI10+AI12+AI16+AI17+AI19+AI22+AI25+AI26+AI27+AI29+AI30+AI33+AI35+'[33]Actual &amp; Assumptions'!AI48+'[33]Actual &amp; Assumptions'!AI49+'[33]Actual &amp; Assumptions'!AI51+AI162)))</f>
        <v>0</v>
      </c>
      <c r="AJ136" s="252">
        <f>IF(AJ41+AJ42+AJ44+AJ46+AJ47+AJ49+AJ50+AJ51+AJ52+AJ53+AJ54+AJ55+AJ59+AJ60+AJ61+AJ62+AJ63+AJ65+AJ66+AJ67+AJ71+AJ72+AJ73+AJ74+AJ75+AJ77+AJ78+AJ80+AJ81+AJ83+AJ84+AJ85+AJ87+AJ88+'[33]Actual &amp; Assumptions'!AJ185-(AJ9+AJ10+AJ12+AJ16+AJ17+AJ19+AJ22+AJ25+AJ26+AJ27+AJ29+AJ30+AJ33+AJ35+'[33]Actual &amp; Assumptions'!AJ48+'[33]Actual &amp; Assumptions'!AJ49)&lt;0,0,-(AJ41+AJ42+AJ44+AJ46+AJ47+AJ49+AJ50+AJ51+AJ52+AJ53+AJ54+AJ55+AJ59+AJ60+AJ61+AJ62+AJ63+AJ65+AJ66+AJ67+AJ71+AJ72+AJ73+AJ74+AJ75+AJ77+AJ78+AJ80+AJ81+AJ83+AJ84+AJ85+AJ87+AJ88+'[33]Actual &amp; Assumptions'!AJ185-(AJ9+AJ10+AJ12+AJ16+AJ17+AJ19+AJ22+AJ25+AJ26+AJ27+AJ29+AJ30+AJ33+AJ35+'[33]Actual &amp; Assumptions'!AJ48+'[33]Actual &amp; Assumptions'!AJ49)))</f>
        <v>0</v>
      </c>
      <c r="AK136" s="252">
        <f>IF(AK41+AK42+AK44+AK46+AK47+AK49+AK50+AK51+AK52+AK53+AK54+AK55+AK59+AK60+AK61+AK62+AK63+AK65+AK66+AK67+AK71+AK72+AK73+AK74+AK75+AK77+AK78+AK80+AK81+AK83+AK84+AK85+AK87+AK88+'[33]Actual &amp; Assumptions'!AK185-(AK9+AK10+AK12+AK16+AK17+AK19+AK22+AK25+AK26+AK27+AK29+AK30+AK33+AK35+'[33]Actual &amp; Assumptions'!AK48+'[33]Actual &amp; Assumptions'!AK49+'[33]Actual &amp; Assumptions'!AK51+AK162)&lt;0,0,-(AK41+AK42+AK44+AK46+AK47+AK49+AK50+AK51+AK52+AK53+AK54+AK55+AK59+AK60+AK61+AK62+AK63+AK65+AK66+AK67+AK71+AK72+AK73+AK74+AK75+AK77+AK78+AK80+AK81+AK83+AK84+AK85+AK87+AK88+'[33]Actual &amp; Assumptions'!AK185-(AK9+AK10+AK12+AK16+AK17+AK19+AK22+AK25+AK26+AK27+AK29+AK30+AK33+AK35+'[33]Actual &amp; Assumptions'!AK48+'[33]Actual &amp; Assumptions'!AK49+'[33]Actual &amp; Assumptions'!AK51+AK162)))</f>
        <v>0</v>
      </c>
      <c r="AL136" s="252">
        <f>IF(AL41+AL42+AL44+AL46+AL47+AL49+AL50+AL51+AL52+AL53+AL54+AL55+AL59+AL60+AL61+AL62+AL63+AL65+AL66+AL67+AL71+AL72+AL73+AL74+AL75+AL77+AL78+AL80+AL81+AL83+AL84+AL85+AL87+AL88+'[33]Actual &amp; Assumptions'!AL185-(AL9+AL10+AL12+AL16+AL17+AL19+AL22+AL25+AL26+AL27+AL29+AL30+AL33+AL35+'[33]Actual &amp; Assumptions'!AL48+'[33]Actual &amp; Assumptions'!AL49+'[33]Actual &amp; Assumptions'!AL51+AL162)&lt;0,0,-(AL41+AL42+AL44+AL46+AL47+AL49+AL50+AL51+AL52+AL53+AL54+AL55+AL59+AL60+AL61+AL62+AL63+AL65+AL66+AL67+AL71+AL72+AL73+AL74+AL75+AL77+AL78+AL80+AL81+AL83+AL84+AL85+AL87+AL88+'[33]Actual &amp; Assumptions'!AL185-(AL9+AL10+AL12+AL16+AL17+AL19+AL22+AL25+AL26+AL27+AL29+AL30+AL33+AL35+'[33]Actual &amp; Assumptions'!AL48+'[33]Actual &amp; Assumptions'!AL49+'[33]Actual &amp; Assumptions'!AL51+AL162)))</f>
        <v>0</v>
      </c>
      <c r="AM136" s="252">
        <f>IF(AM41+AM42+AM44+AM46+AM47+AM49+AM50+AM51+AM52+AM53+AM54+AM55+AM59+AM60+AM61+AM62+AM63+AM65+AM66+AM67+AM71+AM72+AM73+AM74+AM75+AM77+AM78+AM80+AM81+AM83+AM84+AM85+AM87+AM88+'[33]Actual &amp; Assumptions'!AM185-(AM9+AM10+AM12+AM16+AM17+AM19+AM22+AM25+AM26+AM27+AM29+AM30+AM33+AM35+'[33]Actual &amp; Assumptions'!AM48+'[33]Actual &amp; Assumptions'!AM49+'[33]Actual &amp; Assumptions'!AM51+AM162)&lt;0,0,-(AM41+AM42+AM44+AM46+AM47+AM49+AM50+AM51+AM52+AM53+AM54+AM55+AM59+AM60+AM61+AM62+AM63+AM65+AM66+AM67+AM71+AM72+AM73+AM74+AM75+AM77+AM78+AM80+AM81+AM83+AM84+AM85+AM87+AM88+'[33]Actual &amp; Assumptions'!AM185-(AM9+AM10+AM12+AM16+AM17+AM19+AM22+AM25+AM26+AM27+AM29+AM30+AM33+AM35+'[33]Actual &amp; Assumptions'!AM48+'[33]Actual &amp; Assumptions'!AM49+'[33]Actual &amp; Assumptions'!AM51+AM162)))</f>
        <v>0</v>
      </c>
      <c r="AN136" s="252">
        <f>IF(AN41+AN42+AN44+AN46+AN47+AN49+AN50+AN51+AN52+AN53+AN54+AN55+AN59+AN60+AN61+AN62+AN63+AN65+AN66+AN67+AN71+AN72+AN73+AN74+AN75+AN77+AN78+AN80+AN81+AN83+AN84+AN85+AN87+AN88+'[33]Actual &amp; Assumptions'!AN185-(AN9+AN10+AN12+AN16+AN17+AN19+AN22+AN25+AN26+AN27+AN29+AN30+AN33+AN35+'[33]Actual &amp; Assumptions'!AN48+'[33]Actual &amp; Assumptions'!AN49+'[33]Actual &amp; Assumptions'!AN51+AN162)&lt;0,0,-(AN41+AN42+AN44+AN46+AN47+AN49+AN50+AN51+AN52+AN53+AN54+AN55+AN59+AN60+AN61+AN62+AN63+AN65+AN66+AN67+AN71+AN72+AN73+AN74+AN75+AN77+AN78+AN80+AN81+AN83+AN84+AN85+AN87+AN88+'[33]Actual &amp; Assumptions'!AN185-(AN9+AN10+AN12+AN16+AN17+AN19+AN22+AN25+AN26+AN27+AN29+AN30+AN33+AN35+'[33]Actual &amp; Assumptions'!AN48+'[33]Actual &amp; Assumptions'!AN49+'[33]Actual &amp; Assumptions'!AN51+AN162)))</f>
        <v>0</v>
      </c>
      <c r="AO136" s="252">
        <f>IF(AO41+AO42+AO44+AO46+AO47+AO49+AO50+AO51+AO52+AO53+AO54+AO55+AO59+AO60+AO61+AO62+AO63+AO65+AO66+AO67+AO71+AO72+AO73+AO74+AO75+AO77+AO78+AO80+AO81+AO83+AO84+AO85+AO87+AO88+'[33]Actual &amp; Assumptions'!AO185-(AO9+AO10+AO12+AO16+AO17+AO19+AO22+AO25+AO26+AO27+AO29+AO30+AO33+AO35+'[33]Actual &amp; Assumptions'!AO48+'[33]Actual &amp; Assumptions'!AO49)&lt;0,0,-(AO41+AO42+AO44+AO46+AO47+AO49+AO50+AO51+AO52+AO53+AO54+AO55+AO59+AO60+AO61+AO62+AO63+AO65+AO66+AO67+AO71+AO72+AO73+AO74+AO75+AO77+AO78+AO80+AO81+AO83+AO84+AO85+AO87+AO88+'[33]Actual &amp; Assumptions'!AO185-(AO9+AO10+AO12+AO16+AO17+AO19+AO22+AO25+AO26+AO27+AO29+AO30+AO33+AO35+'[33]Actual &amp; Assumptions'!AO48+'[33]Actual &amp; Assumptions'!AO49)))</f>
        <v>0</v>
      </c>
      <c r="AP136" s="252">
        <f>IF(AP41+AP42+AP44+AP46+AP47+AP49+AP50+AP51+AP52+AP53+AP54+AP55+AP59+AP60+AP61+AP62+AP63+AP65+AP66+AP67+AP71+AP72+AP73+AP74+AP75+AP77+AP78+AP80+AP81+AP83+AP84+AP85+AP86+AP87+AP88+'[33]Actual &amp; Assumptions'!AP185-(AP9+AP10+AP12+AP16+AP17+AP19+AP22+AP25+AP26+AP27+AP28+AP29+AP30+AP33+AP34+AP35+'[33]Actual &amp; Assumptions'!AP48+'[33]Actual &amp; Assumptions'!AP49+'[33]Actual &amp; Assumptions'!AP51+AP162)&lt;0,0,-(AP41+AP42+AP44+AP46+AP47+AP49+AP50+AP51+AP52+AP53+AP54+AP55+AP59+AP60+AP61+AP62+AP63+AP65+AP66+AP67+AP71+AP72+AP73+AP74+AP75+AP77+AP78+AP80+AP81+AP83+AP84+AP85+AP86+AP87+AP88+'[33]Actual &amp; Assumptions'!AP185-(AP9+AP10+AP12+AP16+AP17+AP19+AP22+AP25+AP26+AP27+AP28+AP29+AP30+AP33+AP34+AP35+'[33]Actual &amp; Assumptions'!AP48+'[33]Actual &amp; Assumptions'!AP49+'[33]Actual &amp; Assumptions'!AP51+AP162)))</f>
        <v>0</v>
      </c>
      <c r="AQ136" s="252">
        <f>IF(AQ41+AQ42+AQ44+AQ46+AQ47+AQ49+AQ50+AQ51+AQ52+AQ53+AQ54+AQ55+AQ59+AQ60+AQ61+AQ62+AQ63+AQ65+AQ66+AQ67+AQ71+AQ72+AQ73+AQ74+AQ75+AQ77+AQ78+AQ80+AQ81+AQ83+AQ84+AQ85+AQ86+AQ87+AQ88+'[33]Actual &amp; Assumptions'!AQ185-(AQ9+AQ10+AQ12+AQ16+AQ17+AQ19+AQ22+AQ25+AQ26+AQ27+AQ28+AQ29+AQ30+AQ33+AQ34+AQ35+'[33]Actual &amp; Assumptions'!AQ48+'[33]Actual &amp; Assumptions'!AQ49+'[33]Actual &amp; Assumptions'!AQ51+AQ162)&lt;0,0,-(AQ41+AQ42+AQ44+AQ46+AQ47+AQ49+AQ50+AQ51+AQ52+AQ53+AQ54+AQ55+AQ59+AQ60+AQ61+AQ62+AQ63+AQ65+AQ66+AQ67+AQ71+AQ72+AQ73+AQ74+AQ75+AQ77+AQ78+AQ80+AQ81+AQ83+AQ84+AQ85+AQ86+AQ87+AQ88+'[33]Actual &amp; Assumptions'!AQ185-(AQ9+AQ10+AQ12+AQ16+AQ17+AQ19+AQ22+AQ25+AQ26+AQ27+AQ28+AQ29+AQ30+AQ33+AQ34+AQ35+'[33]Actual &amp; Assumptions'!AQ48+'[33]Actual &amp; Assumptions'!AQ49+'[33]Actual &amp; Assumptions'!AQ51+AQ162)))</f>
        <v>0</v>
      </c>
      <c r="AR136" s="252">
        <f>IF(AR41+AR42+AR44+AR46+AR47+AR49+AR50+AR51+AR52+AR53+AR54+AR55+AR59+AR60+AR61+AR62+AR63+AR65+AR66+AR67+AR71+AR72+AR73+AR74+AR75+AR77+AR78+AR80+AR81+AR83+AR84+AR85+AR86+AR87+AR88+'[33]Actual &amp; Assumptions'!AR185-(AR9+AR10+AR12+AR16+AR17+AR19+AR22+AR25+AR26+AR27+AR28+AR29+AR30+AR33+AR34+AR35+'[33]Actual &amp; Assumptions'!AR48+'[33]Actual &amp; Assumptions'!AR49+'[33]Actual &amp; Assumptions'!AR51+AR162)&lt;0,0,-(AR41+AR42+AR44+AR46+AR47+AR49+AR50+AR51+AR52+AR53+AR54+AR55+AR59+AR60+AR61+AR62+AR63+AR65+AR66+AR67+AR71+AR72+AR73+AR74+AR75+AR77+AR78+AR80+AR81+AR83+AR84+AR85+AR86+AR87+AR88+'[33]Actual &amp; Assumptions'!AR185-(AR9+AR10+AR12+AR16+AR17+AR19+AR22+AR25+AR26+AR27+AR28+AR29+AR30+AR33+AR34+AR35+'[33]Actual &amp; Assumptions'!AR48+'[33]Actual &amp; Assumptions'!AR49+'[33]Actual &amp; Assumptions'!AR51+AR162)))</f>
        <v>0</v>
      </c>
      <c r="AS136" s="252">
        <f>IF(AS41+AS42+AS44+AS46+AS47+AS49+AS50+AS51+AS52+AS53+AS54+AS55+AS59+AS60+AS61+AS62+AS63+AS65+AS66+AS67+AS71+AS72+AS73+AS74+AS75+AS77+AS78+AS80+AS81+AS83+AS84+AS85+AS86+AS87+AS88+'[33]Actual &amp; Assumptions'!AS185-(AS9+AS10+AS12+AS16+AS17+AS19+AS22+AS25+AS26+AS27+AS28+AS29+AS30+AS33+AS34+AS35+'[33]Actual &amp; Assumptions'!AS48+'[33]Actual &amp; Assumptions'!AS49+'[33]Actual &amp; Assumptions'!AS51+AS162)&lt;0,0,-(AS41+AS42+AS44+AS46+AS47+AS49+AS50+AS51+AS52+AS53+AS54+AS55+AS59+AS60+AS61+AS62+AS63+AS65+AS66+AS67+AS71+AS72+AS73+AS74+AS75+AS77+AS78+AS80+AS81+AS83+AS84+AS85+AS86+AS87+AS88+'[33]Actual &amp; Assumptions'!AS185-(AS9+AS10+AS12+AS16+AS17+AS19+AS22+AS25+AS26+AS27+AS28+AS29+AS30+AS33+AS34+AS35+'[33]Actual &amp; Assumptions'!AS48+'[33]Actual &amp; Assumptions'!AS49+'[33]Actual &amp; Assumptions'!AS51+AS162)))</f>
        <v>0</v>
      </c>
      <c r="AT136" s="252">
        <f t="shared" ref="AT136:AY136" si="156">AS136</f>
        <v>0</v>
      </c>
      <c r="AU136" s="252">
        <f>IF(AU41+AU42+AU44+AU46+AU47+AU49+AU50+AU51+AU52+AU53+AU54+AU55+AU59+AU60+AU61+AU62+AU63+AU65+AU66+AU67+AU71+AU72+AU73+AU74+AU75+AU77+AU78+AU80+AU81+AU83+AU84+AU85+AU86+AU87+AU88+'[33]Actual &amp; Assumptions'!AU185-(AU9+AU10+AU12+AU16+AU17+AU19+AU22+AU25+AU26+AU27+AU28+AU29+AU30+AU33+AU34+AU35+'[33]Actual &amp; Assumptions'!AU48+'[33]Actual &amp; Assumptions'!AU49+'[33]Actual &amp; Assumptions'!AU51+AU162)&lt;0,0,-(AU41+AU42+AU44+AU46+AU47+AU49+AU50+AU51+AU52+AU53+AU54+AU55+AU59+AU60+AU61+AU62+AU63+AU65+AU66+AU67+AU71+AU72+AU73+AU74+AU75+AU77+AU78+AU80+AU81+AU83+AU84+AU85+AU86+AU87+AU88+'[33]Actual &amp; Assumptions'!AU185-(AU9+AU10+AU12+AU16+AU17+AU19+AU22+AU25+AU26+AU27+AU28+AU29+AU30+AU33+AU34+AU35+'[33]Actual &amp; Assumptions'!AU48+'[33]Actual &amp; Assumptions'!AU49+'[33]Actual &amp; Assumptions'!AU51+AU162)))</f>
        <v>-32882.927204159983</v>
      </c>
      <c r="AV136" s="252">
        <f>IF(AV41+AV42+AV44+AV46+AV47+AV49+AV50+AV51+AV52+AV53+AV54+AV55+AV59+AV60+AV61+AV62+AV63+AV65+AV66+AV67+AV71+AV72+AV73+AV74+AV75+AV77+AV78+AV80+AV81+AV83+AV84+AV85+AV86+AV87+AV88+'[33]Actual &amp; Assumptions'!AV185-(AV9+AV10+AV12+AV16+AV17+AV19+AV22+AV25+AV26+AV27+AV28+AV29+AV30+AV33+AV34+AV35+'[33]Actual &amp; Assumptions'!AV48+'[33]Actual &amp; Assumptions'!AV49+'[33]Actual &amp; Assumptions'!AV51+AV162)&lt;0,0,-(AV41+AV42+AV44+AV46+AV47+AV49+AV50+AV51+AV52+AV53+AV54+AV55+AV59+AV60+AV61+AV62+AV63+AV65+AV66+AV67+AV71+AV72+AV73+AV74+AV75+AV77+AV78+AV80+AV81+AV83+AV84+AV85+AV86+AV87+AV88+'[33]Actual &amp; Assumptions'!AV185-(AV9+AV10+AV12+AV16+AV17+AV19+AV22+AV25+AV26+AV27+AV28+AV29+AV30+AV33+AV34+AV35+'[33]Actual &amp; Assumptions'!AV48+'[33]Actual &amp; Assumptions'!AV49+'[33]Actual &amp; Assumptions'!AV51+AV162)))</f>
        <v>-28019.274995826716</v>
      </c>
      <c r="AW136" s="252">
        <f>IF(AW41+AW42+AW44+AW46+AW47+AW49+AW50+AW51+AW52+AW53+AW54+AW55+AW59+AW60+AW61+AW62+AW63+AW65+AW66+AW67+AW71+AW72+AW73+AW74+AW75+AW77+AW78+AW80+AW81+AW83+AW84+AW85+AW86+AW87+AW88+'[33]Actual &amp; Assumptions'!AW185-(AW9+AW10+AW12+AW16+AW17+AW19+AW22+AW25+AW26+AW27+AW28+AW29+AW30+AW33+AW34+AW35+'[33]Actual &amp; Assumptions'!AW48+'[33]Actual &amp; Assumptions'!AW49+'[33]Actual &amp; Assumptions'!AW51+AW162)&lt;0,0,-(AW41+AW42+AW44+AW46+AW47+AW49+AW50+AW51+AW52+AW53+AW54+AW55+AW59+AW60+AW61+AW62+AW63+AW65+AW66+AW67+AW71+AW72+AW73+AW74+AW75+AW77+AW78+AW80+AW81+AW83+AW84+AW85+AW86+AW87+AW88+'[33]Actual &amp; Assumptions'!AW185-(AW9+AW10+AW12+AW16+AW17+AW19+AW22+AW25+AW26+AW27+AW28+AW29+AW30+AW33+AW34+AW35+'[33]Actual &amp; Assumptions'!AW48+'[33]Actual &amp; Assumptions'!AW49+'[33]Actual &amp; Assumptions'!AW51+AW162)))</f>
        <v>-77488.230049552571</v>
      </c>
      <c r="AX136" s="252">
        <f>IF(AX41+AX42+AX44+AX46+AX47+AX49+AX50+AX51+AX52+AX53+AX54+AX55+AX59+AX60+AX61+AX62+AX63+AX65+AX66+AX67+AX71+AX72+AX73+AX74+AX75+AX77+AX78+AX80+AX81+AX83+AX84+AX85+AX86+AX87+AX88+'[33]Actual &amp; Assumptions'!AX185-(AX9+AX10+AX12+AX16+AX17+AX19+AX22+AX25+AX26+AX27+AX28+AX29+AX30+AX33+AX34+AX35+'[33]Actual &amp; Assumptions'!AX48+'[33]Actual &amp; Assumptions'!AX49+'[33]Actual &amp; Assumptions'!AX51+AX162)&lt;0,0,-(AX41+AX42+AX44+AX46+AX47+AX49+AX50+AX51+AX52+AX53+AX54+AX55+AX59+AX60+AX61+AX62+AX63+AX65+AX66+AX67+AX71+AX72+AX73+AX74+AX75+AX77+AX78+AX80+AX81+AX83+AX84+AX85+AX86+AX87+AX88+'[33]Actual &amp; Assumptions'!AX185-(AX9+AX10+AX12+AX16+AX17+AX19+AX22+AX25+AX26+AX27+AX28+AX29+AX30+AX33+AX34+AX35+'[33]Actual &amp; Assumptions'!AX48+'[33]Actual &amp; Assumptions'!AX49+'[33]Actual &amp; Assumptions'!AX51+AX162)))</f>
        <v>0</v>
      </c>
      <c r="AY136" s="252">
        <f t="shared" si="156"/>
        <v>0</v>
      </c>
      <c r="AZ136" s="252">
        <f>IF(AZ41+AZ42+AZ44+AZ46+AZ47+AZ49+AZ50+AZ51+AZ52+AZ53+AZ54+AZ55+AZ59+AZ60+AZ61+AZ62+AZ63+AZ65+AZ66+AZ67+AZ71+AZ72+AZ73+AZ74+AZ75+AZ77+AZ78+AZ80+AZ81+AZ83+AZ84+AZ85+AZ86+AZ87+AZ88+'[33]Actual &amp; Assumptions'!AZ185-(AZ9+AZ10+AZ12+AZ16+AZ17+AZ19+AZ22+AZ25+AZ26+AZ27+AZ28+AZ29+AZ30+AZ33+AZ34+AZ35+'[33]Actual &amp; Assumptions'!AZ48+'[33]Actual &amp; Assumptions'!AZ49+'[33]Actual &amp; Assumptions'!AZ51+AZ162)&lt;0,0,-(AZ41+AZ42+AZ44+AZ46+AZ47+AZ49+AZ50+AZ51+AZ52+AZ53+AZ54+AZ55+AZ59+AZ60+AZ61+AZ62+AZ63+AZ65+AZ66+AZ67+AZ71+AZ72+AZ73+AZ74+AZ75+AZ77+AZ78+AZ80+AZ81+AZ83+AZ84+AZ85+AZ86+AZ87+AZ88+'[33]Actual &amp; Assumptions'!AZ185-(AZ9+AZ10+AZ12+AZ16+AZ17+AZ19+AZ22+AZ25+AZ26+AZ27+AZ28+AZ29+AZ30+AZ33+AZ34+AZ35+'[33]Actual &amp; Assumptions'!AZ48+'[33]Actual &amp; Assumptions'!AZ49+'[33]Actual &amp; Assumptions'!AZ51+AZ162)))</f>
        <v>0</v>
      </c>
      <c r="BA136" s="252">
        <f>IF(BA41+BA42+BA44+BA46+BA47+BA49+BA50+BA51+BA52+BA53+BA54+BA55+BA59+BA60+BA61+BA62+BA63+BA65+BA66+BA67+BA71+BA72+BA73+BA74+BA75+BA77+BA78+BA80+BA81+BA83+BA84+BA85+BA86+BA87+BA88+'[33]Actual &amp; Assumptions'!BA185-(BA9+BA10+BA12+BA16+BA17+BA19+BA22+BA25+BA26+BA27+BA28+BA29+BA30+BA33+BA34+BA35+'[33]Actual &amp; Assumptions'!BA48+'[33]Actual &amp; Assumptions'!BA49+'[33]Actual &amp; Assumptions'!BA51+BA162)&lt;0,0,-(BA41+BA42+BA44+BA46+BA47+BA49+BA50+BA51+BA52+BA53+BA54+BA55+BA59+BA60+BA61+BA62+BA63+BA65+BA66+BA67+BA71+BA72+BA73+BA74+BA75+BA77+BA78+BA80+BA81+BA83+BA84+BA85+BA86+BA87+BA88+'[33]Actual &amp; Assumptions'!BA185-(BA9+BA10+BA12+BA16+BA17+BA19+BA22+BA25+BA26+BA27+BA28+BA29+BA30+BA33+BA34+BA35+'[33]Actual &amp; Assumptions'!BA48+'[33]Actual &amp; Assumptions'!BA49+'[33]Actual &amp; Assumptions'!BA51+BA162)))</f>
        <v>0</v>
      </c>
      <c r="BB136" s="252">
        <f>IF(BB41+BB42+BB44+BB46+BB47+BB49+BB50+BB51+BB52+BB53+BB54+BB55+BB59+BB60+BB61+BB62+BB63+BB65+BB66+BB67+BB71+BB72+BB73+BB74+BB75+BB77+BB78+BB80+BB81+BB83+BB84+BB85+BB86+BB87+BB88+'[33]Actual &amp; Assumptions'!BB185-(BB9+BB10+BB12+BB16+BB17+BB19+BB22+BB25+BB26+BB27+BB28+BB29+BB30+BB33+BB34+BB35+'[33]Actual &amp; Assumptions'!BB48+'[33]Actual &amp; Assumptions'!BB49+'[33]Actual &amp; Assumptions'!BB51+BB162)&lt;0,0,-(BB41+BB42+BB44+BB46+BB47+BB49+BB50+BB51+BB52+BB53+BB54+BB55+BB59+BB60+BB61+BB62+BB63+BB65+BB66+BB67+BB71+BB72+BB73+BB74+BB75+BB77+BB78+BB80+BB81+BB83+BB84+BB85+BB86+BB87+BB88+'[33]Actual &amp; Assumptions'!BB185-(BB9+BB10+BB12+BB16+BB17+BB19+BB22+BB25+BB26+BB27+BB28+BB29+BB30+BB33+BB34+BB35+'[33]Actual &amp; Assumptions'!BB48+'[33]Actual &amp; Assumptions'!BB49+'[33]Actual &amp; Assumptions'!BB51+BB162)))</f>
        <v>0</v>
      </c>
      <c r="BC136" s="252">
        <f>IF(BC41+BC42+BC44+BC46+BC47+BC49+BC50+BC51+BC52+BC53+BC54+BC55+BC59+BC60+BC61+BC62+BC63+BC65+BC66+BC67+BC71+BC72+BC73+BC74+BC75+BC77+BC78+BC80+BC81+BC83+BC84+BC85+BC86+BC87+BC88+'[33]Actual &amp; Assumptions'!BC185-(BC9+BC10+BC12+BC16+BC17+BC19+BC22+BC25+BC26+BC27+BC28+BC29+BC30+BC33+BC34+BC35+'[33]Actual &amp; Assumptions'!BC48+'[33]Actual &amp; Assumptions'!BC49+'[33]Actual &amp; Assumptions'!BC51+BC162)&lt;0,0,-(BC41+BC42+BC44+BC46+BC47+BC49+BC50+BC51+BC52+BC53+BC54+BC55+BC59+BC60+BC61+BC62+BC63+BC65+BC66+BC67+BC71+BC72+BC73+BC74+BC75+BC77+BC78+BC80+BC81+BC83+BC84+BC85+BC86+BC87+BC88+'[33]Actual &amp; Assumptions'!BC185-(BC9+BC10+BC12+BC16+BC17+BC19+BC22+BC25+BC26+BC27+BC28+BC29+BC30+BC33+BC34+BC35+'[33]Actual &amp; Assumptions'!BC48+'[33]Actual &amp; Assumptions'!BC49+'[33]Actual &amp; Assumptions'!BC51+BC162)))</f>
        <v>0</v>
      </c>
      <c r="BD136" s="252">
        <f>IF(BD41+BD42+BD44+BD46+BD47+BD49+BD50+BD51+BD52+BD53+BD54+BD55+BD59+BD60+BD61+BD62+BD63+BD65+BD66+BD67+BD71+BD72+BD73+BD74+BD75+BD77+BD78+BD80+BD81+BD83+BD84+BD85+BD86+BD87+BD88+'[33]Actual &amp; Assumptions'!BD185-(BD9+BD10+BD12+BD16+BD17+BD19+BD22+BD25+BD26+BD27+BD28+BD29+BD30+BD33+BD34+BD35+'[33]Actual &amp; Assumptions'!BD48+'[33]Actual &amp; Assumptions'!BD49+'[33]Actual &amp; Assumptions'!BD51+BD162)&lt;0,0,-(BD41+BD42+BD44+BD46+BD47+BD49+BD50+BD51+BD52+BD53+BD54+BD55+BD59+BD60+BD61+BD62+BD63+BD65+BD66+BD67+BD71+BD72+BD73+BD74+BD75+BD77+BD78+BD80+BD81+BD83+BD84+BD85+BD86+BD87+BD88+'[33]Actual &amp; Assumptions'!BD185-(BD9+BD10+BD12+BD16+BD17+BD19+BD22+BD25+BD26+BD27+BD28+BD29+BD30+BD33+BD34+BD35+'[33]Actual &amp; Assumptions'!BD48+'[33]Actual &amp; Assumptions'!BD49+'[33]Actual &amp; Assumptions'!BD51+BD162)))</f>
        <v>0</v>
      </c>
      <c r="BE136" s="252">
        <f>IF(BE41+BE42+BE44+BE46+BE47+BE49+BE50+BE51+BE52+BE53+BE54+BE55+BE59+BE60+BE61+BE62+BE63+BE65+BE66+BE67+BE71+BE72+BE73+BE74+BE75+BE77+BE78+BE80+BE81+BE83+BE84+BE85+BE86+BE87+BE88+'[33]Actual &amp; Assumptions'!BE185-(BE9+BE10+BE12+BE16+BE17+BE19+BE22+BE25+BE26+BE27+BE28+BE29+BE30+BE33+BE34+BE35+'[33]Actual &amp; Assumptions'!BE48+'[33]Actual &amp; Assumptions'!BE49+'[33]Actual &amp; Assumptions'!BE51+BE162)&lt;0,0,-(BE41+BE42+BE44+BE46+BE47+BE49+BE50+BE51+BE52+BE53+BE54+BE55+BE59+BE60+BE61+BE62+BE63+BE65+BE66+BE67+BE71+BE72+BE73+BE74+BE75+BE77+BE78+BE80+BE81+BE83+BE84+BE85+BE86+BE87+BE88+'[33]Actual &amp; Assumptions'!BE185-(BE9+BE10+BE12+BE16+BE17+BE19+BE22+BE25+BE26+BE27+BE28+BE29+BE30+BE33+BE34+BE35+'[33]Actual &amp; Assumptions'!BE48+'[33]Actual &amp; Assumptions'!BE49+'[33]Actual &amp; Assumptions'!BE51+BE162)))</f>
        <v>0</v>
      </c>
      <c r="BF136" s="252">
        <f>IF(BF41+BF42+BF44+BF46+BF47+BF49+BF50+BF51+BF52+BF53+BF54+BF55+BF59+BF60+BF61+BF62+BF63+BF65+BF66+BF67+BF71+BF72+BF73+BF74+BF75+BF77+BF78+BF80+BF81+BF83+BF84+BF85+BF86+BF87+BF88+'[33]Actual &amp; Assumptions'!BF185-(BF9+BF10+BF12+BF16+BF17+BF19+BF22+BF25+BF26+BF27+BF28+BF29+BF30+BF33+BF34+BF35+'[33]Actual &amp; Assumptions'!BF48+'[33]Actual &amp; Assumptions'!BF49+'[33]Actual &amp; Assumptions'!BF51+BF162)&lt;0,0,-(BF41+BF42+BF44+BF46+BF47+BF49+BF50+BF51+BF52+BF53+BF54+BF55+BF59+BF60+BF61+BF62+BF63+BF65+BF66+BF67+BF71+BF72+BF73+BF74+BF75+BF77+BF78+BF80+BF81+BF83+BF84+BF85+BF86+BF87+BF88+'[33]Actual &amp; Assumptions'!BF185-(BF9+BF10+BF12+BF16+BF17+BF19+BF22+BF25+BF26+BF27+BF28+BF29+BF30+BF33+BF34+BF35+'[33]Actual &amp; Assumptions'!BF48+'[33]Actual &amp; Assumptions'!BF49+'[33]Actual &amp; Assumptions'!BF51+BF162)))</f>
        <v>0</v>
      </c>
      <c r="BG136" s="252">
        <f>IF(BG41+BG42+BG44+BG46+BG47+BG49+BG50+BG51+BG52+BG53+BG54+BG55+BG59+BG60+BG61+BG62+BG63+BG65+BG66+BG67+BG71+BG72+BG73+BG74+BG75+BG77+BG78+BG80+BG81+BG83+BG84+BG85+BG86+BG87+BG88+'[33]Actual &amp; Assumptions'!BG185-(BG9+BG10+BG12+BG16+BG17+BG19+BG22+BG25+BG26+BG27+BG28+BG29+BG30+BG33+BG34+BG35+'[33]Actual &amp; Assumptions'!BG48+'[33]Actual &amp; Assumptions'!BG49+'[33]Actual &amp; Assumptions'!BG51+BG162)&lt;0,0,-(BG41+BG42+BG44+BG46+BG47+BG49+BG50+BG51+BG52+BG53+BG54+BG55+BG59+BG60+BG61+BG62+BG63+BG65+BG66+BG67+BG71+BG72+BG73+BG74+BG75+BG77+BG78+BG80+BG81+BG83+BG84+BG85+BG86+BG87+BG88+'[33]Actual &amp; Assumptions'!BG185-(BG9+BG10+BG12+BG16+BG17+BG19+BG22+BG25+BG26+BG27+BG28+BG29+BG30+BG33+BG34+BG35+'[33]Actual &amp; Assumptions'!BG48+'[33]Actual &amp; Assumptions'!BG49+'[33]Actual &amp; Assumptions'!BG51+BG162)))</f>
        <v>0</v>
      </c>
      <c r="BH136" s="252">
        <f>IF(BH41+BH42+BH44+BH46+BH47+BH49+BH50+BH51+BH52+BH53+BH54+BH55+BH59+BH60+BH61+BH62+BH63+BH65+BH66+BH67+BH71+BH72+BH73+BH74+BH75+BH77+BH78+BH80+BH81+BH83+BH84+BH85+BH86+BH87+BH88+'[33]Actual &amp; Assumptions'!BH185-(BH9+BH10+BH12+BH16+BH17+BH19+BH22+BH25+BH26+BH27+BH28+BH29+BH30+BH33+BH34+BH35+'[33]Actual &amp; Assumptions'!BH48+'[33]Actual &amp; Assumptions'!BH49+'[33]Actual &amp; Assumptions'!BH51+BH162)&lt;0,0,-(BH41+BH42+BH44+BH46+BH47+BH49+BH50+BH51+BH52+BH53+BH54+BH55+BH59+BH60+BH61+BH62+BH63+BH65+BH66+BH67+BH71+BH72+BH73+BH74+BH75+BH77+BH78+BH80+BH81+BH83+BH84+BH85+BH86+BH87+BH88+'[33]Actual &amp; Assumptions'!BH185-(BH9+BH10+BH12+BH16+BH17+BH19+BH22+BH25+BH26+BH27+BH28+BH29+BH30+BH33+BH34+BH35+'[33]Actual &amp; Assumptions'!BH48+'[33]Actual &amp; Assumptions'!BH49+'[33]Actual &amp; Assumptions'!BH51+BH162)))</f>
        <v>0</v>
      </c>
      <c r="BI136" s="252">
        <f>IF(BI41+BI42+BI44+BI46+BI47+BI49+BI50+BI51+BI52+BI53+BI54+BI55+BI59+BI60+BI61+BI62+BI63+BI65+BI66+BI67+BI71+BI72+BI73+BI74+BI75+BI77+BI78+BI80+BI81+BI83+BI84+BI85+BI86+BI87+BI88+'[33]Actual &amp; Assumptions'!BI185-(BI9+BI10+BI12+BI16+BI17+BI19+BI22+BI25+BI26+BI27+BI28+BI29+BI30+BI33+BI34+BI35+'[33]Actual &amp; Assumptions'!BI48+'[33]Actual &amp; Assumptions'!BI49+'[33]Actual &amp; Assumptions'!BI51+BI162)&lt;0,0,-(BI41+BI42+BI44+BI46+BI47+BI49+BI50+BI51+BI52+BI53+BI54+BI55+BI59+BI60+BI61+BI62+BI63+BI65+BI66+BI67+BI71+BI72+BI73+BI74+BI75+BI77+BI78+BI80+BI81+BI83+BI84+BI85+BI86+BI87+BI88+'[33]Actual &amp; Assumptions'!BI185-(BI9+BI10+BI12+BI16+BI17+BI19+BI22+BI25+BI26+BI27+BI28+BI29+BI30+BI33+BI34+BI35+'[33]Actual &amp; Assumptions'!BI48+'[33]Actual &amp; Assumptions'!BI49+'[33]Actual &amp; Assumptions'!BI51+BI162)))</f>
        <v>0</v>
      </c>
      <c r="BJ136" s="252">
        <f>IF(BJ41+BJ42+BJ44+BJ46+BJ47+BJ49+BJ50+BJ51+BJ52+BJ53+BJ54+BJ55+BJ59+BJ60+BJ61+BJ62+BJ63+BJ65+BJ66+BJ67+BJ71+BJ72+BJ73+BJ74+BJ75+BJ77+BJ78+BJ80+BJ81+BJ83+BJ84+BJ85+BJ86+BJ87+BJ88+'[33]Actual &amp; Assumptions'!BJ185-(BJ9+BJ10+BJ12+BJ16+BJ17+BJ19+BJ22+BJ25+BJ26+BJ27+BJ28+BJ29+BJ30+BJ33+BJ34+BJ35+'[33]Actual &amp; Assumptions'!BJ48+'[33]Actual &amp; Assumptions'!BJ49+'[33]Actual &amp; Assumptions'!BJ51+BJ162)&lt;0,0,-(BJ41+BJ42+BJ44+BJ46+BJ47+BJ49+BJ50+BJ51+BJ52+BJ53+BJ54+BJ55+BJ59+BJ60+BJ61+BJ62+BJ63+BJ65+BJ66+BJ67+BJ71+BJ72+BJ73+BJ74+BJ75+BJ77+BJ78+BJ80+BJ81+BJ83+BJ84+BJ85+BJ86+BJ87+BJ88+'[33]Actual &amp; Assumptions'!BJ185-(BJ9+BJ10+BJ12+BJ16+BJ17+BJ19+BJ22+BJ25+BJ26+BJ27+BJ28+BJ29+BJ30+BJ33+BJ34+BJ35+'[33]Actual &amp; Assumptions'!BJ48+'[33]Actual &amp; Assumptions'!BJ49+'[33]Actual &amp; Assumptions'!BJ51+BJ162)))</f>
        <v>0</v>
      </c>
      <c r="BK136" s="252">
        <f>IF(BK41+BK42+BK44+BK46+BK47+BK49+BK50+BK51+BK52+BK53+BK54+BK55+BK59+BK60+BK61+BK62+BK63+BK65+BK66+BK67+BK71+BK72+BK73+BK74+BK75+BK77+BK78+BK80+BK81+BK83+BK84+BK85+BK86+BK87+BK88+'[33]Actual &amp; Assumptions'!BK185-(BK9+BK10+BK12+BK16+BK17+BK19+BK22+BK25+BK26+BK27+BK28+BK29+BK30+BK33+BK34+BK35+'[33]Actual &amp; Assumptions'!BK48+'[33]Actual &amp; Assumptions'!BK49+'[33]Actual &amp; Assumptions'!BK51+BK162)&lt;0,0,-(BK41+BK42+BK44+BK46+BK47+BK49+BK50+BK51+BK52+BK53+BK54+BK55+BK59+BK60+BK61+BK62+BK63+BK65+BK66+BK67+BK71+BK72+BK73+BK74+BK75+BK77+BK78+BK80+BK81+BK83+BK84+BK85+BK86+BK87+BK88+'[33]Actual &amp; Assumptions'!BK185-(BK9+BK10+BK12+BK16+BK17+BK19+BK22+BK25+BK26+BK27+BK28+BK29+BK30+BK33+BK34+BK35+'[33]Actual &amp; Assumptions'!BK48+'[33]Actual &amp; Assumptions'!BK49+'[33]Actual &amp; Assumptions'!BK51+BK162)))</f>
        <v>0</v>
      </c>
      <c r="BL136" s="252">
        <f>IF(BL41+BL42+BL44+BL46+BL47+BL49+BL50+BL51+BL52+BL53+BL54+BL55+BL59+BL60+BL61+BL62+BL63+BL65+BL66+BL67+BL71+BL72+BL73+BL74+BL75+BL77+BL78+BL80+BL81+BL83+BL84+BL85+BL86+BL87+BL88+'[33]Actual &amp; Assumptions'!BL185-(BL9+BL10+BL12+BL16+BL17+BL19+BL22+BL25+BL26+BL27+BL28+BL29+BL30+BL33+BL34+BL35+'[33]Actual &amp; Assumptions'!BL48+'[33]Actual &amp; Assumptions'!BL49+'[33]Actual &amp; Assumptions'!BL51+BL162)&lt;0,0,-(BL41+BL42+BL44+BL46+BL47+BL49+BL50+BL51+BL52+BL53+BL54+BL55+BL59+BL60+BL61+BL62+BL63+BL65+BL66+BL67+BL71+BL72+BL73+BL74+BL75+BL77+BL78+BL80+BL81+BL83+BL84+BL85+BL86+BL87+BL88+'[33]Actual &amp; Assumptions'!BL185-(BL9+BL10+BL12+BL16+BL17+BL19+BL22+BL25+BL26+BL27+BL28+BL29+BL30+BL33+BL34+BL35+'[33]Actual &amp; Assumptions'!BL48+'[33]Actual &amp; Assumptions'!BL49+'[33]Actual &amp; Assumptions'!BL51+BL162)))</f>
        <v>0</v>
      </c>
    </row>
    <row r="137" spans="1:272" hidden="1" outlineLevel="1">
      <c r="A137" s="251" t="s">
        <v>439</v>
      </c>
      <c r="B137" s="159"/>
      <c r="C137" s="252"/>
      <c r="D137" s="252"/>
      <c r="E137" s="252"/>
      <c r="F137" s="252"/>
      <c r="G137" s="252"/>
      <c r="H137" s="252"/>
      <c r="I137" s="252">
        <f>IF(I41+I42+I44+I46+I47+I49+I50+I51+I52+I53+I54+I55+I59+I60+I61+I62+I63+I65+I66+I67+I71+I72+I73+I74+I75+I77+I78+I80+I81+I83+I84+I85+I87+I88+'[33]Actual &amp; Assumptions'!I185-(I9+I10+I12+I16+I17+I19+I22+I25+I26+I27+I29+I30+I33+I35+'[33]Actual &amp; Assumptions'!I48+'[33]Actual &amp; Assumptions'!I49)&gt;0,0,-(I41+I42+I44+I46+I47+I49+I50+I51+I52+I53+I54+I55+I59+I60+I61+I62+I63+I65+I66+I67+I71+I72+I73+I74+I75+I77+I78+I80+I81+I83+I84+I85+I87+I88+'[33]Actual &amp; Assumptions'!I185-(I9+I10+I12+I16+I17+I19+I22+I25+I26+I27+I29+I30+I33+I35+'[33]Actual &amp; Assumptions'!I48+'[33]Actual &amp; Assumptions'!I49)))</f>
        <v>0</v>
      </c>
      <c r="J137" s="252">
        <f>IF(J41+J42+J44+J46+J47+J49+J50+J51+J52+J53+J54+J55+J59+J60+J61+J62+J63+J65+J66+J67+J71+J72+J73+J74+J75+J77+J78+J80+J81+J83+J84+J85+J87+J88+'[33]Actual &amp; Assumptions'!J185-(J9+J10+J12+J16+J17+J19+J22+J25+J26+J27+J29+J30+J33+J35+'[33]Actual &amp; Assumptions'!J48+'[33]Actual &amp; Assumptions'!J49)&gt;0,0,-(J41+J42+J44+J46+J47+J49+J50+J51+J52+J53+J54+J55+J59+J60+J61+J62+J63+J65+J66+J67+J71+J72+J73+J74+J75+J77+J78+J80+J81+J83+J84+J85+J87+J88+'[33]Actual &amp; Assumptions'!J185-(J9+J10+J12+J16+J17+J19+J22+J25+J26+J27+J29+J30+J33+J35+'[33]Actual &amp; Assumptions'!J48+'[33]Actual &amp; Assumptions'!J49)))</f>
        <v>0</v>
      </c>
      <c r="K137" s="252">
        <f>IF(K41+K42+K44+K46+K47+K49+K50+K51+K52+K53+K54+K55+K59+K60+K61+K62+K63+K65+K66+K67+K71+K72+K73+K74+K75+K77+K78+K80+K81+K83+K84+K85+K87+K88+'[33]Actual &amp; Assumptions'!K185-(K9+K10+K12+K16+K17+K19+K22+K25+K26+K27+K29+K30+K33+K35+'[33]Actual &amp; Assumptions'!K48+'[33]Actual &amp; Assumptions'!K49)&gt;0,0,-(K41+K42+K44+K46+K47+K49+K50+K51+K52+K53+K54+K55+K59+K60+K61+K62+K63+K65+K66+K67+K71+K72+K73+K74+K75+K77+K78+K80+K81+K83+K84+K85+K87+K88+'[33]Actual &amp; Assumptions'!K185-(K9+K10+K12+K16+K17+K19+K22+K25+K26+K27+K29+K30+K33+K35+'[33]Actual &amp; Assumptions'!K48+'[33]Actual &amp; Assumptions'!K49)))</f>
        <v>0</v>
      </c>
      <c r="L137" s="252">
        <f>IF(L41+L42+L44+L46+L47+L49+L50+L51+L52+L53+L54+L55+L59+L60+L61+L62+L63+L65+L66+L67+L71+L72+L73+L74+L75+L77+L78+L80+L81+L83+L84+L85+L87+L88+'[33]Actual &amp; Assumptions'!L185-(L9+L10+L12+L16+L17+L19+L22+L25+L26+L27+L29+L30+L33+L35+'[33]Actual &amp; Assumptions'!L48+'[33]Actual &amp; Assumptions'!L49+L161)&gt;0,0,-(L41+L42+L44+L46+L47+L49+L50+L51+L52+L53+L54+L55+L59+L60+L61+L62+L63+L65+L66+L67+L71+L72+L73+L74+L75+L77+L78+L80+L81+L83+L84+L85+L87+L88+'[33]Actual &amp; Assumptions'!L185-(L9+L10+L12+L16+L17+L19+L22+L25+L26+L27+L29+L30+L33+L35+'[33]Actual &amp; Assumptions'!L48+'[33]Actual &amp; Assumptions'!L49+L161)))</f>
        <v>18642.979259999964</v>
      </c>
      <c r="M137" s="252">
        <f>IF(M41+M42+M44+M46+M47+M49+M50+M51+M52+M53+M54+M55+M59+M60+M61+M62+M63+M65+M66+M67+M71+M72+M73+M74+M75+M77+M78+M80+M81+M83+M84+M85+M87+M88+'[33]Actual &amp; Assumptions'!M185-(M9+M10+M12+M16+M17+M19+M22+M25+M26+M27+M29+M30+M33+M35+'[33]Actual &amp; Assumptions'!M48+'[33]Actual &amp; Assumptions'!M49+M161)&gt;0,0,-(M41+M42+M44+M46+M47+M49+M50+M51+M52+M53+M54+M55+M59+M60+M61+M62+M63+M65+M66+M67+M71+M72+M73+M74+M75+M77+M78+M80+M81+M83+M84+M85+M87+M88+'[33]Actual &amp; Assumptions'!M185-(M9+M10+M12+M16+M17+M19+M22+M25+M26+M27+M29+M30+M33+M35+'[33]Actual &amp; Assumptions'!M48+'[33]Actual &amp; Assumptions'!M49+M161)))</f>
        <v>19302.639839999436</v>
      </c>
      <c r="N137" s="252">
        <f>IF(N41+N42+N44+N46+N47+N49+N50+N51+N52+N53+N54+N55+N59+N60+N61+N62+N63+N65+N66+N67+N71+N72+N73+N74+N75+N77+N78+N80+N81+N83+N84+N85+N87+N88+'[33]Actual &amp; Assumptions'!N185-(N9+N10+N12+N16+N17+N19+N22+N25+N26+N27+N29+N30+N33+N35+'[33]Actual &amp; Assumptions'!N48+'[33]Actual &amp; Assumptions'!N49+N161)&gt;0,0,-(N41+N42+N44+N46+N47+N49+N50+N51+N52+N53+N54+N55+N59+N60+N61+N62+N63+N65+N66+N67+N71+N72+N73+N74+N75+N77+N78+N80+N81+N83+N84+N85+N87+N88+'[33]Actual &amp; Assumptions'!N185-(N9+N10+N12+N16+N17+N19+N22+N25+N26+N27+N29+N30+N33+N35+'[33]Actual &amp; Assumptions'!N48+'[33]Actual &amp; Assumptions'!N49+N161)))</f>
        <v>23467.568120000011</v>
      </c>
      <c r="O137" s="252">
        <f>IF(O41+O42+O44+O46+O47+O49+O50+O51+O52+O53+O54+O55+O59+O60+O61+O62+O63+O65+O66+O67+O71+O72+O73+O74+O75+O77+O78+O80+O81+O83+O84+O85+O87+O88+'[33]Actual &amp; Assumptions'!O185-(O9+O10+O12+O16+O17+O19+O22+O25+O26+O27+O29+O30+O33+O35+'[33]Actual &amp; Assumptions'!O48+'[33]Actual &amp; Assumptions'!O49+O161)&gt;0,0,-(O41+O42+O44+O46+O47+O49+O50+O51+O52+O53+O54+O55+O59+O60+O61+O62+O63+O65+O66+O67+O71+O72+O73+O74+O75+O77+O78+O80+O81+O83+O84+O85+O87+O88+'[33]Actual &amp; Assumptions'!O185-(O9+O10+O12+O16+O17+O19+O22+O25+O26+O27+O29+O30+O33+O35+'[33]Actual &amp; Assumptions'!O48+'[33]Actual &amp; Assumptions'!O49+O161)))</f>
        <v>0</v>
      </c>
      <c r="P137" s="252">
        <f>IF(P41+P42+P44+P46+P47+P49+P50+P51+P52+P53+P54+P55+P59+P60+P61+P62+P63+P65+P66+P67+P71+P72+P73+P74+P75+P77+P78+P80+P81+P83+P84+P85+P87+P88+'[33]Actual &amp; Assumptions'!P185-(P9+P10+P12+P16+P17+P19+P22+P25+P26+P27+P29+P30+P33+P35+'[33]Actual &amp; Assumptions'!P48+'[33]Actual &amp; Assumptions'!P49)&gt;0,0,-(P41+P42+P44+P46+P47+P49+P50+P51+P52+P53+P54+P55+P59+P60+P61+P62+P63+P65+P66+P67+P71+P72+P73+P74+P75+P77+P78+P80+P81+P83+P84+P85+P87+P88+'[33]Actual &amp; Assumptions'!P185-(P9+P10+P12+P16+P17+P19+P22+P25+P26+P27+P29+P30+P33+P35+'[33]Actual &amp; Assumptions'!P48+'[33]Actual &amp; Assumptions'!P49)))</f>
        <v>1436.2056099996844</v>
      </c>
      <c r="Q137" s="252">
        <f>IF(Q41+Q42+Q44+Q46+Q47+Q49+Q50+Q51+Q52+Q53+Q54+Q55+Q59+Q60+Q61+Q62+Q63+Q65+Q66+Q67+Q71+Q72+Q73+Q74+Q75+Q77+Q78+Q80+Q81+Q83+Q84+Q85+Q87+Q88+'[33]Actual &amp; Assumptions'!Q185-(Q9+Q10+Q12+Q16+Q17+Q19+Q22+Q25+Q26+Q27+Q29+Q30+Q33+Q35+'[33]Actual &amp; Assumptions'!Q48+'[33]Actual &amp; Assumptions'!Q49)&gt;0,0,-(Q41+Q42+Q44+Q46+Q47+Q49+Q50+Q51+Q52+Q53+Q54+Q55+Q59+Q60+Q61+Q62+Q63+Q65+Q66+Q67+Q71+Q72+Q73+Q74+Q75+Q77+Q78+Q80+Q81+Q83+Q84+Q85+Q87+Q88+'[33]Actual &amp; Assumptions'!Q185-(Q9+Q10+Q12+Q16+Q17+Q19+Q22+Q25+Q26+Q27+Q29+Q30+Q33+Q35+'[33]Actual &amp; Assumptions'!Q48+'[33]Actual &amp; Assumptions'!Q49)))</f>
        <v>17521.316300000006</v>
      </c>
      <c r="R137" s="252">
        <f>IF(R41+R42+R44+R46+R47+R49+R50+R51+R52+R53+R54+R55+R59+R60+R61+R62+R63+R65+R66+R67+R71+R72+R73+R74+R75+R77+R78+R80+R81+R83+R84+R85+R87+R88+'[33]Actual &amp; Assumptions'!R185-(R9+R10+R12+R16+R17+R19+R22+R25+R26+R27+R29+R30+R33+R35+'[33]Actual &amp; Assumptions'!R48+'[33]Actual &amp; Assumptions'!R49)&gt;0,0,-(R41+R42+R44+R46+R47+R49+R50+R51+R52+R53+R54+R55+R59+R60+R61+R62+R63+R65+R66+R67+R71+R72+R73+R74+R75+R77+R78+R80+R81+R83+R84+R85+R87+R88+'[33]Actual &amp; Assumptions'!R185-(R9+R10+R12+R16+R17+R19+R22+R25+R26+R27+R29+R30+R33+R35+'[33]Actual &amp; Assumptions'!R48+'[33]Actual &amp; Assumptions'!R49)))</f>
        <v>6651.5021265993455</v>
      </c>
      <c r="S137" s="252">
        <f>IF(S41+S42+S44+S46+S47+S49+S50+S51+S52+S53+S54+S55+S59+S60+S61+S62+S63+S65+S66+S67+S71+S72+S73+S74+S75+S77+S78+S80+S81+S83+S84+S85+S87+S88+'[33]Actual &amp; Assumptions'!S185-(S9+S10+S12+S16+S17+S19+S22+S25+S26+S27+S29+S30+S33+S35+'[33]Actual &amp; Assumptions'!S48+'[33]Actual &amp; Assumptions'!S49)&gt;0,0,-(S41+S42+S44+S46+S47+S49+S50+S51+S52+S53+S54+S55+S59+S60+S61+S62+S63+S65+S66+S67+S71+S72+S73+S74+S75+S77+S78+S80+S81+S83+S84+S85+S87+S88+'[33]Actual &amp; Assumptions'!S185-(S9+S10+S12+S16+S17+S19+S22+S25+S26+S27+S29+S30+S33+S35+'[33]Actual &amp; Assumptions'!S48+'[33]Actual &amp; Assumptions'!S49)))</f>
        <v>2233.0088665991498</v>
      </c>
      <c r="T137" s="252">
        <f>IF(T41+T42+T44+T46+T47+T49+T50+T51+T52+T53+T54+T55+T59+T60+T61+T62+T63+T65+T66+T67+T71+T72+T73+T74+T75+T77+T78+T80+T81+T83+T84+T85+T87+T88+'[33]Actual &amp; Assumptions'!T185-(T9+T10+T12+T16+T17+T19+T22+T25+T26+T27+T29+T30+T33+T35+'[33]Actual &amp; Assumptions'!T48+'[33]Actual &amp; Assumptions'!T49)&gt;0,0,-(T41+T42+T44+T46+T47+T49+T50+T51+T52+T53+T54+T55+T59+T60+T61+T62+T63+T65+T66+T67+T71+T72+T73+T74+T75+T77+T78+T80+T81+T83+T84+T85+T87+T88+'[33]Actual &amp; Assumptions'!T185-(T9+T10+T12+T16+T17+T19+T22+T25+T26+T27+T29+T30+T33+T35+'[33]Actual &amp; Assumptions'!T48+'[33]Actual &amp; Assumptions'!T49)))</f>
        <v>0</v>
      </c>
      <c r="U137" s="252">
        <f>IF(U41+U42+U44+U46+U47+U49+U50+U51+U52+U53+U54+U55+U59+U60+U61+U62+U63+U65+U66+U67+U71+U72+U73+U74+U75+U77+U78+U80+U81+U83+U84+U85+U87+U88+'[33]Actual &amp; Assumptions'!U185-(U9+U10+U12+U16+U17+U19+U22+U25+U26+U27+U29+U30+U33+U35+'[33]Actual &amp; Assumptions'!U48+'[33]Actual &amp; Assumptions'!U49)&gt;0,0,-(U41+U42+U44+U46+U47+U49+U50+U51+U52+U53+U54+U55+U59+U60+U61+U62+U63+U65+U66+U67+U71+U72+U73+U74+U75+U77+U78+U80+U81+U83+U84+U85+U87+U88+'[33]Actual &amp; Assumptions'!U185-(U9+U10+U12+U16+U17+U19+U22+U25+U26+U27+U29+U30+U33+U35+'[33]Actual &amp; Assumptions'!U48+'[33]Actual &amp; Assumptions'!U49)))</f>
        <v>0</v>
      </c>
      <c r="V137" s="252">
        <f>IF(V41+V42+V44+V46+V47+V49+V50+V51+V52+V53+V54+V55+V59+V60+V61+V62+V63+V65+V66+V67+V71+V72+V73+V74+V75+V77+V78+V80+V81+V83+V84+V85+V87+V88+'[33]Actual &amp; Assumptions'!V185-(V9+V10+V12+V16+V17+V19+V22+V25+V26+V27+V29+V30+V33+V35+'[33]Actual &amp; Assumptions'!V48+'[33]Actual &amp; Assumptions'!V49)&gt;0,0,-(V41+V42+V44+V46+V47+V49+V50+V51+V52+V53+V54+V55+V59+V60+V61+V62+V63+V65+V66+V67+V71+V72+V73+V74+V75+V77+V78+V80+V81+V83+V84+V85+V87+V88+'[33]Actual &amp; Assumptions'!V185-(V9+V10+V12+V16+V17+V19+V22+V25+V26+V27+V29+V30+V33+V35+'[33]Actual &amp; Assumptions'!V48+'[33]Actual &amp; Assumptions'!V49)))</f>
        <v>9770.4913539876543</v>
      </c>
      <c r="W137" s="252">
        <f>IF(W41+W42+W44+W46+W47+W49+W50+W51+W52+W53+W54+W55+W59+W60+W61+W62+W63+W65+W66+W67+W71+W72+W73+W74+W75+W77+W78+W80+W81+W83+W84+W85+W87+W88+'[33]Actual &amp; Assumptions'!W185-(W9+W10+W12+W16+W17+W19+W22+W25+W26+W27+W29+W30+W33+W35+'[33]Actual &amp; Assumptions'!W48+'[33]Actual &amp; Assumptions'!W49)&gt;0,0,-(W41+W42+W44+W46+W47+W49+W50+W51+W52+W53+W54+W55+W59+W60+W61+W62+W63+W65+W66+W67+W71+W72+W73+W74+W75+W77+W78+W80+W81+W83+W84+W85+W87+W88+'[33]Actual &amp; Assumptions'!W185-(W9+W10+W12+W16+W17+W19+W22+W25+W26+W27+W29+W30+W33+W35+'[33]Actual &amp; Assumptions'!W48+'[33]Actual &amp; Assumptions'!W49)))</f>
        <v>0</v>
      </c>
      <c r="X137" s="252">
        <f>IF(X41+X42+X44+X46+X47+X49+X50+X51+X52+X53+X54+X55+X59+X60+X61+X62+X63+X65+X66+X67+X71+X72+X73+X74+X75+X77+X78+X80+X81+X83+X84+X85+X87+X88+'[33]Actual &amp; Assumptions'!X185-(X9+X10+X12+X16+X17+X19+X22+X25+X26+X27+X29+X30+X33+X35+'[33]Actual &amp; Assumptions'!X48+'[33]Actual &amp; Assumptions'!X49)&gt;0,0,-(X41+X42+X44+X46+X47+X49+X50+X51+X52+X53+X54+X55+X59+X60+X61+X62+X63+X65+X66+X67+X71+X72+X73+X74+X75+X77+X78+X80+X81+X83+X84+X85+X87+X88+'[33]Actual &amp; Assumptions'!X185-(X9+X10+X12+X16+X17+X19+X22+X25+X26+X27+X29+X30+X33+X35+'[33]Actual &amp; Assumptions'!X48+'[33]Actual &amp; Assumptions'!X49)))</f>
        <v>999.68377398775738</v>
      </c>
      <c r="Y137" s="252">
        <f>IF(Y41+Y42+Y44+Y46+Y47+Y49+Y50+Y51+Y52+Y53+Y54+Y55+Y59+Y60+Y61+Y62+Y63+Y65+Y66+Y67+Y71+Y72+Y73+Y74+Y75+Y77+Y78+Y80+Y81+Y83+Y84+Y85+Y87+Y88+'[33]Actual &amp; Assumptions'!Y185-(Y9+Y10+Y12+Y16+Y17+Y19+Y22+Y25+Y26+Y27+Y29+Y30+Y33+Y35+'[33]Actual &amp; Assumptions'!Y48+'[33]Actual &amp; Assumptions'!Y49)&gt;0,0,-(Y41+Y42+Y44+Y46+Y47+Y49+Y50+Y51+Y52+Y53+Y54+Y55+Y59+Y60+Y61+Y62+Y63+Y65+Y66+Y67+Y71+Y72+Y73+Y74+Y75+Y77+Y78+Y80+Y81+Y83+Y84+Y85+Y87+Y88+'[33]Actual &amp; Assumptions'!Y185-(Y9+Y10+Y12+Y16+Y17+Y19+Y22+Y25+Y26+Y27+Y29+Y30+Y33+Y35+'[33]Actual &amp; Assumptions'!Y48+'[33]Actual &amp; Assumptions'!Y49)))</f>
        <v>12935.64067398756</v>
      </c>
      <c r="Z137" s="252">
        <f>IF(Z41+Z42+Z44+Z46+Z47+Z49+Z50+Z51+Z52+Z53+Z54+Z55+Z59+Z60+Z61+Z62+Z63+Z65+Z66+Z67+Z71+Z72+Z73+Z74+Z75+Z77+Z78+Z80+Z81+Z83+Z84+Z85+Z87+Z88+'[33]Actual &amp; Assumptions'!Z185-(Z9+Z10+Z12+Z16+Z17+Z19+Z22+Z25+Z26+Z27+Z29+Z30+Z33+Z35+'[33]Actual &amp; Assumptions'!Z48+'[33]Actual &amp; Assumptions'!Z49)&gt;0,0,-(Z41+Z42+Z44+Z46+Z47+Z49+Z50+Z51+Z52+Z53+Z54+Z55+Z59+Z60+Z61+Z62+Z63+Z65+Z66+Z67+Z71+Z72+Z73+Z74+Z75+Z77+Z78+Z80+Z81+Z83+Z84+Z85+Z87+Z88+'[33]Actual &amp; Assumptions'!Z185-(Z9+Z10+Z12+Z16+Z17+Z19+Z22+Z25+Z26+Z27+Z29+Z30+Z33+Z35+'[33]Actual &amp; Assumptions'!Z48+'[33]Actual &amp; Assumptions'!Z49)))</f>
        <v>43516.765283987654</v>
      </c>
      <c r="AA137" s="252">
        <f>IF(AA41+AA42+AA44+AA46+AA47+AA49+AA50+AA51+AA52+AA53+AA54+AA55+AA59+AA60+AA61+AA62+AA63+AA65+AA66+AA67+AA71+AA72+AA73+AA74+AA75+AA77+AA78+AA80+AA81+AA83+AA84+AA85+AA87+AA88+'[33]Actual &amp; Assumptions'!AA185-(AA9+AA10+AA12+AA16+AA17+AA19+AA22+AA25+AA26+AA27+AA29+AA30+AA33+AA35+'[33]Actual &amp; Assumptions'!AA48+'[33]Actual &amp; Assumptions'!AA49)&gt;0,0,-(AA41+AA42+AA44+AA46+AA47+AA49+AA50+AA51+AA52+AA53+AA54+AA55+AA59+AA60+AA61+AA62+AA63+AA65+AA66+AA67+AA71+AA72+AA73+AA74+AA75+AA77+AA78+AA80+AA81+AA83+AA84+AA85+AA87+AA88+'[33]Actual &amp; Assumptions'!AA185-(AA9+AA10+AA12+AA16+AA17+AA19+AA22+AA25+AA26+AA27+AA29+AA30+AA33+AA35+'[33]Actual &amp; Assumptions'!AA48+'[33]Actual &amp; Assumptions'!AA49)))</f>
        <v>4388.7128039876261</v>
      </c>
      <c r="AB137" s="252">
        <f>IF(AB41+AB42+AB44+AB46+AB47+AB49+AB50+AB51+AB52+AB53+AB54+AB55+AB59+AB60+AB61+AB62+AB63+AB65+AB66+AB67+AB71+AB72+AB73+AB74+AB75+AB77+AB78+AB80+AB81+AB83+AB84+AB85+AB87+AB88+'[33]Actual &amp; Assumptions'!AB185-(AB9+AB10+AB12+AB16+AB17+AB19+AB22+AB25+AB26+AB27+AB29+AB30+AB33+AB35+'[33]Actual &amp; Assumptions'!AB48+'[33]Actual &amp; Assumptions'!AB49)&gt;0,0,-(AB41+AB42+AB44+AB46+AB47+AB49+AB50+AB51+AB52+AB53+AB54+AB55+AB59+AB60+AB61+AB62+AB63+AB65+AB66+AB67+AB71+AB72+AB73+AB74+AB75+AB77+AB78+AB80+AB81+AB83+AB84+AB85+AB87+AB88+'[33]Actual &amp; Assumptions'!AB185-(AB9+AB10+AB12+AB16+AB17+AB19+AB22+AB25+AB26+AB27+AB29+AB30+AB33+AB35+'[33]Actual &amp; Assumptions'!AB48+'[33]Actual &amp; Assumptions'!AB49)))</f>
        <v>11123.30394398763</v>
      </c>
      <c r="AC137" s="252">
        <f>IF(AC41+AC42+AC44+AC46+AC47+AC49+AC50+AC51+AC52+AC53+AC54+AC55+AC59+AC60+AC61+AC62+AC63+AC65+AC66+AC67+AC71+AC72+AC73+AC74+AC75+AC77+AC78+AC80+AC81+AC83+AC84+AC85+AC87+AC88+'[33]Actual &amp; Assumptions'!AC185-(AC9+AC10+AC12+AC16+AC17+AC19+AC22+AC25+AC26+AC27+AC29+AC30+AC33+AC35+'[33]Actual &amp; Assumptions'!AC48+'[33]Actual &amp; Assumptions'!AC49)&gt;0,0,-(AC41+AC42+AC44+AC46+AC47+AC49+AC50+AC51+AC52+AC53+AC54+AC55+AC59+AC60+AC61+AC62+AC63+AC65+AC66+AC67+AC71+AC72+AC73+AC74+AC75+AC77+AC78+AC80+AC81+AC83+AC84+AC85+AC87+AC88+'[33]Actual &amp; Assumptions'!AC185-(AC9+AC10+AC12+AC16+AC17+AC19+AC22+AC25+AC26+AC27+AC29+AC30+AC33+AC35+'[33]Actual &amp; Assumptions'!AC48+'[33]Actual &amp; Assumptions'!AC49)))</f>
        <v>2339.139883987642</v>
      </c>
      <c r="AD137" s="252">
        <f>IF(AD41+AD42+AD44+AD46+AD47+AD49+AD50+AD51+AD52+AD53+AD54+AD55+AD59+AD60+AD61+AD62+AD63+AD65+AD66+AD67+AD71+AD72+AD73+AD74+AD75+AD77+AD78+AD80+AD81+AD83+AD84+AD85+AD87+AD88+'[33]Actual &amp; Assumptions'!AD185-(AD9+AD10+AD12+AD16+AD17+AD19+AD22+AD25+AD26+AD27+AD29+AD30+AD33+AD35+'[33]Actual &amp; Assumptions'!AD48+'[33]Actual &amp; Assumptions'!AD49)&gt;0,0,-(AD41+AD42+AD44+AD46+AD47+AD49+AD50+AD51+AD52+AD53+AD54+AD55+AD59+AD60+AD61+AD62+AD63+AD65+AD66+AD67+AD71+AD72+AD73+AD74+AD75+AD77+AD78+AD80+AD81+AD83+AD84+AD85+AD87+AD88+'[33]Actual &amp; Assumptions'!AD185-(AD9+AD10+AD12+AD16+AD17+AD19+AD22+AD25+AD26+AD27+AD29+AD30+AD33+AD35+'[33]Actual &amp; Assumptions'!AD48+'[33]Actual &amp; Assumptions'!AD49)))</f>
        <v>1418.3997439876111</v>
      </c>
      <c r="AE137" s="252">
        <f>AD137</f>
        <v>1418.3997439876111</v>
      </c>
      <c r="AF137" s="252">
        <f>IF(AF41+AF42+AF44+AF46+AF47+AF49+AF50+AF51+AF52+AF53+AF54+AF55+AF59+AF60+AF61+AF62+AF63+AF65+AF66+AF67+AF71+AF72+AF73+AF74+AF75+AF77+AF78+AF80+AF81+AF83+AF84+AF85+AF87+AF88+'[33]Actual &amp; Assumptions'!AF185-(AF9+AF10+AF12+AF16+AF17+AF19+AF22+AF25+AF26+AF27+AF29+AF30+AF33+AF35+'[33]Actual &amp; Assumptions'!AF48+'[33]Actual &amp; Assumptions'!AF49+'[33]Actual &amp; Assumptions'!AF51+AF162)&gt;0,0,-(AF41+AF42+AF44+AF46+AF47+AF49+AF50+AF51+AF52+AF53+AF54+AF55+AF59+AF60+AF61+AF62+AF63+AF65+AF66+AF67+AF71+AF72+AF73+AF74+AF75+AF77+AF78+AF80+AF81+AF83+AF84+AF85+AF87+AF88+'[33]Actual &amp; Assumptions'!AF185-(AF9+AF10+AF12+AF16+AF17+AF19+AF22+AF25+AF26+AF27+AF29+AF30+AF33+AF35+'[33]Actual &amp; Assumptions'!AF48+'[33]Actual &amp; Assumptions'!AF49+'[33]Actual &amp; Assumptions'!AF51+AF162)))</f>
        <v>7292.3928554796476</v>
      </c>
      <c r="AG137" s="252">
        <f>IF(AG41+AG42+AG44+AG46+AG47+AG49+AG50+AG51+AG52+AG53+AG54+AG55+AG59+AG60+AG61+AG62+AG63+AG65+AG66+AG67+AG71+AG72+AG73+AG74+AG75+AG77+AG78+AG80+AG81+AG83+AG84+AG85+AG87+AG88+'[33]Actual &amp; Assumptions'!AG185-(AG9+AG10+AG12+AG16+AG17+AG19+AG22+AG25+AG26+AG27+AG29+AG30+AG33+AG35+'[33]Actual &amp; Assumptions'!AG48+'[33]Actual &amp; Assumptions'!AG49+'[33]Actual &amp; Assumptions'!AG51+AG162)&gt;0,0,-(AG41+AG42+AG44+AG46+AG47+AG49+AG50+AG51+AG52+AG53+AG54+AG55+AG59+AG60+AG61+AG62+AG63+AG65+AG66+AG67+AG71+AG72+AG73+AG74+AG75+AG77+AG78+AG80+AG81+AG83+AG84+AG85+AG87+AG88+'[33]Actual &amp; Assumptions'!AG185-(AG9+AG10+AG12+AG16+AG17+AG19+AG22+AG25+AG26+AG27+AG29+AG30+AG33+AG35+'[33]Actual &amp; Assumptions'!AG48+'[33]Actual &amp; Assumptions'!AG49+'[33]Actual &amp; Assumptions'!AG51+AG162)))</f>
        <v>3991.078525479661</v>
      </c>
      <c r="AH137" s="252">
        <f>IF(AH41+AH42+AH44+AH46+AH47+AH49+AH50+AH51+AH52+AH53+AH54+AH55+AH59+AH60+AH61+AH62+AH63+AH65+AH66+AH67+AH71+AH72+AH73+AH74+AH75+AH77+AH78+AH80+AH81+AH83+AH84+AH85+AH87+AH88+'[33]Actual &amp; Assumptions'!AH185-(AH9+AH10+AH12+AH16+AH17+AH19+AH22+AH25+AH26+AH27+AH29+AH30+AH33+AH35+'[33]Actual &amp; Assumptions'!AH48+'[33]Actual &amp; Assumptions'!AH49+'[33]Actual &amp; Assumptions'!AH51+AH162)&gt;0,0,-(AH41+AH42+AH44+AH46+AH47+AH49+AH50+AH51+AH52+AH53+AH54+AH55+AH59+AH60+AH61+AH62+AH63+AH65+AH66+AH67+AH71+AH72+AH73+AH74+AH75+AH77+AH78+AH80+AH81+AH83+AH84+AH85+AH87+AH88+'[33]Actual &amp; Assumptions'!AH185-(AH9+AH10+AH12+AH16+AH17+AH19+AH22+AH25+AH26+AH27+AH29+AH30+AH33+AH35+'[33]Actual &amp; Assumptions'!AH48+'[33]Actual &amp; Assumptions'!AH49+'[33]Actual &amp; Assumptions'!AH51+AH162)))</f>
        <v>5851.9061254796834</v>
      </c>
      <c r="AI137" s="252">
        <f>IF(AI41+AI42+AI44+AI46+AI47+AI49+AI50+AI51+AI52+AI53+AI54+AI55+AI59+AI60+AI61+AI62+AI63+AI65+AI66+AI67+AI71+AI72+AI73+AI74+AI75+AI77+AI78+AI80+AI81+AI83+AI84+AI85+AI87+AI88+'[33]Actual &amp; Assumptions'!AI185-(AI9+AI10+AI12+AI16+AI17+AI19+AI22+AI25+AI26+AI27+AI29+AI30+AI33+AI35+'[33]Actual &amp; Assumptions'!AI48+'[33]Actual &amp; Assumptions'!AI49+'[33]Actual &amp; Assumptions'!AI51+AI162)&gt;0,0,-(AI41+AI42+AI44+AI46+AI47+AI49+AI50+AI51+AI52+AI53+AI54+AI55+AI59+AI60+AI61+AI62+AI63+AI65+AI66+AI67+AI71+AI72+AI73+AI74+AI75+AI77+AI78+AI80+AI81+AI83+AI84+AI85+AI87+AI88+'[33]Actual &amp; Assumptions'!AI185-(AI9+AI10+AI12+AI16+AI17+AI19+AI22+AI25+AI26+AI27+AI29+AI30+AI33+AI35+'[33]Actual &amp; Assumptions'!AI48+'[33]Actual &amp; Assumptions'!AI49+'[33]Actual &amp; Assumptions'!AI51+AI162)))</f>
        <v>6670.5940654795995</v>
      </c>
      <c r="AJ137" s="252">
        <f>AI137</f>
        <v>6670.5940654795995</v>
      </c>
      <c r="AK137" s="252">
        <f>IF(AK41+AK42+AK44+AK46+AK47+AK49+AK50+AK51+AK52+AK53+AK54+AK55+AK59+AK60+AK61+AK62+AK63+AK65+AK66+AK67+AK71+AK72+AK73+AK74+AK75+AK77+AK78+AK80+AK81+AK83+AK84+AK85+AK87+AK88+'[33]Actual &amp; Assumptions'!AK185-(AK9+AK10+AK12+AK16+AK17+AK19+AK22+AK25+AK26+AK27+AK29+AK30+AK33+AK35+'[33]Actual &amp; Assumptions'!AK48+'[33]Actual &amp; Assumptions'!AK49+'[33]Actual &amp; Assumptions'!AK51+AK162)&gt;0,0,-(AK41+AK42+AK44+AK46+AK47+AK49+AK50+AK51+AK52+AK53+AK54+AK55+AK59+AK60+AK61+AK62+AK63+AK65+AK66+AK67+AK71+AK72+AK73+AK74+AK75+AK77+AK78+AK80+AK81+AK83+AK84+AK85+AK87+AK88+'[33]Actual &amp; Assumptions'!AK185-(AK9+AK10+AK12+AK16+AK17+AK19+AK22+AK25+AK26+AK27+AK28+AK29+AK30+AK33+AK35+'[33]Actual &amp; Assumptions'!AK48+'[33]Actual &amp; Assumptions'!AK49+'[33]Actual &amp; Assumptions'!AK51+AK162)))</f>
        <v>10106</v>
      </c>
      <c r="AL137" s="252">
        <f>IF(AL41+AL42+AL44+AL46+AL47+AL49+AL50+AL51+AL52+AL53+AL54+AL55+AL59+AL60+AL61+AL62+AL63+AL65+AL66+AL67+AL71+AL72+AL73+AL74+AL75+AL77+AL78+AL80+AL81+AL83+AL84+AL85+AL87+AL88+'[33]Actual &amp; Assumptions'!AL185-(AL9+AL10+AL12+AL16+AL17+AL19+AL22+AL25+AL26+AL27+AL29+AL30+AL33+AL35+'[33]Actual &amp; Assumptions'!AL48+'[33]Actual &amp; Assumptions'!AL49+'[33]Actual &amp; Assumptions'!AL51+AL162)&gt;0,0,-(AL41+AL42+AL44+AL46+AL47+AL49+AL50+AL51+AL52+AL53+AL54+AL55+AL59+AL60+AL61+AL62+AL63+AL65+AL66+AL67+AL71+AL72+AL73+AL74+AL75+AL77+AL78+AL80+AL81+AL83+AL84+AL85+AL87+AL88+'[33]Actual &amp; Assumptions'!AL185-(AL9+AL10+AL12+AL16+AL17+AL19+AL22+AL25+AL26+AL27+AL28+AL29+AL30+AL33+AL35+'[33]Actual &amp; Assumptions'!AL48+'[33]Actual &amp; Assumptions'!AL49+'[33]Actual &amp; Assumptions'!AL51+AL162)))</f>
        <v>10142</v>
      </c>
      <c r="AM137" s="252">
        <f>IF(AM41+AM42+AM44+AM46+AM47+AM49+AM50+AM51+AM52+AM53+AM54+AM55+AM59+AM60+AM61+AM62+AM63+AM65+AM66+AM67+AM71+AM72+AM73+AM74+AM75+AM77+AM78+AM80+AM81+AM83+AM84+AM85+AM87+AM88+'[33]Actual &amp; Assumptions'!AM185-(AM9+AM10+AM12+AM16+AM17+AM19+AM22+AM25+AM26+AM27+AM29+AM30+AM33+AM35+'[33]Actual &amp; Assumptions'!AM48+'[33]Actual &amp; Assumptions'!AM49+'[33]Actual &amp; Assumptions'!AM51+AM162)&gt;0,0,-(AM41+AM42+AM44+AM46+AM47+AM49+AM50+AM51+AM52+AM53+AM54+AM55+AM59+AM60+AM61+AM62+AM63+AM65+AM66+AM67+AM71+AM72+AM73+AM74+AM75+AM77+AM78+AM80+AM81+AM83+AM84+AM85+AM87+AM88+'[33]Actual &amp; Assumptions'!AM185-(AM9+AM10+AM12+AM16+AM17+AM19+AM22+AM25+AM26+AM27+AM28+AM29+AM30+AM33+AM35+'[33]Actual &amp; Assumptions'!AM48+'[33]Actual &amp; Assumptions'!AM49+'[33]Actual &amp; Assumptions'!AM51+AM162)))</f>
        <v>10041</v>
      </c>
      <c r="AN137" s="252">
        <f>IF(AN41+AN42+AN44+AN46+AN47+AN49+AN50+AN51+AN52+AN53+AN54+AN55+AN59+AN60+AN61+AN62+AN63+AN65+AN66+AN67+AN71+AN72+AN73+AN74+AN75+AN77+AN78+AN80+AN81+AN83+AN84+AN85+AN87+AN88+'[33]Actual &amp; Assumptions'!AN185-(AN9+AN10+AN12+AN16+AN17+AN19+AN22+AN25+AN26+AN27+AN29+AN30+AN33+AN35+'[33]Actual &amp; Assumptions'!AN48+'[33]Actual &amp; Assumptions'!AN49+'[33]Actual &amp; Assumptions'!AN51+AN162)&gt;0,0,-(AN41+AN42+AN44+AN46+AN47+AN49+AN50+AN51+AN52+AN53+AN54+AN55+AN59+AN60+AN61+AN62+AN63+AN65+AN66+AN67+AN71+AN72+AN73+AN74+AN75+AN77+AN78+AN80+AN81+AN83+AN84+AN85+AN87+AN88+'[33]Actual &amp; Assumptions'!AN185-(AN9+AN10+AN12+AN16+AN17+AN19+AN22+AN25+AN26+AN27+AN28+AN29+AN30+AN33+AN35+'[33]Actual &amp; Assumptions'!AN48+'[33]Actual &amp; Assumptions'!AN49+'[33]Actual &amp; Assumptions'!AN51+AN162)))</f>
        <v>11073.144085479675</v>
      </c>
      <c r="AO137" s="252">
        <f>IF(AO41+AO42+AO44+AO46+AO47+AO49+AO50+AO51+AO52+AO53+AO54+AO55+AO59+AO60+AO61+AO62+AO63+AO65+AO66+AO67+AO71+AO72+AO73+AO74+AO75+AO77+AO78+AO80+AO81+AO83+AO84+AO85+AO87+AO88+'[33]Actual &amp; Assumptions'!AO185-(AO9+AO10+AO12+AO16+AO17+AO19+AO22+AO25+AO26+AO27+AO29+AO30+AO33+AO35+'[33]Actual &amp; Assumptions'!AO48+'[33]Actual &amp; Assumptions'!AO49+'[33]Actual &amp; Assumptions'!AO51+AO162)&gt;0,0,-(AO41+AO42+AO44+AO46+AO47+AO49+AO50+AO51+AO52+AO53+AO54+AO55+AO59+AO60+AO61+AO62+AO63+AO65+AO66+AO67+AO71+AO72+AO73+AO74+AO75+AO77+AO78+AO80+AO81+AO83+AO84+AO85+AO87+AO88+'[33]Actual &amp; Assumptions'!AO185-(AO9+AO10+AO12+AO16+AO17+AO19+AO22+AO25+AO26+AO27+AO28+AO29+AO30+AO33+AO35+'[33]Actual &amp; Assumptions'!AO48+'[33]Actual &amp; Assumptions'!AO49+'[33]Actual &amp; Assumptions'!AO51+AO162)))</f>
        <v>11073.144085479675</v>
      </c>
      <c r="AP137" s="252">
        <f>IF(AP41+AP42+AP44+AP46+AP47+AP49+AP50+AP51+AP52+AP53+AP54+AP55+AP59+AP60+AP61+AP62+AP63+AP65+AP66+AP67+AP71+AP72+AP73+AP74+AP75+AP77+AP78+AP80+AP81+AP83+AP84+AP85+AP87+AP88+'[33]Actual &amp; Assumptions'!AP185-(AP9+AP10+AP12+AP16+AP17+AP19+AP22+AP25+AP26+AP27+AP29+AP30+AP33+AP35+'[33]Actual &amp; Assumptions'!AP48+'[33]Actual &amp; Assumptions'!AP49+'[33]Actual &amp; Assumptions'!AP51+AP162)&gt;0,0,-(AP41+AP42+AP44+AP46+AP47+AP49+AP50+AP51+AP52+AP53+AP54+AP55+AP59+AP60+AP61+AP62+AP63+AP65+AP66+AP67+AP71+AP72+AP73+AP74+AP75+AP77+AP78+AP80+AP81+AP83+AP84+AP85+AP87+AP88+'[33]Actual &amp; Assumptions'!AP185-(AP9+AP10+AP12+AP16+AP17+AP19+AP22+AP25+AP26+AP27+AP28+AP29+AP30+AP33+AP35+'[33]Actual &amp; Assumptions'!AP48+'[33]Actual &amp; Assumptions'!AP49+'[33]Actual &amp; Assumptions'!AP51+AP162)))</f>
        <v>11428.760190179284</v>
      </c>
      <c r="AQ137" s="252">
        <f>IF(AQ41+AQ42+AQ44+AQ46+AQ47+AQ49+AQ50+AQ51+AQ52+AQ53+AQ54+AQ55+AQ59+AQ60+AQ61+AQ62+AQ63+AQ65+AQ66+AQ67+AQ71+AQ72+AQ73+AQ74+AQ75+AQ77+AQ78+AQ80+AQ81+AQ83+AQ84+AQ85+AQ87+AQ88+'[33]Actual &amp; Assumptions'!AQ185-(AQ9+AQ10+AQ12+AQ16+AQ17+AQ19+AQ22+AQ25+AQ26+AQ27+AQ29+AQ30+AQ33+AQ35+'[33]Actual &amp; Assumptions'!AQ48+'[33]Actual &amp; Assumptions'!AQ49+'[33]Actual &amp; Assumptions'!AQ51+AQ162)&gt;0,0,-(AQ41+AQ42+AQ44+AQ46+AQ47+AQ49+AQ50+AQ51+AQ52+AQ53+AQ54+AQ55+AQ59+AQ60+AQ61+AQ62+AQ63+AQ65+AQ66+AQ67+AQ71+AQ72+AQ73+AQ74+AQ75+AQ77+AQ78+AQ80+AQ81+AQ83+AQ84+AQ85+AQ87+AQ88+'[33]Actual &amp; Assumptions'!AQ185-(AQ9+AQ10+AQ12+AQ16+AQ17+AQ19+AQ22+AQ25+AQ26+AQ27+AQ28+AQ29+AQ30+AQ33+AQ35+'[33]Actual &amp; Assumptions'!AQ48+'[33]Actual &amp; Assumptions'!AQ49+'[33]Actual &amp; Assumptions'!AQ51+AQ162)))</f>
        <v>8477.4818885865425</v>
      </c>
      <c r="AR137" s="252">
        <f>IF(AR41+AR42+AR44+AR46+AR47+AR49+AR50+AR51+AR52+AR53+AR54+AR55+AR59+AR60+AR61+AR62+AR63+AR65+AR66+AR67+AR71+AR72+AR73+AR74+AR75+AR77+AR78+AR80+AR81+AR83+AR84+AR85+AR87+AR88+'[33]Actual &amp; Assumptions'!AR185-(AR9+AR10+AR12+AR16+AR17+AR19+AR22+AR25+AR26+AR27+AR29+AR30+AR33+AR35+'[33]Actual &amp; Assumptions'!AR48+'[33]Actual &amp; Assumptions'!AR49+'[33]Actual &amp; Assumptions'!AR51+AR162)&gt;0,0,-(AR41+AR42+AR44+AR46+AR47+AR49+AR50+AR51+AR52+AR53+AR54+AR55+AR59+AR60+AR61+AR62+AR63+AR65+AR66+AR67+AR71+AR72+AR73+AR74+AR75+AR77+AR78+AR80+AR81+AR83+AR84+AR85+AR87+AR88+'[33]Actual &amp; Assumptions'!AR185-(AR9+AR10+AR12+AR16+AR17+AR19+AR22+AR25+AR26+AR27+AR28+AR29+AR30+AR33+AR35+'[33]Actual &amp; Assumptions'!AR48+'[33]Actual &amp; Assumptions'!AR49+'[33]Actual &amp; Assumptions'!AR51+AR162)))</f>
        <v>3406.1921946927919</v>
      </c>
      <c r="AS137" s="252">
        <f>IF(AS41+AS42+AS44+AS46+AS47+AS49+AS50+AS51+AS52+AS53+AS54+AS55+AS59+AS60+AS61+AS62+AS63+AS65+AS66+AS67+AS71+AS72+AS73+AS74+AS75+AS77+AS78+AS80+AS81+AS83+AS84+AS85+AS87+AS88+'[33]Actual &amp; Assumptions'!AS185-(AS9+AS10+AS12+AS16+AS17+AS19+AS22+AS25+AS26+AS27+AS29+AS30+AS33+AS35+'[33]Actual &amp; Assumptions'!AS48+'[33]Actual &amp; Assumptions'!AS49+'[33]Actual &amp; Assumptions'!AS51+AS162)&gt;0,0,-(AS41+AS42+AS44+AS46+AS47+AS49+AS50+AS51+AS52+AS53+AS54+AS55+AS59+AS60+AS61+AS62+AS63+AS65+AS66+AS67+AS71+AS72+AS73+AS74+AS75+AS77+AS78+AS80+AS81+AS83+AS84+AS85+AS87+AS88+'[33]Actual &amp; Assumptions'!AS185-(AS9+AS10+AS12+AS16+AS17+AS19+AS22+AS25+AS26+AS27+AS28+AS29+AS30+AS33+AS35+'[33]Actual &amp; Assumptions'!AS48+'[33]Actual &amp; Assumptions'!AS49+'[33]Actual &amp; Assumptions'!AS51+AS162)))</f>
        <v>3844.9701609539025</v>
      </c>
      <c r="AT137" s="252">
        <f>AS137</f>
        <v>3844.9701609539025</v>
      </c>
      <c r="AU137" s="252">
        <f>IF(AU41+AU42+AU44+AU46+AU47+AU49+AU50+AU51+AU52+AU53+AU54+AU55+AU59+AU60+AU61+AU62+AU63+AU65+AU66+AU67+AU71+AU72+AU73+AU74+AU75+AU77+AU78+AU80+AU81+AU83+AU84+AU85+AU87+AU88+'[33]Actual &amp; Assumptions'!AU185-(AU9+AU10+AU12+AU16+AU17+AU19+AU22+AU25+AU26+AU27+AU29+AU30+AU33+AU35+'[33]Actual &amp; Assumptions'!AU48+'[33]Actual &amp; Assumptions'!AU49+'[33]Actual &amp; Assumptions'!AU51+AU162)&gt;0,0,-(AU41+AU42+AU44+AU46+AU47+AU49+AU50+AU51+AU52+AU53+AU54+AU55+AU59+AU60+AU61+AU62+AU63+AU65+AU66+AU67+AU71+AU72+AU73+AU74+AU75+AU77+AU78+AU80+AU81+AU83+AU84+AU85+AU87+AU88+'[33]Actual &amp; Assumptions'!AU185-(AU9+AU10+AU12+AU16+AU17+AU19+AU22+AU25+AU26+AU27+AU28+AU29+AU30+AU33+AU35+'[33]Actual &amp; Assumptions'!AU48+'[33]Actual &amp; Assumptions'!AU49+'[33]Actual &amp; Assumptions'!AU51+AU162)))</f>
        <v>0</v>
      </c>
      <c r="AV137" s="252">
        <f>IF(AV41+AV42+AV44+AV46+AV47+AV49+AV50+AV51+AV52+AV53+AV54+AV55+AV59+AV60+AV61+AV62+AV63+AV65+AV66+AV67+AV71+AV72+AV73+AV74+AV75+AV77+AV78+AV80+AV81+AV83+AV84+AV85+AV87+AV88+'[33]Actual &amp; Assumptions'!AV185-(AV9+AV10+AV12+AV16+AV17+AV19+AV22+AV25+AV26+AV27+AV29+AV30+AV33+AV35+'[33]Actual &amp; Assumptions'!AV48+'[33]Actual &amp; Assumptions'!AV49+'[33]Actual &amp; Assumptions'!AV51+AV162)&gt;0,0,-(AV41+AV42+AV44+AV46+AV47+AV49+AV50+AV51+AV52+AV53+AV54+AV55+AV59+AV60+AV61+AV62+AV63+AV65+AV66+AV67+AV71+AV72+AV73+AV74+AV75+AV77+AV78+AV80+AV81+AV83+AV84+AV85+AV87+AV88+'[33]Actual &amp; Assumptions'!AV185-(AV9+AV10+AV12+AV16+AV17+AV19+AV22+AV25+AV26+AV27+AV28+AV29+AV30+AV33+AV35+'[33]Actual &amp; Assumptions'!AV48+'[33]Actual &amp; Assumptions'!AV49+'[33]Actual &amp; Assumptions'!AV51+AV162)))</f>
        <v>0</v>
      </c>
      <c r="AW137" s="252">
        <f>IF(AW41+AW42+AW44+AW46+AW47+AW49+AW50+AW51+AW52+AW53+AW54+AW55+AW59+AW60+AW61+AW62+AW63+AW65+AW66+AW67+AW71+AW72+AW73+AW74+AW75+AW77+AW78+AW80+AW81+AW83+AW84+AW85+AW87+AW88+'[33]Actual &amp; Assumptions'!AW185-(AW9+AW10+AW12+AW16+AW17+AW19+AW22+AW25+AW26+AW27+AW29+AW30+AW33+AW35+'[33]Actual &amp; Assumptions'!AW48+'[33]Actual &amp; Assumptions'!AW49+'[33]Actual &amp; Assumptions'!AW51+AW162)&gt;0,0,-(AW41+AW42+AW44+AW46+AW47+AW49+AW50+AW51+AW52+AW53+AW54+AW55+AW59+AW60+AW61+AW62+AW63+AW65+AW66+AW67+AW71+AW72+AW73+AW74+AW75+AW77+AW78+AW80+AW81+AW83+AW84+AW85+AW87+AW88+'[33]Actual &amp; Assumptions'!AW185-(AW9+AW10+AW12+AW16+AW17+AW19+AW22+AW25+AW26+AW27+AW28+AW29+AW30+AW33+AW35+'[33]Actual &amp; Assumptions'!AW48+'[33]Actual &amp; Assumptions'!AW49+'[33]Actual &amp; Assumptions'!AW51+AW162)))</f>
        <v>0</v>
      </c>
      <c r="AX137" s="252">
        <f>IF(AX41+AX42+AX44+AX46+AX47+AX49+AX50+AX51+AX52+AX53+AX54+AX55+AX59+AX60+AX61+AX62+AX63+AX65+AX66+AX67+AX71+AX72+AX73+AX74+AX75+AX77+AX78+AX80+AX81+AX83+AX84+AX85+AX87+AX88+'[33]Actual &amp; Assumptions'!AX185-(AX9+AX10+AX12+AX16+AX17+AX19+AX22+AX25+AX26+AX27+AX29+AX30+AX33+AX35+'[33]Actual &amp; Assumptions'!AX48+'[33]Actual &amp; Assumptions'!AX49+'[33]Actual &amp; Assumptions'!AX51+AX162)&gt;0,0,-(AX41+AX42+AX44+AX46+AX47+AX49+AX50+AX51+AX52+AX53+AX54+AX55+AX59+AX60+AX61+AX62+AX63+AX65+AX66+AX67+AX71+AX72+AX73+AX74+AX75+AX77+AX78+AX80+AX81+AX83+AX84+AX85+AX87+AX88+'[33]Actual &amp; Assumptions'!AX185-(AX9+AX10+AX12+AX16+AX17+AX19+AX22+AX25+AX26+AX27+AX28+AX29+AX30+AX33+AX35+'[33]Actual &amp; Assumptions'!AX48+'[33]Actual &amp; Assumptions'!AX49+'[33]Actual &amp; Assumptions'!AX51+AX162)))</f>
        <v>10066.25437566963</v>
      </c>
      <c r="AY137" s="252">
        <f>IF(AY41+AY42+AY44+AY46+AY47+AY49+AY50+AY51+AY52+AY53+AY54+AY55+AY59+AY60+AY61+AY62+AY63+AY65+AY66+AY67+AY71+AY72+AY73+AY74+AY75+AY77+AY78+AY80+AY81+AY83+AY84+AY85+AY87+AY88+'[33]Actual &amp; Assumptions'!AY185-(AY9+AY10+AY12+AY16+AY17+AY19+AY22+AY25+AY26+AY27+AY29+AY30+AY33+AY35+'[33]Actual &amp; Assumptions'!AY48+'[33]Actual &amp; Assumptions'!AY49+'[33]Actual &amp; Assumptions'!AY51+AY162)&gt;0,0,-(AY41+AY42+AY44+AY46+AY47+AY49+AY50+AY51+AY52+AY53+AY54+AY55+AY59+AY60+AY61+AY62+AY63+AY65+AY66+AY67+AY71+AY72+AY73+AY74+AY75+AY77+AY78+AY80+AY81+AY83+AY84+AY85+AY87+AY88+'[33]Actual &amp; Assumptions'!AY185-(AY9+AY10+AY12+AY16+AY17+AY19+AY22+AY25+AY26+AY27+AY28+AY29+AY30+AY33+AY35+'[33]Actual &amp; Assumptions'!AY48+'[33]Actual &amp; Assumptions'!AY49+'[33]Actual &amp; Assumptions'!AY51+AY162)))</f>
        <v>11449.516118419708</v>
      </c>
      <c r="AZ137" s="252">
        <f>IF(AZ41+AZ42+AZ44+AZ46+AZ47+AZ49+AZ50+AZ51+AZ52+AZ53+AZ54+AZ55+AZ59+AZ60+AZ61+AZ62+AZ63+AZ65+AZ66+AZ67+AZ71+AZ72+AZ73+AZ74+AZ75+AZ77+AZ78+AZ80+AZ81+AZ83+AZ84+AZ85+AZ87+AZ88+'[33]Actual &amp; Assumptions'!AZ185-(AZ9+AZ10+AZ12+AZ16+AZ17+AZ19+AZ22+AZ25+AZ26+AZ27+AZ29+AZ30+AZ33+AZ35+'[33]Actual &amp; Assumptions'!AZ48+'[33]Actual &amp; Assumptions'!AZ49+'[33]Actual &amp; Assumptions'!AZ51+AZ162)&gt;0,0,-(AZ41+AZ42+AZ44+AZ46+AZ47+AZ49+AZ50+AZ51+AZ52+AZ53+AZ54+AZ55+AZ59+AZ60+AZ61+AZ62+AZ63+AZ65+AZ66+AZ67+AZ71+AZ72+AZ73+AZ74+AZ75+AZ77+AZ78+AZ80+AZ81+AZ83+AZ84+AZ85+AZ87+AZ88+'[33]Actual &amp; Assumptions'!AZ185-(AZ9+AZ10+AZ12+AZ16+AZ17+AZ19+AZ22+AZ25+AZ26+AZ27+AZ28+AZ29+AZ30+AZ33+AZ35+'[33]Actual &amp; Assumptions'!AZ48+'[33]Actual &amp; Assumptions'!AZ49+'[33]Actual &amp; Assumptions'!AZ51+AZ162)))</f>
        <v>19729.02002493084</v>
      </c>
      <c r="BA137" s="252">
        <f>IF(BA41+BA42+BA44+BA46+BA47+BA49+BA50+BA51+BA52+BA53+BA54+BA55+BA59+BA60+BA61+BA62+BA63+BA65+BA66+BA67+BA71+BA72+BA73+BA74+BA75+BA77+BA78+BA80+BA81+BA83+BA84+BA85+BA87+BA88+'[33]Actual &amp; Assumptions'!BA185-(BA9+BA10+BA12+BA16+BA17+BA19+BA22+BA25+BA26+BA27+BA29+BA30+BA33+BA35+'[33]Actual &amp; Assumptions'!BA48+'[33]Actual &amp; Assumptions'!BA49+'[33]Actual &amp; Assumptions'!BA51+BA162)&gt;0,0,-(BA41+BA42+BA44+BA46+BA47+BA49+BA50+BA51+BA52+BA53+BA54+BA55+BA59+BA60+BA61+BA62+BA63+BA65+BA66+BA67+BA71+BA72+BA73+BA74+BA75+BA77+BA78+BA80+BA81+BA83+BA84+BA85+BA87+BA88+'[33]Actual &amp; Assumptions'!BA185-(BA9+BA10+BA12+BA16+BA17+BA19+BA22+BA25+BA26+BA27+BA28+BA29+BA30+BA33+BA35+'[33]Actual &amp; Assumptions'!BA48+'[33]Actual &amp; Assumptions'!BA49+'[33]Actual &amp; Assumptions'!BA51+BA162)))</f>
        <v>25561.057083242762</v>
      </c>
      <c r="BB137" s="252">
        <f>IF(BB41+BB42+BB44+BB46+BB47+BB49+BB50+BB51+BB52+BB53+BB54+BB55+BB59+BB60+BB61+BB62+BB63+BB65+BB66+BB67+BB71+BB72+BB73+BB74+BB75+BB77+BB78+BB80+BB81+BB83+BB84+BB85+BB87+BB88+'[33]Actual &amp; Assumptions'!BB185-(BB9+BB10+BB12+BB16+BB17+BB19+BB22+BB25+BB26+BB27+BB29+BB30+BB33+BB35+'[33]Actual &amp; Assumptions'!BB48+'[33]Actual &amp; Assumptions'!BB49+'[33]Actual &amp; Assumptions'!BB51+BB162)&gt;0,0,-(BB41+BB42+BB44+BB46+BB47+BB49+BB50+BB51+BB52+BB53+BB54+BB55+BB59+BB60+BB61+BB62+BB63+BB65+BB66+BB67+BB71+BB72+BB73+BB74+BB75+BB77+BB78+BB80+BB81+BB83+BB84+BB85+BB87+BB88+'[33]Actual &amp; Assumptions'!BB185-(BB9+BB10+BB12+BB16+BB17+BB19+BB22+BB25+BB26+BB27+BB28+BB29+BB30+BB33+BB35+'[33]Actual &amp; Assumptions'!BB48+'[33]Actual &amp; Assumptions'!BB49+'[33]Actual &amp; Assumptions'!BB51+BB162)))</f>
        <v>33608.961598695496</v>
      </c>
      <c r="BC137" s="252">
        <f>IF(BC41+BC42+BC44+BC46+BC47+BC49+BC50+BC51+BC52+BC53+BC54+BC55+BC59+BC60+BC61+BC62+BC63+BC65+BC66+BC67+BC71+BC72+BC73+BC74+BC75+BC77+BC78+BC80+BC81+BC83+BC84+BC85+BC87+BC88+'[33]Actual &amp; Assumptions'!BC185-(BC9+BC10+BC12+BC16+BC17+BC19+BC22+BC25+BC26+BC27+BC29+BC30+BC33+BC35+'[33]Actual &amp; Assumptions'!BC48+'[33]Actual &amp; Assumptions'!BC49+'[33]Actual &amp; Assumptions'!BC51+BC162)&gt;0,0,-(BC41+BC42+BC44+BC46+BC47+BC49+BC50+BC51+BC52+BC53+BC54+BC55+BC59+BC60+BC61+BC62+BC63+BC65+BC66+BC67+BC71+BC72+BC73+BC74+BC75+BC77+BC78+BC80+BC81+BC83+BC84+BC85+BC87+BC88+'[33]Actual &amp; Assumptions'!BC185-(BC9+BC10+BC12+BC16+BC17+BC19+BC22+BC25+BC26+BC27+BC28+BC29+BC30+BC33+BC35+'[33]Actual &amp; Assumptions'!BC48+'[33]Actual &amp; Assumptions'!BC49+'[33]Actual &amp; Assumptions'!BC51+BC162)))</f>
        <v>29912.877617784347</v>
      </c>
      <c r="BD137" s="252">
        <f>IF(BD41+BD42+BD44+BD46+BD47+BD49+BD50+BD51+BD52+BD53+BD54+BD55+BD59+BD60+BD61+BD62+BD63+BD65+BD66+BD67+BD71+BD72+BD73+BD74+BD75+BD77+BD78+BD80+BD81+BD83+BD84+BD85+BD87+BD88+'[33]Actual &amp; Assumptions'!BD185-(BD9+BD10+BD12+BD16+BD17+BD19+BD22+BD25+BD26+BD27+BD29+BD30+BD33+BD35+'[33]Actual &amp; Assumptions'!BD48+'[33]Actual &amp; Assumptions'!BD49+'[33]Actual &amp; Assumptions'!BD51+BD162)&gt;0,0,-(BD41+BD42+BD44+BD46+BD47+BD49+BD50+BD51+BD52+BD53+BD54+BD55+BD59+BD60+BD61+BD62+BD63+BD65+BD66+BD67+BD71+BD72+BD73+BD74+BD75+BD77+BD78+BD80+BD81+BD83+BD84+BD85+BD87+BD88+'[33]Actual &amp; Assumptions'!BD185-(BD9+BD10+BD12+BD16+BD17+BD19+BD22+BD25+BD26+BD27+BD28+BD29+BD30+BD33+BD35+'[33]Actual &amp; Assumptions'!BD48+'[33]Actual &amp; Assumptions'!BD49+'[33]Actual &amp; Assumptions'!BD51+BD162)))</f>
        <v>32525.609632362466</v>
      </c>
      <c r="BE137" s="252">
        <f>IF(BE41+BE42+BE44+BE46+BE47+BE49+BE50+BE51+BE52+BE53+BE54+BE55+BE59+BE60+BE61+BE62+BE63+BE65+BE66+BE67+BE71+BE72+BE73+BE74+BE75+BE77+BE78+BE80+BE81+BE83+BE84+BE85+BE87+BE88+'[33]Actual &amp; Assumptions'!BE185-(BE9+BE10+BE12+BE16+BE17+BE19+BE22+BE25+BE26+BE27+BE29+BE30+BE33+BE35+'[33]Actual &amp; Assumptions'!BE48+'[33]Actual &amp; Assumptions'!BE49+'[33]Actual &amp; Assumptions'!BE51+BE162)&gt;0,0,-(BE41+BE42+BE44+BE46+BE47+BE49+BE50+BE51+BE52+BE53+BE54+BE55+BE59+BE60+BE61+BE62+BE63+BE65+BE66+BE67+BE71+BE72+BE73+BE74+BE75+BE77+BE78+BE80+BE81+BE83+BE84+BE85+BE87+BE88+'[33]Actual &amp; Assumptions'!BE185-(BE9+BE10+BE12+BE16+BE17+BE19+BE22+BE25+BE26+BE27+BE28+BE29+BE30+BE33+BE35+'[33]Actual &amp; Assumptions'!BE48+'[33]Actual &amp; Assumptions'!BE49+'[33]Actual &amp; Assumptions'!BE51+BE162)))</f>
        <v>36504.792928340619</v>
      </c>
      <c r="BF137" s="252">
        <f>IF(BF41+BF42+BF44+BF46+BF47+BF49+BF50+BF51+BF52+BF53+BF54+BF55+BF59+BF60+BF61+BF62+BF63+BF65+BF66+BF67+BF71+BF72+BF73+BF74+BF75+BF77+BF78+BF80+BF81+BF83+BF84+BF85+BF87+BF88+'[33]Actual &amp; Assumptions'!BF185-(BF9+BF10+BF12+BF16+BF17+BF19+BF22+BF25+BF26+BF27+BF29+BF30+BF33+BF35+'[33]Actual &amp; Assumptions'!BF48+'[33]Actual &amp; Assumptions'!BF49+'[33]Actual &amp; Assumptions'!BF51+BF162)&gt;0,0,-(BF41+BF42+BF44+BF46+BF47+BF49+BF50+BF51+BF52+BF53+BF54+BF55+BF59+BF60+BF61+BF62+BF63+BF65+BF66+BF67+BF71+BF72+BF73+BF74+BF75+BF77+BF78+BF80+BF81+BF83+BF84+BF85+BF87+BF88+'[33]Actual &amp; Assumptions'!BF185-(BF9+BF10+BF12+BF16+BF17+BF19+BF22+BF25+BF26+BF27+BF28+BF29+BF30+BF33+BF35+'[33]Actual &amp; Assumptions'!BF48+'[33]Actual &amp; Assumptions'!BF49+'[33]Actual &amp; Assumptions'!BF51+BF162)))</f>
        <v>27629.930392810063</v>
      </c>
      <c r="BG137" s="252">
        <f>IF(BG41+BG42+BG44+BG46+BG47+BG49+BG50+BG51+BG52+BG53+BG54+BG55+BG59+BG60+BG61+BG62+BG63+BG65+BG66+BG67+BG71+BG72+BG73+BG74+BG75+BG77+BG78+BG80+BG81+BG83+BG84+BG85+BG87+BG88+'[33]Actual &amp; Assumptions'!BG185-(BG9+BG10+BG12+BG16+BG17+BG19+BG22+BG25+BG26+BG27+BG29+BG30+BG33+BG35+'[33]Actual &amp; Assumptions'!BG48+'[33]Actual &amp; Assumptions'!BG49+'[33]Actual &amp; Assumptions'!BG51+BG162)&gt;0,0,-(BG41+BG42+BG44+BG46+BG47+BG49+BG50+BG51+BG52+BG53+BG54+BG55+BG59+BG60+BG61+BG62+BG63+BG65+BG66+BG67+BG71+BG72+BG73+BG74+BG75+BG77+BG78+BG80+BG81+BG83+BG84+BG85+BG87+BG88+'[33]Actual &amp; Assumptions'!BG185-(BG9+BG10+BG12+BG16+BG17+BG19+BG22+BG25+BG26+BG27+BG28+BG29+BG30+BG33+BG35+'[33]Actual &amp; Assumptions'!BG48+'[33]Actual &amp; Assumptions'!BG49+'[33]Actual &amp; Assumptions'!BG51+BG162)))</f>
        <v>14673.490237904771</v>
      </c>
      <c r="BH137" s="252">
        <f>IF(BH41+BH42+BH44+BH46+BH47+BH49+BH50+BH51+BH52+BH53+BH54+BH55+BH59+BH60+BH61+BH62+BH63+BH65+BH66+BH67+BH71+BH72+BH73+BH74+BH75+BH77+BH78+BH80+BH81+BH83+BH84+BH85+BH87+BH88+'[33]Actual &amp; Assumptions'!BH185-(BH9+BH10+BH12+BH16+BH17+BH19+BH22+BH25+BH26+BH27+BH29+BH30+BH33+BH35+'[33]Actual &amp; Assumptions'!BH48+'[33]Actual &amp; Assumptions'!BH49+'[33]Actual &amp; Assumptions'!BH51+BH162)&gt;0,0,-(BH41+BH42+BH44+BH46+BH47+BH49+BH50+BH51+BH52+BH53+BH54+BH55+BH59+BH60+BH61+BH62+BH63+BH65+BH66+BH67+BH71+BH72+BH73+BH74+BH75+BH77+BH78+BH80+BH81+BH83+BH84+BH85+BH87+BH88+'[33]Actual &amp; Assumptions'!BH185-(BH9+BH10+BH12+BH16+BH17+BH19+BH22+BH25+BH26+BH27+BH28+BH29+BH30+BH33+BH35+'[33]Actual &amp; Assumptions'!BH48+'[33]Actual &amp; Assumptions'!BH49+'[33]Actual &amp; Assumptions'!BH51+BH162)))</f>
        <v>15985.753126783951</v>
      </c>
      <c r="BI137" s="252">
        <f>IF(BI41+BI42+BI44+BI46+BI47+BI49+BI50+BI51+BI52+BI53+BI54+BI55+BI59+BI60+BI61+BI62+BI63+BI65+BI66+BI67+BI71+BI72+BI73+BI74+BI75+BI77+BI78+BI80+BI81+BI83+BI84+BI85+BI87+BI88+'[33]Actual &amp; Assumptions'!BI185-(BI9+BI10+BI12+BI16+BI17+BI19+BI22+BI25+BI26+BI27+BI29+BI30+BI33+BI35+'[33]Actual &amp; Assumptions'!BI48+'[33]Actual &amp; Assumptions'!BI49+'[33]Actual &amp; Assumptions'!BI51+BI162)&gt;0,0,-(BI41+BI42+BI44+BI46+BI47+BI49+BI50+BI51+BI52+BI53+BI54+BI55+BI59+BI60+BI61+BI62+BI63+BI65+BI66+BI67+BI71+BI72+BI73+BI74+BI75+BI77+BI78+BI80+BI81+BI83+BI84+BI85+BI87+BI88+'[33]Actual &amp; Assumptions'!BI185-(BI9+BI10+BI12+BI16+BI17+BI19+BI22+BI25+BI26+BI27+BI28+BI29+BI30+BI33+BI35+'[33]Actual &amp; Assumptions'!BI48+'[33]Actual &amp; Assumptions'!BI49+'[33]Actual &amp; Assumptions'!BI51+BI162)))</f>
        <v>17927.767071239447</v>
      </c>
      <c r="BJ137" s="252">
        <f>IF(BJ41+BJ42+BJ44+BJ46+BJ47+BJ49+BJ50+BJ51+BJ52+BJ53+BJ54+BJ55+BJ59+BJ60+BJ61+BJ62+BJ63+BJ65+BJ66+BJ67+BJ71+BJ72+BJ73+BJ74+BJ75+BJ77+BJ78+BJ80+BJ81+BJ83+BJ84+BJ85+BJ87+BJ88+'[33]Actual &amp; Assumptions'!BJ185-(BJ9+BJ10+BJ12+BJ16+BJ17+BJ19+BJ22+BJ25+BJ26+BJ27+BJ29+BJ30+BJ33+BJ35+'[33]Actual &amp; Assumptions'!BJ48+'[33]Actual &amp; Assumptions'!BJ49+'[33]Actual &amp; Assumptions'!BJ51+BJ162)&gt;0,0,-(BJ41+BJ42+BJ44+BJ46+BJ47+BJ49+BJ50+BJ51+BJ52+BJ53+BJ54+BJ55+BJ59+BJ60+BJ61+BJ62+BJ63+BJ65+BJ66+BJ67+BJ71+BJ72+BJ73+BJ74+BJ75+BJ77+BJ78+BJ80+BJ81+BJ83+BJ84+BJ85+BJ87+BJ88+'[33]Actual &amp; Assumptions'!BJ185-(BJ9+BJ10+BJ12+BJ16+BJ17+BJ19+BJ22+BJ25+BJ26+BJ27+BJ28+BJ29+BJ30+BJ33+BJ35+'[33]Actual &amp; Assumptions'!BJ48+'[33]Actual &amp; Assumptions'!BJ49+'[33]Actual &amp; Assumptions'!BJ51+BJ162)))</f>
        <v>23263.397452481557</v>
      </c>
      <c r="BK137" s="252">
        <f>IF(BK41+BK42+BK44+BK46+BK47+BK49+BK50+BK51+BK52+BK53+BK54+BK55+BK59+BK60+BK61+BK62+BK63+BK65+BK66+BK67+BK71+BK72+BK73+BK74+BK75+BK77+BK78+BK80+BK81+BK83+BK84+BK85+BK87+BK88+'[33]Actual &amp; Assumptions'!BK185-(BK9+BK10+BK12+BK16+BK17+BK19+BK22+BK25+BK26+BK27+BK29+BK30+BK33+BK35+'[33]Actual &amp; Assumptions'!BK48+'[33]Actual &amp; Assumptions'!BK49+'[33]Actual &amp; Assumptions'!BK51+BK162)&gt;0,0,-(BK41+BK42+BK44+BK46+BK47+BK49+BK50+BK51+BK52+BK53+BK54+BK55+BK59+BK60+BK61+BK62+BK63+BK65+BK66+BK67+BK71+BK72+BK73+BK74+BK75+BK77+BK78+BK80+BK81+BK83+BK84+BK85+BK87+BK88+'[33]Actual &amp; Assumptions'!BK185-(BK9+BK10+BK12+BK16+BK17+BK19+BK22+BK25+BK26+BK27+BK28+BK29+BK30+BK33+BK35+'[33]Actual &amp; Assumptions'!BK48+'[33]Actual &amp; Assumptions'!BK49+'[33]Actual &amp; Assumptions'!BK51+BK162)))</f>
        <v>19241.367283428088</v>
      </c>
      <c r="BL137" s="252">
        <f>IF(BL41+BL42+BL44+BL46+BL47+BL49+BL50+BL51+BL52+BL53+BL54+BL55+BL59+BL60+BL61+BL62+BL63+BL65+BL66+BL67+BL71+BL72+BL73+BL74+BL75+BL77+BL78+BL80+BL81+BL83+BL84+BL85+BL87+BL88+'[33]Actual &amp; Assumptions'!BL185-(BL9+BL10+BL12+BL16+BL17+BL19+BL22+BL25+BL26+BL27+BL29+BL30+BL33+BL35+'[33]Actual &amp; Assumptions'!BL48+'[33]Actual &amp; Assumptions'!BL49+'[33]Actual &amp; Assumptions'!BL51+BL162)&gt;0,0,-(BL41+BL42+BL44+BL46+BL47+BL49+BL50+BL51+BL52+BL53+BL54+BL55+BL59+BL60+BL61+BL62+BL63+BL65+BL66+BL67+BL71+BL72+BL73+BL74+BL75+BL77+BL78+BL80+BL81+BL83+BL84+BL85+BL87+BL88+'[33]Actual &amp; Assumptions'!BL185-(BL9+BL10+BL12+BL16+BL17+BL19+BL22+BL25+BL26+BL27+BL28+BL29+BL30+BL33+BL35+'[33]Actual &amp; Assumptions'!BL48+'[33]Actual &amp; Assumptions'!BL49+'[33]Actual &amp; Assumptions'!BL51+BL162)))</f>
        <v>35731.111482888839</v>
      </c>
    </row>
    <row r="138" spans="1:272" hidden="1" outlineLevel="1">
      <c r="A138" s="251" t="s">
        <v>440</v>
      </c>
      <c r="B138" s="159"/>
      <c r="C138" s="253"/>
      <c r="D138" s="253"/>
      <c r="E138" s="253"/>
      <c r="F138" s="253"/>
      <c r="G138" s="253"/>
      <c r="H138" s="253"/>
      <c r="I138" s="253">
        <f>'[33]Actual &amp; Assumptions'!I195</f>
        <v>0.14499999999999999</v>
      </c>
      <c r="J138" s="253">
        <f>'[33]Actual &amp; Assumptions'!J195</f>
        <v>0.14499999999999999</v>
      </c>
      <c r="K138" s="253">
        <f>'[33]Actual &amp; Assumptions'!K195</f>
        <v>0.14499999999999999</v>
      </c>
      <c r="L138" s="253">
        <f>'[33]Actual &amp; Assumptions'!L195</f>
        <v>0.13500000000000001</v>
      </c>
      <c r="M138" s="253">
        <f>'[33]Actual &amp; Assumptions'!M195</f>
        <v>0.13500000000000001</v>
      </c>
      <c r="N138" s="253">
        <f>'[33]Actual &amp; Assumptions'!N195</f>
        <v>0.13500000000000001</v>
      </c>
      <c r="O138" s="253">
        <f>'[33]Actual &amp; Assumptions'!O195</f>
        <v>0.13500000000000001</v>
      </c>
      <c r="P138" s="253">
        <f>'[33]Actual &amp; Assumptions'!P195</f>
        <v>0.13500000000000001</v>
      </c>
      <c r="Q138" s="253">
        <f>'[33]Actual &amp; Assumptions'!Q195</f>
        <v>0.125</v>
      </c>
      <c r="R138" s="253">
        <f>'[33]Actual &amp; Assumptions'!R195</f>
        <v>0.125</v>
      </c>
      <c r="S138" s="253">
        <f>'[33]Actual &amp; Assumptions'!S195</f>
        <v>0.125</v>
      </c>
      <c r="T138" s="253">
        <f>'[33]Actual &amp; Assumptions'!T195</f>
        <v>0.125</v>
      </c>
      <c r="U138" s="253">
        <f>'[33]Actual &amp; Assumptions'!U195</f>
        <v>0.125</v>
      </c>
      <c r="V138" s="253">
        <f>'[33]Actual &amp; Assumptions'!V195</f>
        <v>0.13500000000000001</v>
      </c>
      <c r="W138" s="253">
        <f>'[33]Actual &amp; Assumptions'!W195</f>
        <v>0.13500000000000001</v>
      </c>
      <c r="X138" s="253">
        <f>'[33]Actual &amp; Assumptions'!X195</f>
        <v>0.13500000000000001</v>
      </c>
      <c r="Y138" s="253">
        <v>0.18</v>
      </c>
      <c r="Z138" s="253">
        <f>'[33]Actual &amp; Assumptions'!Z195</f>
        <v>0.125</v>
      </c>
      <c r="AA138" s="253">
        <f>'[33]Actual &amp; Assumptions'!AA195</f>
        <v>0.18</v>
      </c>
      <c r="AB138" s="253">
        <f>'[33]Actual &amp; Assumptions'!AB195</f>
        <v>0.18</v>
      </c>
      <c r="AC138" s="253">
        <f>'[33]Actual &amp; Assumptions'!AC195</f>
        <v>0.18</v>
      </c>
      <c r="AD138" s="253">
        <f>'[33]Actual &amp; Assumptions'!AD195</f>
        <v>0.18</v>
      </c>
      <c r="AE138" s="253">
        <f>'[33]Actual &amp; Assumptions'!AE195</f>
        <v>0</v>
      </c>
      <c r="AF138" s="253">
        <f>'[33]Actual &amp; Assumptions'!AF195</f>
        <v>0</v>
      </c>
      <c r="AG138" s="253">
        <f>'[33]Actual &amp; Assumptions'!AG195</f>
        <v>0</v>
      </c>
      <c r="AH138" s="253">
        <f>'[33]Actual &amp; Assumptions'!AH195</f>
        <v>0</v>
      </c>
      <c r="AI138" s="253">
        <f>'[33]Actual &amp; Assumptions'!AI195</f>
        <v>0</v>
      </c>
      <c r="AJ138" s="253">
        <f>'[33]Actual &amp; Assumptions'!AJ195</f>
        <v>0</v>
      </c>
      <c r="AK138" s="253">
        <v>0.04</v>
      </c>
      <c r="AL138" s="253">
        <v>0.04</v>
      </c>
      <c r="AM138" s="253">
        <f>'[33]Actual &amp; Assumptions'!AM195</f>
        <v>0</v>
      </c>
      <c r="AN138" s="253">
        <f>'[33]Actual &amp; Assumptions'!AN195</f>
        <v>0</v>
      </c>
      <c r="AO138" s="253">
        <f>'[33]Actual &amp; Assumptions'!AO195</f>
        <v>0</v>
      </c>
      <c r="AP138" s="253">
        <f>'[33]Actual &amp; Assumptions'!AP195</f>
        <v>0</v>
      </c>
      <c r="AQ138" s="253">
        <f>'[33]Actual &amp; Assumptions'!AQ195</f>
        <v>0</v>
      </c>
      <c r="AR138" s="253">
        <f>'[33]Actual &amp; Assumptions'!AR195</f>
        <v>0</v>
      </c>
      <c r="AS138" s="253">
        <f>'[33]Actual &amp; Assumptions'!AS195</f>
        <v>0</v>
      </c>
      <c r="AT138" s="252">
        <f>AS138</f>
        <v>0</v>
      </c>
      <c r="AU138" s="253">
        <f>'[33]Actual &amp; Assumptions'!AU195</f>
        <v>0</v>
      </c>
      <c r="AV138" s="253">
        <f>'[33]Actual &amp; Assumptions'!AV195</f>
        <v>0</v>
      </c>
      <c r="AW138" s="253">
        <f>'[33]Actual &amp; Assumptions'!AW195</f>
        <v>0</v>
      </c>
      <c r="AX138" s="253">
        <f>'[33]Actual &amp; Assumptions'!AX195</f>
        <v>0</v>
      </c>
      <c r="AY138" s="252">
        <f>AX138</f>
        <v>0</v>
      </c>
      <c r="AZ138" s="253">
        <f>'[33]Actual &amp; Assumptions'!AZ195</f>
        <v>0</v>
      </c>
      <c r="BA138" s="253">
        <f>'[33]Actual &amp; Assumptions'!BA195</f>
        <v>0</v>
      </c>
      <c r="BB138" s="253">
        <f>'[33]Actual &amp; Assumptions'!BB195</f>
        <v>0</v>
      </c>
      <c r="BC138" s="253">
        <f>'[33]Actual &amp; Assumptions'!BC195</f>
        <v>0</v>
      </c>
      <c r="BD138" s="253">
        <f>'[33]Actual &amp; Assumptions'!BD195</f>
        <v>0</v>
      </c>
      <c r="BE138" s="253">
        <f>'[33]Actual &amp; Assumptions'!BE195</f>
        <v>0</v>
      </c>
      <c r="BF138" s="253">
        <f>'[33]Actual &amp; Assumptions'!BF195</f>
        <v>0</v>
      </c>
      <c r="BG138" s="253">
        <f>'[33]Actual &amp; Assumptions'!BG195</f>
        <v>0</v>
      </c>
      <c r="BH138" s="253">
        <f>'[33]Actual &amp; Assumptions'!BH195</f>
        <v>0</v>
      </c>
      <c r="BI138" s="253">
        <f>'[33]Actual &amp; Assumptions'!BI195</f>
        <v>0</v>
      </c>
      <c r="BJ138" s="253">
        <f>'[33]Actual &amp; Assumptions'!BJ195</f>
        <v>0</v>
      </c>
      <c r="BK138" s="253">
        <f>'[33]Actual &amp; Assumptions'!BK195</f>
        <v>0</v>
      </c>
      <c r="BL138" s="253">
        <f>'[33]Actual &amp; Assumptions'!BL195</f>
        <v>0</v>
      </c>
    </row>
    <row r="139" spans="1:272" hidden="1" outlineLevel="1">
      <c r="A139" s="251" t="s">
        <v>441</v>
      </c>
      <c r="B139" s="159"/>
      <c r="C139" s="252"/>
      <c r="D139" s="252"/>
      <c r="E139" s="252"/>
      <c r="F139" s="252"/>
      <c r="G139" s="252"/>
      <c r="H139" s="252"/>
      <c r="I139" s="252">
        <f t="shared" ref="I139:BL139" si="157">I136/(1-I138)</f>
        <v>-36925.717543859646</v>
      </c>
      <c r="J139" s="252">
        <f t="shared" si="157"/>
        <v>-59573.863325614664</v>
      </c>
      <c r="K139" s="252">
        <f t="shared" si="157"/>
        <v>-25958.684187134379</v>
      </c>
      <c r="L139" s="252">
        <f t="shared" si="157"/>
        <v>0</v>
      </c>
      <c r="M139" s="252">
        <f t="shared" si="157"/>
        <v>0</v>
      </c>
      <c r="N139" s="252">
        <f t="shared" si="157"/>
        <v>0</v>
      </c>
      <c r="O139" s="252">
        <f t="shared" si="157"/>
        <v>-15273.858959537545</v>
      </c>
      <c r="P139" s="252">
        <f t="shared" si="157"/>
        <v>0</v>
      </c>
      <c r="Q139" s="252">
        <f t="shared" si="157"/>
        <v>0</v>
      </c>
      <c r="R139" s="252">
        <f t="shared" si="157"/>
        <v>0</v>
      </c>
      <c r="S139" s="252">
        <f t="shared" si="157"/>
        <v>0</v>
      </c>
      <c r="T139" s="252">
        <f t="shared" si="157"/>
        <v>-22359.190061029429</v>
      </c>
      <c r="U139" s="252">
        <f t="shared" si="157"/>
        <v>-4540.7997067436472</v>
      </c>
      <c r="V139" s="252">
        <f t="shared" si="157"/>
        <v>0</v>
      </c>
      <c r="W139" s="252">
        <f t="shared" si="157"/>
        <v>-10836.763660129896</v>
      </c>
      <c r="X139" s="252">
        <f t="shared" si="157"/>
        <v>0</v>
      </c>
      <c r="Y139" s="252">
        <f t="shared" si="157"/>
        <v>0</v>
      </c>
      <c r="Z139" s="252">
        <f t="shared" si="157"/>
        <v>0</v>
      </c>
      <c r="AA139" s="252">
        <f t="shared" si="157"/>
        <v>0</v>
      </c>
      <c r="AB139" s="252">
        <f t="shared" si="157"/>
        <v>0</v>
      </c>
      <c r="AC139" s="252">
        <f t="shared" si="157"/>
        <v>0</v>
      </c>
      <c r="AD139" s="252">
        <f t="shared" si="157"/>
        <v>0</v>
      </c>
      <c r="AE139" s="252">
        <f t="shared" si="157"/>
        <v>0</v>
      </c>
      <c r="AF139" s="252">
        <f t="shared" si="157"/>
        <v>0</v>
      </c>
      <c r="AG139" s="252">
        <f t="shared" si="157"/>
        <v>0</v>
      </c>
      <c r="AH139" s="252">
        <f t="shared" si="157"/>
        <v>0</v>
      </c>
      <c r="AI139" s="252">
        <f t="shared" si="157"/>
        <v>0</v>
      </c>
      <c r="AJ139" s="252">
        <f t="shared" si="157"/>
        <v>0</v>
      </c>
      <c r="AK139" s="252">
        <f t="shared" si="157"/>
        <v>0</v>
      </c>
      <c r="AL139" s="252">
        <f t="shared" si="157"/>
        <v>0</v>
      </c>
      <c r="AM139" s="252">
        <f t="shared" si="157"/>
        <v>0</v>
      </c>
      <c r="AN139" s="252">
        <f t="shared" si="157"/>
        <v>0</v>
      </c>
      <c r="AO139" s="252">
        <f t="shared" si="157"/>
        <v>0</v>
      </c>
      <c r="AP139" s="252">
        <f t="shared" si="157"/>
        <v>0</v>
      </c>
      <c r="AQ139" s="252">
        <f t="shared" si="157"/>
        <v>0</v>
      </c>
      <c r="AR139" s="252">
        <f t="shared" si="157"/>
        <v>0</v>
      </c>
      <c r="AS139" s="252">
        <f t="shared" si="157"/>
        <v>0</v>
      </c>
      <c r="AT139" s="252">
        <f>AS139</f>
        <v>0</v>
      </c>
      <c r="AU139" s="252">
        <f t="shared" ref="AU139:AX139" si="158">AU136/(1-AU138)</f>
        <v>-32882.927204159983</v>
      </c>
      <c r="AV139" s="252">
        <f t="shared" si="158"/>
        <v>-28019.274995826716</v>
      </c>
      <c r="AW139" s="252">
        <f t="shared" si="158"/>
        <v>-77488.230049552571</v>
      </c>
      <c r="AX139" s="252">
        <f t="shared" si="158"/>
        <v>0</v>
      </c>
      <c r="AY139" s="252">
        <f>AX139</f>
        <v>0</v>
      </c>
      <c r="AZ139" s="252">
        <f t="shared" si="157"/>
        <v>0</v>
      </c>
      <c r="BA139" s="252">
        <f t="shared" si="157"/>
        <v>0</v>
      </c>
      <c r="BB139" s="252">
        <f t="shared" si="157"/>
        <v>0</v>
      </c>
      <c r="BC139" s="252">
        <f t="shared" si="157"/>
        <v>0</v>
      </c>
      <c r="BD139" s="252">
        <f t="shared" si="157"/>
        <v>0</v>
      </c>
      <c r="BE139" s="252">
        <f t="shared" si="157"/>
        <v>0</v>
      </c>
      <c r="BF139" s="252">
        <f t="shared" si="157"/>
        <v>0</v>
      </c>
      <c r="BG139" s="252">
        <f t="shared" si="157"/>
        <v>0</v>
      </c>
      <c r="BH139" s="252">
        <f t="shared" si="157"/>
        <v>0</v>
      </c>
      <c r="BI139" s="252">
        <f t="shared" si="157"/>
        <v>0</v>
      </c>
      <c r="BJ139" s="252">
        <f t="shared" si="157"/>
        <v>0</v>
      </c>
      <c r="BK139" s="252">
        <f t="shared" si="157"/>
        <v>0</v>
      </c>
      <c r="BL139" s="252">
        <f t="shared" si="157"/>
        <v>0</v>
      </c>
    </row>
    <row r="140" spans="1:272" hidden="1" outlineLevel="1">
      <c r="A140" s="251" t="s">
        <v>442</v>
      </c>
      <c r="B140" s="159"/>
      <c r="C140" s="252"/>
      <c r="D140" s="252"/>
      <c r="E140" s="252"/>
      <c r="F140" s="252"/>
      <c r="G140" s="252"/>
      <c r="H140" s="252"/>
      <c r="I140" s="252">
        <f t="shared" ref="I140:AD140" si="159">I139*I138</f>
        <v>-5354.2290438596483</v>
      </c>
      <c r="J140" s="252">
        <f t="shared" si="159"/>
        <v>-8638.2101822141249</v>
      </c>
      <c r="K140" s="252">
        <f t="shared" si="159"/>
        <v>-3764.0092071344848</v>
      </c>
      <c r="L140" s="252">
        <f t="shared" si="159"/>
        <v>0</v>
      </c>
      <c r="M140" s="252">
        <f t="shared" si="159"/>
        <v>0</v>
      </c>
      <c r="N140" s="252">
        <f t="shared" si="159"/>
        <v>0</v>
      </c>
      <c r="O140" s="252">
        <f t="shared" si="159"/>
        <v>-2061.9709595375689</v>
      </c>
      <c r="P140" s="252">
        <f t="shared" si="159"/>
        <v>0</v>
      </c>
      <c r="Q140" s="252">
        <f t="shared" si="159"/>
        <v>0</v>
      </c>
      <c r="R140" s="252">
        <f t="shared" si="159"/>
        <v>0</v>
      </c>
      <c r="S140" s="252">
        <f t="shared" si="159"/>
        <v>0</v>
      </c>
      <c r="T140" s="252">
        <f t="shared" si="159"/>
        <v>-2794.8987576286786</v>
      </c>
      <c r="U140" s="252">
        <f t="shared" si="159"/>
        <v>-567.5999633429559</v>
      </c>
      <c r="V140" s="252">
        <f t="shared" si="159"/>
        <v>0</v>
      </c>
      <c r="W140" s="252">
        <f t="shared" si="159"/>
        <v>-1462.963094117536</v>
      </c>
      <c r="X140" s="252">
        <f t="shared" si="159"/>
        <v>0</v>
      </c>
      <c r="Y140" s="252">
        <f t="shared" si="159"/>
        <v>0</v>
      </c>
      <c r="Z140" s="252">
        <f t="shared" si="159"/>
        <v>0</v>
      </c>
      <c r="AA140" s="252">
        <f t="shared" si="159"/>
        <v>0</v>
      </c>
      <c r="AB140" s="252">
        <f t="shared" si="159"/>
        <v>0</v>
      </c>
      <c r="AC140" s="252">
        <f t="shared" si="159"/>
        <v>0</v>
      </c>
      <c r="AD140" s="252">
        <f t="shared" si="159"/>
        <v>0</v>
      </c>
      <c r="AE140" s="252">
        <f>AE139*AE138</f>
        <v>0</v>
      </c>
      <c r="AF140" s="252">
        <f t="shared" ref="AF140:AO140" si="160">AF139*AF138</f>
        <v>0</v>
      </c>
      <c r="AG140" s="252">
        <f t="shared" si="160"/>
        <v>0</v>
      </c>
      <c r="AH140" s="252">
        <f t="shared" si="160"/>
        <v>0</v>
      </c>
      <c r="AI140" s="252">
        <f t="shared" si="160"/>
        <v>0</v>
      </c>
      <c r="AJ140" s="252">
        <f t="shared" si="160"/>
        <v>0</v>
      </c>
      <c r="AK140" s="252">
        <f t="shared" si="160"/>
        <v>0</v>
      </c>
      <c r="AL140" s="252">
        <f t="shared" si="160"/>
        <v>0</v>
      </c>
      <c r="AM140" s="252">
        <f t="shared" si="160"/>
        <v>0</v>
      </c>
      <c r="AN140" s="252">
        <f t="shared" si="160"/>
        <v>0</v>
      </c>
      <c r="AO140" s="252">
        <f t="shared" si="160"/>
        <v>0</v>
      </c>
      <c r="AP140" s="252">
        <f>AP139*AP138</f>
        <v>0</v>
      </c>
      <c r="AQ140" s="252">
        <f t="shared" ref="AQ140:AS140" si="161">AQ139*AQ138</f>
        <v>0</v>
      </c>
      <c r="AR140" s="252">
        <f t="shared" si="161"/>
        <v>0</v>
      </c>
      <c r="AS140" s="252">
        <f t="shared" si="161"/>
        <v>0</v>
      </c>
      <c r="AT140" s="252">
        <f>AS140</f>
        <v>0</v>
      </c>
      <c r="AU140" s="252">
        <f>AU139*AU138</f>
        <v>0</v>
      </c>
      <c r="AV140" s="252">
        <f t="shared" ref="AV140:AX140" si="162">AV139*AV138</f>
        <v>0</v>
      </c>
      <c r="AW140" s="252">
        <f t="shared" si="162"/>
        <v>0</v>
      </c>
      <c r="AX140" s="252">
        <f t="shared" si="162"/>
        <v>0</v>
      </c>
      <c r="AY140" s="252">
        <f>AX140</f>
        <v>0</v>
      </c>
      <c r="AZ140" s="252">
        <f>AZ139*AZ138</f>
        <v>0</v>
      </c>
      <c r="BA140" s="252">
        <f>BA139*BA138</f>
        <v>0</v>
      </c>
      <c r="BB140" s="252">
        <f>BB139*BB138</f>
        <v>0</v>
      </c>
      <c r="BC140" s="252">
        <f>BC139*BC138</f>
        <v>0</v>
      </c>
      <c r="BD140" s="252">
        <f t="shared" ref="BD140:BL140" si="163">BD139*BD138</f>
        <v>0</v>
      </c>
      <c r="BE140" s="252">
        <f t="shared" si="163"/>
        <v>0</v>
      </c>
      <c r="BF140" s="252">
        <f t="shared" si="163"/>
        <v>0</v>
      </c>
      <c r="BG140" s="252">
        <f t="shared" si="163"/>
        <v>0</v>
      </c>
      <c r="BH140" s="252">
        <f>BH139*BH138</f>
        <v>0</v>
      </c>
      <c r="BI140" s="252">
        <f>BI139*BI138</f>
        <v>0</v>
      </c>
      <c r="BJ140" s="252">
        <f>BJ139*BJ138</f>
        <v>0</v>
      </c>
      <c r="BK140" s="252">
        <f t="shared" si="163"/>
        <v>0</v>
      </c>
      <c r="BL140" s="252">
        <f t="shared" si="163"/>
        <v>0</v>
      </c>
    </row>
    <row r="141" spans="1:272" hidden="1" outlineLevel="1">
      <c r="C141" s="152"/>
      <c r="D141" s="152"/>
      <c r="E141" s="152"/>
      <c r="F141" s="152"/>
      <c r="G141" s="152"/>
      <c r="H141" s="152"/>
      <c r="I141" s="152"/>
      <c r="J141" s="152"/>
      <c r="K141" s="152"/>
      <c r="L141" s="152"/>
      <c r="M141" s="152"/>
      <c r="N141" s="152"/>
      <c r="O141" s="152"/>
      <c r="P141" s="152"/>
      <c r="Q141" s="152"/>
      <c r="R141" s="152"/>
      <c r="S141" s="152"/>
      <c r="T141" s="152"/>
      <c r="U141" s="152"/>
      <c r="V141" s="152"/>
      <c r="W141" s="152"/>
      <c r="X141" s="152"/>
      <c r="Y141" s="152"/>
      <c r="Z141" s="152"/>
      <c r="AA141" s="152"/>
      <c r="AB141" s="152"/>
      <c r="AC141" s="152"/>
      <c r="AD141" s="152"/>
      <c r="AE141" s="152"/>
      <c r="AF141" s="152"/>
      <c r="AG141" s="152"/>
      <c r="AH141" s="152"/>
      <c r="AI141" s="152"/>
      <c r="AJ141" s="152"/>
      <c r="AK141" s="152"/>
      <c r="AL141" s="152"/>
      <c r="AM141" s="152"/>
      <c r="AN141" s="152"/>
      <c r="AO141" s="152"/>
      <c r="AP141" s="152"/>
      <c r="AQ141" s="152"/>
      <c r="AR141" s="152"/>
      <c r="AS141" s="152"/>
      <c r="AT141" s="152"/>
      <c r="AU141" s="152"/>
      <c r="AV141" s="152"/>
      <c r="AW141" s="152"/>
      <c r="AX141" s="152"/>
      <c r="AY141" s="152"/>
      <c r="AZ141" s="152"/>
      <c r="BA141" s="152"/>
      <c r="BB141" s="152"/>
      <c r="BC141" s="152"/>
      <c r="BD141" s="152"/>
      <c r="BE141" s="152"/>
      <c r="BF141" s="152"/>
      <c r="BG141" s="152"/>
      <c r="BH141" s="152"/>
      <c r="BI141" s="152"/>
      <c r="BJ141" s="152"/>
      <c r="BK141" s="152"/>
      <c r="BL141" s="152"/>
    </row>
    <row r="142" spans="1:272" hidden="1"/>
    <row r="143" spans="1:272" hidden="1">
      <c r="A143" s="249" t="s">
        <v>443</v>
      </c>
      <c r="B143" s="249"/>
      <c r="C143" s="250"/>
      <c r="D143" s="250"/>
      <c r="E143" s="250"/>
      <c r="F143" s="250"/>
      <c r="G143" s="250"/>
      <c r="H143" s="250"/>
      <c r="I143" s="250"/>
      <c r="J143" s="250"/>
      <c r="K143" s="250"/>
      <c r="L143" s="250"/>
      <c r="M143" s="250"/>
      <c r="N143" s="250"/>
      <c r="O143" s="250"/>
      <c r="P143" s="250"/>
      <c r="Q143" s="250"/>
      <c r="R143" s="250"/>
      <c r="S143" s="250"/>
      <c r="T143" s="250"/>
      <c r="U143" s="250"/>
      <c r="V143" s="250"/>
      <c r="W143" s="250"/>
      <c r="X143" s="250"/>
      <c r="Y143" s="250"/>
      <c r="Z143" s="250"/>
      <c r="AA143" s="250"/>
      <c r="AB143" s="250"/>
      <c r="AC143" s="250"/>
      <c r="AD143" s="250"/>
      <c r="AE143" s="250"/>
      <c r="AF143" s="250"/>
      <c r="AG143" s="250"/>
      <c r="AH143" s="250"/>
      <c r="AI143" s="250"/>
      <c r="AJ143" s="250"/>
      <c r="AK143" s="250"/>
      <c r="AL143" s="250"/>
      <c r="AM143" s="250"/>
      <c r="AN143" s="250"/>
      <c r="AO143" s="250"/>
      <c r="AP143" s="250"/>
      <c r="AQ143" s="250"/>
      <c r="AR143" s="250"/>
      <c r="AS143" s="250"/>
      <c r="AT143" s="250"/>
      <c r="AU143" s="250"/>
      <c r="AV143" s="250"/>
      <c r="AW143" s="250"/>
      <c r="AX143" s="250"/>
      <c r="AY143" s="250"/>
      <c r="AZ143" s="250"/>
      <c r="BA143" s="250"/>
      <c r="BB143" s="250"/>
      <c r="BC143" s="250"/>
      <c r="BD143" s="250"/>
      <c r="BE143" s="250"/>
      <c r="BF143" s="250"/>
      <c r="BG143" s="250"/>
      <c r="BH143" s="250"/>
      <c r="BI143" s="250"/>
      <c r="BJ143" s="250"/>
      <c r="BK143" s="250"/>
      <c r="BL143" s="250"/>
    </row>
    <row r="144" spans="1:272" hidden="1" outlineLevel="1">
      <c r="A144" s="251" t="s">
        <v>123</v>
      </c>
      <c r="B144" s="159"/>
      <c r="C144" s="254">
        <f t="shared" ref="C144:BL144" si="164">C20</f>
        <v>16778</v>
      </c>
      <c r="D144" s="254">
        <f t="shared" si="164"/>
        <v>35126</v>
      </c>
      <c r="E144" s="254">
        <f t="shared" si="164"/>
        <v>46338</v>
      </c>
      <c r="F144" s="254">
        <f t="shared" si="164"/>
        <v>40693</v>
      </c>
      <c r="G144" s="254">
        <f t="shared" si="164"/>
        <v>22593.058000000048</v>
      </c>
      <c r="H144" s="254">
        <f t="shared" si="164"/>
        <v>34704.993000000046</v>
      </c>
      <c r="I144" s="254">
        <f t="shared" si="164"/>
        <v>17598</v>
      </c>
      <c r="J144" s="254">
        <f t="shared" si="164"/>
        <v>6844.5818240994413</v>
      </c>
      <c r="K144" s="254">
        <f t="shared" si="164"/>
        <v>16603.437970000108</v>
      </c>
      <c r="L144" s="254">
        <f t="shared" si="164"/>
        <v>2664.9896299999818</v>
      </c>
      <c r="M144" s="254">
        <f t="shared" si="164"/>
        <v>10848.819919999718</v>
      </c>
      <c r="N144" s="254">
        <f t="shared" si="164"/>
        <v>6237.2840600000054</v>
      </c>
      <c r="O144" s="254">
        <f t="shared" si="164"/>
        <v>3652.1120000000228</v>
      </c>
      <c r="P144" s="254">
        <f t="shared" si="164"/>
        <v>23401.205609999684</v>
      </c>
      <c r="Q144" s="254">
        <f t="shared" si="164"/>
        <v>-3296.9888099999916</v>
      </c>
      <c r="R144" s="254">
        <f t="shared" si="164"/>
        <v>8970.259560000095</v>
      </c>
      <c r="S144" s="254">
        <f t="shared" si="164"/>
        <v>4073.9714599998988</v>
      </c>
      <c r="T144" s="254">
        <f t="shared" si="164"/>
        <v>17035.678209999998</v>
      </c>
      <c r="U144" s="254">
        <f t="shared" si="164"/>
        <v>26782.920420000064</v>
      </c>
      <c r="V144" s="254">
        <f t="shared" si="164"/>
        <v>8989.7766600000141</v>
      </c>
      <c r="W144" s="254">
        <f t="shared" si="164"/>
        <v>10434.63091</v>
      </c>
      <c r="X144" s="254">
        <f t="shared" si="164"/>
        <v>247.7061900001172</v>
      </c>
      <c r="Y144" s="254">
        <f t="shared" si="164"/>
        <v>-709.23603000010189</v>
      </c>
      <c r="Z144" s="254">
        <f t="shared" si="164"/>
        <v>18962.877729999993</v>
      </c>
      <c r="AA144" s="254">
        <f t="shared" si="164"/>
        <v>-2196.5441900000078</v>
      </c>
      <c r="AB144" s="254">
        <f t="shared" si="164"/>
        <v>5764.0469499999963</v>
      </c>
      <c r="AC144" s="254">
        <f t="shared" si="164"/>
        <v>3064.882890000008</v>
      </c>
      <c r="AD144" s="254">
        <f t="shared" si="164"/>
        <v>9631.0780999999843</v>
      </c>
      <c r="AE144" s="254">
        <f t="shared" si="164"/>
        <v>16263.463749999995</v>
      </c>
      <c r="AF144" s="254">
        <f t="shared" si="164"/>
        <v>-909.20423000000301</v>
      </c>
      <c r="AG144" s="254">
        <f t="shared" si="164"/>
        <v>-11632.670869999994</v>
      </c>
      <c r="AH144" s="254">
        <f t="shared" si="164"/>
        <v>-10923.747860000003</v>
      </c>
      <c r="AI144" s="254">
        <f t="shared" si="164"/>
        <v>-15656</v>
      </c>
      <c r="AJ144" s="254">
        <f t="shared" si="164"/>
        <v>-39121.622959999979</v>
      </c>
      <c r="AK144" s="254">
        <f t="shared" si="164"/>
        <v>-42433</v>
      </c>
      <c r="AL144" s="254">
        <f t="shared" si="164"/>
        <v>-7751</v>
      </c>
      <c r="AM144" s="254">
        <f t="shared" si="164"/>
        <v>-13625</v>
      </c>
      <c r="AN144" s="254">
        <f t="shared" si="164"/>
        <v>9314</v>
      </c>
      <c r="AO144" s="254">
        <f t="shared" si="164"/>
        <v>-54495</v>
      </c>
      <c r="AP144" s="254">
        <f t="shared" si="164"/>
        <v>-126.16604982072204</v>
      </c>
      <c r="AQ144" s="254">
        <f t="shared" si="164"/>
        <v>1068.6127184072593</v>
      </c>
      <c r="AR144" s="254">
        <f t="shared" si="164"/>
        <v>-635.49162169337251</v>
      </c>
      <c r="AS144" s="254">
        <f t="shared" si="164"/>
        <v>-1809.0978738999956</v>
      </c>
      <c r="AT144" s="254">
        <f t="shared" si="164"/>
        <v>-1502.1428270068718</v>
      </c>
      <c r="AU144" s="254">
        <f t="shared" si="164"/>
        <v>4248.0058599999757</v>
      </c>
      <c r="AV144" s="254">
        <f t="shared" si="164"/>
        <v>6320.0032300000321</v>
      </c>
      <c r="AW144" s="254">
        <f t="shared" si="164"/>
        <v>4058.0765900000288</v>
      </c>
      <c r="AX144" s="254">
        <f t="shared" si="164"/>
        <v>13346.336840000016</v>
      </c>
      <c r="AY144" s="254">
        <f t="shared" si="164"/>
        <v>27972.422520000073</v>
      </c>
      <c r="AZ144" s="254">
        <f t="shared" si="164"/>
        <v>32936.486585438499</v>
      </c>
      <c r="BA144" s="254">
        <f t="shared" si="164"/>
        <v>38517.326786882622</v>
      </c>
      <c r="BB144" s="254">
        <f t="shared" si="164"/>
        <v>44785.40507859637</v>
      </c>
      <c r="BC144" s="254">
        <f t="shared" si="164"/>
        <v>51816.26093696984</v>
      </c>
      <c r="BD144" s="254">
        <f t="shared" si="164"/>
        <v>59449.991896930165</v>
      </c>
      <c r="BE144" s="254">
        <f t="shared" si="164"/>
        <v>70997.60051165623</v>
      </c>
      <c r="BF144" s="254">
        <f t="shared" si="164"/>
        <v>81102.048339542875</v>
      </c>
      <c r="BG144" s="254">
        <f t="shared" si="164"/>
        <v>92383.833633325325</v>
      </c>
      <c r="BH144" s="254">
        <f t="shared" si="164"/>
        <v>104969.430115261</v>
      </c>
      <c r="BI144" s="254">
        <f t="shared" si="164"/>
        <v>118998.40357512113</v>
      </c>
      <c r="BJ144" s="254">
        <f t="shared" si="164"/>
        <v>134624.74337605207</v>
      </c>
      <c r="BK144" s="254">
        <f t="shared" si="164"/>
        <v>152018.32822124707</v>
      </c>
      <c r="BL144" s="254">
        <f t="shared" si="164"/>
        <v>171366.53966261097</v>
      </c>
    </row>
    <row r="145" spans="1:64" hidden="1" outlineLevel="1">
      <c r="A145" s="251" t="s">
        <v>444</v>
      </c>
      <c r="B145" s="159"/>
      <c r="C145" s="254"/>
      <c r="D145" s="254"/>
      <c r="E145" s="254"/>
      <c r="F145" s="254"/>
      <c r="G145" s="254"/>
      <c r="H145" s="254"/>
      <c r="I145" s="254"/>
      <c r="J145" s="254"/>
      <c r="K145" s="254"/>
      <c r="L145" s="254"/>
      <c r="M145" s="254"/>
      <c r="N145" s="254"/>
      <c r="O145" s="254"/>
      <c r="P145" s="254"/>
      <c r="Q145" s="254"/>
      <c r="R145" s="254"/>
      <c r="S145" s="254"/>
      <c r="T145" s="254"/>
      <c r="U145" s="254"/>
      <c r="V145" s="254"/>
      <c r="W145" s="254"/>
      <c r="X145" s="254"/>
      <c r="Y145" s="254"/>
      <c r="Z145" s="254"/>
      <c r="AA145" s="254"/>
      <c r="AB145" s="254"/>
      <c r="AC145" s="254"/>
      <c r="AD145" s="254"/>
      <c r="AE145" s="254"/>
      <c r="AF145" s="254"/>
      <c r="AG145" s="254"/>
      <c r="AH145" s="254"/>
      <c r="AI145" s="254"/>
      <c r="AJ145" s="254"/>
      <c r="AK145" s="254"/>
      <c r="AL145" s="254"/>
      <c r="AM145" s="254"/>
      <c r="AN145" s="254"/>
      <c r="AO145" s="254"/>
      <c r="AP145" s="254"/>
      <c r="AQ145" s="254"/>
      <c r="AR145" s="254"/>
      <c r="AS145" s="254"/>
      <c r="AT145" s="254"/>
      <c r="AU145" s="254"/>
      <c r="AV145" s="254"/>
      <c r="AW145" s="254"/>
      <c r="AX145" s="254"/>
      <c r="AY145" s="254"/>
      <c r="AZ145" s="254"/>
      <c r="BA145" s="254"/>
      <c r="BB145" s="254"/>
      <c r="BC145" s="254"/>
      <c r="BD145" s="254"/>
      <c r="BE145" s="254"/>
      <c r="BF145" s="254"/>
      <c r="BG145" s="254"/>
      <c r="BH145" s="254"/>
      <c r="BI145" s="254"/>
      <c r="BJ145" s="254"/>
      <c r="BK145" s="254"/>
      <c r="BL145" s="254"/>
    </row>
    <row r="146" spans="1:64" hidden="1" outlineLevel="1">
      <c r="A146" s="255" t="s">
        <v>445</v>
      </c>
      <c r="B146" s="256"/>
      <c r="C146" s="257">
        <f t="shared" ref="C146:BA146" si="165">SUM(C144:C145)</f>
        <v>16778</v>
      </c>
      <c r="D146" s="257">
        <f t="shared" si="165"/>
        <v>35126</v>
      </c>
      <c r="E146" s="257">
        <f t="shared" si="165"/>
        <v>46338</v>
      </c>
      <c r="F146" s="257">
        <f t="shared" si="165"/>
        <v>40693</v>
      </c>
      <c r="G146" s="257">
        <f t="shared" si="165"/>
        <v>22593.058000000048</v>
      </c>
      <c r="H146" s="257">
        <f t="shared" si="165"/>
        <v>34704.993000000046</v>
      </c>
      <c r="I146" s="257">
        <f t="shared" si="165"/>
        <v>17598</v>
      </c>
      <c r="J146" s="257">
        <f t="shared" si="165"/>
        <v>6844.5818240994413</v>
      </c>
      <c r="K146" s="257">
        <f t="shared" si="165"/>
        <v>16603.437970000108</v>
      </c>
      <c r="L146" s="257">
        <f t="shared" si="165"/>
        <v>2664.9896299999818</v>
      </c>
      <c r="M146" s="257">
        <f t="shared" si="165"/>
        <v>10848.819919999718</v>
      </c>
      <c r="N146" s="257">
        <f t="shared" si="165"/>
        <v>6237.2840600000054</v>
      </c>
      <c r="O146" s="257">
        <f t="shared" si="165"/>
        <v>3652.1120000000228</v>
      </c>
      <c r="P146" s="257">
        <f t="shared" si="165"/>
        <v>23401.205609999684</v>
      </c>
      <c r="Q146" s="257">
        <f t="shared" si="165"/>
        <v>-3296.9888099999916</v>
      </c>
      <c r="R146" s="257">
        <f t="shared" si="165"/>
        <v>8970.259560000095</v>
      </c>
      <c r="S146" s="257">
        <f t="shared" si="165"/>
        <v>4073.9714599998988</v>
      </c>
      <c r="T146" s="257">
        <f t="shared" si="165"/>
        <v>17035.678209999998</v>
      </c>
      <c r="U146" s="257">
        <f t="shared" si="165"/>
        <v>26782.920420000064</v>
      </c>
      <c r="V146" s="257">
        <f t="shared" si="165"/>
        <v>8989.7766600000141</v>
      </c>
      <c r="W146" s="257">
        <f t="shared" si="165"/>
        <v>10434.63091</v>
      </c>
      <c r="X146" s="257">
        <f t="shared" si="165"/>
        <v>247.7061900001172</v>
      </c>
      <c r="Y146" s="257">
        <f t="shared" si="165"/>
        <v>-709.23603000010189</v>
      </c>
      <c r="Z146" s="257">
        <f t="shared" si="165"/>
        <v>18962.877729999993</v>
      </c>
      <c r="AA146" s="257">
        <f t="shared" si="165"/>
        <v>-2196.5441900000078</v>
      </c>
      <c r="AB146" s="257">
        <f t="shared" si="165"/>
        <v>5764.0469499999963</v>
      </c>
      <c r="AC146" s="257">
        <f t="shared" si="165"/>
        <v>3064.882890000008</v>
      </c>
      <c r="AD146" s="257">
        <f t="shared" si="165"/>
        <v>9631.0780999999843</v>
      </c>
      <c r="AE146" s="257">
        <f t="shared" si="165"/>
        <v>16263.463749999995</v>
      </c>
      <c r="AF146" s="257">
        <f t="shared" ref="AF146:AG146" si="166">SUM(AF144:AF145)</f>
        <v>-909.20423000000301</v>
      </c>
      <c r="AG146" s="257">
        <f t="shared" si="166"/>
        <v>-11632.670869999994</v>
      </c>
      <c r="AH146" s="257">
        <f t="shared" ref="AH146:AY146" si="167">SUM(AH144:AH145)</f>
        <v>-10923.747860000003</v>
      </c>
      <c r="AI146" s="257">
        <f t="shared" si="167"/>
        <v>-15656</v>
      </c>
      <c r="AJ146" s="257">
        <f t="shared" si="167"/>
        <v>-39121.622959999979</v>
      </c>
      <c r="AK146" s="257">
        <f t="shared" si="167"/>
        <v>-42433</v>
      </c>
      <c r="AL146" s="257">
        <f t="shared" si="167"/>
        <v>-7751</v>
      </c>
      <c r="AM146" s="257">
        <f t="shared" si="167"/>
        <v>-13625</v>
      </c>
      <c r="AN146" s="257">
        <f t="shared" si="167"/>
        <v>9314</v>
      </c>
      <c r="AO146" s="257">
        <f t="shared" si="167"/>
        <v>-54495</v>
      </c>
      <c r="AP146" s="257">
        <f t="shared" si="167"/>
        <v>-126.16604982072204</v>
      </c>
      <c r="AQ146" s="257">
        <f t="shared" si="167"/>
        <v>1068.6127184072593</v>
      </c>
      <c r="AR146" s="257">
        <f t="shared" si="167"/>
        <v>-635.49162169337251</v>
      </c>
      <c r="AS146" s="257">
        <f t="shared" si="167"/>
        <v>-1809.0978738999956</v>
      </c>
      <c r="AT146" s="257">
        <f t="shared" si="167"/>
        <v>-1502.1428270068718</v>
      </c>
      <c r="AU146" s="257">
        <f t="shared" si="167"/>
        <v>4248.0058599999757</v>
      </c>
      <c r="AV146" s="257">
        <f t="shared" si="167"/>
        <v>6320.0032300000321</v>
      </c>
      <c r="AW146" s="257">
        <f t="shared" si="167"/>
        <v>4058.0765900000288</v>
      </c>
      <c r="AX146" s="257">
        <f t="shared" si="167"/>
        <v>13346.336840000016</v>
      </c>
      <c r="AY146" s="257">
        <f t="shared" si="167"/>
        <v>27972.422520000073</v>
      </c>
      <c r="AZ146" s="257">
        <f t="shared" si="165"/>
        <v>32936.486585438499</v>
      </c>
      <c r="BA146" s="257">
        <f t="shared" si="165"/>
        <v>38517.326786882622</v>
      </c>
      <c r="BB146" s="257">
        <f>SUM(BB144:BB145)</f>
        <v>44785.40507859637</v>
      </c>
      <c r="BC146" s="257">
        <f>SUM(BC144:BC145)</f>
        <v>51816.26093696984</v>
      </c>
      <c r="BD146" s="257">
        <f t="shared" ref="BD146:BL146" si="168">SUM(BD144:BD145)</f>
        <v>59449.991896930165</v>
      </c>
      <c r="BE146" s="257">
        <f t="shared" si="168"/>
        <v>70997.60051165623</v>
      </c>
      <c r="BF146" s="257">
        <f t="shared" si="168"/>
        <v>81102.048339542875</v>
      </c>
      <c r="BG146" s="257">
        <f t="shared" si="168"/>
        <v>92383.833633325325</v>
      </c>
      <c r="BH146" s="257">
        <f t="shared" si="168"/>
        <v>104969.430115261</v>
      </c>
      <c r="BI146" s="257">
        <f t="shared" si="168"/>
        <v>118998.40357512113</v>
      </c>
      <c r="BJ146" s="257">
        <f t="shared" si="168"/>
        <v>134624.74337605207</v>
      </c>
      <c r="BK146" s="257">
        <f t="shared" si="168"/>
        <v>152018.32822124707</v>
      </c>
      <c r="BL146" s="257">
        <f t="shared" si="168"/>
        <v>171366.53966261097</v>
      </c>
    </row>
    <row r="147" spans="1:64" hidden="1" outlineLevel="1">
      <c r="A147" s="251" t="s">
        <v>446</v>
      </c>
      <c r="B147" s="159"/>
      <c r="C147" s="254">
        <f t="shared" ref="C147:BL147" si="169">IF((C83-B83)+(C60-B60)&lt;0,0,(C83-B83)+(C60-B60))</f>
        <v>0</v>
      </c>
      <c r="D147" s="254">
        <f t="shared" si="169"/>
        <v>600</v>
      </c>
      <c r="E147" s="254">
        <f t="shared" si="169"/>
        <v>0</v>
      </c>
      <c r="F147" s="254">
        <f t="shared" si="169"/>
        <v>0</v>
      </c>
      <c r="G147" s="254">
        <f t="shared" si="169"/>
        <v>0</v>
      </c>
      <c r="H147" s="254">
        <f t="shared" si="169"/>
        <v>0</v>
      </c>
      <c r="I147" s="254">
        <f t="shared" si="169"/>
        <v>0</v>
      </c>
      <c r="J147" s="254">
        <f t="shared" si="169"/>
        <v>0</v>
      </c>
      <c r="K147" s="254">
        <f t="shared" si="169"/>
        <v>0</v>
      </c>
      <c r="L147" s="254">
        <f t="shared" si="169"/>
        <v>0</v>
      </c>
      <c r="M147" s="254">
        <f t="shared" si="169"/>
        <v>3285</v>
      </c>
      <c r="N147" s="254">
        <f t="shared" si="169"/>
        <v>9122</v>
      </c>
      <c r="O147" s="254">
        <f t="shared" si="169"/>
        <v>26116</v>
      </c>
      <c r="P147" s="254">
        <f t="shared" si="169"/>
        <v>0</v>
      </c>
      <c r="Q147" s="254">
        <f t="shared" si="169"/>
        <v>0</v>
      </c>
      <c r="R147" s="254">
        <f t="shared" si="169"/>
        <v>0</v>
      </c>
      <c r="S147" s="254">
        <f t="shared" si="169"/>
        <v>0</v>
      </c>
      <c r="T147" s="254">
        <f t="shared" si="169"/>
        <v>30174</v>
      </c>
      <c r="U147" s="254">
        <f t="shared" si="169"/>
        <v>0</v>
      </c>
      <c r="V147" s="254">
        <f t="shared" si="169"/>
        <v>0</v>
      </c>
      <c r="W147" s="254">
        <f t="shared" si="169"/>
        <v>3855</v>
      </c>
      <c r="X147" s="254">
        <f t="shared" si="169"/>
        <v>622</v>
      </c>
      <c r="Y147" s="254">
        <f t="shared" si="169"/>
        <v>6789</v>
      </c>
      <c r="Z147" s="254">
        <f t="shared" si="169"/>
        <v>0</v>
      </c>
      <c r="AA147" s="254">
        <f t="shared" si="169"/>
        <v>7</v>
      </c>
      <c r="AB147" s="254">
        <f t="shared" si="169"/>
        <v>488</v>
      </c>
      <c r="AC147" s="254">
        <f t="shared" si="169"/>
        <v>0</v>
      </c>
      <c r="AD147" s="254">
        <f t="shared" si="169"/>
        <v>848</v>
      </c>
      <c r="AE147" s="254">
        <f t="shared" si="169"/>
        <v>0</v>
      </c>
      <c r="AF147" s="254">
        <f t="shared" si="169"/>
        <v>0</v>
      </c>
      <c r="AG147" s="254">
        <f t="shared" si="169"/>
        <v>0</v>
      </c>
      <c r="AH147" s="254">
        <f t="shared" si="169"/>
        <v>0</v>
      </c>
      <c r="AI147" s="254">
        <f t="shared" si="169"/>
        <v>0</v>
      </c>
      <c r="AJ147" s="254">
        <f t="shared" si="169"/>
        <v>0</v>
      </c>
      <c r="AK147" s="254">
        <f t="shared" si="169"/>
        <v>0</v>
      </c>
      <c r="AL147" s="254">
        <f t="shared" si="169"/>
        <v>0</v>
      </c>
      <c r="AM147" s="254">
        <f t="shared" si="169"/>
        <v>0</v>
      </c>
      <c r="AN147" s="254">
        <f t="shared" si="169"/>
        <v>0</v>
      </c>
      <c r="AO147" s="254">
        <f t="shared" si="169"/>
        <v>0</v>
      </c>
      <c r="AP147" s="254">
        <f t="shared" si="169"/>
        <v>0</v>
      </c>
      <c r="AQ147" s="254">
        <f t="shared" si="169"/>
        <v>0</v>
      </c>
      <c r="AR147" s="254">
        <f t="shared" si="169"/>
        <v>0</v>
      </c>
      <c r="AS147" s="254">
        <f t="shared" si="169"/>
        <v>0</v>
      </c>
      <c r="AT147" s="254">
        <f t="shared" si="169"/>
        <v>0</v>
      </c>
      <c r="AU147" s="254">
        <f t="shared" si="169"/>
        <v>0</v>
      </c>
      <c r="AV147" s="254">
        <f t="shared" si="169"/>
        <v>0</v>
      </c>
      <c r="AW147" s="254">
        <f t="shared" si="169"/>
        <v>0</v>
      </c>
      <c r="AX147" s="254">
        <f t="shared" si="169"/>
        <v>0</v>
      </c>
      <c r="AY147" s="254">
        <f t="shared" si="169"/>
        <v>0</v>
      </c>
      <c r="AZ147" s="254">
        <f t="shared" si="169"/>
        <v>0</v>
      </c>
      <c r="BA147" s="254">
        <f t="shared" si="169"/>
        <v>0</v>
      </c>
      <c r="BB147" s="254">
        <f t="shared" si="169"/>
        <v>0</v>
      </c>
      <c r="BC147" s="254">
        <f t="shared" si="169"/>
        <v>0</v>
      </c>
      <c r="BD147" s="254">
        <f t="shared" si="169"/>
        <v>0</v>
      </c>
      <c r="BE147" s="254">
        <f t="shared" si="169"/>
        <v>0</v>
      </c>
      <c r="BF147" s="254">
        <f t="shared" si="169"/>
        <v>0</v>
      </c>
      <c r="BG147" s="254">
        <f t="shared" si="169"/>
        <v>0</v>
      </c>
      <c r="BH147" s="254">
        <f t="shared" si="169"/>
        <v>0</v>
      </c>
      <c r="BI147" s="254">
        <f t="shared" si="169"/>
        <v>0</v>
      </c>
      <c r="BJ147" s="254">
        <f t="shared" si="169"/>
        <v>0</v>
      </c>
      <c r="BK147" s="254">
        <f t="shared" si="169"/>
        <v>0</v>
      </c>
      <c r="BL147" s="254">
        <f t="shared" si="169"/>
        <v>0</v>
      </c>
    </row>
    <row r="148" spans="1:64" hidden="1" outlineLevel="1">
      <c r="A148" s="251" t="s">
        <v>447</v>
      </c>
      <c r="B148" s="159"/>
      <c r="C148" s="254">
        <f t="shared" ref="C148:BL148" si="170">-C24</f>
        <v>1223</v>
      </c>
      <c r="D148" s="254">
        <f t="shared" si="170"/>
        <v>2186</v>
      </c>
      <c r="E148" s="254">
        <f t="shared" si="170"/>
        <v>5773</v>
      </c>
      <c r="F148" s="254">
        <f t="shared" si="170"/>
        <v>4988</v>
      </c>
      <c r="G148" s="254">
        <f t="shared" si="170"/>
        <v>7305</v>
      </c>
      <c r="H148" s="254">
        <f t="shared" si="170"/>
        <v>8082</v>
      </c>
      <c r="I148" s="254">
        <f t="shared" si="170"/>
        <v>10193</v>
      </c>
      <c r="J148" s="254">
        <f t="shared" si="170"/>
        <v>9725</v>
      </c>
      <c r="K148" s="254">
        <f t="shared" si="170"/>
        <v>4585</v>
      </c>
      <c r="L148" s="254">
        <f t="shared" si="170"/>
        <v>1232</v>
      </c>
      <c r="M148" s="254">
        <f t="shared" si="170"/>
        <v>1007</v>
      </c>
      <c r="N148" s="254">
        <f t="shared" si="170"/>
        <v>1885</v>
      </c>
      <c r="O148" s="254">
        <f t="shared" si="170"/>
        <v>1326</v>
      </c>
      <c r="P148" s="254">
        <f t="shared" si="170"/>
        <v>1236</v>
      </c>
      <c r="Q148" s="254">
        <f t="shared" si="170"/>
        <v>919.38061000000005</v>
      </c>
      <c r="R148" s="254">
        <f t="shared" si="170"/>
        <v>1469.1366981116696</v>
      </c>
      <c r="S148" s="254">
        <f t="shared" si="170"/>
        <v>1159</v>
      </c>
      <c r="T148" s="254">
        <f t="shared" si="170"/>
        <v>1575</v>
      </c>
      <c r="U148" s="254">
        <f t="shared" si="170"/>
        <v>5122.5173081116691</v>
      </c>
      <c r="V148" s="254">
        <f t="shared" si="170"/>
        <v>2472</v>
      </c>
      <c r="W148" s="254">
        <f t="shared" si="170"/>
        <v>439</v>
      </c>
      <c r="X148" s="254">
        <f t="shared" si="170"/>
        <v>396.43257</v>
      </c>
      <c r="Y148" s="254">
        <f t="shared" si="170"/>
        <v>1093.06762</v>
      </c>
      <c r="Z148" s="254">
        <f t="shared" si="170"/>
        <v>4400.5001899999997</v>
      </c>
      <c r="AA148" s="254">
        <f t="shared" si="170"/>
        <v>69.99914508868315</v>
      </c>
      <c r="AB148" s="254">
        <f t="shared" si="170"/>
        <v>204.99935349930001</v>
      </c>
      <c r="AC148" s="254">
        <f t="shared" si="170"/>
        <v>62.981873360000009</v>
      </c>
      <c r="AD148" s="254">
        <f t="shared" si="170"/>
        <v>218.01728655999989</v>
      </c>
      <c r="AE148" s="254">
        <f t="shared" si="170"/>
        <v>555.99765850798303</v>
      </c>
      <c r="AF148" s="254">
        <f t="shared" si="170"/>
        <v>481.12599999999998</v>
      </c>
      <c r="AG148" s="254">
        <f t="shared" si="170"/>
        <v>165</v>
      </c>
      <c r="AH148" s="254">
        <f t="shared" si="170"/>
        <v>483</v>
      </c>
      <c r="AI148" s="254">
        <f t="shared" si="170"/>
        <v>322</v>
      </c>
      <c r="AJ148" s="254">
        <f t="shared" si="170"/>
        <v>1451.126</v>
      </c>
      <c r="AK148" s="254">
        <f t="shared" si="170"/>
        <v>1012</v>
      </c>
      <c r="AL148" s="254">
        <f t="shared" si="170"/>
        <v>167</v>
      </c>
      <c r="AM148" s="254">
        <f t="shared" si="170"/>
        <v>318</v>
      </c>
      <c r="AN148" s="254">
        <f t="shared" si="170"/>
        <v>10335</v>
      </c>
      <c r="AO148" s="254">
        <f t="shared" si="170"/>
        <v>11832</v>
      </c>
      <c r="AP148" s="254">
        <f t="shared" si="170"/>
        <v>199.42794999999998</v>
      </c>
      <c r="AQ148" s="254">
        <f t="shared" si="170"/>
        <v>159.9033</v>
      </c>
      <c r="AR148" s="254">
        <f t="shared" si="170"/>
        <v>766.65242999999998</v>
      </c>
      <c r="AS148" s="254">
        <f t="shared" si="170"/>
        <v>1575.3546299999998</v>
      </c>
      <c r="AT148" s="254">
        <f t="shared" si="170"/>
        <v>2701.3383099999996</v>
      </c>
      <c r="AU148" s="254">
        <f t="shared" si="170"/>
        <v>699.99999000000003</v>
      </c>
      <c r="AV148" s="254">
        <f t="shared" si="170"/>
        <v>699.99999000000003</v>
      </c>
      <c r="AW148" s="254">
        <f t="shared" si="170"/>
        <v>700</v>
      </c>
      <c r="AX148" s="254">
        <f t="shared" si="170"/>
        <v>700.00002000000006</v>
      </c>
      <c r="AY148" s="254">
        <f t="shared" si="170"/>
        <v>2800</v>
      </c>
      <c r="AZ148" s="254">
        <f t="shared" si="170"/>
        <v>1597.8022477439488</v>
      </c>
      <c r="BA148" s="254">
        <f t="shared" si="170"/>
        <v>1727.6321504148134</v>
      </c>
      <c r="BB148" s="254">
        <f t="shared" si="170"/>
        <v>1869.5465336896584</v>
      </c>
      <c r="BC148" s="254">
        <f t="shared" si="170"/>
        <v>1619.7815122711911</v>
      </c>
      <c r="BD148" s="254">
        <f t="shared" si="170"/>
        <v>1755.5776430013311</v>
      </c>
      <c r="BE148" s="254">
        <f t="shared" si="170"/>
        <v>1904.1679261895749</v>
      </c>
      <c r="BF148" s="254">
        <f t="shared" si="170"/>
        <v>2066.8082132632871</v>
      </c>
      <c r="BG148" s="254">
        <f t="shared" si="170"/>
        <v>2244.8792338780127</v>
      </c>
      <c r="BH148" s="254">
        <f t="shared" si="170"/>
        <v>2439.8990625328634</v>
      </c>
      <c r="BI148" s="254">
        <f t="shared" si="170"/>
        <v>2653.53683121121</v>
      </c>
      <c r="BJ148" s="254">
        <f t="shared" si="170"/>
        <v>2887.6278126301431</v>
      </c>
      <c r="BK148" s="254">
        <f t="shared" si="170"/>
        <v>3144.1900111399041</v>
      </c>
      <c r="BL148" s="254">
        <f t="shared" si="170"/>
        <v>3425.4424120180443</v>
      </c>
    </row>
    <row r="149" spans="1:64" hidden="1" outlineLevel="1">
      <c r="A149" s="255" t="s">
        <v>448</v>
      </c>
      <c r="B149" s="256"/>
      <c r="C149" s="257">
        <f>SUM(C147:C148)</f>
        <v>1223</v>
      </c>
      <c r="D149" s="257">
        <f t="shared" ref="D149:BA149" si="171">SUM(D147:D148)</f>
        <v>2786</v>
      </c>
      <c r="E149" s="257">
        <f t="shared" si="171"/>
        <v>5773</v>
      </c>
      <c r="F149" s="257">
        <f t="shared" si="171"/>
        <v>4988</v>
      </c>
      <c r="G149" s="257">
        <f t="shared" si="171"/>
        <v>7305</v>
      </c>
      <c r="H149" s="257">
        <f t="shared" si="171"/>
        <v>8082</v>
      </c>
      <c r="I149" s="257">
        <f t="shared" si="171"/>
        <v>10193</v>
      </c>
      <c r="J149" s="257">
        <f t="shared" si="171"/>
        <v>9725</v>
      </c>
      <c r="K149" s="257">
        <f t="shared" si="171"/>
        <v>4585</v>
      </c>
      <c r="L149" s="257">
        <f t="shared" si="171"/>
        <v>1232</v>
      </c>
      <c r="M149" s="257">
        <f t="shared" si="171"/>
        <v>4292</v>
      </c>
      <c r="N149" s="257">
        <f t="shared" si="171"/>
        <v>11007</v>
      </c>
      <c r="O149" s="257">
        <f t="shared" si="171"/>
        <v>27442</v>
      </c>
      <c r="P149" s="257">
        <f t="shared" si="171"/>
        <v>1236</v>
      </c>
      <c r="Q149" s="257">
        <f t="shared" si="171"/>
        <v>919.38061000000005</v>
      </c>
      <c r="R149" s="257">
        <f t="shared" si="171"/>
        <v>1469.1366981116696</v>
      </c>
      <c r="S149" s="257">
        <f t="shared" si="171"/>
        <v>1159</v>
      </c>
      <c r="T149" s="257">
        <f t="shared" si="171"/>
        <v>31749</v>
      </c>
      <c r="U149" s="257">
        <f t="shared" si="171"/>
        <v>5122.5173081116691</v>
      </c>
      <c r="V149" s="257">
        <f t="shared" si="171"/>
        <v>2472</v>
      </c>
      <c r="W149" s="257">
        <f t="shared" si="171"/>
        <v>4294</v>
      </c>
      <c r="X149" s="257">
        <f t="shared" si="171"/>
        <v>1018.4325699999999</v>
      </c>
      <c r="Y149" s="257">
        <f t="shared" si="171"/>
        <v>7882.0676199999998</v>
      </c>
      <c r="Z149" s="257">
        <f t="shared" si="171"/>
        <v>4400.5001899999997</v>
      </c>
      <c r="AA149" s="257">
        <f t="shared" si="171"/>
        <v>76.99914508868315</v>
      </c>
      <c r="AB149" s="257">
        <f t="shared" si="171"/>
        <v>692.99935349930001</v>
      </c>
      <c r="AC149" s="257">
        <f t="shared" si="171"/>
        <v>62.981873360000009</v>
      </c>
      <c r="AD149" s="257">
        <f t="shared" si="171"/>
        <v>1066.0172865599998</v>
      </c>
      <c r="AE149" s="257">
        <f t="shared" si="171"/>
        <v>555.99765850798303</v>
      </c>
      <c r="AF149" s="257">
        <f t="shared" si="171"/>
        <v>481.12599999999998</v>
      </c>
      <c r="AG149" s="257">
        <f t="shared" si="171"/>
        <v>165</v>
      </c>
      <c r="AH149" s="257">
        <f t="shared" si="171"/>
        <v>483</v>
      </c>
      <c r="AI149" s="257">
        <f t="shared" si="171"/>
        <v>322</v>
      </c>
      <c r="AJ149" s="257">
        <f t="shared" si="171"/>
        <v>1451.126</v>
      </c>
      <c r="AK149" s="257">
        <f t="shared" si="171"/>
        <v>1012</v>
      </c>
      <c r="AL149" s="257">
        <f t="shared" si="171"/>
        <v>167</v>
      </c>
      <c r="AM149" s="257">
        <f t="shared" si="171"/>
        <v>318</v>
      </c>
      <c r="AN149" s="257">
        <f t="shared" si="171"/>
        <v>10335</v>
      </c>
      <c r="AO149" s="257">
        <f t="shared" si="171"/>
        <v>11832</v>
      </c>
      <c r="AP149" s="257">
        <f t="shared" si="171"/>
        <v>199.42794999999998</v>
      </c>
      <c r="AQ149" s="257">
        <f t="shared" si="171"/>
        <v>159.9033</v>
      </c>
      <c r="AR149" s="257">
        <f t="shared" si="171"/>
        <v>766.65242999999998</v>
      </c>
      <c r="AS149" s="257">
        <f t="shared" si="171"/>
        <v>1575.3546299999998</v>
      </c>
      <c r="AT149" s="257">
        <f t="shared" si="171"/>
        <v>2701.3383099999996</v>
      </c>
      <c r="AU149" s="257">
        <f t="shared" si="171"/>
        <v>699.99999000000003</v>
      </c>
      <c r="AV149" s="257">
        <f t="shared" si="171"/>
        <v>699.99999000000003</v>
      </c>
      <c r="AW149" s="257">
        <f t="shared" si="171"/>
        <v>700</v>
      </c>
      <c r="AX149" s="257">
        <f t="shared" si="171"/>
        <v>700.00002000000006</v>
      </c>
      <c r="AY149" s="257">
        <f t="shared" si="171"/>
        <v>2800</v>
      </c>
      <c r="AZ149" s="257">
        <f t="shared" si="171"/>
        <v>1597.8022477439488</v>
      </c>
      <c r="BA149" s="257">
        <f t="shared" si="171"/>
        <v>1727.6321504148134</v>
      </c>
      <c r="BB149" s="257">
        <f>SUM(BB147:BB148)</f>
        <v>1869.5465336896584</v>
      </c>
      <c r="BC149" s="257">
        <f>SUM(BC147:BC148)</f>
        <v>1619.7815122711911</v>
      </c>
      <c r="BD149" s="257">
        <f t="shared" ref="BD149:BL149" si="172">SUM(BD147:BD148)</f>
        <v>1755.5776430013311</v>
      </c>
      <c r="BE149" s="257">
        <f t="shared" si="172"/>
        <v>1904.1679261895749</v>
      </c>
      <c r="BF149" s="257">
        <f t="shared" si="172"/>
        <v>2066.8082132632871</v>
      </c>
      <c r="BG149" s="257">
        <f t="shared" si="172"/>
        <v>2244.8792338780127</v>
      </c>
      <c r="BH149" s="257">
        <f t="shared" si="172"/>
        <v>2439.8990625328634</v>
      </c>
      <c r="BI149" s="257">
        <f t="shared" si="172"/>
        <v>2653.53683121121</v>
      </c>
      <c r="BJ149" s="257">
        <f t="shared" si="172"/>
        <v>2887.6278126301431</v>
      </c>
      <c r="BK149" s="257">
        <f t="shared" si="172"/>
        <v>3144.1900111399041</v>
      </c>
      <c r="BL149" s="257">
        <f t="shared" si="172"/>
        <v>3425.4424120180443</v>
      </c>
    </row>
    <row r="150" spans="1:64" hidden="1" outlineLevel="1">
      <c r="A150" s="232" t="s">
        <v>449</v>
      </c>
      <c r="B150" s="232"/>
      <c r="C150" s="258">
        <f>C146/C149</f>
        <v>13.718724448078495</v>
      </c>
      <c r="D150" s="258">
        <f t="shared" ref="D150:BA150" si="173">D146/D149</f>
        <v>12.608040201005025</v>
      </c>
      <c r="E150" s="258">
        <f t="shared" si="173"/>
        <v>8.0266759050753507</v>
      </c>
      <c r="F150" s="258">
        <f t="shared" si="173"/>
        <v>8.1581796311146757</v>
      </c>
      <c r="G150" s="258">
        <f t="shared" si="173"/>
        <v>3.0928210814510675</v>
      </c>
      <c r="H150" s="258">
        <f t="shared" si="173"/>
        <v>4.2941095025983724</v>
      </c>
      <c r="I150" s="258">
        <f t="shared" si="173"/>
        <v>1.7264789561463749</v>
      </c>
      <c r="J150" s="258">
        <f t="shared" si="173"/>
        <v>0.70381304103850295</v>
      </c>
      <c r="K150" s="258">
        <f t="shared" si="173"/>
        <v>3.6212514656488786</v>
      </c>
      <c r="L150" s="258">
        <f t="shared" si="173"/>
        <v>2.1631409334415439</v>
      </c>
      <c r="M150" s="258">
        <f t="shared" si="173"/>
        <v>2.5276840447343241</v>
      </c>
      <c r="N150" s="258">
        <f t="shared" si="173"/>
        <v>0.56666521849732043</v>
      </c>
      <c r="O150" s="258">
        <f t="shared" si="173"/>
        <v>0.13308476058596394</v>
      </c>
      <c r="P150" s="258">
        <f t="shared" si="173"/>
        <v>18.933014247572562</v>
      </c>
      <c r="Q150" s="258">
        <f t="shared" si="173"/>
        <v>-3.5860978294941326</v>
      </c>
      <c r="R150" s="258">
        <f t="shared" si="173"/>
        <v>6.1058032050590452</v>
      </c>
      <c r="S150" s="258">
        <f t="shared" si="173"/>
        <v>3.5150745987919749</v>
      </c>
      <c r="T150" s="258">
        <f t="shared" si="173"/>
        <v>0.5365736939746133</v>
      </c>
      <c r="U150" s="258">
        <f t="shared" si="173"/>
        <v>5.2284685066048402</v>
      </c>
      <c r="V150" s="258">
        <f t="shared" si="173"/>
        <v>3.6366410436893259</v>
      </c>
      <c r="W150" s="258">
        <f t="shared" si="173"/>
        <v>2.4300491173730787</v>
      </c>
      <c r="X150" s="258">
        <f t="shared" si="173"/>
        <v>0.243222965659982</v>
      </c>
      <c r="Y150" s="258">
        <f t="shared" si="173"/>
        <v>-8.9980962381048676E-2</v>
      </c>
      <c r="Z150" s="258">
        <f t="shared" si="173"/>
        <v>4.3092550644793848</v>
      </c>
      <c r="AA150" s="258">
        <f t="shared" si="173"/>
        <v>-28.526864648564029</v>
      </c>
      <c r="AB150" s="258">
        <f t="shared" si="173"/>
        <v>8.3175358258192347</v>
      </c>
      <c r="AC150" s="258">
        <f t="shared" si="173"/>
        <v>48.662936278210566</v>
      </c>
      <c r="AD150" s="258">
        <f t="shared" si="173"/>
        <v>9.0346359495530635</v>
      </c>
      <c r="AE150" s="258">
        <f t="shared" si="173"/>
        <v>29.250957267775046</v>
      </c>
      <c r="AF150" s="258">
        <f t="shared" si="173"/>
        <v>-1.8897424583165388</v>
      </c>
      <c r="AG150" s="258">
        <f t="shared" si="173"/>
        <v>-70.501035575757541</v>
      </c>
      <c r="AH150" s="258">
        <f t="shared" si="173"/>
        <v>-22.616455196687376</v>
      </c>
      <c r="AI150" s="258">
        <f t="shared" si="173"/>
        <v>-48.621118012422357</v>
      </c>
      <c r="AJ150" s="258">
        <f t="shared" si="173"/>
        <v>-26.959494185894251</v>
      </c>
      <c r="AK150" s="258">
        <f t="shared" si="173"/>
        <v>-41.929841897233203</v>
      </c>
      <c r="AL150" s="258">
        <f t="shared" si="173"/>
        <v>-46.41317365269461</v>
      </c>
      <c r="AM150" s="258">
        <f t="shared" si="173"/>
        <v>-42.845911949685537</v>
      </c>
      <c r="AN150" s="258">
        <f t="shared" si="173"/>
        <v>0.90120948234155784</v>
      </c>
      <c r="AO150" s="258">
        <f t="shared" si="173"/>
        <v>-4.6057302231237323</v>
      </c>
      <c r="AP150" s="258">
        <f t="shared" si="173"/>
        <v>-0.63263975696847929</v>
      </c>
      <c r="AQ150" s="258">
        <f t="shared" si="173"/>
        <v>6.6828684486640322</v>
      </c>
      <c r="AR150" s="258">
        <f t="shared" si="173"/>
        <v>-0.82891750788994767</v>
      </c>
      <c r="AS150" s="258">
        <f t="shared" si="173"/>
        <v>-1.1483750004276789</v>
      </c>
      <c r="AT150" s="258">
        <f t="shared" si="173"/>
        <v>-0.55607356599731927</v>
      </c>
      <c r="AU150" s="258">
        <f t="shared" si="173"/>
        <v>6.0685798866939633</v>
      </c>
      <c r="AV150" s="258">
        <f t="shared" si="173"/>
        <v>9.028576171836848</v>
      </c>
      <c r="AW150" s="258">
        <f t="shared" si="173"/>
        <v>5.7972522714286123</v>
      </c>
      <c r="AX150" s="258">
        <f t="shared" si="173"/>
        <v>19.066194940965879</v>
      </c>
      <c r="AY150" s="258">
        <f t="shared" si="173"/>
        <v>9.9901509000000264</v>
      </c>
      <c r="AZ150" s="258">
        <f t="shared" si="173"/>
        <v>20.613618883027534</v>
      </c>
      <c r="BA150" s="258">
        <f t="shared" si="173"/>
        <v>22.294865708324782</v>
      </c>
      <c r="BB150" s="258">
        <f>BB146/BB149</f>
        <v>23.955223510917257</v>
      </c>
      <c r="BC150" s="258">
        <f>BC146/BC149</f>
        <v>31.989660669922827</v>
      </c>
      <c r="BD150" s="258">
        <f t="shared" ref="BD150:BL150" si="174">BD146/BD149</f>
        <v>33.863493382892827</v>
      </c>
      <c r="BE150" s="258">
        <f t="shared" si="174"/>
        <v>37.28536729096647</v>
      </c>
      <c r="BF150" s="258">
        <f t="shared" si="174"/>
        <v>39.24023904060779</v>
      </c>
      <c r="BG150" s="258">
        <f t="shared" si="174"/>
        <v>41.153141888052893</v>
      </c>
      <c r="BH150" s="258">
        <f t="shared" si="174"/>
        <v>43.02203797164136</v>
      </c>
      <c r="BI150" s="258">
        <f t="shared" si="174"/>
        <v>44.845205152401888</v>
      </c>
      <c r="BJ150" s="258">
        <f t="shared" si="174"/>
        <v>46.621224102087993</v>
      </c>
      <c r="BK150" s="258">
        <f t="shared" si="174"/>
        <v>48.348963543120568</v>
      </c>
      <c r="BL150" s="258">
        <f t="shared" si="174"/>
        <v>50.027564048771481</v>
      </c>
    </row>
    <row r="151" spans="1:64" hidden="1"/>
    <row r="152" spans="1:64" hidden="1"/>
    <row r="153" spans="1:64" hidden="1">
      <c r="R153" s="216"/>
      <c r="W153" s="216"/>
    </row>
    <row r="154" spans="1:64" hidden="1">
      <c r="C154" s="215"/>
      <c r="D154" s="215"/>
      <c r="E154" s="215"/>
      <c r="F154" s="215"/>
      <c r="G154" s="215"/>
      <c r="H154" s="215"/>
      <c r="I154" s="215"/>
      <c r="J154" s="215"/>
      <c r="K154" s="215"/>
      <c r="L154" s="215"/>
      <c r="M154" s="215"/>
      <c r="N154" s="215"/>
      <c r="O154" s="215"/>
      <c r="P154" s="215"/>
      <c r="Q154" s="215"/>
      <c r="R154" s="215"/>
      <c r="S154" s="215"/>
      <c r="T154" s="215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215"/>
      <c r="AI154" s="215"/>
      <c r="AJ154" s="215"/>
      <c r="AK154" s="215"/>
      <c r="AL154" s="215"/>
      <c r="AM154" s="215"/>
      <c r="AN154" s="215"/>
      <c r="AO154" s="215"/>
      <c r="AP154" s="215"/>
      <c r="AQ154" s="215"/>
      <c r="AR154" s="215"/>
      <c r="AS154" s="215"/>
      <c r="AT154" s="215"/>
      <c r="AU154" s="215"/>
      <c r="AV154" s="215"/>
      <c r="AW154" s="215"/>
      <c r="AX154" s="215"/>
      <c r="AY154" s="215"/>
      <c r="AZ154" s="215"/>
      <c r="BA154" s="215"/>
      <c r="BB154" s="215"/>
      <c r="BC154" s="215"/>
      <c r="BD154" s="215"/>
      <c r="BE154" s="215"/>
      <c r="BF154" s="215"/>
      <c r="BG154" s="215"/>
      <c r="BH154" s="215"/>
      <c r="BI154" s="215"/>
      <c r="BJ154" s="215"/>
      <c r="BK154" s="215"/>
      <c r="BL154" s="215"/>
    </row>
    <row r="155" spans="1:64" hidden="1">
      <c r="C155" s="215"/>
      <c r="D155" s="215"/>
      <c r="E155" s="215"/>
      <c r="F155" s="215"/>
      <c r="G155" s="215"/>
      <c r="H155" s="215"/>
      <c r="I155" s="215"/>
      <c r="J155" s="215"/>
      <c r="K155" s="215"/>
      <c r="L155" s="215"/>
      <c r="M155" s="215"/>
      <c r="N155" s="215"/>
      <c r="O155" s="215"/>
      <c r="P155" s="215"/>
      <c r="Q155" s="215"/>
      <c r="R155" s="215"/>
      <c r="S155" s="215"/>
      <c r="T155" s="215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215"/>
      <c r="AI155" s="215"/>
      <c r="AJ155" s="215"/>
      <c r="AK155" s="215"/>
      <c r="AL155" s="215"/>
      <c r="AM155" s="215"/>
      <c r="AN155" s="215"/>
      <c r="AO155" s="215"/>
      <c r="AP155" s="215"/>
      <c r="AQ155" s="215"/>
      <c r="AR155" s="215"/>
      <c r="AS155" s="215"/>
      <c r="AT155" s="215"/>
      <c r="AU155" s="215"/>
      <c r="AV155" s="215"/>
      <c r="AW155" s="215"/>
      <c r="AX155" s="215"/>
      <c r="AY155" s="215"/>
      <c r="AZ155" s="215"/>
      <c r="BA155" s="215"/>
      <c r="BB155" s="215"/>
      <c r="BC155" s="215"/>
      <c r="BD155" s="215"/>
      <c r="BE155" s="215"/>
      <c r="BF155" s="215"/>
      <c r="BG155" s="215"/>
      <c r="BH155" s="215"/>
      <c r="BI155" s="215"/>
      <c r="BJ155" s="215"/>
      <c r="BK155" s="215"/>
      <c r="BL155" s="215"/>
    </row>
    <row r="156" spans="1:64" hidden="1">
      <c r="C156" s="215"/>
      <c r="D156" s="215"/>
      <c r="E156" s="215"/>
      <c r="F156" s="215"/>
      <c r="G156" s="215"/>
      <c r="H156" s="215"/>
      <c r="I156" s="215"/>
      <c r="J156" s="215"/>
      <c r="K156" s="215"/>
      <c r="L156" s="215"/>
      <c r="M156" s="215"/>
      <c r="N156" s="215"/>
      <c r="O156" s="215"/>
      <c r="P156" s="215"/>
      <c r="Q156" s="215"/>
      <c r="R156" s="215"/>
      <c r="S156" s="215"/>
      <c r="T156" s="215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215"/>
      <c r="AI156" s="215"/>
      <c r="AJ156" s="215"/>
      <c r="AK156" s="215"/>
      <c r="AL156" s="215"/>
      <c r="AM156" s="215"/>
      <c r="AN156" s="215"/>
      <c r="AO156" s="215"/>
      <c r="AP156" s="215"/>
      <c r="AQ156" s="215"/>
      <c r="AR156" s="215"/>
      <c r="AS156" s="215"/>
      <c r="AT156" s="215"/>
      <c r="AU156" s="215"/>
      <c r="AV156" s="215"/>
      <c r="AW156" s="215"/>
      <c r="AX156" s="215"/>
      <c r="AY156" s="215"/>
      <c r="AZ156" s="215"/>
      <c r="BA156" s="215"/>
      <c r="BB156" s="215"/>
      <c r="BC156" s="215"/>
    </row>
    <row r="157" spans="1:64" hidden="1">
      <c r="C157" s="216"/>
      <c r="D157" s="216"/>
      <c r="E157" s="216"/>
      <c r="F157" s="216"/>
      <c r="G157" s="216"/>
      <c r="H157" s="216"/>
      <c r="I157" s="216"/>
      <c r="J157" s="216"/>
      <c r="K157" s="216"/>
      <c r="L157" s="216"/>
      <c r="M157" s="216"/>
      <c r="N157" s="216"/>
      <c r="O157" s="216"/>
      <c r="P157" s="216"/>
      <c r="Q157" s="216"/>
      <c r="R157" s="216"/>
      <c r="S157" s="216"/>
      <c r="T157" s="216"/>
      <c r="U157" s="216"/>
      <c r="V157" s="216"/>
      <c r="W157" s="216"/>
      <c r="X157" s="216"/>
      <c r="Y157" s="216"/>
      <c r="Z157" s="216"/>
      <c r="AA157" s="216"/>
      <c r="AB157" s="216"/>
      <c r="AC157" s="216"/>
      <c r="AD157" s="216"/>
      <c r="AE157" s="216"/>
      <c r="AF157" s="216"/>
      <c r="AG157" s="216"/>
      <c r="AH157" s="216"/>
      <c r="AI157" s="216"/>
      <c r="AJ157" s="216"/>
      <c r="AK157" s="216"/>
      <c r="AL157" s="216"/>
      <c r="AM157" s="216"/>
      <c r="AN157" s="216"/>
      <c r="AO157" s="216"/>
      <c r="AP157" s="216"/>
      <c r="AQ157" s="216"/>
      <c r="AR157" s="216"/>
      <c r="AS157" s="216"/>
      <c r="AT157" s="216"/>
      <c r="AU157" s="216"/>
      <c r="AV157" s="216"/>
      <c r="AW157" s="216"/>
      <c r="AX157" s="216"/>
      <c r="AY157" s="216"/>
      <c r="AZ157" s="216"/>
      <c r="BA157" s="216"/>
      <c r="BB157" s="216"/>
      <c r="BC157" s="216"/>
    </row>
    <row r="158" spans="1:64" hidden="1"/>
    <row r="159" spans="1:64" hidden="1"/>
    <row r="160" spans="1:64" hidden="1">
      <c r="C160" s="215"/>
      <c r="D160" s="215"/>
      <c r="E160" s="215"/>
      <c r="F160" s="215"/>
      <c r="G160" s="215"/>
      <c r="H160" s="215"/>
      <c r="I160" s="215"/>
      <c r="J160" s="215"/>
      <c r="K160" s="215"/>
      <c r="L160" s="215"/>
      <c r="M160" s="215"/>
      <c r="N160" s="215"/>
      <c r="O160" s="215"/>
      <c r="Q160" s="215"/>
      <c r="R160" s="215"/>
      <c r="S160" s="215"/>
      <c r="T160" s="215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215"/>
      <c r="AI160" s="215"/>
      <c r="AJ160" s="215"/>
      <c r="AK160" s="215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5"/>
      <c r="BB160" s="215"/>
      <c r="BC160" s="215"/>
    </row>
    <row r="161" spans="3:55" hidden="1">
      <c r="C161" s="215"/>
      <c r="D161" s="215"/>
      <c r="E161" s="215"/>
      <c r="F161" s="215"/>
      <c r="G161" s="215"/>
      <c r="H161" s="215"/>
      <c r="I161" s="215"/>
      <c r="J161" s="215"/>
      <c r="K161" s="215"/>
      <c r="L161" s="215">
        <f>L9+L10+L12+L16+L17+L19+L22+L25+L27+L28+L29+L30+L33+L35+L24</f>
        <v>-618.01037000001816</v>
      </c>
      <c r="M161" s="215">
        <f>M9+M10+M12+M16+M17+M19+M22+M25+M27+M28+M29+M30+M33+M35+M24</f>
        <v>6377.819919999718</v>
      </c>
      <c r="N161" s="215">
        <f>N9+N10+N12+N16+N17+N19+N22+N25+N27+N28+N29+N30+N33+N35+N24</f>
        <v>6450.2840600000054</v>
      </c>
      <c r="O161" s="215">
        <f>O9+O10+O12+O16+O17+O19+O22+O25+O27+O28+O29+O30+O33+O35+O24</f>
        <v>-563.88799999997718</v>
      </c>
      <c r="Q161" s="215">
        <f>Q9+Q10+Q12+Q16+Q17+Q19+Q22+Q25+Q27+Q28+Q29+Q30+Q33+Q35+Q24</f>
        <v>-4637.7540199999921</v>
      </c>
      <c r="R161" s="215">
        <f>R9+R10+R12+R16+R17+R19+R22+R25+R27+R28+R29+R30+R33+R35+R24</f>
        <v>3842.7234418884254</v>
      </c>
      <c r="S161" s="215"/>
      <c r="T161" s="215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>
        <f>AF9+AF10+AF12+AF13+AF16+AF17+AF18+AF19+AF22+AF24+AF25+AF26+AF27+AF28+AF29+AF30+AF32+AF33</f>
        <v>-5922.3302300000032</v>
      </c>
      <c r="AG161" s="215">
        <f t="shared" ref="AG161:AI161" si="175">AG9+AG10+AG12+AG13+AG16+AG17+AG18+AG19+AG22+AG24+AG25+AG26+AG27+AG28+AG29+AG30+AG32+AG33</f>
        <v>-6790.6708699999945</v>
      </c>
      <c r="AH161" s="215">
        <f t="shared" si="175"/>
        <v>-24363.747860000003</v>
      </c>
      <c r="AI161" s="215">
        <f t="shared" si="175"/>
        <v>-11875</v>
      </c>
      <c r="AJ161" s="215"/>
      <c r="AK161" s="215">
        <f>AK9+AK10+AK12+AK13+AK16+AK17+AK18+AK19+AK22+AK24+AK25+AK26+AK27+AK28+AK29+AK30+AK32+AK33</f>
        <v>-43203</v>
      </c>
      <c r="AL161" s="215">
        <f t="shared" ref="AL161:AN161" si="176">AL9+AL10+AL12+AL13+AL16+AL17+AL18+AL19+AL22+AL24+AL25+AL26+AL27+AL28+AL29+AL30+AL32+AL33</f>
        <v>-6697</v>
      </c>
      <c r="AM161" s="215">
        <f t="shared" si="176"/>
        <v>-10753</v>
      </c>
      <c r="AN161" s="215">
        <f t="shared" si="176"/>
        <v>345.88400000000001</v>
      </c>
      <c r="AO161" s="215"/>
      <c r="AP161" s="215">
        <f t="shared" ref="AP161:AY161" si="177">AP9+AP10+AP12+AP16+AP17+AP18+AP19+AP29+AP22+AP24+AP25+AP26+AP27+AP28+AP30+AP32+AP33+AP34+AP35</f>
        <v>-1265.630129820722</v>
      </c>
      <c r="AQ161" s="215">
        <f t="shared" si="177"/>
        <v>1497.7216984072595</v>
      </c>
      <c r="AR161" s="215">
        <f t="shared" si="177"/>
        <v>-861.13671169337181</v>
      </c>
      <c r="AS161" s="215">
        <f t="shared" si="177"/>
        <v>-7668.9542938999957</v>
      </c>
      <c r="AT161" s="215">
        <f t="shared" si="177"/>
        <v>-8297.9994370068707</v>
      </c>
      <c r="AU161" s="215">
        <f t="shared" si="177"/>
        <v>-1360.0649766666804</v>
      </c>
      <c r="AV161" s="215">
        <f t="shared" si="177"/>
        <v>217.34583333336445</v>
      </c>
      <c r="AW161" s="215">
        <f t="shared" si="177"/>
        <v>293.95747333335817</v>
      </c>
      <c r="AX161" s="215">
        <f t="shared" si="177"/>
        <v>2232.023412750008</v>
      </c>
      <c r="AY161" s="215">
        <f t="shared" si="177"/>
        <v>1383.2617427500768</v>
      </c>
      <c r="AZ161" s="215"/>
      <c r="BA161" s="215"/>
      <c r="BB161" s="215"/>
      <c r="BC161" s="215"/>
    </row>
    <row r="162" spans="3:55" hidden="1">
      <c r="C162" s="215"/>
      <c r="D162" s="215"/>
      <c r="E162" s="215"/>
      <c r="F162" s="215"/>
      <c r="G162" s="215"/>
      <c r="H162" s="215"/>
      <c r="I162" s="215"/>
      <c r="J162" s="215"/>
      <c r="K162" s="215"/>
      <c r="L162" s="215"/>
      <c r="M162" s="215">
        <f>L161</f>
        <v>-618.01037000001816</v>
      </c>
      <c r="N162" s="215">
        <f>M161+M162</f>
        <v>5759.8095499996998</v>
      </c>
      <c r="O162" s="215">
        <f>N161+N162</f>
        <v>12210.093609999705</v>
      </c>
      <c r="Q162" s="215"/>
      <c r="R162" s="215">
        <f>Q161</f>
        <v>-4637.7540199999921</v>
      </c>
      <c r="S162" s="215"/>
      <c r="T162" s="215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>
        <f>AF161</f>
        <v>-5922.3302300000032</v>
      </c>
      <c r="AH162" s="215">
        <f>AG161+AG162</f>
        <v>-12713.001099999998</v>
      </c>
      <c r="AI162" s="215">
        <f>AH161+AH162</f>
        <v>-37076.748959999997</v>
      </c>
      <c r="AJ162" s="215"/>
      <c r="AK162" s="215"/>
      <c r="AL162" s="215">
        <f>AK161</f>
        <v>-43203</v>
      </c>
      <c r="AM162" s="215">
        <f>AL161+AL162</f>
        <v>-49900</v>
      </c>
      <c r="AN162" s="215">
        <f>AM161+AM162</f>
        <v>-60653</v>
      </c>
      <c r="AO162" s="215"/>
      <c r="AP162" s="215"/>
      <c r="AQ162" s="215">
        <f>AP161</f>
        <v>-1265.630129820722</v>
      </c>
      <c r="AR162" s="215">
        <f>AQ161+AQ162</f>
        <v>232.09156858653751</v>
      </c>
      <c r="AS162" s="215">
        <f>AR161+AR162</f>
        <v>-629.0451431068343</v>
      </c>
      <c r="AT162" s="215">
        <f>AS161+AS162</f>
        <v>-8297.9994370068307</v>
      </c>
      <c r="AU162" s="215"/>
      <c r="AV162" s="215">
        <f>AU161</f>
        <v>-1360.0649766666804</v>
      </c>
      <c r="AW162" s="215">
        <f>AV161+AV162</f>
        <v>-1142.719143333316</v>
      </c>
      <c r="AX162" s="215">
        <f>AW161+AW162</f>
        <v>-848.7616699999578</v>
      </c>
      <c r="AY162" s="215">
        <f>AX161+AX162</f>
        <v>1383.2617427500502</v>
      </c>
      <c r="AZ162" s="215"/>
      <c r="BA162" s="215"/>
      <c r="BB162" s="215"/>
      <c r="BC162" s="215"/>
    </row>
    <row r="163" spans="3:55" hidden="1"/>
    <row r="164" spans="3:55" hidden="1">
      <c r="AP164" s="215"/>
      <c r="AQ164" s="215"/>
      <c r="AR164" s="215"/>
      <c r="AS164" s="215"/>
      <c r="AT164" s="215"/>
      <c r="AU164" s="215"/>
      <c r="AV164" s="215"/>
      <c r="AW164" s="215"/>
      <c r="AX164" s="215"/>
    </row>
    <row r="165" spans="3:55" hidden="1"/>
    <row r="166" spans="3:55" hidden="1"/>
  </sheetData>
  <conditionalFormatting sqref="C5:BL6">
    <cfRule type="cellIs" dxfId="1" priority="1" operator="equal">
      <formula>0</formula>
    </cfRule>
    <cfRule type="cellIs" dxfId="0" priority="2" operator="notEqual">
      <formula>0</formula>
    </cfRule>
  </conditionalFormatting>
  <printOptions horizontalCentered="1" verticalCentered="1"/>
  <pageMargins left="0.2" right="0.2" top="0" bottom="0.42" header="0" footer="0.3"/>
  <pageSetup scale="70" orientation="landscape" r:id="rId1"/>
  <rowBreaks count="3" manualBreakCount="3">
    <brk id="39" max="11" man="1"/>
    <brk id="91" max="16383" man="1"/>
    <brk id="133" max="11" man="1"/>
  </rowBreaks>
  <colBreaks count="1" manualBreakCount="1">
    <brk id="20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BO187"/>
  <sheetViews>
    <sheetView zoomScaleNormal="100" workbookViewId="0">
      <pane xSplit="2" ySplit="5" topLeftCell="C88" activePane="bottomRight" state="frozen"/>
      <selection activeCell="S184" sqref="S184"/>
      <selection pane="topRight" activeCell="S184" sqref="S184"/>
      <selection pane="bottomLeft" activeCell="S184" sqref="S184"/>
      <selection pane="bottomRight" activeCell="BM162" sqref="BM162"/>
    </sheetView>
  </sheetViews>
  <sheetFormatPr defaultColWidth="9.109375" defaultRowHeight="14.4" outlineLevelRow="1" outlineLevelCol="1"/>
  <cols>
    <col min="1" max="1" width="11.109375" style="373" customWidth="1"/>
    <col min="2" max="2" width="30.21875" style="373" customWidth="1"/>
    <col min="3" max="3" width="13.77734375" style="373" customWidth="1" outlineLevel="1"/>
    <col min="4" max="4" width="5.33203125" style="374" customWidth="1" outlineLevel="1"/>
    <col min="5" max="5" width="15.33203125" style="373" hidden="1" customWidth="1"/>
    <col min="6" max="6" width="5.109375" style="374" hidden="1" customWidth="1"/>
    <col min="7" max="8" width="15.33203125" style="373" hidden="1" customWidth="1" outlineLevel="1"/>
    <col min="9" max="9" width="4" style="374" hidden="1" customWidth="1" outlineLevel="1"/>
    <col min="10" max="11" width="15.33203125" style="373" hidden="1" customWidth="1" outlineLevel="1"/>
    <col min="12" max="12" width="4" style="374" hidden="1" customWidth="1" outlineLevel="1"/>
    <col min="13" max="14" width="15.33203125" style="373" hidden="1" customWidth="1" outlineLevel="1"/>
    <col min="15" max="15" width="4" style="374" hidden="1" customWidth="1" outlineLevel="1"/>
    <col min="16" max="16" width="0.21875" style="373" customWidth="1" collapsed="1"/>
    <col min="17" max="17" width="13.21875" style="373" hidden="1" customWidth="1"/>
    <col min="18" max="18" width="5.6640625" style="374" hidden="1" customWidth="1"/>
    <col min="19" max="19" width="12.21875" style="373" hidden="1" customWidth="1" outlineLevel="1"/>
    <col min="20" max="20" width="15.33203125" style="373" hidden="1" customWidth="1" outlineLevel="1"/>
    <col min="21" max="21" width="5.21875" style="374" hidden="1" customWidth="1" outlineLevel="1"/>
    <col min="22" max="22" width="12.21875" style="373" hidden="1" customWidth="1" outlineLevel="1"/>
    <col min="23" max="23" width="15.33203125" style="373" hidden="1" customWidth="1" outlineLevel="1"/>
    <col min="24" max="24" width="5" style="374" hidden="1" customWidth="1" outlineLevel="1"/>
    <col min="25" max="26" width="15.33203125" style="373" hidden="1" customWidth="1" outlineLevel="1"/>
    <col min="27" max="27" width="5.21875" style="374" hidden="1" customWidth="1" outlineLevel="1"/>
    <col min="28" max="28" width="0.6640625" style="373" hidden="1" customWidth="1" collapsed="1"/>
    <col min="29" max="29" width="13" style="373" hidden="1" customWidth="1"/>
    <col min="30" max="30" width="4.88671875" style="401" hidden="1" customWidth="1"/>
    <col min="31" max="31" width="0.33203125" style="373" hidden="1" customWidth="1"/>
    <col min="32" max="32" width="15.33203125" style="373" hidden="1" customWidth="1"/>
    <col min="33" max="33" width="4.6640625" style="374" hidden="1" customWidth="1"/>
    <col min="34" max="35" width="15.33203125" style="373" hidden="1" customWidth="1" outlineLevel="1"/>
    <col min="36" max="36" width="7.77734375" style="374" hidden="1" customWidth="1" outlineLevel="1"/>
    <col min="37" max="38" width="15.33203125" style="373" hidden="1" customWidth="1" outlineLevel="1"/>
    <col min="39" max="39" width="7" style="374" hidden="1" customWidth="1" outlineLevel="1"/>
    <col min="40" max="40" width="14.21875" style="373" hidden="1" customWidth="1" outlineLevel="1"/>
    <col min="41" max="41" width="15.33203125" style="373" hidden="1" customWidth="1" outlineLevel="1"/>
    <col min="42" max="42" width="5.77734375" style="374" hidden="1" customWidth="1" outlineLevel="1"/>
    <col min="43" max="43" width="0.21875" style="373" hidden="1" customWidth="1" collapsed="1"/>
    <col min="44" max="44" width="13.21875" style="373" hidden="1" customWidth="1"/>
    <col min="45" max="45" width="5.21875" style="374" hidden="1" customWidth="1"/>
    <col min="46" max="46" width="15.33203125" style="373" hidden="1" customWidth="1"/>
    <col min="47" max="47" width="6.21875" style="374" hidden="1" customWidth="1"/>
    <col min="48" max="48" width="0.21875" style="373" hidden="1" customWidth="1"/>
    <col min="49" max="49" width="15.33203125" style="373" hidden="1" customWidth="1" outlineLevel="1"/>
    <col min="50" max="50" width="7.21875" style="374" hidden="1" customWidth="1" outlineLevel="1"/>
    <col min="51" max="51" width="0.33203125" style="373" hidden="1" customWidth="1" outlineLevel="1"/>
    <col min="52" max="52" width="15.33203125" style="373" hidden="1" customWidth="1" outlineLevel="1"/>
    <col min="53" max="53" width="7.21875" style="374" hidden="1" customWidth="1" outlineLevel="1"/>
    <col min="54" max="54" width="0.21875" style="373" hidden="1" customWidth="1" outlineLevel="1"/>
    <col min="55" max="55" width="15.33203125" style="373" hidden="1" customWidth="1" outlineLevel="1"/>
    <col min="56" max="56" width="7.21875" style="374" hidden="1" customWidth="1" outlineLevel="1"/>
    <col min="57" max="57" width="0.109375" style="373" hidden="1" customWidth="1" collapsed="1"/>
    <col min="58" max="58" width="13.6640625" style="373" hidden="1" customWidth="1"/>
    <col min="59" max="59" width="6.33203125" style="401" hidden="1" customWidth="1"/>
    <col min="60" max="60" width="16.109375" style="373" hidden="1" customWidth="1"/>
    <col min="61" max="61" width="13.6640625" style="373" customWidth="1"/>
    <col min="62" max="62" width="6.109375" style="374" customWidth="1"/>
    <col min="63" max="63" width="29.6640625" style="373" hidden="1" customWidth="1"/>
    <col min="64" max="64" width="41.21875" style="373" hidden="1" customWidth="1"/>
    <col min="65" max="65" width="14.109375" style="373" customWidth="1"/>
    <col min="66" max="66" width="5.88671875" style="377" customWidth="1"/>
    <col min="67" max="67" width="15" style="373" bestFit="1" customWidth="1"/>
    <col min="68" max="16384" width="9.109375" style="373"/>
  </cols>
  <sheetData>
    <row r="1" spans="1:66" ht="21">
      <c r="A1" s="372" t="s">
        <v>0</v>
      </c>
      <c r="T1" s="375"/>
      <c r="W1" s="375"/>
      <c r="Z1" s="375"/>
      <c r="BC1" s="376"/>
      <c r="BK1" s="372" t="s">
        <v>0</v>
      </c>
    </row>
    <row r="2" spans="1:66" ht="21">
      <c r="A2" s="372" t="s">
        <v>1</v>
      </c>
      <c r="C2" s="378"/>
      <c r="E2" s="378"/>
      <c r="H2" s="379"/>
      <c r="K2" s="379"/>
      <c r="N2" s="379"/>
      <c r="Q2" s="379"/>
      <c r="Z2" s="378"/>
      <c r="AI2" s="378"/>
      <c r="BC2" s="380"/>
      <c r="BK2" s="372" t="s">
        <v>1</v>
      </c>
    </row>
    <row r="3" spans="1:66" ht="21.6" thickBot="1">
      <c r="A3" s="372" t="s">
        <v>2</v>
      </c>
      <c r="C3" s="376"/>
      <c r="E3" s="376"/>
      <c r="S3" s="638"/>
      <c r="T3" s="638"/>
      <c r="V3" s="638"/>
      <c r="W3" s="638"/>
      <c r="Y3" s="638"/>
      <c r="Z3" s="638"/>
      <c r="BK3" s="372" t="s">
        <v>248</v>
      </c>
      <c r="BM3" s="381">
        <f>+BM8-'IS Assumption'!R13</f>
        <v>0</v>
      </c>
    </row>
    <row r="4" spans="1:66" ht="21.15" customHeight="1" thickBot="1">
      <c r="A4" s="372"/>
      <c r="C4" s="382" t="s">
        <v>179</v>
      </c>
      <c r="E4" s="382" t="s">
        <v>165</v>
      </c>
      <c r="G4" s="633" t="s">
        <v>3</v>
      </c>
      <c r="H4" s="634"/>
      <c r="J4" s="633" t="s">
        <v>4</v>
      </c>
      <c r="K4" s="634"/>
      <c r="M4" s="633" t="s">
        <v>5</v>
      </c>
      <c r="N4" s="634"/>
      <c r="P4" s="633" t="s">
        <v>166</v>
      </c>
      <c r="Q4" s="634"/>
      <c r="S4" s="633" t="s">
        <v>167</v>
      </c>
      <c r="T4" s="634"/>
      <c r="V4" s="633" t="s">
        <v>168</v>
      </c>
      <c r="W4" s="634"/>
      <c r="Y4" s="633" t="s">
        <v>169</v>
      </c>
      <c r="Z4" s="634"/>
      <c r="AB4" s="633" t="s">
        <v>171</v>
      </c>
      <c r="AC4" s="634"/>
      <c r="AE4" s="633" t="s">
        <v>170</v>
      </c>
      <c r="AF4" s="634"/>
      <c r="AH4" s="633" t="s">
        <v>172</v>
      </c>
      <c r="AI4" s="634"/>
      <c r="AK4" s="633" t="s">
        <v>173</v>
      </c>
      <c r="AL4" s="634"/>
      <c r="AN4" s="637">
        <v>44440</v>
      </c>
      <c r="AO4" s="634"/>
      <c r="AQ4" s="633" t="s">
        <v>175</v>
      </c>
      <c r="AR4" s="634"/>
      <c r="AT4" s="383" t="s">
        <v>178</v>
      </c>
      <c r="AV4" s="637">
        <v>44470</v>
      </c>
      <c r="AW4" s="634"/>
      <c r="AY4" s="637">
        <v>44501</v>
      </c>
      <c r="AZ4" s="634"/>
      <c r="BB4" s="637">
        <v>44561</v>
      </c>
      <c r="BC4" s="634"/>
      <c r="BE4" s="633" t="s">
        <v>176</v>
      </c>
      <c r="BF4" s="634"/>
      <c r="BH4" s="384"/>
      <c r="BI4" s="382" t="s">
        <v>177</v>
      </c>
      <c r="BK4" s="372"/>
      <c r="BM4" s="382" t="s">
        <v>254</v>
      </c>
    </row>
    <row r="5" spans="1:66" s="385" customFormat="1" ht="21.15" customHeight="1">
      <c r="A5" s="410" t="s">
        <v>6</v>
      </c>
      <c r="B5" s="409" t="s">
        <v>7</v>
      </c>
      <c r="C5" s="3" t="s">
        <v>9</v>
      </c>
      <c r="D5" s="4"/>
      <c r="E5" s="3" t="s">
        <v>9</v>
      </c>
      <c r="F5" s="4"/>
      <c r="G5" s="3" t="s">
        <v>8</v>
      </c>
      <c r="H5" s="3" t="s">
        <v>9</v>
      </c>
      <c r="I5" s="4"/>
      <c r="J5" s="3" t="s">
        <v>8</v>
      </c>
      <c r="K5" s="3" t="s">
        <v>9</v>
      </c>
      <c r="L5" s="4"/>
      <c r="M5" s="3" t="s">
        <v>8</v>
      </c>
      <c r="N5" s="3" t="s">
        <v>9</v>
      </c>
      <c r="O5" s="4"/>
      <c r="P5" s="3" t="s">
        <v>8</v>
      </c>
      <c r="Q5" s="3" t="s">
        <v>9</v>
      </c>
      <c r="R5" s="4"/>
      <c r="S5" s="3" t="s">
        <v>8</v>
      </c>
      <c r="T5" s="3" t="s">
        <v>9</v>
      </c>
      <c r="U5" s="4"/>
      <c r="V5" s="3" t="s">
        <v>8</v>
      </c>
      <c r="W5" s="3" t="s">
        <v>9</v>
      </c>
      <c r="X5" s="4"/>
      <c r="Y5" s="3" t="s">
        <v>8</v>
      </c>
      <c r="Z5" s="3" t="s">
        <v>9</v>
      </c>
      <c r="AA5" s="4"/>
      <c r="AB5" s="3" t="s">
        <v>8</v>
      </c>
      <c r="AC5" s="3" t="s">
        <v>9</v>
      </c>
      <c r="AD5" s="402"/>
      <c r="AE5" s="3" t="s">
        <v>8</v>
      </c>
      <c r="AF5" s="3" t="s">
        <v>9</v>
      </c>
      <c r="AG5" s="4"/>
      <c r="AH5" s="3" t="s">
        <v>8</v>
      </c>
      <c r="AI5" s="3" t="s">
        <v>9</v>
      </c>
      <c r="AJ5" s="4"/>
      <c r="AK5" s="3" t="s">
        <v>8</v>
      </c>
      <c r="AL5" s="3" t="s">
        <v>9</v>
      </c>
      <c r="AM5" s="4"/>
      <c r="AN5" s="3" t="s">
        <v>8</v>
      </c>
      <c r="AO5" s="3" t="s">
        <v>9</v>
      </c>
      <c r="AP5" s="4"/>
      <c r="AQ5" s="3" t="s">
        <v>8</v>
      </c>
      <c r="AR5" s="3" t="s">
        <v>9</v>
      </c>
      <c r="AS5" s="4"/>
      <c r="AT5" s="3" t="s">
        <v>9</v>
      </c>
      <c r="AU5" s="4"/>
      <c r="AV5" s="3" t="s">
        <v>8</v>
      </c>
      <c r="AW5" s="3" t="s">
        <v>9</v>
      </c>
      <c r="AX5" s="4"/>
      <c r="AY5" s="3" t="s">
        <v>8</v>
      </c>
      <c r="AZ5" s="3" t="s">
        <v>9</v>
      </c>
      <c r="BA5" s="4"/>
      <c r="BB5" s="3" t="s">
        <v>8</v>
      </c>
      <c r="BC5" s="3" t="s">
        <v>9</v>
      </c>
      <c r="BD5" s="4"/>
      <c r="BE5" s="3" t="s">
        <v>8</v>
      </c>
      <c r="BF5" s="3" t="s">
        <v>9</v>
      </c>
      <c r="BG5" s="402"/>
      <c r="BH5" s="3" t="s">
        <v>8</v>
      </c>
      <c r="BI5" s="3" t="s">
        <v>9</v>
      </c>
      <c r="BJ5" s="4"/>
      <c r="BK5" s="2" t="s">
        <v>6</v>
      </c>
      <c r="BL5" s="2" t="s">
        <v>7</v>
      </c>
      <c r="BM5" s="3" t="s">
        <v>255</v>
      </c>
      <c r="BN5" s="282"/>
    </row>
    <row r="6" spans="1:66" ht="15" hidden="1" customHeight="1" outlineLevel="1">
      <c r="A6" s="386" t="s">
        <v>10</v>
      </c>
      <c r="B6" s="386" t="s">
        <v>11</v>
      </c>
      <c r="C6" s="375">
        <v>50341874.409999996</v>
      </c>
      <c r="D6" s="4"/>
      <c r="E6" s="375">
        <v>11543120.24</v>
      </c>
      <c r="F6" s="4"/>
      <c r="G6" s="375">
        <v>3497370.25</v>
      </c>
      <c r="H6" s="375">
        <v>2938217.13</v>
      </c>
      <c r="I6" s="4"/>
      <c r="J6" s="375">
        <v>3185557</v>
      </c>
      <c r="K6" s="375">
        <v>3601467.29</v>
      </c>
      <c r="L6" s="4"/>
      <c r="M6" s="375">
        <v>2253193.75</v>
      </c>
      <c r="N6" s="375">
        <v>3597964.56</v>
      </c>
      <c r="O6" s="4"/>
      <c r="P6" s="375">
        <f>+G6+J6+M6</f>
        <v>8936121</v>
      </c>
      <c r="Q6" s="375">
        <f t="shared" ref="P6:Q21" si="0">+H6+K6+N6</f>
        <v>10137648.98</v>
      </c>
      <c r="R6" s="4"/>
      <c r="S6" s="380">
        <v>3514849.09</v>
      </c>
      <c r="T6" s="380">
        <v>3514849.09</v>
      </c>
      <c r="U6" s="4"/>
      <c r="V6" s="375">
        <v>3579117.02</v>
      </c>
      <c r="W6" s="380">
        <v>3579117.02</v>
      </c>
      <c r="X6" s="4"/>
      <c r="Y6" s="375">
        <v>3065366.78</v>
      </c>
      <c r="Z6" s="380">
        <v>3065366.78</v>
      </c>
      <c r="AA6" s="4"/>
      <c r="AB6" s="387">
        <f>+T6+V6+Y6</f>
        <v>10159332.889999999</v>
      </c>
      <c r="AC6" s="375">
        <f>+T6+W6+Z6</f>
        <v>10159332.889999999</v>
      </c>
      <c r="AD6" s="402"/>
      <c r="AE6" s="375">
        <f>+Q6+AB6</f>
        <v>20296981.869999997</v>
      </c>
      <c r="AF6" s="375">
        <f>+AC6+Q6</f>
        <v>20296981.869999997</v>
      </c>
      <c r="AG6" s="4"/>
      <c r="AH6" s="388">
        <v>2190201.7200000002</v>
      </c>
      <c r="AI6" s="388">
        <v>2190201.7200000002</v>
      </c>
      <c r="AJ6" s="4"/>
      <c r="AK6" s="375">
        <v>2719611.88</v>
      </c>
      <c r="AL6" s="375">
        <v>2719611.88</v>
      </c>
      <c r="AM6" s="4"/>
      <c r="AN6" s="375">
        <v>2414392.0099999998</v>
      </c>
      <c r="AO6" s="375">
        <v>2414392.0099999998</v>
      </c>
      <c r="AP6" s="4"/>
      <c r="AQ6" s="375">
        <f>AN6+AK6+AH6</f>
        <v>7324205.6099999994</v>
      </c>
      <c r="AR6" s="375">
        <f>AO6+AL6+AI6</f>
        <v>7324205.6099999994</v>
      </c>
      <c r="AS6" s="4"/>
      <c r="AT6" s="375">
        <f>+AF6+AR6</f>
        <v>27621187.479999997</v>
      </c>
      <c r="AU6" s="4"/>
      <c r="AV6" s="375">
        <v>1750000</v>
      </c>
      <c r="AW6" s="375">
        <v>2009426.66</v>
      </c>
      <c r="AX6" s="4"/>
      <c r="AY6" s="375">
        <v>1750000</v>
      </c>
      <c r="AZ6" s="375">
        <v>2146864.21</v>
      </c>
      <c r="BA6" s="4"/>
      <c r="BB6" s="375">
        <v>2811570.25</v>
      </c>
      <c r="BC6" s="375">
        <v>280770.02</v>
      </c>
      <c r="BD6" s="4"/>
      <c r="BE6" s="375">
        <f>BB6+AY6+AV6</f>
        <v>6311570.25</v>
      </c>
      <c r="BF6" s="375">
        <f>BC6+AZ6+AW6</f>
        <v>4437060.8899999997</v>
      </c>
      <c r="BG6" s="402"/>
      <c r="BH6" s="375">
        <f>Q6+AB6+AQ6+BE6</f>
        <v>33932757.729999997</v>
      </c>
      <c r="BI6" s="388">
        <f>Q6+AC6+AR6+BF6</f>
        <v>32058248.369999997</v>
      </c>
      <c r="BJ6" s="4"/>
      <c r="BK6" s="386" t="s">
        <v>10</v>
      </c>
      <c r="BL6" s="386" t="s">
        <v>11</v>
      </c>
      <c r="BM6" s="375">
        <v>15096894</v>
      </c>
      <c r="BN6" s="282"/>
    </row>
    <row r="7" spans="1:66" ht="15" hidden="1" customHeight="1" outlineLevel="1">
      <c r="A7" s="386" t="s">
        <v>10</v>
      </c>
      <c r="B7" s="386" t="s">
        <v>12</v>
      </c>
      <c r="C7" s="375">
        <v>71720129.510000005</v>
      </c>
      <c r="D7" s="4"/>
      <c r="E7" s="375">
        <v>29033111.859999999</v>
      </c>
      <c r="F7" s="4"/>
      <c r="G7" s="375">
        <v>4107546.67</v>
      </c>
      <c r="H7" s="375">
        <v>6408777.9000000004</v>
      </c>
      <c r="I7" s="4"/>
      <c r="J7" s="375">
        <v>6046525.6699999999</v>
      </c>
      <c r="K7" s="375">
        <v>3663733.72</v>
      </c>
      <c r="L7" s="4"/>
      <c r="M7" s="375">
        <v>16818132.07</v>
      </c>
      <c r="N7" s="375">
        <f>18812683.87-2755538+100771</f>
        <v>16157916.870000001</v>
      </c>
      <c r="O7" s="4"/>
      <c r="P7" s="375">
        <f t="shared" si="0"/>
        <v>26972204.41</v>
      </c>
      <c r="Q7" s="375">
        <f t="shared" si="0"/>
        <v>26230428.490000002</v>
      </c>
      <c r="R7" s="4"/>
      <c r="S7" s="380">
        <v>6911265.3300000001</v>
      </c>
      <c r="T7" s="380">
        <v>6911265.3300000001</v>
      </c>
      <c r="U7" s="4"/>
      <c r="V7" s="375">
        <v>7691439.8399999999</v>
      </c>
      <c r="W7" s="380">
        <v>7691439.8399999999</v>
      </c>
      <c r="X7" s="4"/>
      <c r="Y7" s="375">
        <v>12325299.300000001</v>
      </c>
      <c r="Z7" s="375">
        <f>16440869.3-4115571</f>
        <v>12325298.300000001</v>
      </c>
      <c r="AA7" s="4"/>
      <c r="AB7" s="375">
        <f>+T7+V7+Y7</f>
        <v>26928004.469999999</v>
      </c>
      <c r="AC7" s="375">
        <f>+T7+W7+Z7</f>
        <v>26928003.469999999</v>
      </c>
      <c r="AD7" s="402"/>
      <c r="AE7" s="375">
        <f>+Q7+AB7</f>
        <v>53158432.960000001</v>
      </c>
      <c r="AF7" s="375">
        <f>+AC7+Q7</f>
        <v>53158431.960000001</v>
      </c>
      <c r="AG7" s="4"/>
      <c r="AH7" s="375">
        <v>3763710.57</v>
      </c>
      <c r="AI7" s="375">
        <v>3763710.57</v>
      </c>
      <c r="AJ7" s="4"/>
      <c r="AK7" s="375">
        <v>4247424.6500000004</v>
      </c>
      <c r="AL7" s="375">
        <v>4247424.6500000004</v>
      </c>
      <c r="AM7" s="4"/>
      <c r="AN7" s="375">
        <v>11287301.359999999</v>
      </c>
      <c r="AO7" s="375">
        <v>11287301.359999999</v>
      </c>
      <c r="AP7" s="4"/>
      <c r="AQ7" s="375">
        <f>AN7+AK7+AH7</f>
        <v>19298436.579999998</v>
      </c>
      <c r="AR7" s="375">
        <f>AO7+AL7+AI7</f>
        <v>19298436.579999998</v>
      </c>
      <c r="AS7" s="4"/>
      <c r="AT7" s="375">
        <f>+AF7+AR7</f>
        <v>72456868.539999992</v>
      </c>
      <c r="AU7" s="4"/>
      <c r="AV7" s="375">
        <v>5512801.5999999996</v>
      </c>
      <c r="AW7" s="375">
        <v>1216716.43</v>
      </c>
      <c r="AX7" s="4"/>
      <c r="AY7" s="375">
        <v>9422500</v>
      </c>
      <c r="AZ7" s="375">
        <v>2901905.48</v>
      </c>
      <c r="BA7" s="4"/>
      <c r="BB7" s="375">
        <v>26480657.456666671</v>
      </c>
      <c r="BC7" s="375">
        <v>22843984.649999999</v>
      </c>
      <c r="BD7" s="4"/>
      <c r="BE7" s="375">
        <f>BB7+AY7+AV7</f>
        <v>41415959.056666672</v>
      </c>
      <c r="BF7" s="375">
        <f>BC7+AZ7+AW7</f>
        <v>26962606.559999999</v>
      </c>
      <c r="BG7" s="402"/>
      <c r="BH7" s="375">
        <f>Q7+AB7+AQ7+BE7</f>
        <v>113872828.59666666</v>
      </c>
      <c r="BI7" s="388">
        <f>Q7+AC7+AR7+BF7</f>
        <v>99419475.099999994</v>
      </c>
      <c r="BJ7" s="4"/>
      <c r="BK7" s="386" t="s">
        <v>10</v>
      </c>
      <c r="BL7" s="386" t="s">
        <v>12</v>
      </c>
      <c r="BM7" s="375">
        <v>270139700.86000001</v>
      </c>
      <c r="BN7" s="282"/>
    </row>
    <row r="8" spans="1:66" collapsed="1">
      <c r="A8" s="386" t="s">
        <v>10</v>
      </c>
      <c r="B8" s="386"/>
      <c r="C8" s="389">
        <f>SUM(C6:C7)</f>
        <v>122062003.92</v>
      </c>
      <c r="D8" s="4"/>
      <c r="E8" s="389">
        <f>SUM(E6:E7)</f>
        <v>40576232.100000001</v>
      </c>
      <c r="F8" s="4"/>
      <c r="G8" s="389">
        <f>SUM(G6:G7)</f>
        <v>7604916.9199999999</v>
      </c>
      <c r="H8" s="389">
        <f>SUM(H6:H7)</f>
        <v>9346995.0300000012</v>
      </c>
      <c r="I8" s="4"/>
      <c r="J8" s="389">
        <f>SUM(J6:J7)</f>
        <v>9232082.6699999999</v>
      </c>
      <c r="K8" s="389">
        <f>SUM(K6:K7)</f>
        <v>7265201.0099999998</v>
      </c>
      <c r="L8" s="4"/>
      <c r="M8" s="389">
        <f>SUM(M6:M7)</f>
        <v>19071325.82</v>
      </c>
      <c r="N8" s="389">
        <f>SUM(N6:N7)</f>
        <v>19755881.43</v>
      </c>
      <c r="O8" s="4"/>
      <c r="P8" s="389">
        <f t="shared" si="0"/>
        <v>35908325.409999996</v>
      </c>
      <c r="Q8" s="389">
        <f t="shared" si="0"/>
        <v>36368077.469999999</v>
      </c>
      <c r="R8" s="4"/>
      <c r="S8" s="389">
        <f>SUM(S6:S7)</f>
        <v>10426114.42</v>
      </c>
      <c r="T8" s="389">
        <f>SUM(T6:T7)</f>
        <v>10426114.42</v>
      </c>
      <c r="U8" s="4"/>
      <c r="V8" s="389">
        <f>SUM(V6:V7)</f>
        <v>11270556.859999999</v>
      </c>
      <c r="W8" s="389">
        <f>SUM(W6:W7)</f>
        <v>11270556.859999999</v>
      </c>
      <c r="X8" s="4"/>
      <c r="Y8" s="389">
        <f>SUM(Y6:Y7)</f>
        <v>15390666.08</v>
      </c>
      <c r="Z8" s="389">
        <f>SUM(Z6:Z7)</f>
        <v>15390665.08</v>
      </c>
      <c r="AA8" s="4"/>
      <c r="AB8" s="389">
        <f>SUM(AB6:AB7)</f>
        <v>37087337.359999999</v>
      </c>
      <c r="AC8" s="389">
        <f>SUM(AC6:AC7)</f>
        <v>37087336.359999999</v>
      </c>
      <c r="AD8" s="402"/>
      <c r="AE8" s="389">
        <f>SUM(AE6:AE7)</f>
        <v>73455414.829999998</v>
      </c>
      <c r="AF8" s="389">
        <f>SUM(AF6:AF7)</f>
        <v>73455413.829999998</v>
      </c>
      <c r="AG8" s="4"/>
      <c r="AH8" s="389">
        <f>SUM(AH6:AH7)</f>
        <v>5953912.29</v>
      </c>
      <c r="AI8" s="389">
        <f>SUM(AI6:AI7)</f>
        <v>5953912.29</v>
      </c>
      <c r="AJ8" s="4"/>
      <c r="AK8" s="389">
        <f>SUM(AK6:AK7)</f>
        <v>6967036.5300000003</v>
      </c>
      <c r="AL8" s="389">
        <f>SUM(AL6:AL7)</f>
        <v>6967036.5300000003</v>
      </c>
      <c r="AM8" s="4"/>
      <c r="AN8" s="389">
        <f>SUM(AN6:AN7)</f>
        <v>13701693.369999999</v>
      </c>
      <c r="AO8" s="389">
        <f>SUM(AO6:AO7)</f>
        <v>13701693.369999999</v>
      </c>
      <c r="AP8" s="4"/>
      <c r="AQ8" s="389">
        <f>SUM(AQ6:AQ7)</f>
        <v>26622642.189999998</v>
      </c>
      <c r="AR8" s="389">
        <f>SUM(AR6:AR7)</f>
        <v>26622642.189999998</v>
      </c>
      <c r="AS8" s="4"/>
      <c r="AT8" s="389">
        <f>SUM(AT6:AT7)</f>
        <v>100078056.01999998</v>
      </c>
      <c r="AU8" s="4"/>
      <c r="AV8" s="389">
        <f>SUM(AV6:AV7)</f>
        <v>7262801.5999999996</v>
      </c>
      <c r="AW8" s="389">
        <f>SUM(AW6:AW7)</f>
        <v>3226143.09</v>
      </c>
      <c r="AX8" s="4"/>
      <c r="AY8" s="389">
        <f>SUM(AY6:AY7)</f>
        <v>11172500</v>
      </c>
      <c r="AZ8" s="389">
        <f>SUM(AZ6:AZ7)</f>
        <v>5048769.6899999995</v>
      </c>
      <c r="BA8" s="4"/>
      <c r="BB8" s="389">
        <f>SUM(BB6:BB7)</f>
        <v>29292227.706666671</v>
      </c>
      <c r="BC8" s="389">
        <f>SUM(BC6:BC7)</f>
        <v>23124754.669999998</v>
      </c>
      <c r="BD8" s="4"/>
      <c r="BE8" s="389">
        <f>SUM(BE6:BE7)</f>
        <v>47727529.306666672</v>
      </c>
      <c r="BF8" s="389">
        <f>SUM(BF6:BF7)</f>
        <v>31399667.449999999</v>
      </c>
      <c r="BG8" s="402"/>
      <c r="BH8" s="389">
        <f>SUM(BH6:BH7)</f>
        <v>147805586.32666665</v>
      </c>
      <c r="BI8" s="389">
        <f>SUM(BI6:BI7)</f>
        <v>131477723.47</v>
      </c>
      <c r="BJ8" s="4"/>
      <c r="BK8" s="386" t="s">
        <v>10</v>
      </c>
      <c r="BL8" s="386"/>
      <c r="BM8" s="389">
        <f>+BM7+BM6</f>
        <v>285236594.86000001</v>
      </c>
      <c r="BN8" s="282"/>
    </row>
    <row r="9" spans="1:66" hidden="1" outlineLevel="1">
      <c r="A9" s="386" t="s">
        <v>13</v>
      </c>
      <c r="B9" s="386" t="s">
        <v>14</v>
      </c>
      <c r="C9" s="375">
        <v>-26212704.23</v>
      </c>
      <c r="D9" s="4"/>
      <c r="E9" s="375">
        <v>-5592358.4199999999</v>
      </c>
      <c r="F9" s="4"/>
      <c r="G9" s="375">
        <v>-2008056.93</v>
      </c>
      <c r="H9" s="375">
        <v>-1634974.79</v>
      </c>
      <c r="I9" s="4"/>
      <c r="J9" s="375">
        <v>-2008056.93</v>
      </c>
      <c r="K9" s="375">
        <v>-1419078.24</v>
      </c>
      <c r="L9" s="4"/>
      <c r="M9" s="375">
        <v>-2008056.93</v>
      </c>
      <c r="N9" s="375">
        <v>-1481394.2</v>
      </c>
      <c r="O9" s="4"/>
      <c r="P9" s="375">
        <f t="shared" si="0"/>
        <v>-6024170.79</v>
      </c>
      <c r="Q9" s="375">
        <f t="shared" si="0"/>
        <v>-4535447.2300000004</v>
      </c>
      <c r="R9" s="4"/>
      <c r="S9" s="375">
        <v>-1479955.29</v>
      </c>
      <c r="T9" s="375">
        <v>-1479955.29</v>
      </c>
      <c r="U9" s="4"/>
      <c r="V9" s="375">
        <v>-1561478.46</v>
      </c>
      <c r="W9" s="375">
        <v>-1558598.46</v>
      </c>
      <c r="X9" s="4"/>
      <c r="Y9" s="375">
        <v>-1899684.99</v>
      </c>
      <c r="Z9" s="375">
        <f>-1898154.99-4410</f>
        <v>-1902564.99</v>
      </c>
      <c r="AA9" s="4"/>
      <c r="AB9" s="375">
        <f t="shared" ref="AB9:AB17" si="1">+T9+V9+Y9</f>
        <v>-4941118.74</v>
      </c>
      <c r="AC9" s="375">
        <f t="shared" ref="AC9:AC17" si="2">+T9+W9+Z9</f>
        <v>-4941118.74</v>
      </c>
      <c r="AD9" s="402"/>
      <c r="AE9" s="375">
        <f t="shared" ref="AE9:AE17" si="3">+Q9+AB9</f>
        <v>-9476565.9700000007</v>
      </c>
      <c r="AF9" s="375">
        <f t="shared" ref="AF9:AF17" si="4">+AC9+Q9</f>
        <v>-9476565.9700000007</v>
      </c>
      <c r="AG9" s="4"/>
      <c r="AH9" s="375">
        <v>-1758112.12</v>
      </c>
      <c r="AI9" s="375">
        <v>-1758112.12</v>
      </c>
      <c r="AJ9" s="4"/>
      <c r="AK9" s="375">
        <v>-1407572.04</v>
      </c>
      <c r="AL9" s="375">
        <v>-1407572.04</v>
      </c>
      <c r="AM9" s="4"/>
      <c r="AN9" s="375">
        <v>-1822651.9</v>
      </c>
      <c r="AO9" s="375">
        <v>-1822651.9</v>
      </c>
      <c r="AP9" s="4"/>
      <c r="AQ9" s="375">
        <f>AN9+AK9+AH9</f>
        <v>-4988336.0600000005</v>
      </c>
      <c r="AR9" s="375">
        <f>AO9+AL9+AI9</f>
        <v>-4988336.0600000005</v>
      </c>
      <c r="AS9" s="4"/>
      <c r="AT9" s="375">
        <f t="shared" ref="AT9:AT17" si="5">+AF9+AR9</f>
        <v>-14464902.030000001</v>
      </c>
      <c r="AU9" s="4"/>
      <c r="AV9" s="375">
        <v>-1768178.4779185597</v>
      </c>
      <c r="AW9" s="375">
        <v>-1847289.03</v>
      </c>
      <c r="AX9" s="4"/>
      <c r="AY9" s="375">
        <v>-1796366.9635052863</v>
      </c>
      <c r="AZ9" s="375">
        <v>-1940504.34</v>
      </c>
      <c r="BA9" s="4"/>
      <c r="BB9" s="375">
        <v>-1787763.7135659351</v>
      </c>
      <c r="BC9" s="375">
        <v>-1769980.99</v>
      </c>
      <c r="BD9" s="4"/>
      <c r="BE9" s="375">
        <f>BB9+AY9+AV9</f>
        <v>-5352309.1549897809</v>
      </c>
      <c r="BF9" s="375">
        <f>BC9+AZ9+AW9</f>
        <v>-5557774.3600000003</v>
      </c>
      <c r="BG9" s="402"/>
      <c r="BH9" s="375">
        <f t="shared" ref="BH9:BH17" si="6">Q9+AB9+AQ9+BE9</f>
        <v>-19817211.18498978</v>
      </c>
      <c r="BI9" s="388">
        <f t="shared" ref="BI9:BI17" si="7">Q9+AC9+AR9+BF9</f>
        <v>-20022676.390000001</v>
      </c>
      <c r="BJ9" s="4"/>
      <c r="BK9" s="386" t="s">
        <v>13</v>
      </c>
      <c r="BL9" s="386" t="s">
        <v>14</v>
      </c>
      <c r="BM9" s="375">
        <v>-25030161.264000002</v>
      </c>
      <c r="BN9" s="282"/>
    </row>
    <row r="10" spans="1:66" hidden="1" outlineLevel="1">
      <c r="A10" s="386" t="s">
        <v>13</v>
      </c>
      <c r="B10" s="386" t="s">
        <v>15</v>
      </c>
      <c r="C10" s="375">
        <v>-42780023.68</v>
      </c>
      <c r="D10" s="4"/>
      <c r="E10" s="375">
        <v>-19764762.039999999</v>
      </c>
      <c r="F10" s="4"/>
      <c r="G10" s="375">
        <v>-2864166.67</v>
      </c>
      <c r="H10" s="375">
        <v>-1889926.66</v>
      </c>
      <c r="I10" s="4"/>
      <c r="J10" s="375">
        <v>-7211166.6699999999</v>
      </c>
      <c r="K10" s="375">
        <v>-3771915.9</v>
      </c>
      <c r="L10" s="4"/>
      <c r="M10" s="375">
        <v>-8299666.6699999999</v>
      </c>
      <c r="N10" s="375">
        <f>-8221963.4-100771</f>
        <v>-8322734.4000000004</v>
      </c>
      <c r="O10" s="4"/>
      <c r="P10" s="375">
        <f t="shared" si="0"/>
        <v>-18375000.009999998</v>
      </c>
      <c r="Q10" s="375">
        <f t="shared" si="0"/>
        <v>-13984576.960000001</v>
      </c>
      <c r="R10" s="4"/>
      <c r="S10" s="375">
        <v>-1711700</v>
      </c>
      <c r="T10" s="375">
        <v>-1711700</v>
      </c>
      <c r="U10" s="4"/>
      <c r="V10" s="375">
        <v>-6044617.6399999997</v>
      </c>
      <c r="W10" s="375">
        <v>-6037970.0199999996</v>
      </c>
      <c r="X10" s="4"/>
      <c r="Y10" s="375">
        <v>-2413667.08</v>
      </c>
      <c r="Z10" s="375">
        <f>-2410967.08-9347.62</f>
        <v>-2420314.7000000002</v>
      </c>
      <c r="AA10" s="4"/>
      <c r="AB10" s="375">
        <f t="shared" si="1"/>
        <v>-10169984.719999999</v>
      </c>
      <c r="AC10" s="375">
        <f t="shared" si="2"/>
        <v>-10169984.719999999</v>
      </c>
      <c r="AD10" s="402"/>
      <c r="AE10" s="375">
        <f t="shared" si="3"/>
        <v>-24154561.68</v>
      </c>
      <c r="AF10" s="375">
        <f t="shared" si="4"/>
        <v>-24154561.68</v>
      </c>
      <c r="AG10" s="4"/>
      <c r="AH10" s="375">
        <v>-4578271.4800000004</v>
      </c>
      <c r="AI10" s="375">
        <v>-4578271.4800000004</v>
      </c>
      <c r="AJ10" s="4"/>
      <c r="AK10" s="375">
        <v>-2213540.42</v>
      </c>
      <c r="AL10" s="375">
        <v>-2213540.42</v>
      </c>
      <c r="AM10" s="4"/>
      <c r="AN10" s="375">
        <v>2038019.85</v>
      </c>
      <c r="AO10" s="375">
        <v>2038019.85</v>
      </c>
      <c r="AP10" s="4"/>
      <c r="AQ10" s="375">
        <f t="shared" ref="AQ10:AR17" si="8">AN10+AK10+AH10</f>
        <v>-4753792.0500000007</v>
      </c>
      <c r="AR10" s="375">
        <f t="shared" si="8"/>
        <v>-4753792.0500000007</v>
      </c>
      <c r="AS10" s="4"/>
      <c r="AT10" s="375">
        <f t="shared" si="5"/>
        <v>-28908353.73</v>
      </c>
      <c r="AU10" s="4"/>
      <c r="AV10" s="375">
        <v>-6770824.7683189949</v>
      </c>
      <c r="AW10" s="375">
        <v>-7444048.0199999996</v>
      </c>
      <c r="AX10" s="4"/>
      <c r="AY10" s="375">
        <v>-3000772.7292781565</v>
      </c>
      <c r="AZ10" s="375">
        <v>-2769189.27</v>
      </c>
      <c r="BA10" s="4"/>
      <c r="BB10" s="375">
        <v>-3645518.4533310346</v>
      </c>
      <c r="BC10" s="390">
        <v>-1470550.66</v>
      </c>
      <c r="BD10" s="4"/>
      <c r="BE10" s="375">
        <f t="shared" ref="BE10:BF17" si="9">BB10+AY10+AV10</f>
        <v>-13417115.950928185</v>
      </c>
      <c r="BF10" s="375">
        <f t="shared" si="9"/>
        <v>-11683787.949999999</v>
      </c>
      <c r="BG10" s="402"/>
      <c r="BH10" s="375">
        <f t="shared" si="6"/>
        <v>-42325469.680928186</v>
      </c>
      <c r="BI10" s="388">
        <f t="shared" si="7"/>
        <v>-40592141.68</v>
      </c>
      <c r="BJ10" s="4"/>
      <c r="BK10" s="386" t="s">
        <v>13</v>
      </c>
      <c r="BL10" s="386" t="s">
        <v>15</v>
      </c>
      <c r="BM10" s="375">
        <v>-133694933.8599999</v>
      </c>
      <c r="BN10" s="282"/>
    </row>
    <row r="11" spans="1:66" hidden="1" outlineLevel="1">
      <c r="A11" s="386" t="s">
        <v>13</v>
      </c>
      <c r="B11" s="386" t="s">
        <v>16</v>
      </c>
      <c r="C11" s="375">
        <v>-59550.55</v>
      </c>
      <c r="D11" s="4"/>
      <c r="E11" s="375">
        <v>-430</v>
      </c>
      <c r="F11" s="4"/>
      <c r="G11" s="375">
        <v>-145.19</v>
      </c>
      <c r="H11" s="375">
        <v>-6600</v>
      </c>
      <c r="I11" s="4"/>
      <c r="J11" s="375">
        <v>-145.19</v>
      </c>
      <c r="K11" s="375"/>
      <c r="L11" s="4"/>
      <c r="M11" s="375">
        <v>-145.19</v>
      </c>
      <c r="N11" s="375">
        <v>-537.73</v>
      </c>
      <c r="O11" s="4"/>
      <c r="P11" s="375">
        <f t="shared" si="0"/>
        <v>-435.57</v>
      </c>
      <c r="Q11" s="375">
        <f t="shared" si="0"/>
        <v>-7137.73</v>
      </c>
      <c r="R11" s="4"/>
      <c r="S11" s="375">
        <v>-69</v>
      </c>
      <c r="T11" s="375">
        <v>-69</v>
      </c>
      <c r="U11" s="4"/>
      <c r="V11" s="375">
        <v>-400</v>
      </c>
      <c r="W11" s="375">
        <v>-400</v>
      </c>
      <c r="X11" s="4"/>
      <c r="Y11" s="375">
        <v>-5818.95</v>
      </c>
      <c r="Z11" s="375">
        <v>-5818.95</v>
      </c>
      <c r="AA11" s="4"/>
      <c r="AB11" s="375">
        <f t="shared" si="1"/>
        <v>-6287.95</v>
      </c>
      <c r="AC11" s="375">
        <f t="shared" si="2"/>
        <v>-6287.95</v>
      </c>
      <c r="AD11" s="402"/>
      <c r="AE11" s="375">
        <f t="shared" si="3"/>
        <v>-13425.68</v>
      </c>
      <c r="AF11" s="375">
        <f t="shared" si="4"/>
        <v>-13425.68</v>
      </c>
      <c r="AG11" s="4"/>
      <c r="AH11" s="375"/>
      <c r="AI11" s="375"/>
      <c r="AJ11" s="4"/>
      <c r="AK11" s="375">
        <v>-8595</v>
      </c>
      <c r="AL11" s="375">
        <v>-8595</v>
      </c>
      <c r="AM11" s="4"/>
      <c r="AN11" s="375"/>
      <c r="AO11" s="375"/>
      <c r="AP11" s="4"/>
      <c r="AQ11" s="375">
        <f t="shared" si="8"/>
        <v>-8595</v>
      </c>
      <c r="AR11" s="375">
        <f t="shared" si="8"/>
        <v>-8595</v>
      </c>
      <c r="AS11" s="4"/>
      <c r="AT11" s="375">
        <f t="shared" si="5"/>
        <v>-22020.68</v>
      </c>
      <c r="AU11" s="4"/>
      <c r="AV11" s="375">
        <v>-84.430868639214808</v>
      </c>
      <c r="AW11" s="375">
        <v>-3320</v>
      </c>
      <c r="AX11" s="4"/>
      <c r="AY11" s="375">
        <v>-85.302030628934418</v>
      </c>
      <c r="AZ11" s="375"/>
      <c r="BA11" s="4"/>
      <c r="BB11" s="375">
        <v>-145.65573523140381</v>
      </c>
      <c r="BC11" s="375">
        <v>-100</v>
      </c>
      <c r="BD11" s="4"/>
      <c r="BE11" s="375">
        <f t="shared" si="9"/>
        <v>-315.38863449955301</v>
      </c>
      <c r="BF11" s="375">
        <f t="shared" si="9"/>
        <v>-3420</v>
      </c>
      <c r="BG11" s="402"/>
      <c r="BH11" s="375">
        <f t="shared" si="6"/>
        <v>-22336.068634499552</v>
      </c>
      <c r="BI11" s="388">
        <f t="shared" si="7"/>
        <v>-25440.68</v>
      </c>
      <c r="BJ11" s="4"/>
      <c r="BK11" s="386" t="s">
        <v>13</v>
      </c>
      <c r="BL11" s="386" t="s">
        <v>16</v>
      </c>
      <c r="BM11" s="375">
        <v>0</v>
      </c>
      <c r="BN11" s="282"/>
    </row>
    <row r="12" spans="1:66" hidden="1" outlineLevel="1">
      <c r="A12" s="386" t="s">
        <v>13</v>
      </c>
      <c r="B12" s="386" t="s">
        <v>17</v>
      </c>
      <c r="C12" s="375">
        <v>-840309.06</v>
      </c>
      <c r="D12" s="4"/>
      <c r="E12" s="375">
        <v>-209991.24</v>
      </c>
      <c r="F12" s="4"/>
      <c r="G12" s="375">
        <v>-113933.70000000001</v>
      </c>
      <c r="H12" s="375">
        <v>-53105.78</v>
      </c>
      <c r="I12" s="4"/>
      <c r="J12" s="375">
        <v>-113933.70000000001</v>
      </c>
      <c r="K12" s="375">
        <v>-14679</v>
      </c>
      <c r="L12" s="4"/>
      <c r="M12" s="375">
        <v>-113933.70000000001</v>
      </c>
      <c r="N12" s="375">
        <v>10692.02</v>
      </c>
      <c r="O12" s="4"/>
      <c r="P12" s="375">
        <f t="shared" si="0"/>
        <v>-341801.10000000003</v>
      </c>
      <c r="Q12" s="375">
        <f>+H12+K12+N12</f>
        <v>-57092.759999999995</v>
      </c>
      <c r="R12" s="4"/>
      <c r="S12" s="375">
        <v>-52735.51</v>
      </c>
      <c r="T12" s="375">
        <v>-52735.51</v>
      </c>
      <c r="U12" s="4"/>
      <c r="V12" s="375">
        <v>-19188.75</v>
      </c>
      <c r="W12" s="375">
        <v>-19188.75</v>
      </c>
      <c r="X12" s="4"/>
      <c r="Y12" s="375">
        <v>-22467.49</v>
      </c>
      <c r="Z12" s="375">
        <v>-22467.49</v>
      </c>
      <c r="AA12" s="4"/>
      <c r="AB12" s="375">
        <f t="shared" si="1"/>
        <v>-94391.750000000015</v>
      </c>
      <c r="AC12" s="375">
        <f t="shared" si="2"/>
        <v>-94391.750000000015</v>
      </c>
      <c r="AD12" s="402"/>
      <c r="AE12" s="375">
        <f t="shared" si="3"/>
        <v>-151484.51</v>
      </c>
      <c r="AF12" s="375">
        <f t="shared" si="4"/>
        <v>-151484.51</v>
      </c>
      <c r="AG12" s="4"/>
      <c r="AH12" s="375">
        <v>-13419.45</v>
      </c>
      <c r="AI12" s="375">
        <v>-13419.45</v>
      </c>
      <c r="AJ12" s="4"/>
      <c r="AK12" s="375">
        <v>-41541.58</v>
      </c>
      <c r="AL12" s="375">
        <v>-41541.58</v>
      </c>
      <c r="AM12" s="4"/>
      <c r="AN12" s="375">
        <v>-95804.85</v>
      </c>
      <c r="AO12" s="375">
        <v>-95804.85</v>
      </c>
      <c r="AP12" s="4"/>
      <c r="AQ12" s="375">
        <f t="shared" si="8"/>
        <v>-150765.88</v>
      </c>
      <c r="AR12" s="375">
        <f t="shared" si="8"/>
        <v>-150765.88</v>
      </c>
      <c r="AS12" s="4"/>
      <c r="AT12" s="375">
        <f t="shared" si="5"/>
        <v>-302250.39</v>
      </c>
      <c r="AU12" s="4"/>
      <c r="AV12" s="375">
        <v>-66254.70940340044</v>
      </c>
      <c r="AW12" s="375">
        <v>-76159.17</v>
      </c>
      <c r="AX12" s="4"/>
      <c r="AY12" s="375">
        <v>-66938.32885920399</v>
      </c>
      <c r="AZ12" s="375">
        <f>-50463.25</f>
        <v>-50463.25</v>
      </c>
      <c r="BA12" s="4"/>
      <c r="BB12" s="375">
        <v>-114299.17240260483</v>
      </c>
      <c r="BC12" s="375">
        <v>-59851.79</v>
      </c>
      <c r="BD12" s="4"/>
      <c r="BE12" s="375">
        <f t="shared" si="9"/>
        <v>-247492.21066520928</v>
      </c>
      <c r="BF12" s="375">
        <f t="shared" si="9"/>
        <v>-186474.21000000002</v>
      </c>
      <c r="BG12" s="402"/>
      <c r="BH12" s="375">
        <f t="shared" si="6"/>
        <v>-549742.60066520935</v>
      </c>
      <c r="BI12" s="388">
        <f t="shared" si="7"/>
        <v>-488724.60000000003</v>
      </c>
      <c r="BJ12" s="4"/>
      <c r="BK12" s="386" t="s">
        <v>13</v>
      </c>
      <c r="BL12" s="386" t="s">
        <v>17</v>
      </c>
      <c r="BM12" s="375">
        <v>-596798.82960000017</v>
      </c>
      <c r="BN12" s="282"/>
    </row>
    <row r="13" spans="1:66" hidden="1" outlineLevel="1">
      <c r="A13" s="386" t="s">
        <v>13</v>
      </c>
      <c r="B13" s="386" t="s">
        <v>18</v>
      </c>
      <c r="C13" s="375">
        <v>0</v>
      </c>
      <c r="D13" s="4"/>
      <c r="E13" s="375">
        <v>0</v>
      </c>
      <c r="F13" s="4"/>
      <c r="G13" s="375">
        <v>-210549.99666666664</v>
      </c>
      <c r="H13" s="375"/>
      <c r="I13" s="4"/>
      <c r="J13" s="375">
        <v>-210549.99666666664</v>
      </c>
      <c r="K13" s="375"/>
      <c r="L13" s="4"/>
      <c r="M13" s="375">
        <v>-210549.99666666664</v>
      </c>
      <c r="N13" s="375">
        <v>0</v>
      </c>
      <c r="O13" s="4"/>
      <c r="P13" s="375">
        <f t="shared" si="0"/>
        <v>-631649.99</v>
      </c>
      <c r="Q13" s="375">
        <f t="shared" si="0"/>
        <v>0</v>
      </c>
      <c r="R13" s="4"/>
      <c r="S13" s="375"/>
      <c r="T13" s="375"/>
      <c r="U13" s="4"/>
      <c r="V13" s="375"/>
      <c r="W13" s="375"/>
      <c r="X13" s="4"/>
      <c r="Y13" s="375"/>
      <c r="Z13" s="375"/>
      <c r="AA13" s="4"/>
      <c r="AB13" s="375">
        <f t="shared" si="1"/>
        <v>0</v>
      </c>
      <c r="AC13" s="375">
        <f t="shared" si="2"/>
        <v>0</v>
      </c>
      <c r="AD13" s="402"/>
      <c r="AE13" s="375">
        <f t="shared" si="3"/>
        <v>0</v>
      </c>
      <c r="AF13" s="375">
        <f t="shared" si="4"/>
        <v>0</v>
      </c>
      <c r="AG13" s="4"/>
      <c r="AH13" s="375"/>
      <c r="AI13" s="375"/>
      <c r="AJ13" s="4"/>
      <c r="AK13" s="375"/>
      <c r="AL13" s="375"/>
      <c r="AM13" s="4"/>
      <c r="AN13" s="375"/>
      <c r="AO13" s="375"/>
      <c r="AP13" s="4"/>
      <c r="AQ13" s="375">
        <f t="shared" si="8"/>
        <v>0</v>
      </c>
      <c r="AR13" s="375">
        <f t="shared" si="8"/>
        <v>0</v>
      </c>
      <c r="AS13" s="4"/>
      <c r="AT13" s="375">
        <f t="shared" si="5"/>
        <v>0</v>
      </c>
      <c r="AU13" s="4"/>
      <c r="AV13" s="375">
        <v>0</v>
      </c>
      <c r="AW13" s="375">
        <v>-62760</v>
      </c>
      <c r="AX13" s="4"/>
      <c r="AY13" s="375">
        <v>0</v>
      </c>
      <c r="AZ13" s="375">
        <v>-128221.26</v>
      </c>
      <c r="BA13" s="4"/>
      <c r="BB13" s="375">
        <v>-210549.99666666664</v>
      </c>
      <c r="BC13" s="375"/>
      <c r="BD13" s="4"/>
      <c r="BE13" s="375">
        <f t="shared" si="9"/>
        <v>-210549.99666666664</v>
      </c>
      <c r="BF13" s="375">
        <f t="shared" si="9"/>
        <v>-190981.26</v>
      </c>
      <c r="BG13" s="402"/>
      <c r="BH13" s="375">
        <f t="shared" si="6"/>
        <v>-210549.99666666664</v>
      </c>
      <c r="BI13" s="388">
        <f t="shared" si="7"/>
        <v>-190981.26</v>
      </c>
      <c r="BJ13" s="4"/>
      <c r="BK13" s="386" t="s">
        <v>13</v>
      </c>
      <c r="BL13" s="386" t="s">
        <v>18</v>
      </c>
      <c r="BM13" s="375">
        <v>-15700000.009999998</v>
      </c>
      <c r="BN13" s="282"/>
    </row>
    <row r="14" spans="1:66" hidden="1" outlineLevel="1">
      <c r="A14" s="386" t="s">
        <v>13</v>
      </c>
      <c r="B14" s="386" t="s">
        <v>19</v>
      </c>
      <c r="C14" s="375">
        <v>-7413000.0099999998</v>
      </c>
      <c r="D14" s="4"/>
      <c r="E14" s="375">
        <v>-1955150.27</v>
      </c>
      <c r="F14" s="4"/>
      <c r="G14" s="375">
        <v>-665833.34000000008</v>
      </c>
      <c r="H14" s="375">
        <v>-755536.75</v>
      </c>
      <c r="I14" s="4"/>
      <c r="J14" s="375">
        <v>-665833.34000000008</v>
      </c>
      <c r="K14" s="375">
        <v>-868826.35</v>
      </c>
      <c r="L14" s="4"/>
      <c r="M14" s="375">
        <v>-665833.34000000008</v>
      </c>
      <c r="N14" s="375">
        <v>-1157593.73</v>
      </c>
      <c r="O14" s="4"/>
      <c r="P14" s="375">
        <f t="shared" si="0"/>
        <v>-1997500.0200000003</v>
      </c>
      <c r="Q14" s="375">
        <f t="shared" si="0"/>
        <v>-2781956.83</v>
      </c>
      <c r="R14" s="4"/>
      <c r="S14" s="375">
        <v>-1122575.67</v>
      </c>
      <c r="T14" s="375">
        <v>-1122575.67</v>
      </c>
      <c r="U14" s="4"/>
      <c r="V14" s="375">
        <v>-1207617.03</v>
      </c>
      <c r="W14" s="375">
        <v>-1207617.03</v>
      </c>
      <c r="X14" s="4"/>
      <c r="Y14" s="375">
        <v>-1282813.28</v>
      </c>
      <c r="Z14" s="375">
        <v>-1282813.28</v>
      </c>
      <c r="AA14" s="4"/>
      <c r="AB14" s="375">
        <f t="shared" si="1"/>
        <v>-3613005.9800000004</v>
      </c>
      <c r="AC14" s="375">
        <f t="shared" si="2"/>
        <v>-3613005.9800000004</v>
      </c>
      <c r="AD14" s="402"/>
      <c r="AE14" s="375">
        <f t="shared" si="3"/>
        <v>-6394962.8100000005</v>
      </c>
      <c r="AF14" s="375">
        <f t="shared" si="4"/>
        <v>-6394962.8100000005</v>
      </c>
      <c r="AG14" s="4"/>
      <c r="AH14" s="375">
        <v>-752510.2</v>
      </c>
      <c r="AI14" s="375">
        <v>-752510.2</v>
      </c>
      <c r="AJ14" s="4"/>
      <c r="AK14" s="375">
        <v>-892942.83</v>
      </c>
      <c r="AL14" s="375">
        <v>-892942.83</v>
      </c>
      <c r="AM14" s="4"/>
      <c r="AN14" s="375">
        <v>-527583.38</v>
      </c>
      <c r="AO14" s="375">
        <v>-527583.38</v>
      </c>
      <c r="AP14" s="4"/>
      <c r="AQ14" s="375">
        <f t="shared" si="8"/>
        <v>-2173036.41</v>
      </c>
      <c r="AR14" s="375">
        <f t="shared" si="8"/>
        <v>-2173036.41</v>
      </c>
      <c r="AS14" s="4"/>
      <c r="AT14" s="375">
        <f t="shared" si="5"/>
        <v>-8567999.2200000007</v>
      </c>
      <c r="AU14" s="4"/>
      <c r="AV14" s="375">
        <v>-179793.40781474384</v>
      </c>
      <c r="AW14" s="375">
        <v>-512362.1</v>
      </c>
      <c r="AX14" s="4"/>
      <c r="AY14" s="375">
        <v>-179793.40781474384</v>
      </c>
      <c r="AZ14" s="375">
        <v>-302015.64</v>
      </c>
      <c r="BA14" s="4"/>
      <c r="BB14" s="375">
        <v>-200000</v>
      </c>
      <c r="BC14" s="375">
        <v>1196038.6399999999</v>
      </c>
      <c r="BD14" s="4"/>
      <c r="BE14" s="375">
        <f t="shared" si="9"/>
        <v>-559586.81562948762</v>
      </c>
      <c r="BF14" s="375">
        <f t="shared" si="9"/>
        <v>381660.89999999991</v>
      </c>
      <c r="BG14" s="402"/>
      <c r="BH14" s="375">
        <f t="shared" si="6"/>
        <v>-9127586.0356294885</v>
      </c>
      <c r="BI14" s="388">
        <f t="shared" si="7"/>
        <v>-8186338.3200000003</v>
      </c>
      <c r="BJ14" s="4"/>
      <c r="BK14" s="386" t="s">
        <v>13</v>
      </c>
      <c r="BL14" s="386" t="s">
        <v>19</v>
      </c>
      <c r="BM14" s="375">
        <v>-4706744.05</v>
      </c>
      <c r="BN14" s="282"/>
    </row>
    <row r="15" spans="1:66" hidden="1" outlineLevel="1">
      <c r="A15" s="386" t="s">
        <v>13</v>
      </c>
      <c r="B15" s="386" t="s">
        <v>20</v>
      </c>
      <c r="C15" s="375">
        <v>-10089999.699999999</v>
      </c>
      <c r="D15" s="4"/>
      <c r="E15" s="375">
        <v>-2849298.6</v>
      </c>
      <c r="F15" s="4"/>
      <c r="G15" s="375">
        <v>-683886.65</v>
      </c>
      <c r="H15" s="375">
        <v>-788860.48</v>
      </c>
      <c r="I15" s="4"/>
      <c r="J15" s="375">
        <v>-683886.65</v>
      </c>
      <c r="K15" s="375">
        <v>-942141.73</v>
      </c>
      <c r="L15" s="4"/>
      <c r="M15" s="375">
        <v>-683886.65</v>
      </c>
      <c r="N15" s="375">
        <v>-930344.4</v>
      </c>
      <c r="O15" s="4"/>
      <c r="P15" s="375">
        <f t="shared" si="0"/>
        <v>-2051659.9500000002</v>
      </c>
      <c r="Q15" s="375">
        <f t="shared" si="0"/>
        <v>-2661346.61</v>
      </c>
      <c r="R15" s="4"/>
      <c r="S15" s="375">
        <v>-1313285.8799999999</v>
      </c>
      <c r="T15" s="375">
        <v>-1313285.8799999999</v>
      </c>
      <c r="U15" s="4"/>
      <c r="V15" s="375">
        <v>-1110933.1200000001</v>
      </c>
      <c r="W15" s="375">
        <v>-1110933.1200000001</v>
      </c>
      <c r="X15" s="4"/>
      <c r="Y15" s="375">
        <v>-988358.76</v>
      </c>
      <c r="Z15" s="375">
        <f>-970436.76-17921</f>
        <v>-988357.76</v>
      </c>
      <c r="AA15" s="4"/>
      <c r="AB15" s="375">
        <f t="shared" si="1"/>
        <v>-3412577.76</v>
      </c>
      <c r="AC15" s="375">
        <f t="shared" si="2"/>
        <v>-3412576.76</v>
      </c>
      <c r="AD15" s="402"/>
      <c r="AE15" s="375">
        <f t="shared" si="3"/>
        <v>-6073924.3699999992</v>
      </c>
      <c r="AF15" s="375">
        <f t="shared" si="4"/>
        <v>-6073923.3699999992</v>
      </c>
      <c r="AG15" s="4"/>
      <c r="AH15" s="375">
        <v>-981070.98</v>
      </c>
      <c r="AI15" s="375">
        <v>-981070.98</v>
      </c>
      <c r="AJ15" s="4"/>
      <c r="AK15" s="375">
        <v>-1174586.9099999999</v>
      </c>
      <c r="AL15" s="375">
        <v>-1174586.9099999999</v>
      </c>
      <c r="AM15" s="4"/>
      <c r="AN15" s="375">
        <v>-60383.49</v>
      </c>
      <c r="AO15" s="375">
        <v>-60383.49</v>
      </c>
      <c r="AP15" s="4"/>
      <c r="AQ15" s="375">
        <f t="shared" si="8"/>
        <v>-2216041.38</v>
      </c>
      <c r="AR15" s="375">
        <f t="shared" si="8"/>
        <v>-2216041.38</v>
      </c>
      <c r="AS15" s="4"/>
      <c r="AT15" s="375">
        <f t="shared" si="5"/>
        <v>-8289964.7499999991</v>
      </c>
      <c r="AU15" s="4"/>
      <c r="AV15" s="375">
        <v>-397693.66974490444</v>
      </c>
      <c r="AW15" s="375">
        <v>-991158.71</v>
      </c>
      <c r="AX15" s="4"/>
      <c r="AY15" s="375">
        <v>-401797.09322280705</v>
      </c>
      <c r="AZ15" s="375">
        <v>-929735.58</v>
      </c>
      <c r="BA15" s="4"/>
      <c r="BB15" s="375">
        <v>-686080.39686405216</v>
      </c>
      <c r="BC15" s="375">
        <v>716643.87</v>
      </c>
      <c r="BD15" s="4"/>
      <c r="BE15" s="375">
        <f t="shared" si="9"/>
        <v>-1485571.1598317635</v>
      </c>
      <c r="BF15" s="375">
        <f t="shared" si="9"/>
        <v>-1204250.42</v>
      </c>
      <c r="BG15" s="402"/>
      <c r="BH15" s="375">
        <f t="shared" si="6"/>
        <v>-9775536.9098317623</v>
      </c>
      <c r="BI15" s="388">
        <f t="shared" si="7"/>
        <v>-9494215.1699999981</v>
      </c>
      <c r="BJ15" s="4"/>
      <c r="BK15" s="386" t="s">
        <v>13</v>
      </c>
      <c r="BL15" s="386" t="s">
        <v>20</v>
      </c>
      <c r="BM15" s="375">
        <v>-12532775.421600003</v>
      </c>
      <c r="BN15" s="282"/>
    </row>
    <row r="16" spans="1:66" hidden="1" outlineLevel="1">
      <c r="A16" s="386" t="s">
        <v>13</v>
      </c>
      <c r="B16" s="386" t="s">
        <v>21</v>
      </c>
      <c r="C16" s="375">
        <v>-14671000.390000001</v>
      </c>
      <c r="D16" s="4"/>
      <c r="E16" s="375">
        <v>-2497008.54</v>
      </c>
      <c r="F16" s="4"/>
      <c r="G16" s="375">
        <v>-1312927.24</v>
      </c>
      <c r="H16" s="375">
        <v>-115349.05</v>
      </c>
      <c r="I16" s="4"/>
      <c r="J16" s="375">
        <v>-1630501.96</v>
      </c>
      <c r="K16" s="375">
        <v>-538049.79</v>
      </c>
      <c r="L16" s="4"/>
      <c r="M16" s="375">
        <v>-1710023.48</v>
      </c>
      <c r="N16" s="375">
        <f>-483175.04-14172</f>
        <v>-497347.04</v>
      </c>
      <c r="O16" s="4"/>
      <c r="P16" s="375">
        <f t="shared" si="0"/>
        <v>-4653452.68</v>
      </c>
      <c r="Q16" s="375">
        <f>+H16+K16+N16</f>
        <v>-1150745.8800000001</v>
      </c>
      <c r="R16" s="4"/>
      <c r="S16" s="375">
        <v>-951103.43</v>
      </c>
      <c r="T16" s="375">
        <v>-951103.43</v>
      </c>
      <c r="U16" s="4"/>
      <c r="V16" s="375">
        <v>-341593.45</v>
      </c>
      <c r="W16" s="375">
        <v>-341593.45</v>
      </c>
      <c r="X16" s="4"/>
      <c r="Y16" s="375">
        <v>-441926.91</v>
      </c>
      <c r="Z16" s="375">
        <v>-441776.91</v>
      </c>
      <c r="AA16" s="4"/>
      <c r="AB16" s="375">
        <f t="shared" si="1"/>
        <v>-1734623.79</v>
      </c>
      <c r="AC16" s="375">
        <f t="shared" si="2"/>
        <v>-1734473.79</v>
      </c>
      <c r="AD16" s="402"/>
      <c r="AE16" s="375">
        <f t="shared" si="3"/>
        <v>-2885369.67</v>
      </c>
      <c r="AF16" s="375">
        <f t="shared" si="4"/>
        <v>-2885219.67</v>
      </c>
      <c r="AG16" s="4"/>
      <c r="AH16" s="375">
        <v>-379375.84</v>
      </c>
      <c r="AI16" s="375">
        <v>-379375.84</v>
      </c>
      <c r="AJ16" s="4"/>
      <c r="AK16" s="375">
        <v>-903124.91</v>
      </c>
      <c r="AL16" s="375">
        <v>-903124.91</v>
      </c>
      <c r="AM16" s="4"/>
      <c r="AN16" s="375">
        <v>-264738.65999999997</v>
      </c>
      <c r="AO16" s="375">
        <v>-264738.65999999997</v>
      </c>
      <c r="AP16" s="4"/>
      <c r="AQ16" s="375">
        <f t="shared" si="8"/>
        <v>-1547239.4100000001</v>
      </c>
      <c r="AR16" s="375">
        <f t="shared" si="8"/>
        <v>-1547239.4100000001</v>
      </c>
      <c r="AS16" s="4"/>
      <c r="AT16" s="375">
        <f t="shared" si="5"/>
        <v>-4432459.08</v>
      </c>
      <c r="AU16" s="4"/>
      <c r="AV16" s="375">
        <v>-754996.55748410278</v>
      </c>
      <c r="AW16" s="375">
        <v>-463131.97</v>
      </c>
      <c r="AX16" s="4"/>
      <c r="AY16" s="375">
        <v>-762786.65030027239</v>
      </c>
      <c r="AZ16" s="375">
        <v>-408385.6</v>
      </c>
      <c r="BA16" s="4"/>
      <c r="BB16" s="375">
        <v>-1302480.7212092248</v>
      </c>
      <c r="BC16" s="375">
        <f>-523784.42-150</f>
        <v>-523934.42</v>
      </c>
      <c r="BD16" s="4"/>
      <c r="BE16" s="375">
        <f t="shared" si="9"/>
        <v>-2820263.9289936</v>
      </c>
      <c r="BF16" s="375">
        <f t="shared" si="9"/>
        <v>-1395451.99</v>
      </c>
      <c r="BG16" s="402"/>
      <c r="BH16" s="375">
        <f t="shared" si="6"/>
        <v>-7252873.0089935996</v>
      </c>
      <c r="BI16" s="388">
        <f t="shared" si="7"/>
        <v>-5827911.0700000003</v>
      </c>
      <c r="BJ16" s="4"/>
      <c r="BK16" s="386" t="s">
        <v>13</v>
      </c>
      <c r="BL16" s="386" t="s">
        <v>21</v>
      </c>
      <c r="BM16" s="375">
        <v>-1790396.4888000002</v>
      </c>
      <c r="BN16" s="282"/>
    </row>
    <row r="17" spans="1:66" hidden="1" outlineLevel="1">
      <c r="A17" s="386" t="s">
        <v>13</v>
      </c>
      <c r="B17" s="386" t="s">
        <v>22</v>
      </c>
      <c r="C17" s="375">
        <v>0</v>
      </c>
      <c r="D17" s="4"/>
      <c r="E17" s="375">
        <v>0</v>
      </c>
      <c r="F17" s="4"/>
      <c r="G17" s="375"/>
      <c r="H17" s="375"/>
      <c r="I17" s="4"/>
      <c r="J17" s="375"/>
      <c r="K17" s="375"/>
      <c r="L17" s="4"/>
      <c r="M17" s="375"/>
      <c r="N17" s="375">
        <v>0</v>
      </c>
      <c r="O17" s="4"/>
      <c r="P17" s="375">
        <f t="shared" si="0"/>
        <v>0</v>
      </c>
      <c r="Q17" s="375">
        <f>+H17+K17+N17</f>
        <v>0</v>
      </c>
      <c r="R17" s="4"/>
      <c r="S17" s="375"/>
      <c r="T17" s="375"/>
      <c r="U17" s="4"/>
      <c r="V17" s="375"/>
      <c r="W17" s="375"/>
      <c r="X17" s="4"/>
      <c r="Y17" s="375"/>
      <c r="Z17" s="375"/>
      <c r="AA17" s="4"/>
      <c r="AB17" s="375">
        <f t="shared" si="1"/>
        <v>0</v>
      </c>
      <c r="AC17" s="375">
        <f t="shared" si="2"/>
        <v>0</v>
      </c>
      <c r="AD17" s="402"/>
      <c r="AE17" s="375">
        <f t="shared" si="3"/>
        <v>0</v>
      </c>
      <c r="AF17" s="375">
        <f t="shared" si="4"/>
        <v>0</v>
      </c>
      <c r="AG17" s="4"/>
      <c r="AH17" s="375"/>
      <c r="AI17" s="375"/>
      <c r="AJ17" s="4"/>
      <c r="AK17" s="375"/>
      <c r="AL17" s="375"/>
      <c r="AM17" s="4"/>
      <c r="AN17" s="375"/>
      <c r="AO17" s="375"/>
      <c r="AP17" s="4"/>
      <c r="AQ17" s="375">
        <f t="shared" si="8"/>
        <v>0</v>
      </c>
      <c r="AR17" s="375">
        <f t="shared" si="8"/>
        <v>0</v>
      </c>
      <c r="AS17" s="4"/>
      <c r="AT17" s="375">
        <f t="shared" si="5"/>
        <v>0</v>
      </c>
      <c r="AU17" s="4"/>
      <c r="AV17" s="375"/>
      <c r="AW17" s="375"/>
      <c r="AX17" s="4"/>
      <c r="AY17" s="375"/>
      <c r="AZ17" s="375"/>
      <c r="BA17" s="4"/>
      <c r="BB17" s="375"/>
      <c r="BC17" s="375"/>
      <c r="BD17" s="4"/>
      <c r="BE17" s="375">
        <f t="shared" si="9"/>
        <v>0</v>
      </c>
      <c r="BF17" s="375">
        <f t="shared" si="9"/>
        <v>0</v>
      </c>
      <c r="BG17" s="402"/>
      <c r="BH17" s="375">
        <f t="shared" si="6"/>
        <v>0</v>
      </c>
      <c r="BI17" s="388">
        <f t="shared" si="7"/>
        <v>0</v>
      </c>
      <c r="BJ17" s="4"/>
      <c r="BK17" s="386" t="s">
        <v>13</v>
      </c>
      <c r="BL17" s="386" t="s">
        <v>22</v>
      </c>
      <c r="BM17" s="375">
        <v>0</v>
      </c>
      <c r="BN17" s="282"/>
    </row>
    <row r="18" spans="1:66" collapsed="1">
      <c r="A18" s="386" t="s">
        <v>13</v>
      </c>
      <c r="B18" s="386"/>
      <c r="C18" s="389">
        <f>SUM(C9:C17)</f>
        <v>-102066587.62</v>
      </c>
      <c r="D18" s="4"/>
      <c r="E18" s="389">
        <f>SUM(E9:E17)</f>
        <v>-32868999.109999999</v>
      </c>
      <c r="F18" s="4"/>
      <c r="G18" s="389">
        <f>SUM(G9:G17)</f>
        <v>-7859499.7166666677</v>
      </c>
      <c r="H18" s="389">
        <f>SUM(H9:H17)</f>
        <v>-5244353.5100000007</v>
      </c>
      <c r="I18" s="4"/>
      <c r="J18" s="389">
        <f>SUM(J9:J17)</f>
        <v>-12524074.436666664</v>
      </c>
      <c r="K18" s="389">
        <f>SUM(K9:K17)</f>
        <v>-7554691.0099999988</v>
      </c>
      <c r="L18" s="4"/>
      <c r="M18" s="389">
        <f>SUM(M9:M17)</f>
        <v>-13692095.956666665</v>
      </c>
      <c r="N18" s="389">
        <f>SUM(N9:N17)</f>
        <v>-12379259.48</v>
      </c>
      <c r="O18" s="4"/>
      <c r="P18" s="389">
        <f>+G18+J18+M18</f>
        <v>-34075670.109999999</v>
      </c>
      <c r="Q18" s="389">
        <f>+H18+K18+N18</f>
        <v>-25178304</v>
      </c>
      <c r="R18" s="7"/>
      <c r="S18" s="389">
        <f>SUM(S9:S17)</f>
        <v>-6631424.7799999993</v>
      </c>
      <c r="T18" s="389">
        <f>SUM(T9:T17)</f>
        <v>-6631424.7799999993</v>
      </c>
      <c r="U18" s="7"/>
      <c r="V18" s="389">
        <f>SUM(V9:V17)</f>
        <v>-10285828.449999999</v>
      </c>
      <c r="W18" s="389">
        <f>SUM(W9:W17)</f>
        <v>-10276300.829999998</v>
      </c>
      <c r="X18" s="7"/>
      <c r="Y18" s="389">
        <f>SUM(Y9:Y17)</f>
        <v>-7054737.4600000009</v>
      </c>
      <c r="Z18" s="389">
        <f>SUM(Z9:Z17)</f>
        <v>-7064114.080000001</v>
      </c>
      <c r="AA18" s="7"/>
      <c r="AB18" s="389">
        <f>SUM(AB9:AB17)</f>
        <v>-23971990.689999998</v>
      </c>
      <c r="AC18" s="389">
        <f>SUM(AC9:AC17)</f>
        <v>-23971839.689999998</v>
      </c>
      <c r="AD18" s="403"/>
      <c r="AE18" s="389">
        <f>SUM(AE9:AE17)</f>
        <v>-49150294.689999998</v>
      </c>
      <c r="AF18" s="389">
        <f>SUM(AF9:AF17)</f>
        <v>-49150143.689999998</v>
      </c>
      <c r="AG18" s="7"/>
      <c r="AH18" s="389">
        <f>SUM(AH9:AH17)</f>
        <v>-8462760.0700000003</v>
      </c>
      <c r="AI18" s="389">
        <f>SUM(AI9:AI17)</f>
        <v>-8462760.0700000003</v>
      </c>
      <c r="AJ18" s="7"/>
      <c r="AK18" s="389">
        <f>SUM(AK9:AK17)</f>
        <v>-6641903.6900000004</v>
      </c>
      <c r="AL18" s="389">
        <f>SUM(AL9:AL17)</f>
        <v>-6641903.6900000004</v>
      </c>
      <c r="AM18" s="7"/>
      <c r="AN18" s="389">
        <f>SUM(AN9:AN17)</f>
        <v>-733142.4299999997</v>
      </c>
      <c r="AO18" s="389">
        <f>SUM(AO9:AO17)</f>
        <v>-733142.4299999997</v>
      </c>
      <c r="AP18" s="7"/>
      <c r="AQ18" s="389">
        <f>SUM(AQ9:AQ17)</f>
        <v>-15837806.190000001</v>
      </c>
      <c r="AR18" s="389">
        <f>SUM(AR9:AR17)</f>
        <v>-15837806.190000001</v>
      </c>
      <c r="AS18" s="7"/>
      <c r="AT18" s="389">
        <f>SUM(AT9:AT17)</f>
        <v>-64987949.880000003</v>
      </c>
      <c r="AU18" s="7"/>
      <c r="AV18" s="389">
        <f>SUM(AV9:AV17)</f>
        <v>-9937826.021553345</v>
      </c>
      <c r="AW18" s="389">
        <f>SUM(AW9:AW17)</f>
        <v>-11400228.999999998</v>
      </c>
      <c r="AX18" s="7"/>
      <c r="AY18" s="389">
        <f>SUM(AY9:AY17)</f>
        <v>-6208540.4750111001</v>
      </c>
      <c r="AZ18" s="389">
        <f>SUM(AZ9:AZ17)</f>
        <v>-6528514.9399999995</v>
      </c>
      <c r="BA18" s="7"/>
      <c r="BB18" s="389">
        <f>SUM(BB9:BB17)</f>
        <v>-7946838.1097747497</v>
      </c>
      <c r="BC18" s="389">
        <f>SUM(BC9:BC17)</f>
        <v>-1911735.3499999996</v>
      </c>
      <c r="BD18" s="7"/>
      <c r="BE18" s="389">
        <f>SUM(BE9:BE17)</f>
        <v>-24093204.606339194</v>
      </c>
      <c r="BF18" s="389">
        <f>SUM(BF9:BF17)</f>
        <v>-19840479.290000003</v>
      </c>
      <c r="BG18" s="403"/>
      <c r="BH18" s="389">
        <f>SUM(BH9:BH17)</f>
        <v>-89081305.486339197</v>
      </c>
      <c r="BI18" s="389">
        <f>SUM(BI9:BI17)</f>
        <v>-84828429.170000017</v>
      </c>
      <c r="BJ18" s="7"/>
      <c r="BK18" s="386" t="s">
        <v>13</v>
      </c>
      <c r="BL18" s="386"/>
      <c r="BM18" s="389">
        <v>-194051809.92399991</v>
      </c>
      <c r="BN18" s="283"/>
    </row>
    <row r="19" spans="1:66">
      <c r="A19" s="8" t="s">
        <v>23</v>
      </c>
      <c r="B19" s="8" t="s">
        <v>24</v>
      </c>
      <c r="C19" s="9">
        <f>C8+C18</f>
        <v>19995416.299999997</v>
      </c>
      <c r="D19" s="11">
        <f>+C19/C8</f>
        <v>0.16381360012002658</v>
      </c>
      <c r="E19" s="9">
        <f>E8+E18</f>
        <v>7707232.9900000021</v>
      </c>
      <c r="F19" s="11">
        <f>+E19/E8</f>
        <v>0.18994452148749419</v>
      </c>
      <c r="G19" s="9">
        <f>G8+G18</f>
        <v>-254582.7966666678</v>
      </c>
      <c r="H19" s="9">
        <f>H8+H18</f>
        <v>4102641.5200000005</v>
      </c>
      <c r="I19" s="10"/>
      <c r="J19" s="9">
        <f>J8+J18</f>
        <v>-3291991.7666666638</v>
      </c>
      <c r="K19" s="9">
        <f>K8+K18</f>
        <v>-289489.99999999907</v>
      </c>
      <c r="L19" s="4"/>
      <c r="M19" s="9">
        <f>M8+M18</f>
        <v>5379229.8633333351</v>
      </c>
      <c r="N19" s="9">
        <f>N8+N18</f>
        <v>7376621.9499999993</v>
      </c>
      <c r="O19" s="4"/>
      <c r="P19" s="9">
        <f>+G19+J19+M19</f>
        <v>1832655.3000000035</v>
      </c>
      <c r="Q19" s="9">
        <f>+H19+K19+N19</f>
        <v>11189773.470000001</v>
      </c>
      <c r="R19" s="17">
        <f>+Q19/Q8</f>
        <v>0.30768119319011122</v>
      </c>
      <c r="S19" s="9">
        <f>S8+S18</f>
        <v>3794689.6400000006</v>
      </c>
      <c r="T19" s="9">
        <f>T8+T18</f>
        <v>3794689.6400000006</v>
      </c>
      <c r="U19" s="17">
        <f>+T19/T8</f>
        <v>0.36396009933679596</v>
      </c>
      <c r="V19" s="9">
        <f>V8+V18</f>
        <v>984728.41000000015</v>
      </c>
      <c r="W19" s="9">
        <f>W8+W18</f>
        <v>994256.03000000119</v>
      </c>
      <c r="X19" s="17">
        <f>+W19/W8</f>
        <v>8.8217116718401545E-2</v>
      </c>
      <c r="Y19" s="9">
        <f>Y8+Y18</f>
        <v>8335928.6199999992</v>
      </c>
      <c r="Z19" s="9">
        <f>Z8+Z18</f>
        <v>8326550.9999999991</v>
      </c>
      <c r="AA19" s="17">
        <f>+Z19/Z8</f>
        <v>0.54101307232136842</v>
      </c>
      <c r="AB19" s="9">
        <f>AB8+AB18</f>
        <v>13115346.670000002</v>
      </c>
      <c r="AC19" s="9">
        <f>AC8+AC18</f>
        <v>13115496.670000002</v>
      </c>
      <c r="AD19" s="405">
        <f>+AC19/AC8</f>
        <v>0.35363814059576215</v>
      </c>
      <c r="AE19" s="9">
        <f>AE8+AE18</f>
        <v>24305120.140000001</v>
      </c>
      <c r="AF19" s="9">
        <f>AF8+AF18</f>
        <v>24305270.140000001</v>
      </c>
      <c r="AG19" s="19">
        <f>+AF19/AF8</f>
        <v>0.33088466693891883</v>
      </c>
      <c r="AH19" s="9">
        <f>AH8+AH18</f>
        <v>-2508847.7800000003</v>
      </c>
      <c r="AI19" s="9">
        <f>AI8+AI18</f>
        <v>-2508847.7800000003</v>
      </c>
      <c r="AJ19" s="19">
        <f>+AI19/AI8</f>
        <v>-0.42137802134132551</v>
      </c>
      <c r="AK19" s="9">
        <f>AK8+AK18</f>
        <v>325132.83999999985</v>
      </c>
      <c r="AL19" s="9">
        <f>AL8+AL18</f>
        <v>325132.83999999985</v>
      </c>
      <c r="AM19" s="19">
        <f>+AL19/AL8</f>
        <v>4.6667308058452199E-2</v>
      </c>
      <c r="AN19" s="9">
        <f>AN8+AN18</f>
        <v>12968550.939999999</v>
      </c>
      <c r="AO19" s="9">
        <f>AO8+AO18</f>
        <v>12968550.939999999</v>
      </c>
      <c r="AP19" s="19">
        <f>+AO19/AO8</f>
        <v>0.94649256772850987</v>
      </c>
      <c r="AQ19" s="9">
        <f>AQ8+AQ18</f>
        <v>10784835.999999996</v>
      </c>
      <c r="AR19" s="9">
        <f>AR8+AR18</f>
        <v>10784835.999999996</v>
      </c>
      <c r="AS19" s="19">
        <f>+AR19/AR8</f>
        <v>0.40510013705743297</v>
      </c>
      <c r="AT19" s="9">
        <f>AT8+AT18</f>
        <v>35090106.139999978</v>
      </c>
      <c r="AU19" s="19">
        <f>+AT19/AT8</f>
        <v>0.35062737562555607</v>
      </c>
      <c r="AV19" s="9">
        <f>AV8+AV18</f>
        <v>-2675024.4215533454</v>
      </c>
      <c r="AW19" s="9">
        <f>AW8+AW18</f>
        <v>-8174085.9099999983</v>
      </c>
      <c r="AX19" s="19">
        <f>+AW19/AW8</f>
        <v>-2.533702220257068</v>
      </c>
      <c r="AY19" s="9">
        <f>AY8+AY18</f>
        <v>4963959.5249888999</v>
      </c>
      <c r="AZ19" s="9">
        <f>AZ8+AZ18</f>
        <v>-1479745.25</v>
      </c>
      <c r="BA19" s="19">
        <f>+AZ19/AZ8</f>
        <v>-0.29309026571976593</v>
      </c>
      <c r="BB19" s="9">
        <f>BB8+BB18</f>
        <v>21345389.596891921</v>
      </c>
      <c r="BC19" s="9">
        <f>BC8+BC18</f>
        <v>21213019.32</v>
      </c>
      <c r="BD19" s="19">
        <f>+BC19/BC8</f>
        <v>0.9173294862029342</v>
      </c>
      <c r="BE19" s="9">
        <f>BE8+BE18</f>
        <v>23634324.700327478</v>
      </c>
      <c r="BF19" s="9">
        <f>BF8+BF18</f>
        <v>11559188.159999996</v>
      </c>
      <c r="BG19" s="405">
        <f>+BF19/BF8</f>
        <v>0.36813091025268158</v>
      </c>
      <c r="BH19" s="9">
        <f>BH8+BH18</f>
        <v>58724280.840327457</v>
      </c>
      <c r="BI19" s="9">
        <f>BI8+BI18</f>
        <v>46649294.299999982</v>
      </c>
      <c r="BJ19" s="19">
        <f>+BI19/BI8</f>
        <v>0.35480759073718071</v>
      </c>
      <c r="BK19" s="8" t="s">
        <v>23</v>
      </c>
      <c r="BL19" s="8" t="s">
        <v>24</v>
      </c>
      <c r="BM19" s="9">
        <f>BM8+BM18</f>
        <v>91184784.936000109</v>
      </c>
      <c r="BN19" s="284">
        <f>+BM19/BM8</f>
        <v>0.31968122807227972</v>
      </c>
    </row>
    <row r="20" spans="1:66" hidden="1" outlineLevel="1">
      <c r="A20" s="386" t="s">
        <v>25</v>
      </c>
      <c r="B20" s="386" t="s">
        <v>14</v>
      </c>
      <c r="C20" s="375">
        <v>-26917130.559999999</v>
      </c>
      <c r="D20" s="4"/>
      <c r="E20" s="375">
        <v>-6161603.0599999996</v>
      </c>
      <c r="F20" s="4"/>
      <c r="G20" s="375">
        <v>-1786526.11</v>
      </c>
      <c r="H20" s="375">
        <v>-1882876.72</v>
      </c>
      <c r="I20" s="4"/>
      <c r="J20" s="375">
        <v>-1786526.11</v>
      </c>
      <c r="K20" s="375">
        <v>-1849038.57</v>
      </c>
      <c r="L20" s="4"/>
      <c r="M20" s="375">
        <v>-1786526.11</v>
      </c>
      <c r="N20" s="375">
        <f>-1759270.65-22000</f>
        <v>-1781270.65</v>
      </c>
      <c r="O20" s="4"/>
      <c r="P20" s="375">
        <f t="shared" si="0"/>
        <v>-5359578.33</v>
      </c>
      <c r="Q20" s="375">
        <f t="shared" si="0"/>
        <v>-5513185.9399999995</v>
      </c>
      <c r="R20" s="4"/>
      <c r="S20" s="375">
        <v>-1711722.66</v>
      </c>
      <c r="T20" s="375">
        <v>-1711722.66</v>
      </c>
      <c r="U20" s="4"/>
      <c r="V20" s="375">
        <v>-1691827.66</v>
      </c>
      <c r="W20" s="375">
        <v>-1691827.66</v>
      </c>
      <c r="X20" s="4"/>
      <c r="Y20" s="375">
        <v>-1689201.66</v>
      </c>
      <c r="Z20" s="375">
        <v>-1689201.66</v>
      </c>
      <c r="AA20" s="4"/>
      <c r="AB20" s="375">
        <f t="shared" ref="AB20:AB27" si="10">+T20+V20+Y20</f>
        <v>-5092751.9799999995</v>
      </c>
      <c r="AC20" s="375">
        <f t="shared" ref="AC20:AC27" si="11">+T20+W20+Z20</f>
        <v>-5092751.9799999995</v>
      </c>
      <c r="AD20" s="402"/>
      <c r="AE20" s="375">
        <f>+Q20+AB20</f>
        <v>-10605937.919999998</v>
      </c>
      <c r="AF20" s="375">
        <f t="shared" ref="AF20:AF27" si="12">+AC20+Q20</f>
        <v>-10605937.919999998</v>
      </c>
      <c r="AG20" s="4"/>
      <c r="AH20" s="375">
        <v>-1723680.66</v>
      </c>
      <c r="AI20" s="375">
        <v>-1723680.66</v>
      </c>
      <c r="AJ20" s="4"/>
      <c r="AK20" s="375">
        <v>-1694404.21</v>
      </c>
      <c r="AL20" s="375">
        <v>-1694404.21</v>
      </c>
      <c r="AM20" s="4"/>
      <c r="AN20" s="375">
        <v>-1724817.21</v>
      </c>
      <c r="AO20" s="375">
        <v>-1724817.21</v>
      </c>
      <c r="AP20" s="4"/>
      <c r="AQ20" s="375">
        <f t="shared" ref="AQ20:AR27" si="13">AN20+AK20+AH20</f>
        <v>-5142902.08</v>
      </c>
      <c r="AR20" s="375">
        <f t="shared" si="13"/>
        <v>-5142902.08</v>
      </c>
      <c r="AS20" s="4"/>
      <c r="AT20" s="375">
        <f>+AF20+AR20</f>
        <v>-15748839.999999998</v>
      </c>
      <c r="AU20" s="4"/>
      <c r="AV20" s="375">
        <v>-1573111.2852171804</v>
      </c>
      <c r="AW20" s="375">
        <v>-1664245.46</v>
      </c>
      <c r="AX20" s="4"/>
      <c r="AY20" s="375">
        <v>-1598189.9892866141</v>
      </c>
      <c r="AZ20" s="375">
        <v>-1626449.44</v>
      </c>
      <c r="BA20" s="4"/>
      <c r="BB20" s="375">
        <v>-1590535.8583613986</v>
      </c>
      <c r="BC20" s="375">
        <v>-1638996.12</v>
      </c>
      <c r="BD20" s="4"/>
      <c r="BE20" s="375">
        <f t="shared" ref="BE20:BF27" si="14">BB20+AY20+AV20</f>
        <v>-4761837.1328651924</v>
      </c>
      <c r="BF20" s="375">
        <f t="shared" si="14"/>
        <v>-4929691.0199999996</v>
      </c>
      <c r="BG20" s="402"/>
      <c r="BH20" s="375">
        <f t="shared" ref="BH20:BH27" si="15">Q20+AB20+AQ20+BE20</f>
        <v>-20510677.132865191</v>
      </c>
      <c r="BI20" s="388">
        <f t="shared" ref="BI20:BI27" si="16">Q20+AC20+AR20+BF20</f>
        <v>-20678531.019999996</v>
      </c>
      <c r="BJ20" s="4"/>
      <c r="BK20" s="386" t="s">
        <v>25</v>
      </c>
      <c r="BL20" s="386" t="s">
        <v>14</v>
      </c>
      <c r="BM20" s="375">
        <v>-33164963.674800005</v>
      </c>
      <c r="BN20" s="282"/>
    </row>
    <row r="21" spans="1:66" hidden="1" outlineLevel="1">
      <c r="A21" s="386" t="s">
        <v>25</v>
      </c>
      <c r="B21" s="386" t="s">
        <v>26</v>
      </c>
      <c r="C21" s="375">
        <v>-6283593.0800000001</v>
      </c>
      <c r="D21" s="4"/>
      <c r="E21" s="375">
        <v>-1540262.27</v>
      </c>
      <c r="F21" s="4"/>
      <c r="G21" s="375">
        <v>-547274.31999999995</v>
      </c>
      <c r="H21" s="375">
        <v>-323545.34000000003</v>
      </c>
      <c r="I21" s="4"/>
      <c r="J21" s="375">
        <v>-547274.31999999995</v>
      </c>
      <c r="K21" s="375">
        <v>-295414.95</v>
      </c>
      <c r="L21" s="4"/>
      <c r="M21" s="375">
        <v>-547274.31999999995</v>
      </c>
      <c r="N21" s="375">
        <v>-339529.35</v>
      </c>
      <c r="O21" s="4"/>
      <c r="P21" s="375">
        <f t="shared" si="0"/>
        <v>-1641822.96</v>
      </c>
      <c r="Q21" s="375">
        <f t="shared" si="0"/>
        <v>-958489.64</v>
      </c>
      <c r="R21" s="4"/>
      <c r="S21" s="375">
        <v>-291177.14</v>
      </c>
      <c r="T21" s="375">
        <v>-291177.14</v>
      </c>
      <c r="U21" s="4"/>
      <c r="V21" s="375">
        <v>-290877.49</v>
      </c>
      <c r="W21" s="375">
        <v>-290877.49</v>
      </c>
      <c r="X21" s="4"/>
      <c r="Y21" s="375">
        <v>-295861.40999999997</v>
      </c>
      <c r="Z21" s="375">
        <v>-295861.40999999997</v>
      </c>
      <c r="AA21" s="4"/>
      <c r="AB21" s="375">
        <f t="shared" si="10"/>
        <v>-877916.04</v>
      </c>
      <c r="AC21" s="375">
        <f t="shared" si="11"/>
        <v>-877916.04</v>
      </c>
      <c r="AD21" s="402"/>
      <c r="AE21" s="375">
        <f>+Q21+AB21</f>
        <v>-1836405.6800000002</v>
      </c>
      <c r="AF21" s="375">
        <f t="shared" si="12"/>
        <v>-1836405.6800000002</v>
      </c>
      <c r="AG21" s="4"/>
      <c r="AH21" s="375">
        <v>-576026.48</v>
      </c>
      <c r="AI21" s="375">
        <v>-576026.48</v>
      </c>
      <c r="AJ21" s="4"/>
      <c r="AK21" s="375">
        <v>-17801.84</v>
      </c>
      <c r="AL21" s="375">
        <v>-17801.84</v>
      </c>
      <c r="AM21" s="4"/>
      <c r="AN21" s="375">
        <v>-302565.01</v>
      </c>
      <c r="AO21" s="375">
        <v>-302565.01</v>
      </c>
      <c r="AP21" s="4"/>
      <c r="AQ21" s="375">
        <f t="shared" si="13"/>
        <v>-896393.33000000007</v>
      </c>
      <c r="AR21" s="375">
        <f t="shared" si="13"/>
        <v>-896393.33000000007</v>
      </c>
      <c r="AS21" s="4"/>
      <c r="AT21" s="375">
        <f>+AF21+AR21</f>
        <v>-2732799.0100000002</v>
      </c>
      <c r="AU21" s="4"/>
      <c r="AV21" s="375">
        <v>-481898.02773246809</v>
      </c>
      <c r="AW21" s="375">
        <v>-283591.65999999997</v>
      </c>
      <c r="AX21" s="4"/>
      <c r="AY21" s="375">
        <v>-489580.49631731323</v>
      </c>
      <c r="AZ21" s="375">
        <v>-288871.01</v>
      </c>
      <c r="BA21" s="4"/>
      <c r="BB21" s="375">
        <v>-487235.7730726648</v>
      </c>
      <c r="BC21" s="375">
        <v>-287761.45</v>
      </c>
      <c r="BD21" s="4"/>
      <c r="BE21" s="375">
        <f t="shared" si="14"/>
        <v>-1458714.2971224461</v>
      </c>
      <c r="BF21" s="375">
        <f t="shared" si="14"/>
        <v>-860224.11999999988</v>
      </c>
      <c r="BG21" s="402"/>
      <c r="BH21" s="375">
        <f t="shared" si="15"/>
        <v>-4191513.3071224466</v>
      </c>
      <c r="BI21" s="388">
        <f t="shared" si="16"/>
        <v>-3593023.13</v>
      </c>
      <c r="BJ21" s="4"/>
      <c r="BK21" s="386" t="s">
        <v>25</v>
      </c>
      <c r="BL21" s="386" t="s">
        <v>26</v>
      </c>
      <c r="BM21" s="375">
        <v>-4380278.2212000014</v>
      </c>
      <c r="BN21" s="282"/>
    </row>
    <row r="22" spans="1:66" hidden="1" outlineLevel="1">
      <c r="A22" s="386" t="s">
        <v>25</v>
      </c>
      <c r="B22" s="386" t="s">
        <v>19</v>
      </c>
      <c r="C22" s="375">
        <v>0</v>
      </c>
      <c r="D22" s="4"/>
      <c r="E22" s="375">
        <v>0</v>
      </c>
      <c r="F22" s="4"/>
      <c r="G22" s="375">
        <v>-267900</v>
      </c>
      <c r="H22" s="375"/>
      <c r="I22" s="4"/>
      <c r="J22" s="375">
        <v>-267900</v>
      </c>
      <c r="K22" s="375"/>
      <c r="L22" s="4"/>
      <c r="M22" s="375">
        <v>-267900</v>
      </c>
      <c r="N22" s="375">
        <v>0</v>
      </c>
      <c r="O22" s="4"/>
      <c r="P22" s="375">
        <f t="shared" ref="P22:Q83" si="17">+G22+J22+M22</f>
        <v>-803700</v>
      </c>
      <c r="Q22" s="375">
        <f>+H22+K22+N22</f>
        <v>0</v>
      </c>
      <c r="R22" s="4"/>
      <c r="S22" s="375"/>
      <c r="T22" s="375"/>
      <c r="U22" s="4"/>
      <c r="V22" s="375"/>
      <c r="W22" s="375"/>
      <c r="X22" s="4"/>
      <c r="Y22" s="375">
        <v>0</v>
      </c>
      <c r="Z22" s="375"/>
      <c r="AA22" s="4"/>
      <c r="AB22" s="375">
        <f t="shared" si="10"/>
        <v>0</v>
      </c>
      <c r="AC22" s="375">
        <f t="shared" si="11"/>
        <v>0</v>
      </c>
      <c r="AD22" s="402"/>
      <c r="AE22" s="375">
        <f t="shared" ref="AE22:AE27" si="18">+Q22+AB22</f>
        <v>0</v>
      </c>
      <c r="AF22" s="375">
        <f t="shared" si="12"/>
        <v>0</v>
      </c>
      <c r="AG22" s="4"/>
      <c r="AH22" s="375"/>
      <c r="AI22" s="375"/>
      <c r="AJ22" s="4"/>
      <c r="AK22" s="375"/>
      <c r="AL22" s="375"/>
      <c r="AM22" s="4"/>
      <c r="AN22" s="375"/>
      <c r="AO22" s="375"/>
      <c r="AP22" s="4"/>
      <c r="AQ22" s="375">
        <f t="shared" si="13"/>
        <v>0</v>
      </c>
      <c r="AR22" s="375">
        <f t="shared" si="13"/>
        <v>0</v>
      </c>
      <c r="AS22" s="4"/>
      <c r="AT22" s="375">
        <f>+AF22+AR22</f>
        <v>0</v>
      </c>
      <c r="AU22" s="4"/>
      <c r="AV22" s="375">
        <v>-208717.62824224072</v>
      </c>
      <c r="AW22" s="375"/>
      <c r="AX22" s="4"/>
      <c r="AY22" s="375">
        <v>-210116.71660728345</v>
      </c>
      <c r="AZ22" s="375"/>
      <c r="BA22" s="4"/>
      <c r="BB22" s="375">
        <v>-467606.16616480326</v>
      </c>
      <c r="BC22" s="375"/>
      <c r="BD22" s="4"/>
      <c r="BE22" s="375">
        <f t="shared" si="14"/>
        <v>-886440.51101432741</v>
      </c>
      <c r="BF22" s="375">
        <f t="shared" si="14"/>
        <v>0</v>
      </c>
      <c r="BG22" s="402"/>
      <c r="BH22" s="375">
        <f t="shared" si="15"/>
        <v>-886440.51101432741</v>
      </c>
      <c r="BI22" s="388">
        <f t="shared" si="16"/>
        <v>0</v>
      </c>
      <c r="BJ22" s="4"/>
      <c r="BK22" s="386" t="s">
        <v>25</v>
      </c>
      <c r="BL22" s="386" t="s">
        <v>19</v>
      </c>
      <c r="BM22" s="375">
        <v>0</v>
      </c>
      <c r="BN22" s="282"/>
    </row>
    <row r="23" spans="1:66" hidden="1" outlineLevel="1">
      <c r="A23" s="386" t="s">
        <v>25</v>
      </c>
      <c r="B23" s="386" t="s">
        <v>27</v>
      </c>
      <c r="C23" s="375">
        <v>0</v>
      </c>
      <c r="D23" s="4"/>
      <c r="E23" s="375">
        <v>0</v>
      </c>
      <c r="F23" s="4"/>
      <c r="G23" s="375"/>
      <c r="H23" s="375"/>
      <c r="I23" s="4"/>
      <c r="J23" s="375"/>
      <c r="K23" s="375"/>
      <c r="L23" s="4"/>
      <c r="M23" s="375"/>
      <c r="N23" s="375">
        <v>0</v>
      </c>
      <c r="O23" s="4"/>
      <c r="P23" s="375">
        <f t="shared" si="17"/>
        <v>0</v>
      </c>
      <c r="Q23" s="375">
        <f t="shared" si="17"/>
        <v>0</v>
      </c>
      <c r="R23" s="4"/>
      <c r="S23" s="375"/>
      <c r="T23" s="375"/>
      <c r="U23" s="4"/>
      <c r="V23" s="375"/>
      <c r="W23" s="375"/>
      <c r="X23" s="4"/>
      <c r="Y23" s="375"/>
      <c r="Z23" s="375"/>
      <c r="AA23" s="4"/>
      <c r="AB23" s="375">
        <f t="shared" si="10"/>
        <v>0</v>
      </c>
      <c r="AC23" s="375">
        <f t="shared" si="11"/>
        <v>0</v>
      </c>
      <c r="AD23" s="402"/>
      <c r="AE23" s="375">
        <f t="shared" si="18"/>
        <v>0</v>
      </c>
      <c r="AF23" s="375">
        <f t="shared" si="12"/>
        <v>0</v>
      </c>
      <c r="AG23" s="4"/>
      <c r="AH23" s="375"/>
      <c r="AI23" s="375"/>
      <c r="AJ23" s="4"/>
      <c r="AK23" s="375"/>
      <c r="AL23" s="375"/>
      <c r="AM23" s="4"/>
      <c r="AN23" s="375"/>
      <c r="AO23" s="375"/>
      <c r="AP23" s="4"/>
      <c r="AQ23" s="375">
        <f t="shared" si="13"/>
        <v>0</v>
      </c>
      <c r="AR23" s="375">
        <f t="shared" si="13"/>
        <v>0</v>
      </c>
      <c r="AS23" s="4"/>
      <c r="AT23" s="375">
        <f>+AF23+AR23</f>
        <v>0</v>
      </c>
      <c r="AU23" s="4"/>
      <c r="AV23" s="375"/>
      <c r="AW23" s="375"/>
      <c r="AX23" s="4"/>
      <c r="AY23" s="375"/>
      <c r="AZ23" s="375"/>
      <c r="BA23" s="4"/>
      <c r="BB23" s="375"/>
      <c r="BC23" s="375"/>
      <c r="BD23" s="4"/>
      <c r="BE23" s="375">
        <f t="shared" si="14"/>
        <v>0</v>
      </c>
      <c r="BF23" s="375">
        <f t="shared" si="14"/>
        <v>0</v>
      </c>
      <c r="BG23" s="402"/>
      <c r="BH23" s="375">
        <f t="shared" si="15"/>
        <v>0</v>
      </c>
      <c r="BI23" s="388">
        <f t="shared" si="16"/>
        <v>0</v>
      </c>
      <c r="BJ23" s="4"/>
      <c r="BK23" s="386" t="s">
        <v>25</v>
      </c>
      <c r="BL23" s="386" t="s">
        <v>27</v>
      </c>
      <c r="BM23" s="375">
        <v>0</v>
      </c>
      <c r="BN23" s="282"/>
    </row>
    <row r="24" spans="1:66" hidden="1" outlineLevel="1">
      <c r="A24" s="386" t="s">
        <v>25</v>
      </c>
      <c r="B24" s="386" t="s">
        <v>28</v>
      </c>
      <c r="C24" s="375">
        <v>0</v>
      </c>
      <c r="D24" s="4"/>
      <c r="E24" s="375">
        <v>0</v>
      </c>
      <c r="F24" s="4"/>
      <c r="G24" s="375"/>
      <c r="H24" s="375"/>
      <c r="I24" s="4"/>
      <c r="J24" s="375"/>
      <c r="K24" s="375"/>
      <c r="L24" s="4"/>
      <c r="M24" s="375"/>
      <c r="N24" s="375">
        <v>0</v>
      </c>
      <c r="O24" s="4"/>
      <c r="P24" s="375">
        <f t="shared" si="17"/>
        <v>0</v>
      </c>
      <c r="Q24" s="375">
        <f t="shared" si="17"/>
        <v>0</v>
      </c>
      <c r="R24" s="4"/>
      <c r="S24" s="375"/>
      <c r="T24" s="375"/>
      <c r="U24" s="4"/>
      <c r="V24" s="375"/>
      <c r="W24" s="375"/>
      <c r="X24" s="4"/>
      <c r="Y24" s="375"/>
      <c r="Z24" s="375"/>
      <c r="AA24" s="4"/>
      <c r="AB24" s="375">
        <f t="shared" si="10"/>
        <v>0</v>
      </c>
      <c r="AC24" s="375">
        <f t="shared" si="11"/>
        <v>0</v>
      </c>
      <c r="AD24" s="402"/>
      <c r="AE24" s="375">
        <f t="shared" si="18"/>
        <v>0</v>
      </c>
      <c r="AF24" s="375">
        <f t="shared" si="12"/>
        <v>0</v>
      </c>
      <c r="AG24" s="4"/>
      <c r="AH24" s="375"/>
      <c r="AI24" s="375"/>
      <c r="AJ24" s="4"/>
      <c r="AK24" s="375"/>
      <c r="AL24" s="375"/>
      <c r="AM24" s="4"/>
      <c r="AN24" s="375"/>
      <c r="AO24" s="375"/>
      <c r="AP24" s="4"/>
      <c r="AQ24" s="375">
        <f t="shared" si="13"/>
        <v>0</v>
      </c>
      <c r="AR24" s="375">
        <f t="shared" si="13"/>
        <v>0</v>
      </c>
      <c r="AS24" s="4"/>
      <c r="AT24" s="375">
        <f>+AF24+AR24</f>
        <v>0</v>
      </c>
      <c r="AU24" s="4"/>
      <c r="AV24" s="375"/>
      <c r="AW24" s="375"/>
      <c r="AX24" s="4"/>
      <c r="AY24" s="375"/>
      <c r="AZ24" s="375"/>
      <c r="BA24" s="4"/>
      <c r="BB24" s="375"/>
      <c r="BC24" s="375"/>
      <c r="BD24" s="4"/>
      <c r="BE24" s="375">
        <f t="shared" si="14"/>
        <v>0</v>
      </c>
      <c r="BF24" s="375">
        <f t="shared" si="14"/>
        <v>0</v>
      </c>
      <c r="BG24" s="402"/>
      <c r="BH24" s="375">
        <f t="shared" si="15"/>
        <v>0</v>
      </c>
      <c r="BI24" s="388">
        <f t="shared" si="16"/>
        <v>0</v>
      </c>
      <c r="BJ24" s="4"/>
      <c r="BK24" s="386" t="s">
        <v>25</v>
      </c>
      <c r="BL24" s="386" t="s">
        <v>28</v>
      </c>
      <c r="BM24" s="375">
        <v>0</v>
      </c>
      <c r="BN24" s="282"/>
    </row>
    <row r="25" spans="1:66" hidden="1" outlineLevel="1">
      <c r="A25" s="386" t="s">
        <v>25</v>
      </c>
      <c r="B25" s="386" t="s">
        <v>20</v>
      </c>
      <c r="C25" s="375">
        <v>0</v>
      </c>
      <c r="D25" s="4"/>
      <c r="E25" s="375">
        <v>0</v>
      </c>
      <c r="F25" s="4"/>
      <c r="G25" s="375"/>
      <c r="H25" s="375"/>
      <c r="I25" s="4"/>
      <c r="J25" s="375"/>
      <c r="K25" s="375"/>
      <c r="L25" s="4"/>
      <c r="M25" s="375"/>
      <c r="N25" s="375">
        <v>0</v>
      </c>
      <c r="O25" s="4"/>
      <c r="P25" s="375">
        <f t="shared" si="17"/>
        <v>0</v>
      </c>
      <c r="Q25" s="375">
        <f t="shared" si="17"/>
        <v>0</v>
      </c>
      <c r="R25" s="4"/>
      <c r="S25" s="375"/>
      <c r="T25" s="375"/>
      <c r="U25" s="4"/>
      <c r="V25" s="375"/>
      <c r="W25" s="375"/>
      <c r="X25" s="4"/>
      <c r="Y25" s="375"/>
      <c r="Z25" s="375"/>
      <c r="AA25" s="4"/>
      <c r="AB25" s="375">
        <f t="shared" si="10"/>
        <v>0</v>
      </c>
      <c r="AC25" s="375">
        <f t="shared" si="11"/>
        <v>0</v>
      </c>
      <c r="AD25" s="402"/>
      <c r="AE25" s="375">
        <f t="shared" si="18"/>
        <v>0</v>
      </c>
      <c r="AF25" s="375">
        <f t="shared" si="12"/>
        <v>0</v>
      </c>
      <c r="AG25" s="4"/>
      <c r="AH25" s="375"/>
      <c r="AI25" s="375"/>
      <c r="AJ25" s="4"/>
      <c r="AK25" s="375"/>
      <c r="AL25" s="375"/>
      <c r="AM25" s="4"/>
      <c r="AN25" s="375"/>
      <c r="AO25" s="375"/>
      <c r="AP25" s="4"/>
      <c r="AQ25" s="375">
        <f t="shared" si="13"/>
        <v>0</v>
      </c>
      <c r="AR25" s="375">
        <f t="shared" si="13"/>
        <v>0</v>
      </c>
      <c r="AS25" s="4"/>
      <c r="AT25" s="375">
        <f t="shared" ref="AT25" si="19">+AF25+AR25</f>
        <v>0</v>
      </c>
      <c r="AU25" s="4"/>
      <c r="AV25" s="375"/>
      <c r="AW25" s="375"/>
      <c r="AX25" s="4"/>
      <c r="AY25" s="375"/>
      <c r="AZ25" s="375"/>
      <c r="BA25" s="4"/>
      <c r="BB25" s="375"/>
      <c r="BC25" s="375"/>
      <c r="BD25" s="4"/>
      <c r="BE25" s="375">
        <f t="shared" si="14"/>
        <v>0</v>
      </c>
      <c r="BF25" s="375">
        <f t="shared" si="14"/>
        <v>0</v>
      </c>
      <c r="BG25" s="402"/>
      <c r="BH25" s="375">
        <f t="shared" si="15"/>
        <v>0</v>
      </c>
      <c r="BI25" s="388">
        <f t="shared" si="16"/>
        <v>0</v>
      </c>
      <c r="BJ25" s="4"/>
      <c r="BK25" s="386" t="s">
        <v>25</v>
      </c>
      <c r="BL25" s="386" t="s">
        <v>20</v>
      </c>
      <c r="BM25" s="375">
        <v>0</v>
      </c>
      <c r="BN25" s="282"/>
    </row>
    <row r="26" spans="1:66" hidden="1" outlineLevel="1">
      <c r="A26" s="386" t="s">
        <v>25</v>
      </c>
      <c r="B26" s="386" t="s">
        <v>29</v>
      </c>
      <c r="C26" s="375">
        <v>0</v>
      </c>
      <c r="D26" s="4"/>
      <c r="E26" s="375">
        <v>0</v>
      </c>
      <c r="F26" s="4"/>
      <c r="G26" s="375"/>
      <c r="H26" s="375"/>
      <c r="I26" s="4"/>
      <c r="J26" s="375"/>
      <c r="K26" s="375"/>
      <c r="L26" s="4"/>
      <c r="M26" s="375"/>
      <c r="N26" s="375">
        <v>0</v>
      </c>
      <c r="O26" s="4"/>
      <c r="P26" s="375">
        <f t="shared" si="17"/>
        <v>0</v>
      </c>
      <c r="Q26" s="375">
        <f t="shared" si="17"/>
        <v>0</v>
      </c>
      <c r="R26" s="4"/>
      <c r="S26" s="375"/>
      <c r="T26" s="375"/>
      <c r="U26" s="4"/>
      <c r="V26" s="375"/>
      <c r="W26" s="375"/>
      <c r="X26" s="4"/>
      <c r="Y26" s="375"/>
      <c r="Z26" s="375"/>
      <c r="AA26" s="4"/>
      <c r="AB26" s="375">
        <f t="shared" si="10"/>
        <v>0</v>
      </c>
      <c r="AC26" s="375">
        <f t="shared" si="11"/>
        <v>0</v>
      </c>
      <c r="AD26" s="402"/>
      <c r="AE26" s="375">
        <f t="shared" si="18"/>
        <v>0</v>
      </c>
      <c r="AF26" s="375">
        <f t="shared" si="12"/>
        <v>0</v>
      </c>
      <c r="AG26" s="4"/>
      <c r="AH26" s="375"/>
      <c r="AI26" s="375"/>
      <c r="AJ26" s="4"/>
      <c r="AK26" s="375"/>
      <c r="AL26" s="375"/>
      <c r="AM26" s="4"/>
      <c r="AN26" s="375"/>
      <c r="AO26" s="375"/>
      <c r="AP26" s="4"/>
      <c r="AQ26" s="375">
        <f t="shared" si="13"/>
        <v>0</v>
      </c>
      <c r="AR26" s="375">
        <f t="shared" si="13"/>
        <v>0</v>
      </c>
      <c r="AS26" s="4"/>
      <c r="AT26" s="375">
        <f>+AF26+AR26</f>
        <v>0</v>
      </c>
      <c r="AU26" s="4"/>
      <c r="AV26" s="375"/>
      <c r="AW26" s="375"/>
      <c r="AX26" s="4"/>
      <c r="AY26" s="375"/>
      <c r="AZ26" s="375"/>
      <c r="BA26" s="4"/>
      <c r="BB26" s="375"/>
      <c r="BC26" s="375"/>
      <c r="BD26" s="4"/>
      <c r="BE26" s="375">
        <f t="shared" si="14"/>
        <v>0</v>
      </c>
      <c r="BF26" s="375">
        <f t="shared" si="14"/>
        <v>0</v>
      </c>
      <c r="BG26" s="402"/>
      <c r="BH26" s="375">
        <f t="shared" si="15"/>
        <v>0</v>
      </c>
      <c r="BI26" s="388">
        <f t="shared" si="16"/>
        <v>0</v>
      </c>
      <c r="BJ26" s="4"/>
      <c r="BK26" s="386" t="s">
        <v>25</v>
      </c>
      <c r="BL26" s="386" t="s">
        <v>29</v>
      </c>
      <c r="BM26" s="375">
        <v>0</v>
      </c>
      <c r="BN26" s="282"/>
    </row>
    <row r="27" spans="1:66" hidden="1" outlineLevel="1">
      <c r="A27" s="386" t="s">
        <v>25</v>
      </c>
      <c r="B27" s="386" t="s">
        <v>30</v>
      </c>
      <c r="C27" s="375">
        <v>-12214858.800000001</v>
      </c>
      <c r="D27" s="4"/>
      <c r="E27" s="375">
        <v>-1929595.77</v>
      </c>
      <c r="F27" s="4"/>
      <c r="G27" s="375">
        <v>-385000</v>
      </c>
      <c r="H27" s="375">
        <v>-377140</v>
      </c>
      <c r="I27" s="4"/>
      <c r="J27" s="375">
        <v>-385000</v>
      </c>
      <c r="K27" s="375">
        <v>-376800</v>
      </c>
      <c r="L27" s="4"/>
      <c r="M27" s="375">
        <v>-385000</v>
      </c>
      <c r="N27" s="375">
        <v>-635840.01</v>
      </c>
      <c r="O27" s="4"/>
      <c r="P27" s="375">
        <f t="shared" si="17"/>
        <v>-1155000</v>
      </c>
      <c r="Q27" s="375">
        <f>+H27+K27+N27</f>
        <v>-1389780.01</v>
      </c>
      <c r="R27" s="4"/>
      <c r="S27" s="375">
        <v>-505600</v>
      </c>
      <c r="T27" s="375">
        <v>-505600</v>
      </c>
      <c r="U27" s="4"/>
      <c r="V27" s="375">
        <v>-631120</v>
      </c>
      <c r="W27" s="375">
        <v>-631120</v>
      </c>
      <c r="X27" s="4"/>
      <c r="Y27" s="375">
        <v>-506320</v>
      </c>
      <c r="Z27" s="375">
        <v>-506320</v>
      </c>
      <c r="AA27" s="4"/>
      <c r="AB27" s="375">
        <f t="shared" si="10"/>
        <v>-1643040</v>
      </c>
      <c r="AC27" s="375">
        <f t="shared" si="11"/>
        <v>-1643040</v>
      </c>
      <c r="AD27" s="402"/>
      <c r="AE27" s="375">
        <f t="shared" si="18"/>
        <v>-3032820.01</v>
      </c>
      <c r="AF27" s="375">
        <f t="shared" si="12"/>
        <v>-3032820.01</v>
      </c>
      <c r="AG27" s="4"/>
      <c r="AH27" s="375">
        <v>-506320</v>
      </c>
      <c r="AI27" s="375">
        <v>-506320</v>
      </c>
      <c r="AJ27" s="4"/>
      <c r="AK27" s="375">
        <v>3413760.01</v>
      </c>
      <c r="AL27" s="375">
        <v>3413760.01</v>
      </c>
      <c r="AM27" s="4"/>
      <c r="AN27" s="375"/>
      <c r="AO27" s="375"/>
      <c r="AP27" s="4"/>
      <c r="AQ27" s="375">
        <f t="shared" si="13"/>
        <v>2907440.01</v>
      </c>
      <c r="AR27" s="375">
        <f t="shared" si="13"/>
        <v>2907440.01</v>
      </c>
      <c r="AS27" s="4"/>
      <c r="AT27" s="375">
        <f>+AF27+AR27</f>
        <v>-125380</v>
      </c>
      <c r="AU27" s="4"/>
      <c r="AV27" s="375">
        <v>0</v>
      </c>
      <c r="AW27" s="375"/>
      <c r="AX27" s="4"/>
      <c r="AY27" s="375"/>
      <c r="AZ27" s="375"/>
      <c r="BA27" s="4"/>
      <c r="BB27" s="375">
        <v>-582833.82999999996</v>
      </c>
      <c r="BC27" s="375"/>
      <c r="BD27" s="4"/>
      <c r="BE27" s="375">
        <f t="shared" si="14"/>
        <v>-582833.82999999996</v>
      </c>
      <c r="BF27" s="375">
        <f t="shared" si="14"/>
        <v>0</v>
      </c>
      <c r="BG27" s="402"/>
      <c r="BH27" s="375">
        <f t="shared" si="15"/>
        <v>-708213.83</v>
      </c>
      <c r="BI27" s="388">
        <f t="shared" si="16"/>
        <v>-125380</v>
      </c>
      <c r="BJ27" s="4"/>
      <c r="BK27" s="386" t="s">
        <v>25</v>
      </c>
      <c r="BL27" s="386" t="s">
        <v>30</v>
      </c>
      <c r="BM27" s="375">
        <v>0</v>
      </c>
      <c r="BN27" s="282"/>
    </row>
    <row r="28" spans="1:66" collapsed="1">
      <c r="A28" s="386" t="s">
        <v>25</v>
      </c>
      <c r="B28" s="386"/>
      <c r="C28" s="389">
        <f>SUM(C20:C27)</f>
        <v>-45415582.439999998</v>
      </c>
      <c r="D28" s="4"/>
      <c r="E28" s="389">
        <f>SUM(E20:E27)</f>
        <v>-9631461.0999999996</v>
      </c>
      <c r="F28" s="4"/>
      <c r="G28" s="389">
        <f>SUM(G20:G27)</f>
        <v>-2986700.43</v>
      </c>
      <c r="H28" s="389">
        <f>SUM(H20:H27)</f>
        <v>-2583562.06</v>
      </c>
      <c r="I28" s="4"/>
      <c r="J28" s="389">
        <f>SUM(J20:J27)</f>
        <v>-2986700.43</v>
      </c>
      <c r="K28" s="389">
        <f>SUM(K20:K27)</f>
        <v>-2521253.52</v>
      </c>
      <c r="L28" s="4"/>
      <c r="M28" s="389">
        <f>SUM(M20:M27)</f>
        <v>-2986700.43</v>
      </c>
      <c r="N28" s="389">
        <f>SUM(N20:N27)</f>
        <v>-2756640.01</v>
      </c>
      <c r="O28" s="4"/>
      <c r="P28" s="389">
        <f>+G28+J28+M28</f>
        <v>-8960101.290000001</v>
      </c>
      <c r="Q28" s="389">
        <f>+H28+K28+N28</f>
        <v>-7861455.5899999999</v>
      </c>
      <c r="R28" s="4"/>
      <c r="S28" s="389">
        <f>SUM(S20:S27)</f>
        <v>-2508499.7999999998</v>
      </c>
      <c r="T28" s="389">
        <f>SUM(T20:T27)</f>
        <v>-2508499.7999999998</v>
      </c>
      <c r="U28" s="4"/>
      <c r="V28" s="389">
        <f>SUM(V20:V27)</f>
        <v>-2613825.15</v>
      </c>
      <c r="W28" s="389">
        <f>SUM(W20:W27)</f>
        <v>-2613825.15</v>
      </c>
      <c r="X28" s="4"/>
      <c r="Y28" s="389">
        <f>SUM(Y20:Y27)</f>
        <v>-2491383.0699999998</v>
      </c>
      <c r="Z28" s="389">
        <f>SUM(Z20:Z27)</f>
        <v>-2491383.0699999998</v>
      </c>
      <c r="AA28" s="4"/>
      <c r="AB28" s="389">
        <f>SUM(AB20:AB27)</f>
        <v>-7613708.0199999996</v>
      </c>
      <c r="AC28" s="389">
        <f>SUM(AC20:AC27)</f>
        <v>-7613708.0199999996</v>
      </c>
      <c r="AD28" s="402"/>
      <c r="AE28" s="389">
        <f>SUM(AE20:AE27)</f>
        <v>-15475163.609999998</v>
      </c>
      <c r="AF28" s="389">
        <f>SUM(AF20:AF27)</f>
        <v>-15475163.609999998</v>
      </c>
      <c r="AG28" s="4"/>
      <c r="AH28" s="389">
        <f>SUM(AH20:AH27)</f>
        <v>-2806027.1399999997</v>
      </c>
      <c r="AI28" s="389">
        <f>SUM(AI20:AI27)</f>
        <v>-2806027.1399999997</v>
      </c>
      <c r="AJ28" s="4"/>
      <c r="AK28" s="389">
        <f>SUM(AK20:AK27)</f>
        <v>1701553.9599999997</v>
      </c>
      <c r="AL28" s="389">
        <f>SUM(AL20:AL27)</f>
        <v>1701553.9599999997</v>
      </c>
      <c r="AM28" s="4"/>
      <c r="AN28" s="389">
        <f>SUM(AN20:AN27)</f>
        <v>-2027382.22</v>
      </c>
      <c r="AO28" s="389">
        <f>SUM(AO20:AO27)</f>
        <v>-2027382.22</v>
      </c>
      <c r="AP28" s="4"/>
      <c r="AQ28" s="389">
        <f>SUM(AQ20:AQ27)</f>
        <v>-3131855.4000000004</v>
      </c>
      <c r="AR28" s="389">
        <f>SUM(AR20:AR27)</f>
        <v>-3131855.4000000004</v>
      </c>
      <c r="AS28" s="4"/>
      <c r="AT28" s="389">
        <f>SUM(AT20:AT27)</f>
        <v>-18607019.009999998</v>
      </c>
      <c r="AU28" s="4"/>
      <c r="AV28" s="389">
        <f>SUM(AV20:AV27)</f>
        <v>-2263726.9411918893</v>
      </c>
      <c r="AW28" s="389">
        <f>SUM(AW20:AW27)</f>
        <v>-1947837.1199999999</v>
      </c>
      <c r="AX28" s="4"/>
      <c r="AY28" s="389">
        <f>SUM(AY20:AY27)</f>
        <v>-2297887.202211211</v>
      </c>
      <c r="AZ28" s="389">
        <f>SUM(AZ20:AZ27)</f>
        <v>-1915320.45</v>
      </c>
      <c r="BA28" s="4"/>
      <c r="BB28" s="389">
        <f>SUM(BB20:BB27)</f>
        <v>-3128211.6275988668</v>
      </c>
      <c r="BC28" s="389">
        <f>SUM(BC20:BC27)</f>
        <v>-1926757.57</v>
      </c>
      <c r="BD28" s="4"/>
      <c r="BE28" s="389">
        <f>SUM(BE20:BE27)</f>
        <v>-7689825.7710019657</v>
      </c>
      <c r="BF28" s="389">
        <f>SUM(BF20:BF27)</f>
        <v>-5789915.1399999997</v>
      </c>
      <c r="BG28" s="402"/>
      <c r="BH28" s="389">
        <f>SUM(BH20:BH27)</f>
        <v>-26296844.781001963</v>
      </c>
      <c r="BI28" s="389">
        <f>SUM(BI20:BI27)</f>
        <v>-24396934.149999995</v>
      </c>
      <c r="BJ28" s="4"/>
      <c r="BK28" s="386" t="s">
        <v>25</v>
      </c>
      <c r="BL28" s="386"/>
      <c r="BM28" s="389">
        <v>-37545241.896000005</v>
      </c>
      <c r="BN28" s="282"/>
    </row>
    <row r="29" spans="1:66">
      <c r="A29" s="8" t="s">
        <v>31</v>
      </c>
      <c r="B29" s="8" t="s">
        <v>32</v>
      </c>
      <c r="C29" s="9">
        <f>C19+C28</f>
        <v>-25420166.140000001</v>
      </c>
      <c r="D29" s="11">
        <f>+C29/C8</f>
        <v>-0.20825617574376784</v>
      </c>
      <c r="E29" s="9">
        <f>E19+E28</f>
        <v>-1924228.1099999975</v>
      </c>
      <c r="F29" s="11">
        <f>+E29/E8</f>
        <v>-4.7422542962041007E-2</v>
      </c>
      <c r="G29" s="9">
        <f>G19+G28</f>
        <v>-3241283.226666668</v>
      </c>
      <c r="H29" s="9">
        <f>H19+H28</f>
        <v>1519079.4600000004</v>
      </c>
      <c r="I29" s="10"/>
      <c r="J29" s="9">
        <f>J19+J28</f>
        <v>-6278692.1966666635</v>
      </c>
      <c r="K29" s="9">
        <f>K19+K28</f>
        <v>-2810743.5199999991</v>
      </c>
      <c r="L29" s="4"/>
      <c r="M29" s="9">
        <f>M19+M28</f>
        <v>2392529.433333335</v>
      </c>
      <c r="N29" s="9">
        <f>N19+N28</f>
        <v>4619981.9399999995</v>
      </c>
      <c r="O29" s="4"/>
      <c r="P29" s="9">
        <f>+G29+J29+M29</f>
        <v>-7127445.9899999965</v>
      </c>
      <c r="Q29" s="9">
        <f>+H29+K29+N29</f>
        <v>3328317.8800000008</v>
      </c>
      <c r="R29" s="11">
        <f>+Q29/Q8</f>
        <v>9.1517564620937908E-2</v>
      </c>
      <c r="S29" s="9">
        <f>S19+S28</f>
        <v>1286189.8400000008</v>
      </c>
      <c r="T29" s="9">
        <f>T19+T28</f>
        <v>1286189.8400000008</v>
      </c>
      <c r="U29" s="11">
        <f>+T29/T8</f>
        <v>0.12336233693472172</v>
      </c>
      <c r="V29" s="9">
        <f>V19+V28</f>
        <v>-1629096.7399999998</v>
      </c>
      <c r="W29" s="9">
        <f>W19+W28</f>
        <v>-1619569.1199999987</v>
      </c>
      <c r="X29" s="11">
        <f>+W29/W8</f>
        <v>-0.14369912153568593</v>
      </c>
      <c r="Y29" s="9">
        <f>Y19+Y28</f>
        <v>5844545.5499999989</v>
      </c>
      <c r="Z29" s="9">
        <f>Z19+Z28</f>
        <v>5835167.9299999997</v>
      </c>
      <c r="AA29" s="11">
        <f>+Z29/Z8</f>
        <v>0.3791368273995343</v>
      </c>
      <c r="AB29" s="9">
        <f>AB19+AB28</f>
        <v>5501638.6500000022</v>
      </c>
      <c r="AC29" s="9">
        <f>AC19+AC28</f>
        <v>5501788.6500000022</v>
      </c>
      <c r="AD29" s="405">
        <f>+AC29/AC8</f>
        <v>0.14834682643679623</v>
      </c>
      <c r="AE29" s="9">
        <f>AE19+AE28</f>
        <v>8829956.5300000031</v>
      </c>
      <c r="AF29" s="9">
        <f>AF19+AF28</f>
        <v>8830106.5300000031</v>
      </c>
      <c r="AG29" s="11">
        <f>+AF29/AF8</f>
        <v>0.12021042520345437</v>
      </c>
      <c r="AH29" s="9">
        <f>AH19+AH28</f>
        <v>-5314874.92</v>
      </c>
      <c r="AI29" s="9">
        <f>AI19+AI28</f>
        <v>-5314874.92</v>
      </c>
      <c r="AJ29" s="11">
        <f>+AI29/AI8</f>
        <v>-0.89266933423367578</v>
      </c>
      <c r="AK29" s="9">
        <f>AK19+AK28</f>
        <v>2026686.7999999996</v>
      </c>
      <c r="AL29" s="9">
        <f>AL19+AL28</f>
        <v>2026686.7999999996</v>
      </c>
      <c r="AM29" s="11">
        <f>+AL29/AL8</f>
        <v>0.29089653703882612</v>
      </c>
      <c r="AN29" s="9">
        <f>AN19+AN28</f>
        <v>10941168.719999999</v>
      </c>
      <c r="AO29" s="9">
        <f>AO19+AO28</f>
        <v>10941168.719999999</v>
      </c>
      <c r="AP29" s="11">
        <f>+AO29/AO8</f>
        <v>0.79852675319357258</v>
      </c>
      <c r="AQ29" s="9">
        <f>AQ19+AQ28</f>
        <v>7652980.5999999959</v>
      </c>
      <c r="AR29" s="9">
        <f>AR19+AR28</f>
        <v>7652980.5999999959</v>
      </c>
      <c r="AS29" s="11">
        <f>+AR29/AR8</f>
        <v>0.28746134757708647</v>
      </c>
      <c r="AT29" s="9">
        <f>AT19+AT28</f>
        <v>16483087.12999998</v>
      </c>
      <c r="AU29" s="11">
        <f>+AT29/AT8</f>
        <v>0.1647023112310049</v>
      </c>
      <c r="AV29" s="9">
        <f>AV19+AV28</f>
        <v>-4938751.3627452347</v>
      </c>
      <c r="AW29" s="9">
        <f>AW19+AW28</f>
        <v>-10121923.029999997</v>
      </c>
      <c r="AX29" s="11">
        <f>+AW29/AW8</f>
        <v>-3.1374687196531008</v>
      </c>
      <c r="AY29" s="9">
        <f>AY19+AY28</f>
        <v>2666072.322777689</v>
      </c>
      <c r="AZ29" s="9">
        <f>AZ19+AZ28</f>
        <v>-3395065.7</v>
      </c>
      <c r="BA29" s="11">
        <f>+AZ29/AZ8</f>
        <v>-0.67245406474463298</v>
      </c>
      <c r="BB29" s="9">
        <f>BB19+BB28</f>
        <v>18217177.969293054</v>
      </c>
      <c r="BC29" s="9">
        <f>BC19+BC28</f>
        <v>19286261.75</v>
      </c>
      <c r="BD29" s="11">
        <f>+BC29/BC8</f>
        <v>0.83400935600066206</v>
      </c>
      <c r="BE29" s="9">
        <f>BE19+BE28</f>
        <v>15944498.929325514</v>
      </c>
      <c r="BF29" s="9">
        <f>BF19+BF28</f>
        <v>5769273.0199999968</v>
      </c>
      <c r="BG29" s="405">
        <f>+BF29/BF8</f>
        <v>0.18373675546681617</v>
      </c>
      <c r="BH29" s="9">
        <f>BH19+BH28</f>
        <v>32427436.059325494</v>
      </c>
      <c r="BI29" s="9">
        <f>BI19+BI28</f>
        <v>22252360.149999987</v>
      </c>
      <c r="BJ29" s="11">
        <f>+BI29/BI8</f>
        <v>0.1692481400096453</v>
      </c>
      <c r="BK29" s="8" t="s">
        <v>31</v>
      </c>
      <c r="BL29" s="8" t="s">
        <v>32</v>
      </c>
      <c r="BM29" s="9">
        <f>BM19+BM28</f>
        <v>53639543.040000103</v>
      </c>
      <c r="BN29" s="285">
        <f>+BM29/BM8</f>
        <v>0.18805280951529901</v>
      </c>
    </row>
    <row r="30" spans="1:66" ht="15" hidden="1" customHeight="1" outlineLevel="1">
      <c r="A30" s="386" t="s">
        <v>33</v>
      </c>
      <c r="B30" s="386" t="s">
        <v>14</v>
      </c>
      <c r="C30" s="375">
        <v>0</v>
      </c>
      <c r="D30" s="4"/>
      <c r="E30" s="375">
        <v>0</v>
      </c>
      <c r="F30" s="4"/>
      <c r="G30" s="375"/>
      <c r="H30" s="375"/>
      <c r="I30" s="4"/>
      <c r="J30" s="375"/>
      <c r="K30" s="375"/>
      <c r="L30" s="4"/>
      <c r="M30" s="375"/>
      <c r="N30" s="375">
        <v>0</v>
      </c>
      <c r="O30" s="4"/>
      <c r="P30" s="375">
        <f t="shared" si="17"/>
        <v>0</v>
      </c>
      <c r="Q30" s="375">
        <f t="shared" si="17"/>
        <v>0</v>
      </c>
      <c r="R30" s="4"/>
      <c r="S30" s="375"/>
      <c r="T30" s="375"/>
      <c r="U30" s="4"/>
      <c r="V30" s="375"/>
      <c r="W30" s="375"/>
      <c r="X30" s="4"/>
      <c r="Y30" s="375"/>
      <c r="Z30" s="375"/>
      <c r="AA30" s="4"/>
      <c r="AB30" s="375">
        <f t="shared" ref="AB30:AB94" si="20">+T30+V30+Y30</f>
        <v>0</v>
      </c>
      <c r="AC30" s="375">
        <f t="shared" ref="AC30:AC57" si="21">+T30+W30+Z30</f>
        <v>0</v>
      </c>
      <c r="AD30" s="402"/>
      <c r="AE30" s="375">
        <f t="shared" ref="AE30:AE58" si="22">+Q30+AB30</f>
        <v>0</v>
      </c>
      <c r="AF30" s="375">
        <f t="shared" ref="AF30:AF58" si="23">+AC30+Q30</f>
        <v>0</v>
      </c>
      <c r="AG30" s="4"/>
      <c r="AH30" s="375"/>
      <c r="AI30" s="375"/>
      <c r="AJ30" s="4"/>
      <c r="AK30" s="375"/>
      <c r="AL30" s="375"/>
      <c r="AM30" s="4"/>
      <c r="AN30" s="375"/>
      <c r="AO30" s="375"/>
      <c r="AP30" s="4"/>
      <c r="AQ30" s="375">
        <f t="shared" ref="AQ30:AR46" si="24">AN30+AK30+AH30</f>
        <v>0</v>
      </c>
      <c r="AR30" s="375">
        <f t="shared" si="24"/>
        <v>0</v>
      </c>
      <c r="AS30" s="4"/>
      <c r="AT30" s="375">
        <f t="shared" ref="AT30:AT58" si="25">+AF30+AR30</f>
        <v>0</v>
      </c>
      <c r="AU30" s="4"/>
      <c r="AV30" s="375"/>
      <c r="AW30" s="375"/>
      <c r="AX30" s="4"/>
      <c r="AY30" s="375"/>
      <c r="AZ30" s="375"/>
      <c r="BA30" s="4"/>
      <c r="BB30" s="375"/>
      <c r="BC30" s="375"/>
      <c r="BD30" s="4"/>
      <c r="BE30" s="375">
        <f t="shared" ref="BE30:BF46" si="26">BB30+AY30+AV30</f>
        <v>0</v>
      </c>
      <c r="BF30" s="375">
        <f t="shared" si="26"/>
        <v>0</v>
      </c>
      <c r="BG30" s="402"/>
      <c r="BH30" s="375">
        <f t="shared" ref="BH30:BH46" si="27">Q30+AB30+AQ30+BE30</f>
        <v>0</v>
      </c>
      <c r="BI30" s="388">
        <f t="shared" ref="BI30:BI46" si="28">Q30+AC30+AR30+BF30</f>
        <v>0</v>
      </c>
      <c r="BJ30" s="4"/>
      <c r="BK30" s="386" t="s">
        <v>33</v>
      </c>
      <c r="BL30" s="386" t="s">
        <v>14</v>
      </c>
      <c r="BM30" s="375">
        <v>0</v>
      </c>
      <c r="BN30" s="282"/>
    </row>
    <row r="31" spans="1:66" ht="15" hidden="1" customHeight="1" outlineLevel="1">
      <c r="A31" s="386" t="s">
        <v>33</v>
      </c>
      <c r="B31" s="386" t="s">
        <v>26</v>
      </c>
      <c r="C31" s="375">
        <v>0</v>
      </c>
      <c r="D31" s="4"/>
      <c r="E31" s="375">
        <v>0</v>
      </c>
      <c r="F31" s="4"/>
      <c r="G31" s="375"/>
      <c r="H31" s="375"/>
      <c r="I31" s="4"/>
      <c r="J31" s="375"/>
      <c r="K31" s="375"/>
      <c r="L31" s="4"/>
      <c r="M31" s="375"/>
      <c r="N31" s="375">
        <v>0</v>
      </c>
      <c r="O31" s="4"/>
      <c r="P31" s="375">
        <f t="shared" si="17"/>
        <v>0</v>
      </c>
      <c r="Q31" s="375">
        <f t="shared" si="17"/>
        <v>0</v>
      </c>
      <c r="R31" s="4"/>
      <c r="S31" s="375"/>
      <c r="T31" s="375"/>
      <c r="U31" s="4"/>
      <c r="V31" s="375"/>
      <c r="W31" s="375"/>
      <c r="X31" s="4"/>
      <c r="Y31" s="375"/>
      <c r="Z31" s="375"/>
      <c r="AA31" s="4"/>
      <c r="AB31" s="375">
        <f t="shared" si="20"/>
        <v>0</v>
      </c>
      <c r="AC31" s="375">
        <f t="shared" si="21"/>
        <v>0</v>
      </c>
      <c r="AD31" s="402"/>
      <c r="AE31" s="375">
        <f t="shared" si="22"/>
        <v>0</v>
      </c>
      <c r="AF31" s="375">
        <f t="shared" si="23"/>
        <v>0</v>
      </c>
      <c r="AG31" s="4"/>
      <c r="AH31" s="375"/>
      <c r="AI31" s="375"/>
      <c r="AJ31" s="4"/>
      <c r="AK31" s="375"/>
      <c r="AL31" s="375"/>
      <c r="AM31" s="4"/>
      <c r="AN31" s="375"/>
      <c r="AO31" s="375"/>
      <c r="AP31" s="4"/>
      <c r="AQ31" s="375">
        <f t="shared" si="24"/>
        <v>0</v>
      </c>
      <c r="AR31" s="375">
        <f t="shared" si="24"/>
        <v>0</v>
      </c>
      <c r="AS31" s="4"/>
      <c r="AT31" s="375">
        <f t="shared" si="25"/>
        <v>0</v>
      </c>
      <c r="AU31" s="4"/>
      <c r="AV31" s="375"/>
      <c r="AW31" s="375"/>
      <c r="AX31" s="4"/>
      <c r="AY31" s="375"/>
      <c r="AZ31" s="375"/>
      <c r="BA31" s="4"/>
      <c r="BB31" s="375"/>
      <c r="BC31" s="375"/>
      <c r="BD31" s="4"/>
      <c r="BE31" s="375">
        <f t="shared" si="26"/>
        <v>0</v>
      </c>
      <c r="BF31" s="375">
        <f t="shared" si="26"/>
        <v>0</v>
      </c>
      <c r="BG31" s="402"/>
      <c r="BH31" s="375">
        <f t="shared" si="27"/>
        <v>0</v>
      </c>
      <c r="BI31" s="388">
        <f t="shared" si="28"/>
        <v>0</v>
      </c>
      <c r="BJ31" s="4"/>
      <c r="BK31" s="386" t="s">
        <v>33</v>
      </c>
      <c r="BL31" s="386" t="s">
        <v>26</v>
      </c>
      <c r="BM31" s="375">
        <v>0</v>
      </c>
      <c r="BN31" s="282"/>
    </row>
    <row r="32" spans="1:66" ht="15" hidden="1" customHeight="1" outlineLevel="1">
      <c r="A32" s="386" t="s">
        <v>33</v>
      </c>
      <c r="B32" s="386" t="s">
        <v>27</v>
      </c>
      <c r="C32" s="375">
        <v>0</v>
      </c>
      <c r="D32" s="4"/>
      <c r="E32" s="375">
        <v>0</v>
      </c>
      <c r="F32" s="4"/>
      <c r="G32" s="375"/>
      <c r="H32" s="375"/>
      <c r="I32" s="4"/>
      <c r="J32" s="375"/>
      <c r="K32" s="375"/>
      <c r="L32" s="4"/>
      <c r="M32" s="375"/>
      <c r="N32" s="375">
        <v>0</v>
      </c>
      <c r="O32" s="4"/>
      <c r="P32" s="375">
        <f t="shared" si="17"/>
        <v>0</v>
      </c>
      <c r="Q32" s="375">
        <f t="shared" si="17"/>
        <v>0</v>
      </c>
      <c r="R32" s="4"/>
      <c r="S32" s="375"/>
      <c r="T32" s="375"/>
      <c r="U32" s="4"/>
      <c r="V32" s="375"/>
      <c r="W32" s="375"/>
      <c r="X32" s="4"/>
      <c r="Y32" s="375"/>
      <c r="Z32" s="375"/>
      <c r="AA32" s="4"/>
      <c r="AB32" s="375">
        <f t="shared" si="20"/>
        <v>0</v>
      </c>
      <c r="AC32" s="375">
        <f t="shared" si="21"/>
        <v>0</v>
      </c>
      <c r="AD32" s="402"/>
      <c r="AE32" s="375">
        <f t="shared" si="22"/>
        <v>0</v>
      </c>
      <c r="AF32" s="375">
        <f t="shared" si="23"/>
        <v>0</v>
      </c>
      <c r="AG32" s="4"/>
      <c r="AH32" s="375"/>
      <c r="AI32" s="375"/>
      <c r="AJ32" s="4"/>
      <c r="AK32" s="375"/>
      <c r="AL32" s="375"/>
      <c r="AM32" s="4"/>
      <c r="AN32" s="375"/>
      <c r="AO32" s="375"/>
      <c r="AP32" s="4"/>
      <c r="AQ32" s="375">
        <f t="shared" si="24"/>
        <v>0</v>
      </c>
      <c r="AR32" s="375">
        <f t="shared" si="24"/>
        <v>0</v>
      </c>
      <c r="AS32" s="4"/>
      <c r="AT32" s="375">
        <f t="shared" si="25"/>
        <v>0</v>
      </c>
      <c r="AU32" s="4"/>
      <c r="AV32" s="375"/>
      <c r="AW32" s="375"/>
      <c r="AX32" s="4"/>
      <c r="AY32" s="375"/>
      <c r="AZ32" s="375"/>
      <c r="BA32" s="4"/>
      <c r="BB32" s="375"/>
      <c r="BC32" s="375"/>
      <c r="BD32" s="4"/>
      <c r="BE32" s="375">
        <f t="shared" si="26"/>
        <v>0</v>
      </c>
      <c r="BF32" s="375">
        <f t="shared" si="26"/>
        <v>0</v>
      </c>
      <c r="BG32" s="402"/>
      <c r="BH32" s="375">
        <f t="shared" si="27"/>
        <v>0</v>
      </c>
      <c r="BI32" s="388">
        <f t="shared" si="28"/>
        <v>0</v>
      </c>
      <c r="BJ32" s="4"/>
      <c r="BK32" s="386" t="s">
        <v>33</v>
      </c>
      <c r="BL32" s="386" t="s">
        <v>27</v>
      </c>
      <c r="BM32" s="375">
        <v>0</v>
      </c>
      <c r="BN32" s="282"/>
    </row>
    <row r="33" spans="1:66" ht="15" hidden="1" customHeight="1" outlineLevel="1">
      <c r="A33" s="386" t="s">
        <v>33</v>
      </c>
      <c r="B33" s="386" t="s">
        <v>34</v>
      </c>
      <c r="C33" s="375">
        <v>0</v>
      </c>
      <c r="D33" s="4"/>
      <c r="E33" s="375">
        <v>0</v>
      </c>
      <c r="F33" s="4"/>
      <c r="G33" s="375"/>
      <c r="H33" s="375"/>
      <c r="I33" s="4"/>
      <c r="J33" s="375"/>
      <c r="K33" s="375"/>
      <c r="L33" s="4"/>
      <c r="M33" s="375"/>
      <c r="N33" s="375">
        <v>0</v>
      </c>
      <c r="O33" s="4"/>
      <c r="P33" s="375">
        <f t="shared" si="17"/>
        <v>0</v>
      </c>
      <c r="Q33" s="375">
        <f t="shared" si="17"/>
        <v>0</v>
      </c>
      <c r="R33" s="4"/>
      <c r="S33" s="375"/>
      <c r="T33" s="375"/>
      <c r="U33" s="4"/>
      <c r="V33" s="375"/>
      <c r="W33" s="375"/>
      <c r="X33" s="4"/>
      <c r="Y33" s="375"/>
      <c r="Z33" s="375"/>
      <c r="AA33" s="4"/>
      <c r="AB33" s="375">
        <f t="shared" si="20"/>
        <v>0</v>
      </c>
      <c r="AC33" s="375">
        <f t="shared" si="21"/>
        <v>0</v>
      </c>
      <c r="AD33" s="402"/>
      <c r="AE33" s="375">
        <f t="shared" si="22"/>
        <v>0</v>
      </c>
      <c r="AF33" s="375">
        <f t="shared" si="23"/>
        <v>0</v>
      </c>
      <c r="AG33" s="4"/>
      <c r="AH33" s="375"/>
      <c r="AI33" s="375"/>
      <c r="AJ33" s="4"/>
      <c r="AK33" s="375"/>
      <c r="AL33" s="375"/>
      <c r="AM33" s="4"/>
      <c r="AN33" s="375"/>
      <c r="AO33" s="375"/>
      <c r="AP33" s="4"/>
      <c r="AQ33" s="375">
        <f t="shared" si="24"/>
        <v>0</v>
      </c>
      <c r="AR33" s="375">
        <f t="shared" si="24"/>
        <v>0</v>
      </c>
      <c r="AS33" s="4"/>
      <c r="AT33" s="375">
        <f t="shared" si="25"/>
        <v>0</v>
      </c>
      <c r="AU33" s="4"/>
      <c r="AV33" s="375"/>
      <c r="AW33" s="375"/>
      <c r="AX33" s="4"/>
      <c r="AY33" s="375"/>
      <c r="AZ33" s="375"/>
      <c r="BA33" s="4"/>
      <c r="BB33" s="375"/>
      <c r="BC33" s="375"/>
      <c r="BD33" s="4"/>
      <c r="BE33" s="375">
        <f t="shared" si="26"/>
        <v>0</v>
      </c>
      <c r="BF33" s="375">
        <f t="shared" si="26"/>
        <v>0</v>
      </c>
      <c r="BG33" s="402"/>
      <c r="BH33" s="375">
        <f t="shared" si="27"/>
        <v>0</v>
      </c>
      <c r="BI33" s="388">
        <f t="shared" si="28"/>
        <v>0</v>
      </c>
      <c r="BJ33" s="4"/>
      <c r="BK33" s="386" t="s">
        <v>33</v>
      </c>
      <c r="BL33" s="386" t="s">
        <v>34</v>
      </c>
      <c r="BM33" s="375">
        <v>0</v>
      </c>
      <c r="BN33" s="282"/>
    </row>
    <row r="34" spans="1:66" ht="15" hidden="1" customHeight="1" outlineLevel="1">
      <c r="A34" s="386" t="s">
        <v>33</v>
      </c>
      <c r="B34" s="386" t="s">
        <v>35</v>
      </c>
      <c r="C34" s="375">
        <v>0</v>
      </c>
      <c r="D34" s="4"/>
      <c r="E34" s="375">
        <v>0</v>
      </c>
      <c r="F34" s="4"/>
      <c r="G34" s="375"/>
      <c r="H34" s="375"/>
      <c r="I34" s="4"/>
      <c r="J34" s="375"/>
      <c r="K34" s="375"/>
      <c r="L34" s="4"/>
      <c r="M34" s="375"/>
      <c r="N34" s="375">
        <v>0</v>
      </c>
      <c r="O34" s="4"/>
      <c r="P34" s="375">
        <f t="shared" si="17"/>
        <v>0</v>
      </c>
      <c r="Q34" s="375">
        <f t="shared" si="17"/>
        <v>0</v>
      </c>
      <c r="R34" s="4"/>
      <c r="S34" s="375"/>
      <c r="T34" s="375"/>
      <c r="U34" s="4"/>
      <c r="V34" s="375"/>
      <c r="W34" s="375"/>
      <c r="X34" s="4"/>
      <c r="Y34" s="375"/>
      <c r="Z34" s="375"/>
      <c r="AA34" s="4"/>
      <c r="AB34" s="375">
        <f t="shared" si="20"/>
        <v>0</v>
      </c>
      <c r="AC34" s="375">
        <f t="shared" si="21"/>
        <v>0</v>
      </c>
      <c r="AD34" s="402"/>
      <c r="AE34" s="375">
        <f t="shared" si="22"/>
        <v>0</v>
      </c>
      <c r="AF34" s="375">
        <f t="shared" si="23"/>
        <v>0</v>
      </c>
      <c r="AG34" s="4"/>
      <c r="AH34" s="375"/>
      <c r="AI34" s="375"/>
      <c r="AJ34" s="4"/>
      <c r="AK34" s="375"/>
      <c r="AL34" s="375"/>
      <c r="AM34" s="4"/>
      <c r="AN34" s="375"/>
      <c r="AO34" s="375"/>
      <c r="AP34" s="4"/>
      <c r="AQ34" s="375">
        <f t="shared" si="24"/>
        <v>0</v>
      </c>
      <c r="AR34" s="375">
        <f t="shared" si="24"/>
        <v>0</v>
      </c>
      <c r="AS34" s="4"/>
      <c r="AT34" s="375">
        <f t="shared" si="25"/>
        <v>0</v>
      </c>
      <c r="AU34" s="4"/>
      <c r="AV34" s="375"/>
      <c r="AW34" s="375"/>
      <c r="AX34" s="4"/>
      <c r="AY34" s="375"/>
      <c r="AZ34" s="375"/>
      <c r="BA34" s="4"/>
      <c r="BB34" s="375"/>
      <c r="BC34" s="375"/>
      <c r="BD34" s="4"/>
      <c r="BE34" s="375">
        <f t="shared" si="26"/>
        <v>0</v>
      </c>
      <c r="BF34" s="375">
        <f t="shared" si="26"/>
        <v>0</v>
      </c>
      <c r="BG34" s="402"/>
      <c r="BH34" s="375">
        <f t="shared" si="27"/>
        <v>0</v>
      </c>
      <c r="BI34" s="388">
        <f t="shared" si="28"/>
        <v>0</v>
      </c>
      <c r="BJ34" s="4"/>
      <c r="BK34" s="386" t="s">
        <v>33</v>
      </c>
      <c r="BL34" s="386" t="s">
        <v>35</v>
      </c>
      <c r="BM34" s="375">
        <v>0</v>
      </c>
      <c r="BN34" s="282"/>
    </row>
    <row r="35" spans="1:66" ht="15" hidden="1" customHeight="1" outlineLevel="1">
      <c r="A35" s="386" t="s">
        <v>33</v>
      </c>
      <c r="B35" s="386" t="s">
        <v>36</v>
      </c>
      <c r="C35" s="375">
        <v>0</v>
      </c>
      <c r="D35" s="4"/>
      <c r="E35" s="375">
        <v>0</v>
      </c>
      <c r="F35" s="4"/>
      <c r="G35" s="375"/>
      <c r="H35" s="375"/>
      <c r="I35" s="4"/>
      <c r="J35" s="375"/>
      <c r="K35" s="375"/>
      <c r="L35" s="4"/>
      <c r="M35" s="375"/>
      <c r="N35" s="375">
        <v>0</v>
      </c>
      <c r="O35" s="4"/>
      <c r="P35" s="375">
        <f t="shared" si="17"/>
        <v>0</v>
      </c>
      <c r="Q35" s="375">
        <f t="shared" si="17"/>
        <v>0</v>
      </c>
      <c r="R35" s="4"/>
      <c r="S35" s="375"/>
      <c r="T35" s="375"/>
      <c r="U35" s="4"/>
      <c r="V35" s="375"/>
      <c r="W35" s="375"/>
      <c r="X35" s="4"/>
      <c r="Y35" s="375"/>
      <c r="Z35" s="375"/>
      <c r="AA35" s="4"/>
      <c r="AB35" s="375">
        <f t="shared" si="20"/>
        <v>0</v>
      </c>
      <c r="AC35" s="375">
        <f t="shared" si="21"/>
        <v>0</v>
      </c>
      <c r="AD35" s="402"/>
      <c r="AE35" s="375">
        <f t="shared" si="22"/>
        <v>0</v>
      </c>
      <c r="AF35" s="375">
        <f t="shared" si="23"/>
        <v>0</v>
      </c>
      <c r="AG35" s="4"/>
      <c r="AH35" s="375"/>
      <c r="AI35" s="375"/>
      <c r="AJ35" s="4"/>
      <c r="AK35" s="375"/>
      <c r="AL35" s="375"/>
      <c r="AM35" s="4"/>
      <c r="AN35" s="375"/>
      <c r="AO35" s="375"/>
      <c r="AP35" s="4"/>
      <c r="AQ35" s="375">
        <f t="shared" si="24"/>
        <v>0</v>
      </c>
      <c r="AR35" s="375">
        <f t="shared" si="24"/>
        <v>0</v>
      </c>
      <c r="AS35" s="4"/>
      <c r="AT35" s="375">
        <f t="shared" si="25"/>
        <v>0</v>
      </c>
      <c r="AU35" s="4"/>
      <c r="AV35" s="375"/>
      <c r="AW35" s="375"/>
      <c r="AX35" s="4"/>
      <c r="AY35" s="375"/>
      <c r="AZ35" s="375"/>
      <c r="BA35" s="4"/>
      <c r="BB35" s="375"/>
      <c r="BC35" s="375"/>
      <c r="BD35" s="4"/>
      <c r="BE35" s="375">
        <f t="shared" si="26"/>
        <v>0</v>
      </c>
      <c r="BF35" s="375">
        <f t="shared" si="26"/>
        <v>0</v>
      </c>
      <c r="BG35" s="402"/>
      <c r="BH35" s="375">
        <f t="shared" si="27"/>
        <v>0</v>
      </c>
      <c r="BI35" s="388">
        <f t="shared" si="28"/>
        <v>0</v>
      </c>
      <c r="BJ35" s="4"/>
      <c r="BK35" s="386" t="s">
        <v>33</v>
      </c>
      <c r="BL35" s="386" t="s">
        <v>36</v>
      </c>
      <c r="BM35" s="375">
        <v>0</v>
      </c>
      <c r="BN35" s="282"/>
    </row>
    <row r="36" spans="1:66" ht="15" hidden="1" customHeight="1" outlineLevel="1">
      <c r="A36" s="386" t="s">
        <v>33</v>
      </c>
      <c r="B36" s="386" t="s">
        <v>37</v>
      </c>
      <c r="C36" s="375">
        <v>0</v>
      </c>
      <c r="D36" s="4"/>
      <c r="E36" s="375">
        <v>0</v>
      </c>
      <c r="F36" s="4"/>
      <c r="G36" s="375"/>
      <c r="H36" s="375"/>
      <c r="I36" s="4"/>
      <c r="J36" s="375"/>
      <c r="K36" s="375"/>
      <c r="L36" s="4"/>
      <c r="M36" s="375"/>
      <c r="N36" s="375">
        <v>0</v>
      </c>
      <c r="O36" s="4"/>
      <c r="P36" s="375">
        <f t="shared" si="17"/>
        <v>0</v>
      </c>
      <c r="Q36" s="375">
        <f t="shared" si="17"/>
        <v>0</v>
      </c>
      <c r="R36" s="4"/>
      <c r="S36" s="375"/>
      <c r="T36" s="375"/>
      <c r="U36" s="4"/>
      <c r="V36" s="375"/>
      <c r="W36" s="375"/>
      <c r="X36" s="4"/>
      <c r="Y36" s="375"/>
      <c r="Z36" s="375"/>
      <c r="AA36" s="4"/>
      <c r="AB36" s="375">
        <f t="shared" si="20"/>
        <v>0</v>
      </c>
      <c r="AC36" s="375">
        <f t="shared" si="21"/>
        <v>0</v>
      </c>
      <c r="AD36" s="402"/>
      <c r="AE36" s="375">
        <f t="shared" si="22"/>
        <v>0</v>
      </c>
      <c r="AF36" s="375">
        <f t="shared" si="23"/>
        <v>0</v>
      </c>
      <c r="AG36" s="4"/>
      <c r="AH36" s="375"/>
      <c r="AI36" s="375"/>
      <c r="AJ36" s="4"/>
      <c r="AK36" s="375"/>
      <c r="AL36" s="375"/>
      <c r="AM36" s="4"/>
      <c r="AN36" s="375"/>
      <c r="AO36" s="375"/>
      <c r="AP36" s="4"/>
      <c r="AQ36" s="375">
        <f t="shared" si="24"/>
        <v>0</v>
      </c>
      <c r="AR36" s="375">
        <f t="shared" si="24"/>
        <v>0</v>
      </c>
      <c r="AS36" s="4"/>
      <c r="AT36" s="375">
        <f t="shared" si="25"/>
        <v>0</v>
      </c>
      <c r="AU36" s="4"/>
      <c r="AV36" s="375"/>
      <c r="AW36" s="375"/>
      <c r="AX36" s="4"/>
      <c r="AY36" s="375"/>
      <c r="AZ36" s="375"/>
      <c r="BA36" s="4"/>
      <c r="BB36" s="375"/>
      <c r="BC36" s="375"/>
      <c r="BD36" s="4"/>
      <c r="BE36" s="375">
        <f t="shared" si="26"/>
        <v>0</v>
      </c>
      <c r="BF36" s="375">
        <f t="shared" si="26"/>
        <v>0</v>
      </c>
      <c r="BG36" s="402"/>
      <c r="BH36" s="375">
        <f t="shared" si="27"/>
        <v>0</v>
      </c>
      <c r="BI36" s="388">
        <f t="shared" si="28"/>
        <v>0</v>
      </c>
      <c r="BJ36" s="4"/>
      <c r="BK36" s="386" t="s">
        <v>33</v>
      </c>
      <c r="BL36" s="386" t="s">
        <v>37</v>
      </c>
      <c r="BM36" s="375">
        <v>0</v>
      </c>
      <c r="BN36" s="282"/>
    </row>
    <row r="37" spans="1:66" ht="15" hidden="1" customHeight="1" outlineLevel="1">
      <c r="A37" s="386" t="s">
        <v>33</v>
      </c>
      <c r="B37" s="386" t="s">
        <v>38</v>
      </c>
      <c r="C37" s="375">
        <v>0</v>
      </c>
      <c r="D37" s="4"/>
      <c r="E37" s="375">
        <v>0</v>
      </c>
      <c r="F37" s="4"/>
      <c r="G37" s="375"/>
      <c r="H37" s="375"/>
      <c r="I37" s="4"/>
      <c r="J37" s="375"/>
      <c r="K37" s="375"/>
      <c r="L37" s="4"/>
      <c r="M37" s="375"/>
      <c r="N37" s="375">
        <v>0</v>
      </c>
      <c r="O37" s="4"/>
      <c r="P37" s="375">
        <f t="shared" si="17"/>
        <v>0</v>
      </c>
      <c r="Q37" s="375">
        <f t="shared" si="17"/>
        <v>0</v>
      </c>
      <c r="R37" s="4"/>
      <c r="S37" s="375"/>
      <c r="T37" s="375"/>
      <c r="U37" s="4"/>
      <c r="V37" s="375"/>
      <c r="W37" s="375"/>
      <c r="X37" s="4"/>
      <c r="Y37" s="375"/>
      <c r="Z37" s="375"/>
      <c r="AA37" s="4"/>
      <c r="AB37" s="375">
        <f t="shared" si="20"/>
        <v>0</v>
      </c>
      <c r="AC37" s="375">
        <f t="shared" si="21"/>
        <v>0</v>
      </c>
      <c r="AD37" s="402"/>
      <c r="AE37" s="375">
        <f t="shared" si="22"/>
        <v>0</v>
      </c>
      <c r="AF37" s="375">
        <f t="shared" si="23"/>
        <v>0</v>
      </c>
      <c r="AG37" s="4"/>
      <c r="AH37" s="375"/>
      <c r="AI37" s="375"/>
      <c r="AJ37" s="4"/>
      <c r="AK37" s="375"/>
      <c r="AL37" s="375"/>
      <c r="AM37" s="4"/>
      <c r="AN37" s="375"/>
      <c r="AO37" s="375"/>
      <c r="AP37" s="4"/>
      <c r="AQ37" s="375">
        <f t="shared" si="24"/>
        <v>0</v>
      </c>
      <c r="AR37" s="375">
        <f t="shared" si="24"/>
        <v>0</v>
      </c>
      <c r="AS37" s="4"/>
      <c r="AT37" s="375">
        <f t="shared" si="25"/>
        <v>0</v>
      </c>
      <c r="AU37" s="4"/>
      <c r="AV37" s="375"/>
      <c r="AW37" s="375"/>
      <c r="AX37" s="4"/>
      <c r="AY37" s="375"/>
      <c r="AZ37" s="375"/>
      <c r="BA37" s="4"/>
      <c r="BB37" s="375"/>
      <c r="BC37" s="375"/>
      <c r="BD37" s="4"/>
      <c r="BE37" s="375">
        <f t="shared" si="26"/>
        <v>0</v>
      </c>
      <c r="BF37" s="375">
        <f t="shared" si="26"/>
        <v>0</v>
      </c>
      <c r="BG37" s="402"/>
      <c r="BH37" s="375">
        <f t="shared" si="27"/>
        <v>0</v>
      </c>
      <c r="BI37" s="388">
        <f t="shared" si="28"/>
        <v>0</v>
      </c>
      <c r="BJ37" s="4"/>
      <c r="BK37" s="386" t="s">
        <v>33</v>
      </c>
      <c r="BL37" s="386" t="s">
        <v>38</v>
      </c>
      <c r="BM37" s="375">
        <v>0</v>
      </c>
      <c r="BN37" s="282"/>
    </row>
    <row r="38" spans="1:66" ht="15" hidden="1" customHeight="1" outlineLevel="1">
      <c r="A38" s="386" t="s">
        <v>33</v>
      </c>
      <c r="B38" s="386" t="s">
        <v>39</v>
      </c>
      <c r="C38" s="375">
        <v>0</v>
      </c>
      <c r="D38" s="4"/>
      <c r="E38" s="375">
        <v>0</v>
      </c>
      <c r="F38" s="4"/>
      <c r="G38" s="375"/>
      <c r="H38" s="375"/>
      <c r="I38" s="4"/>
      <c r="J38" s="375"/>
      <c r="K38" s="375"/>
      <c r="L38" s="4"/>
      <c r="M38" s="375"/>
      <c r="N38" s="375">
        <v>0</v>
      </c>
      <c r="O38" s="4"/>
      <c r="P38" s="375">
        <f t="shared" si="17"/>
        <v>0</v>
      </c>
      <c r="Q38" s="375">
        <f t="shared" si="17"/>
        <v>0</v>
      </c>
      <c r="R38" s="4"/>
      <c r="S38" s="375"/>
      <c r="T38" s="375"/>
      <c r="U38" s="4"/>
      <c r="V38" s="375"/>
      <c r="W38" s="375"/>
      <c r="X38" s="4"/>
      <c r="Y38" s="375"/>
      <c r="Z38" s="375"/>
      <c r="AA38" s="4"/>
      <c r="AB38" s="375">
        <f t="shared" si="20"/>
        <v>0</v>
      </c>
      <c r="AC38" s="375">
        <f t="shared" si="21"/>
        <v>0</v>
      </c>
      <c r="AD38" s="402"/>
      <c r="AE38" s="375">
        <f t="shared" si="22"/>
        <v>0</v>
      </c>
      <c r="AF38" s="375">
        <f t="shared" si="23"/>
        <v>0</v>
      </c>
      <c r="AG38" s="4"/>
      <c r="AH38" s="375"/>
      <c r="AI38" s="375"/>
      <c r="AJ38" s="4"/>
      <c r="AK38" s="375"/>
      <c r="AL38" s="375"/>
      <c r="AM38" s="4"/>
      <c r="AN38" s="375"/>
      <c r="AO38" s="375"/>
      <c r="AP38" s="4"/>
      <c r="AQ38" s="375">
        <f t="shared" si="24"/>
        <v>0</v>
      </c>
      <c r="AR38" s="375">
        <f t="shared" si="24"/>
        <v>0</v>
      </c>
      <c r="AS38" s="4"/>
      <c r="AT38" s="375">
        <f t="shared" si="25"/>
        <v>0</v>
      </c>
      <c r="AU38" s="4"/>
      <c r="AV38" s="375"/>
      <c r="AW38" s="375"/>
      <c r="AX38" s="4"/>
      <c r="AY38" s="375"/>
      <c r="AZ38" s="375"/>
      <c r="BA38" s="4"/>
      <c r="BB38" s="375"/>
      <c r="BC38" s="375"/>
      <c r="BD38" s="4"/>
      <c r="BE38" s="375">
        <f t="shared" si="26"/>
        <v>0</v>
      </c>
      <c r="BF38" s="375">
        <f t="shared" si="26"/>
        <v>0</v>
      </c>
      <c r="BG38" s="402"/>
      <c r="BH38" s="375">
        <f t="shared" si="27"/>
        <v>0</v>
      </c>
      <c r="BI38" s="388">
        <f t="shared" si="28"/>
        <v>0</v>
      </c>
      <c r="BJ38" s="4"/>
      <c r="BK38" s="386" t="s">
        <v>33</v>
      </c>
      <c r="BL38" s="386" t="s">
        <v>39</v>
      </c>
      <c r="BM38" s="375">
        <v>0</v>
      </c>
      <c r="BN38" s="282"/>
    </row>
    <row r="39" spans="1:66" ht="15" hidden="1" customHeight="1" outlineLevel="1">
      <c r="A39" s="386" t="s">
        <v>33</v>
      </c>
      <c r="B39" s="386" t="s">
        <v>40</v>
      </c>
      <c r="C39" s="375">
        <v>0</v>
      </c>
      <c r="D39" s="4"/>
      <c r="E39" s="375">
        <v>0</v>
      </c>
      <c r="F39" s="4"/>
      <c r="G39" s="375"/>
      <c r="H39" s="375"/>
      <c r="I39" s="4"/>
      <c r="J39" s="375"/>
      <c r="K39" s="375"/>
      <c r="L39" s="4"/>
      <c r="M39" s="375"/>
      <c r="N39" s="375">
        <v>0</v>
      </c>
      <c r="O39" s="4"/>
      <c r="P39" s="375">
        <f t="shared" si="17"/>
        <v>0</v>
      </c>
      <c r="Q39" s="375">
        <f t="shared" si="17"/>
        <v>0</v>
      </c>
      <c r="R39" s="4"/>
      <c r="S39" s="375"/>
      <c r="T39" s="375"/>
      <c r="U39" s="4"/>
      <c r="V39" s="375"/>
      <c r="W39" s="375"/>
      <c r="X39" s="4"/>
      <c r="Y39" s="375"/>
      <c r="Z39" s="375"/>
      <c r="AA39" s="4"/>
      <c r="AB39" s="375">
        <f t="shared" si="20"/>
        <v>0</v>
      </c>
      <c r="AC39" s="375">
        <f t="shared" si="21"/>
        <v>0</v>
      </c>
      <c r="AD39" s="402"/>
      <c r="AE39" s="375">
        <f t="shared" si="22"/>
        <v>0</v>
      </c>
      <c r="AF39" s="375">
        <f t="shared" si="23"/>
        <v>0</v>
      </c>
      <c r="AG39" s="4"/>
      <c r="AH39" s="375"/>
      <c r="AI39" s="375"/>
      <c r="AJ39" s="4"/>
      <c r="AK39" s="375"/>
      <c r="AL39" s="375"/>
      <c r="AM39" s="4"/>
      <c r="AN39" s="375"/>
      <c r="AO39" s="375"/>
      <c r="AP39" s="4"/>
      <c r="AQ39" s="375">
        <f t="shared" si="24"/>
        <v>0</v>
      </c>
      <c r="AR39" s="375">
        <f t="shared" si="24"/>
        <v>0</v>
      </c>
      <c r="AS39" s="4"/>
      <c r="AT39" s="375">
        <f t="shared" si="25"/>
        <v>0</v>
      </c>
      <c r="AU39" s="4"/>
      <c r="AV39" s="375"/>
      <c r="AW39" s="375"/>
      <c r="AX39" s="4"/>
      <c r="AY39" s="375"/>
      <c r="AZ39" s="375"/>
      <c r="BA39" s="4"/>
      <c r="BB39" s="375"/>
      <c r="BC39" s="375"/>
      <c r="BD39" s="4"/>
      <c r="BE39" s="375">
        <f t="shared" si="26"/>
        <v>0</v>
      </c>
      <c r="BF39" s="375">
        <f t="shared" si="26"/>
        <v>0</v>
      </c>
      <c r="BG39" s="402"/>
      <c r="BH39" s="375">
        <f t="shared" si="27"/>
        <v>0</v>
      </c>
      <c r="BI39" s="388">
        <f t="shared" si="28"/>
        <v>0</v>
      </c>
      <c r="BJ39" s="4"/>
      <c r="BK39" s="386" t="s">
        <v>33</v>
      </c>
      <c r="BL39" s="386" t="s">
        <v>40</v>
      </c>
      <c r="BM39" s="375">
        <v>0</v>
      </c>
      <c r="BN39" s="282"/>
    </row>
    <row r="40" spans="1:66" ht="15" hidden="1" customHeight="1" outlineLevel="1">
      <c r="A40" s="386" t="s">
        <v>33</v>
      </c>
      <c r="B40" s="386" t="s">
        <v>41</v>
      </c>
      <c r="C40" s="375">
        <v>0</v>
      </c>
      <c r="D40" s="4"/>
      <c r="E40" s="375">
        <v>0</v>
      </c>
      <c r="F40" s="4"/>
      <c r="G40" s="375"/>
      <c r="H40" s="375"/>
      <c r="I40" s="4"/>
      <c r="J40" s="375"/>
      <c r="K40" s="375"/>
      <c r="L40" s="4"/>
      <c r="M40" s="375"/>
      <c r="N40" s="375">
        <v>0</v>
      </c>
      <c r="O40" s="4"/>
      <c r="P40" s="375">
        <f t="shared" si="17"/>
        <v>0</v>
      </c>
      <c r="Q40" s="375">
        <f t="shared" si="17"/>
        <v>0</v>
      </c>
      <c r="R40" s="4"/>
      <c r="S40" s="375"/>
      <c r="T40" s="375"/>
      <c r="U40" s="4"/>
      <c r="V40" s="375"/>
      <c r="W40" s="375"/>
      <c r="X40" s="4"/>
      <c r="Y40" s="375"/>
      <c r="Z40" s="375"/>
      <c r="AA40" s="4"/>
      <c r="AB40" s="375">
        <f t="shared" si="20"/>
        <v>0</v>
      </c>
      <c r="AC40" s="375">
        <f t="shared" si="21"/>
        <v>0</v>
      </c>
      <c r="AD40" s="402"/>
      <c r="AE40" s="375">
        <f t="shared" si="22"/>
        <v>0</v>
      </c>
      <c r="AF40" s="375">
        <f t="shared" si="23"/>
        <v>0</v>
      </c>
      <c r="AG40" s="4"/>
      <c r="AH40" s="375"/>
      <c r="AI40" s="375"/>
      <c r="AJ40" s="4"/>
      <c r="AK40" s="375"/>
      <c r="AL40" s="375"/>
      <c r="AM40" s="4"/>
      <c r="AN40" s="375"/>
      <c r="AO40" s="375"/>
      <c r="AP40" s="4"/>
      <c r="AQ40" s="375">
        <f t="shared" si="24"/>
        <v>0</v>
      </c>
      <c r="AR40" s="375">
        <f t="shared" si="24"/>
        <v>0</v>
      </c>
      <c r="AS40" s="4"/>
      <c r="AT40" s="375">
        <f t="shared" si="25"/>
        <v>0</v>
      </c>
      <c r="AU40" s="4"/>
      <c r="AV40" s="375"/>
      <c r="AW40" s="375"/>
      <c r="AX40" s="4"/>
      <c r="AY40" s="375"/>
      <c r="AZ40" s="375"/>
      <c r="BA40" s="4"/>
      <c r="BB40" s="375"/>
      <c r="BC40" s="375"/>
      <c r="BD40" s="4"/>
      <c r="BE40" s="375">
        <f t="shared" si="26"/>
        <v>0</v>
      </c>
      <c r="BF40" s="375">
        <f t="shared" si="26"/>
        <v>0</v>
      </c>
      <c r="BG40" s="402"/>
      <c r="BH40" s="375">
        <f t="shared" si="27"/>
        <v>0</v>
      </c>
      <c r="BI40" s="388">
        <f t="shared" si="28"/>
        <v>0</v>
      </c>
      <c r="BJ40" s="4"/>
      <c r="BK40" s="386" t="s">
        <v>33</v>
      </c>
      <c r="BL40" s="386" t="s">
        <v>41</v>
      </c>
      <c r="BM40" s="375">
        <v>0</v>
      </c>
      <c r="BN40" s="282"/>
    </row>
    <row r="41" spans="1:66" ht="15" hidden="1" customHeight="1" outlineLevel="1">
      <c r="A41" s="386" t="s">
        <v>33</v>
      </c>
      <c r="B41" s="386" t="s">
        <v>42</v>
      </c>
      <c r="C41" s="375">
        <v>0</v>
      </c>
      <c r="D41" s="4"/>
      <c r="E41" s="375">
        <v>0</v>
      </c>
      <c r="F41" s="4"/>
      <c r="G41" s="375"/>
      <c r="H41" s="375"/>
      <c r="I41" s="4"/>
      <c r="J41" s="375"/>
      <c r="K41" s="375"/>
      <c r="L41" s="4"/>
      <c r="M41" s="375"/>
      <c r="N41" s="375">
        <v>0</v>
      </c>
      <c r="O41" s="4"/>
      <c r="P41" s="375">
        <f t="shared" si="17"/>
        <v>0</v>
      </c>
      <c r="Q41" s="375">
        <f t="shared" si="17"/>
        <v>0</v>
      </c>
      <c r="R41" s="4"/>
      <c r="S41" s="375"/>
      <c r="T41" s="375"/>
      <c r="U41" s="4"/>
      <c r="V41" s="375"/>
      <c r="W41" s="375"/>
      <c r="X41" s="4"/>
      <c r="Y41" s="375"/>
      <c r="Z41" s="375"/>
      <c r="AA41" s="4"/>
      <c r="AB41" s="375">
        <f t="shared" si="20"/>
        <v>0</v>
      </c>
      <c r="AC41" s="375">
        <f t="shared" si="21"/>
        <v>0</v>
      </c>
      <c r="AD41" s="402"/>
      <c r="AE41" s="375">
        <f t="shared" si="22"/>
        <v>0</v>
      </c>
      <c r="AF41" s="375">
        <f t="shared" si="23"/>
        <v>0</v>
      </c>
      <c r="AG41" s="4"/>
      <c r="AH41" s="375"/>
      <c r="AI41" s="375"/>
      <c r="AJ41" s="4"/>
      <c r="AK41" s="375"/>
      <c r="AL41" s="375"/>
      <c r="AM41" s="4"/>
      <c r="AN41" s="375"/>
      <c r="AO41" s="375"/>
      <c r="AP41" s="4"/>
      <c r="AQ41" s="375">
        <f t="shared" si="24"/>
        <v>0</v>
      </c>
      <c r="AR41" s="375">
        <f t="shared" si="24"/>
        <v>0</v>
      </c>
      <c r="AS41" s="4"/>
      <c r="AT41" s="375">
        <f t="shared" si="25"/>
        <v>0</v>
      </c>
      <c r="AU41" s="4"/>
      <c r="AV41" s="375"/>
      <c r="AW41" s="375"/>
      <c r="AX41" s="4"/>
      <c r="AY41" s="375"/>
      <c r="AZ41" s="375"/>
      <c r="BA41" s="4"/>
      <c r="BB41" s="375"/>
      <c r="BC41" s="375"/>
      <c r="BD41" s="4"/>
      <c r="BE41" s="375">
        <f t="shared" si="26"/>
        <v>0</v>
      </c>
      <c r="BF41" s="375">
        <f t="shared" si="26"/>
        <v>0</v>
      </c>
      <c r="BG41" s="402"/>
      <c r="BH41" s="375">
        <f t="shared" si="27"/>
        <v>0</v>
      </c>
      <c r="BI41" s="388">
        <f t="shared" si="28"/>
        <v>0</v>
      </c>
      <c r="BJ41" s="4"/>
      <c r="BK41" s="386" t="s">
        <v>33</v>
      </c>
      <c r="BL41" s="386" t="s">
        <v>42</v>
      </c>
      <c r="BM41" s="375">
        <v>0</v>
      </c>
      <c r="BN41" s="282"/>
    </row>
    <row r="42" spans="1:66" ht="15" hidden="1" customHeight="1" outlineLevel="1">
      <c r="A42" s="386" t="s">
        <v>33</v>
      </c>
      <c r="B42" s="386" t="s">
        <v>43</v>
      </c>
      <c r="C42" s="375">
        <v>0</v>
      </c>
      <c r="D42" s="4"/>
      <c r="E42" s="375">
        <v>0</v>
      </c>
      <c r="F42" s="4"/>
      <c r="G42" s="375"/>
      <c r="H42" s="375"/>
      <c r="I42" s="4"/>
      <c r="J42" s="375"/>
      <c r="K42" s="375"/>
      <c r="L42" s="4"/>
      <c r="M42" s="375"/>
      <c r="N42" s="375">
        <v>0</v>
      </c>
      <c r="O42" s="4"/>
      <c r="P42" s="375">
        <f t="shared" si="17"/>
        <v>0</v>
      </c>
      <c r="Q42" s="375">
        <f t="shared" si="17"/>
        <v>0</v>
      </c>
      <c r="R42" s="4"/>
      <c r="S42" s="375"/>
      <c r="T42" s="375"/>
      <c r="U42" s="4"/>
      <c r="V42" s="375"/>
      <c r="W42" s="375"/>
      <c r="X42" s="4"/>
      <c r="Y42" s="375"/>
      <c r="Z42" s="375"/>
      <c r="AA42" s="4"/>
      <c r="AB42" s="375">
        <f t="shared" si="20"/>
        <v>0</v>
      </c>
      <c r="AC42" s="375">
        <f t="shared" si="21"/>
        <v>0</v>
      </c>
      <c r="AD42" s="402"/>
      <c r="AE42" s="375">
        <f t="shared" si="22"/>
        <v>0</v>
      </c>
      <c r="AF42" s="375">
        <f t="shared" si="23"/>
        <v>0</v>
      </c>
      <c r="AG42" s="4"/>
      <c r="AH42" s="375"/>
      <c r="AI42" s="375"/>
      <c r="AJ42" s="4"/>
      <c r="AK42" s="375"/>
      <c r="AL42" s="375"/>
      <c r="AM42" s="4"/>
      <c r="AN42" s="375"/>
      <c r="AO42" s="375"/>
      <c r="AP42" s="4"/>
      <c r="AQ42" s="375">
        <f t="shared" si="24"/>
        <v>0</v>
      </c>
      <c r="AR42" s="375">
        <f t="shared" si="24"/>
        <v>0</v>
      </c>
      <c r="AS42" s="4"/>
      <c r="AT42" s="375">
        <f t="shared" si="25"/>
        <v>0</v>
      </c>
      <c r="AU42" s="4"/>
      <c r="AV42" s="375"/>
      <c r="AW42" s="375"/>
      <c r="AX42" s="4"/>
      <c r="AY42" s="375"/>
      <c r="AZ42" s="375"/>
      <c r="BA42" s="4"/>
      <c r="BB42" s="375"/>
      <c r="BC42" s="375"/>
      <c r="BD42" s="4"/>
      <c r="BE42" s="375">
        <f t="shared" si="26"/>
        <v>0</v>
      </c>
      <c r="BF42" s="375">
        <f t="shared" si="26"/>
        <v>0</v>
      </c>
      <c r="BG42" s="402"/>
      <c r="BH42" s="375">
        <f t="shared" si="27"/>
        <v>0</v>
      </c>
      <c r="BI42" s="388">
        <f t="shared" si="28"/>
        <v>0</v>
      </c>
      <c r="BJ42" s="4"/>
      <c r="BK42" s="386" t="s">
        <v>33</v>
      </c>
      <c r="BL42" s="386" t="s">
        <v>43</v>
      </c>
      <c r="BM42" s="375">
        <v>0</v>
      </c>
      <c r="BN42" s="282"/>
    </row>
    <row r="43" spans="1:66" ht="15" hidden="1" customHeight="1" outlineLevel="1">
      <c r="A43" s="386" t="s">
        <v>33</v>
      </c>
      <c r="B43" s="386" t="s">
        <v>44</v>
      </c>
      <c r="C43" s="375">
        <v>0</v>
      </c>
      <c r="D43" s="4"/>
      <c r="E43" s="375">
        <v>0</v>
      </c>
      <c r="F43" s="4"/>
      <c r="G43" s="375"/>
      <c r="H43" s="375"/>
      <c r="I43" s="4"/>
      <c r="J43" s="375"/>
      <c r="K43" s="375"/>
      <c r="L43" s="4"/>
      <c r="M43" s="375"/>
      <c r="N43" s="375">
        <v>0</v>
      </c>
      <c r="O43" s="4"/>
      <c r="P43" s="375">
        <f t="shared" si="17"/>
        <v>0</v>
      </c>
      <c r="Q43" s="375">
        <f t="shared" si="17"/>
        <v>0</v>
      </c>
      <c r="R43" s="4"/>
      <c r="S43" s="375"/>
      <c r="T43" s="375"/>
      <c r="U43" s="4"/>
      <c r="V43" s="375"/>
      <c r="W43" s="375"/>
      <c r="X43" s="4"/>
      <c r="Y43" s="375"/>
      <c r="Z43" s="375"/>
      <c r="AA43" s="4"/>
      <c r="AB43" s="375">
        <f t="shared" si="20"/>
        <v>0</v>
      </c>
      <c r="AC43" s="375">
        <f t="shared" si="21"/>
        <v>0</v>
      </c>
      <c r="AD43" s="402"/>
      <c r="AE43" s="375">
        <f t="shared" si="22"/>
        <v>0</v>
      </c>
      <c r="AF43" s="375">
        <f t="shared" si="23"/>
        <v>0</v>
      </c>
      <c r="AG43" s="4"/>
      <c r="AH43" s="375"/>
      <c r="AI43" s="375"/>
      <c r="AJ43" s="4"/>
      <c r="AK43" s="375"/>
      <c r="AL43" s="375"/>
      <c r="AM43" s="4"/>
      <c r="AN43" s="375"/>
      <c r="AO43" s="375"/>
      <c r="AP43" s="4"/>
      <c r="AQ43" s="375">
        <f t="shared" si="24"/>
        <v>0</v>
      </c>
      <c r="AR43" s="375">
        <f t="shared" si="24"/>
        <v>0</v>
      </c>
      <c r="AS43" s="4"/>
      <c r="AT43" s="375">
        <f t="shared" si="25"/>
        <v>0</v>
      </c>
      <c r="AU43" s="4"/>
      <c r="AV43" s="375"/>
      <c r="AW43" s="375"/>
      <c r="AX43" s="4"/>
      <c r="AY43" s="375"/>
      <c r="AZ43" s="375"/>
      <c r="BA43" s="4"/>
      <c r="BB43" s="375"/>
      <c r="BC43" s="375"/>
      <c r="BD43" s="4"/>
      <c r="BE43" s="375">
        <f t="shared" si="26"/>
        <v>0</v>
      </c>
      <c r="BF43" s="375">
        <f t="shared" si="26"/>
        <v>0</v>
      </c>
      <c r="BG43" s="402"/>
      <c r="BH43" s="375">
        <f t="shared" si="27"/>
        <v>0</v>
      </c>
      <c r="BI43" s="388">
        <f t="shared" si="28"/>
        <v>0</v>
      </c>
      <c r="BJ43" s="4"/>
      <c r="BK43" s="386" t="s">
        <v>33</v>
      </c>
      <c r="BL43" s="386" t="s">
        <v>44</v>
      </c>
      <c r="BM43" s="375">
        <v>0</v>
      </c>
      <c r="BN43" s="282"/>
    </row>
    <row r="44" spans="1:66" ht="15" hidden="1" customHeight="1" outlineLevel="1">
      <c r="A44" s="386" t="s">
        <v>33</v>
      </c>
      <c r="B44" s="386" t="s">
        <v>45</v>
      </c>
      <c r="C44" s="375">
        <v>0</v>
      </c>
      <c r="D44" s="4"/>
      <c r="E44" s="375">
        <v>0</v>
      </c>
      <c r="F44" s="4"/>
      <c r="G44" s="375"/>
      <c r="H44" s="375"/>
      <c r="I44" s="4"/>
      <c r="J44" s="375"/>
      <c r="K44" s="375"/>
      <c r="L44" s="4"/>
      <c r="M44" s="375"/>
      <c r="N44" s="375">
        <v>0</v>
      </c>
      <c r="O44" s="4"/>
      <c r="P44" s="375">
        <f t="shared" si="17"/>
        <v>0</v>
      </c>
      <c r="Q44" s="375">
        <f t="shared" si="17"/>
        <v>0</v>
      </c>
      <c r="R44" s="4"/>
      <c r="S44" s="375"/>
      <c r="T44" s="375"/>
      <c r="U44" s="4"/>
      <c r="V44" s="375"/>
      <c r="W44" s="375"/>
      <c r="X44" s="4"/>
      <c r="Y44" s="375"/>
      <c r="Z44" s="375"/>
      <c r="AA44" s="4"/>
      <c r="AB44" s="375">
        <f t="shared" si="20"/>
        <v>0</v>
      </c>
      <c r="AC44" s="375">
        <f t="shared" si="21"/>
        <v>0</v>
      </c>
      <c r="AD44" s="402"/>
      <c r="AE44" s="375">
        <f t="shared" si="22"/>
        <v>0</v>
      </c>
      <c r="AF44" s="375">
        <f t="shared" si="23"/>
        <v>0</v>
      </c>
      <c r="AG44" s="4"/>
      <c r="AH44" s="375"/>
      <c r="AI44" s="375"/>
      <c r="AJ44" s="4"/>
      <c r="AK44" s="375"/>
      <c r="AL44" s="375"/>
      <c r="AM44" s="4"/>
      <c r="AN44" s="375"/>
      <c r="AO44" s="375"/>
      <c r="AP44" s="4"/>
      <c r="AQ44" s="375">
        <f t="shared" si="24"/>
        <v>0</v>
      </c>
      <c r="AR44" s="375">
        <f t="shared" si="24"/>
        <v>0</v>
      </c>
      <c r="AS44" s="4"/>
      <c r="AT44" s="375">
        <f t="shared" si="25"/>
        <v>0</v>
      </c>
      <c r="AU44" s="4"/>
      <c r="AV44" s="375"/>
      <c r="AW44" s="375"/>
      <c r="AX44" s="4"/>
      <c r="AY44" s="375"/>
      <c r="AZ44" s="375"/>
      <c r="BA44" s="4"/>
      <c r="BB44" s="375"/>
      <c r="BC44" s="375"/>
      <c r="BD44" s="4"/>
      <c r="BE44" s="375">
        <f t="shared" si="26"/>
        <v>0</v>
      </c>
      <c r="BF44" s="375">
        <f t="shared" si="26"/>
        <v>0</v>
      </c>
      <c r="BG44" s="402"/>
      <c r="BH44" s="375">
        <f t="shared" si="27"/>
        <v>0</v>
      </c>
      <c r="BI44" s="388">
        <f t="shared" si="28"/>
        <v>0</v>
      </c>
      <c r="BJ44" s="4"/>
      <c r="BK44" s="386" t="s">
        <v>33</v>
      </c>
      <c r="BL44" s="386" t="s">
        <v>45</v>
      </c>
      <c r="BM44" s="375">
        <v>0</v>
      </c>
      <c r="BN44" s="282"/>
    </row>
    <row r="45" spans="1:66" ht="15" hidden="1" customHeight="1" outlineLevel="1">
      <c r="A45" s="386" t="s">
        <v>33</v>
      </c>
      <c r="B45" s="386" t="s">
        <v>46</v>
      </c>
      <c r="C45" s="375">
        <v>0</v>
      </c>
      <c r="D45" s="4"/>
      <c r="E45" s="375">
        <v>0</v>
      </c>
      <c r="F45" s="4"/>
      <c r="G45" s="375"/>
      <c r="H45" s="375"/>
      <c r="I45" s="4"/>
      <c r="J45" s="375"/>
      <c r="K45" s="375"/>
      <c r="L45" s="4"/>
      <c r="M45" s="375"/>
      <c r="N45" s="375">
        <v>0</v>
      </c>
      <c r="O45" s="4"/>
      <c r="P45" s="375">
        <f t="shared" si="17"/>
        <v>0</v>
      </c>
      <c r="Q45" s="375">
        <f t="shared" si="17"/>
        <v>0</v>
      </c>
      <c r="R45" s="4"/>
      <c r="S45" s="375"/>
      <c r="T45" s="375"/>
      <c r="U45" s="4"/>
      <c r="V45" s="375"/>
      <c r="W45" s="375"/>
      <c r="X45" s="4"/>
      <c r="Y45" s="375"/>
      <c r="Z45" s="375"/>
      <c r="AA45" s="4"/>
      <c r="AB45" s="375">
        <f t="shared" si="20"/>
        <v>0</v>
      </c>
      <c r="AC45" s="375">
        <f t="shared" si="21"/>
        <v>0</v>
      </c>
      <c r="AD45" s="402"/>
      <c r="AE45" s="375">
        <f t="shared" si="22"/>
        <v>0</v>
      </c>
      <c r="AF45" s="375">
        <f t="shared" si="23"/>
        <v>0</v>
      </c>
      <c r="AG45" s="4"/>
      <c r="AH45" s="375"/>
      <c r="AI45" s="375"/>
      <c r="AJ45" s="4"/>
      <c r="AK45" s="375"/>
      <c r="AL45" s="375"/>
      <c r="AM45" s="4"/>
      <c r="AN45" s="375"/>
      <c r="AO45" s="375"/>
      <c r="AP45" s="4"/>
      <c r="AQ45" s="375">
        <f t="shared" si="24"/>
        <v>0</v>
      </c>
      <c r="AR45" s="375">
        <f t="shared" si="24"/>
        <v>0</v>
      </c>
      <c r="AS45" s="4"/>
      <c r="AT45" s="375">
        <f t="shared" si="25"/>
        <v>0</v>
      </c>
      <c r="AU45" s="4"/>
      <c r="AV45" s="375"/>
      <c r="AW45" s="375"/>
      <c r="AX45" s="4"/>
      <c r="AY45" s="375"/>
      <c r="AZ45" s="375"/>
      <c r="BA45" s="4"/>
      <c r="BB45" s="375"/>
      <c r="BC45" s="375"/>
      <c r="BD45" s="4"/>
      <c r="BE45" s="375">
        <f t="shared" si="26"/>
        <v>0</v>
      </c>
      <c r="BF45" s="375">
        <f t="shared" si="26"/>
        <v>0</v>
      </c>
      <c r="BG45" s="402"/>
      <c r="BH45" s="375">
        <f t="shared" si="27"/>
        <v>0</v>
      </c>
      <c r="BI45" s="388">
        <f t="shared" si="28"/>
        <v>0</v>
      </c>
      <c r="BJ45" s="4"/>
      <c r="BK45" s="386" t="s">
        <v>33</v>
      </c>
      <c r="BL45" s="386" t="s">
        <v>46</v>
      </c>
      <c r="BM45" s="375">
        <v>0</v>
      </c>
      <c r="BN45" s="282"/>
    </row>
    <row r="46" spans="1:66" ht="15" hidden="1" customHeight="1" outlineLevel="1">
      <c r="A46" s="386" t="s">
        <v>33</v>
      </c>
      <c r="B46" s="386" t="s">
        <v>47</v>
      </c>
      <c r="C46" s="375">
        <v>0</v>
      </c>
      <c r="D46" s="4"/>
      <c r="E46" s="375">
        <v>0</v>
      </c>
      <c r="F46" s="4"/>
      <c r="G46" s="375"/>
      <c r="H46" s="375"/>
      <c r="I46" s="4"/>
      <c r="J46" s="375"/>
      <c r="K46" s="375"/>
      <c r="L46" s="4"/>
      <c r="M46" s="375"/>
      <c r="N46" s="375">
        <v>0</v>
      </c>
      <c r="O46" s="4"/>
      <c r="P46" s="375">
        <f t="shared" si="17"/>
        <v>0</v>
      </c>
      <c r="Q46" s="375">
        <f t="shared" si="17"/>
        <v>0</v>
      </c>
      <c r="R46" s="4"/>
      <c r="S46" s="375"/>
      <c r="T46" s="375"/>
      <c r="U46" s="4"/>
      <c r="V46" s="375"/>
      <c r="W46" s="375"/>
      <c r="X46" s="4"/>
      <c r="Y46" s="375"/>
      <c r="Z46" s="375"/>
      <c r="AA46" s="4"/>
      <c r="AB46" s="375">
        <f t="shared" si="20"/>
        <v>0</v>
      </c>
      <c r="AC46" s="375">
        <f t="shared" si="21"/>
        <v>0</v>
      </c>
      <c r="AD46" s="402"/>
      <c r="AE46" s="375">
        <f t="shared" si="22"/>
        <v>0</v>
      </c>
      <c r="AF46" s="375">
        <f t="shared" si="23"/>
        <v>0</v>
      </c>
      <c r="AG46" s="4"/>
      <c r="AH46" s="375"/>
      <c r="AI46" s="375"/>
      <c r="AJ46" s="4"/>
      <c r="AK46" s="375"/>
      <c r="AL46" s="375"/>
      <c r="AM46" s="4"/>
      <c r="AN46" s="375"/>
      <c r="AO46" s="375"/>
      <c r="AP46" s="4"/>
      <c r="AQ46" s="375">
        <f t="shared" si="24"/>
        <v>0</v>
      </c>
      <c r="AR46" s="375">
        <f t="shared" si="24"/>
        <v>0</v>
      </c>
      <c r="AS46" s="4"/>
      <c r="AT46" s="375">
        <f t="shared" si="25"/>
        <v>0</v>
      </c>
      <c r="AU46" s="4"/>
      <c r="AV46" s="375"/>
      <c r="AW46" s="375"/>
      <c r="AX46" s="4"/>
      <c r="AY46" s="375"/>
      <c r="AZ46" s="375"/>
      <c r="BA46" s="4"/>
      <c r="BB46" s="375"/>
      <c r="BC46" s="375"/>
      <c r="BD46" s="4"/>
      <c r="BE46" s="375">
        <f t="shared" si="26"/>
        <v>0</v>
      </c>
      <c r="BF46" s="375">
        <f t="shared" si="26"/>
        <v>0</v>
      </c>
      <c r="BG46" s="402"/>
      <c r="BH46" s="375">
        <f t="shared" si="27"/>
        <v>0</v>
      </c>
      <c r="BI46" s="388">
        <f t="shared" si="28"/>
        <v>0</v>
      </c>
      <c r="BJ46" s="4"/>
      <c r="BK46" s="386" t="s">
        <v>33</v>
      </c>
      <c r="BL46" s="386" t="s">
        <v>47</v>
      </c>
      <c r="BM46" s="375">
        <v>0</v>
      </c>
      <c r="BN46" s="282"/>
    </row>
    <row r="47" spans="1:66" collapsed="1">
      <c r="A47" s="386" t="s">
        <v>33</v>
      </c>
      <c r="B47" s="386"/>
      <c r="C47" s="389">
        <v>0</v>
      </c>
      <c r="D47" s="4"/>
      <c r="E47" s="389">
        <v>0</v>
      </c>
      <c r="F47" s="4"/>
      <c r="G47" s="389"/>
      <c r="H47" s="389"/>
      <c r="I47" s="4"/>
      <c r="J47" s="389"/>
      <c r="K47" s="389"/>
      <c r="L47" s="4"/>
      <c r="M47" s="389"/>
      <c r="N47" s="389">
        <v>0</v>
      </c>
      <c r="O47" s="4"/>
      <c r="P47" s="389">
        <f t="shared" si="17"/>
        <v>0</v>
      </c>
      <c r="Q47" s="389">
        <f>+H47+K47+N47</f>
        <v>0</v>
      </c>
      <c r="R47" s="4"/>
      <c r="S47" s="389">
        <f t="shared" ref="S47:T47" si="29">+J47+M47+P47</f>
        <v>0</v>
      </c>
      <c r="T47" s="389">
        <f t="shared" si="29"/>
        <v>0</v>
      </c>
      <c r="U47" s="4"/>
      <c r="V47" s="389">
        <f>SUM(V30:V46)</f>
        <v>0</v>
      </c>
      <c r="W47" s="389">
        <f>SUM(W30:W46)</f>
        <v>0</v>
      </c>
      <c r="X47" s="4"/>
      <c r="Y47" s="389"/>
      <c r="Z47" s="389">
        <f>SUM(Z30:Z46)</f>
        <v>0</v>
      </c>
      <c r="AA47" s="4"/>
      <c r="AB47" s="375">
        <f>+T47+V47+Y47</f>
        <v>0</v>
      </c>
      <c r="AC47" s="375">
        <f>+T47+W47+Z47</f>
        <v>0</v>
      </c>
      <c r="AD47" s="402"/>
      <c r="AE47" s="375">
        <f t="shared" si="22"/>
        <v>0</v>
      </c>
      <c r="AF47" s="375">
        <f t="shared" si="23"/>
        <v>0</v>
      </c>
      <c r="AG47" s="4"/>
      <c r="AH47" s="389"/>
      <c r="AI47" s="389"/>
      <c r="AJ47" s="4"/>
      <c r="AK47" s="389"/>
      <c r="AL47" s="389"/>
      <c r="AM47" s="4"/>
      <c r="AN47" s="389"/>
      <c r="AO47" s="389"/>
      <c r="AP47" s="4"/>
      <c r="AQ47" s="389">
        <f>SUM(AQ30:AQ46)</f>
        <v>0</v>
      </c>
      <c r="AR47" s="389">
        <f>SUM(AR30:AR46)</f>
        <v>0</v>
      </c>
      <c r="AS47" s="4"/>
      <c r="AT47" s="375">
        <f t="shared" si="25"/>
        <v>0</v>
      </c>
      <c r="AU47" s="4"/>
      <c r="AV47" s="389"/>
      <c r="AW47" s="389"/>
      <c r="AX47" s="4"/>
      <c r="AY47" s="389"/>
      <c r="AZ47" s="389"/>
      <c r="BA47" s="4"/>
      <c r="BB47" s="389"/>
      <c r="BC47" s="389"/>
      <c r="BD47" s="4"/>
      <c r="BE47" s="389">
        <f>SUM(BE30:BE46)</f>
        <v>0</v>
      </c>
      <c r="BF47" s="389">
        <f>SUM(BF30:BF46)</f>
        <v>0</v>
      </c>
      <c r="BG47" s="402"/>
      <c r="BH47" s="375">
        <f t="shared" ref="BH47" si="30">W47+AH47+AN47+AQ47+AV47</f>
        <v>0</v>
      </c>
      <c r="BI47" s="388">
        <f t="shared" ref="BI47" si="31">AZ47+AI47+W47</f>
        <v>0</v>
      </c>
      <c r="BJ47" s="4"/>
      <c r="BK47" s="386" t="s">
        <v>33</v>
      </c>
      <c r="BL47" s="386"/>
      <c r="BM47" s="389">
        <v>0</v>
      </c>
      <c r="BN47" s="282"/>
    </row>
    <row r="48" spans="1:66" ht="15" hidden="1" customHeight="1" outlineLevel="1">
      <c r="A48" s="386" t="s">
        <v>48</v>
      </c>
      <c r="B48" s="386" t="s">
        <v>14</v>
      </c>
      <c r="C48" s="375">
        <v>-914102.6</v>
      </c>
      <c r="D48" s="4"/>
      <c r="E48" s="375">
        <v>-205431.63</v>
      </c>
      <c r="F48" s="4"/>
      <c r="G48" s="375">
        <v>-264848.73</v>
      </c>
      <c r="H48" s="375">
        <v>-106493</v>
      </c>
      <c r="I48" s="4"/>
      <c r="J48" s="375">
        <v>-264848.73</v>
      </c>
      <c r="K48" s="375">
        <v>-113390</v>
      </c>
      <c r="L48" s="4"/>
      <c r="M48" s="375">
        <v>-264848.73</v>
      </c>
      <c r="N48" s="375">
        <v>-260231</v>
      </c>
      <c r="O48" s="4"/>
      <c r="P48" s="375">
        <f t="shared" si="17"/>
        <v>-794546.19</v>
      </c>
      <c r="Q48" s="375">
        <f t="shared" si="17"/>
        <v>-480114</v>
      </c>
      <c r="R48" s="4"/>
      <c r="S48" s="375">
        <v>-226506.5</v>
      </c>
      <c r="T48" s="375">
        <v>-226506.5</v>
      </c>
      <c r="U48" s="4"/>
      <c r="V48" s="375">
        <v>-229034</v>
      </c>
      <c r="W48" s="375">
        <v>-229034</v>
      </c>
      <c r="X48" s="4"/>
      <c r="Y48" s="375">
        <v>-249011.77</v>
      </c>
      <c r="Z48" s="375">
        <v>-249011.77</v>
      </c>
      <c r="AA48" s="4"/>
      <c r="AB48" s="375">
        <f t="shared" si="20"/>
        <v>-704552.27</v>
      </c>
      <c r="AC48" s="375">
        <f>+T48+W48+Z48</f>
        <v>-704552.27</v>
      </c>
      <c r="AD48" s="402"/>
      <c r="AE48" s="375">
        <f t="shared" si="22"/>
        <v>-1184666.27</v>
      </c>
      <c r="AF48" s="375">
        <f t="shared" si="23"/>
        <v>-1184666.27</v>
      </c>
      <c r="AG48" s="4"/>
      <c r="AH48" s="375">
        <v>-217561.5</v>
      </c>
      <c r="AI48" s="375">
        <v>-217561.5</v>
      </c>
      <c r="AJ48" s="4"/>
      <c r="AK48" s="375">
        <v>-216326</v>
      </c>
      <c r="AL48" s="375">
        <v>-216326</v>
      </c>
      <c r="AM48" s="4"/>
      <c r="AN48" s="375">
        <v>-217252.59</v>
      </c>
      <c r="AO48" s="375">
        <v>-217252.59</v>
      </c>
      <c r="AP48" s="4"/>
      <c r="AQ48" s="375">
        <f t="shared" ref="AQ48:AR58" si="32">AN48+AK48+AH48</f>
        <v>-651140.09</v>
      </c>
      <c r="AR48" s="375">
        <f t="shared" si="32"/>
        <v>-651140.09</v>
      </c>
      <c r="AS48" s="4"/>
      <c r="AT48" s="375">
        <f t="shared" si="25"/>
        <v>-1835806.3599999999</v>
      </c>
      <c r="AU48" s="4"/>
      <c r="AV48" s="375">
        <v>-266422.76</v>
      </c>
      <c r="AW48" s="388">
        <v>-214905</v>
      </c>
      <c r="AX48" s="4"/>
      <c r="AY48" s="375">
        <v>-266422.76</v>
      </c>
      <c r="AZ48" s="388">
        <v>-217993</v>
      </c>
      <c r="BA48" s="4"/>
      <c r="BB48" s="375">
        <v>-403518.06125000003</v>
      </c>
      <c r="BC48" s="375">
        <v>-219348.19</v>
      </c>
      <c r="BD48" s="4"/>
      <c r="BE48" s="375">
        <f t="shared" ref="BE48:BF58" si="33">BB48+AY48+AV48</f>
        <v>-936363.58125000005</v>
      </c>
      <c r="BF48" s="375">
        <f t="shared" si="33"/>
        <v>-652246.18999999994</v>
      </c>
      <c r="BG48" s="402"/>
      <c r="BH48" s="375">
        <f t="shared" ref="BH48:BH58" si="34">Q48+AB48+AQ48+BE48</f>
        <v>-2772169.9412500001</v>
      </c>
      <c r="BI48" s="388">
        <f t="shared" ref="BI48:BI58" si="35">Q48+AC48+AR48+BF48</f>
        <v>-2488052.5499999998</v>
      </c>
      <c r="BJ48" s="4"/>
      <c r="BK48" s="386" t="s">
        <v>48</v>
      </c>
      <c r="BL48" s="386" t="s">
        <v>14</v>
      </c>
      <c r="BM48" s="375">
        <v>-4505516.5200000005</v>
      </c>
      <c r="BN48" s="282"/>
    </row>
    <row r="49" spans="1:67" ht="15" hidden="1" customHeight="1" outlineLevel="1">
      <c r="A49" s="386" t="s">
        <v>48</v>
      </c>
      <c r="B49" s="386" t="s">
        <v>49</v>
      </c>
      <c r="C49" s="375">
        <v>-133516.48000000001</v>
      </c>
      <c r="D49" s="4"/>
      <c r="E49" s="375">
        <v>-56138.6</v>
      </c>
      <c r="F49" s="4"/>
      <c r="G49" s="375"/>
      <c r="H49" s="375">
        <v>-5475</v>
      </c>
      <c r="I49" s="4"/>
      <c r="J49" s="375"/>
      <c r="K49" s="375">
        <v>-10069.14</v>
      </c>
      <c r="L49" s="4"/>
      <c r="M49" s="375"/>
      <c r="N49" s="375">
        <v>-7656</v>
      </c>
      <c r="O49" s="4"/>
      <c r="P49" s="375">
        <f t="shared" si="17"/>
        <v>0</v>
      </c>
      <c r="Q49" s="375">
        <f t="shared" si="17"/>
        <v>-23200.14</v>
      </c>
      <c r="R49" s="4"/>
      <c r="S49" s="375">
        <v>-19755.87</v>
      </c>
      <c r="T49" s="375">
        <v>-19755.87</v>
      </c>
      <c r="U49" s="4"/>
      <c r="V49" s="375">
        <v>-20076.95</v>
      </c>
      <c r="W49" s="375">
        <v>-20076.95</v>
      </c>
      <c r="X49" s="4"/>
      <c r="Y49" s="375">
        <v>-18517.75</v>
      </c>
      <c r="Z49" s="375">
        <v>-18517.75</v>
      </c>
      <c r="AA49" s="4"/>
      <c r="AB49" s="375">
        <f t="shared" si="20"/>
        <v>-58350.57</v>
      </c>
      <c r="AC49" s="375">
        <f t="shared" si="21"/>
        <v>-58350.57</v>
      </c>
      <c r="AD49" s="402"/>
      <c r="AE49" s="375">
        <f t="shared" si="22"/>
        <v>-81550.709999999992</v>
      </c>
      <c r="AF49" s="375">
        <f t="shared" si="23"/>
        <v>-81550.709999999992</v>
      </c>
      <c r="AG49" s="4"/>
      <c r="AH49" s="375">
        <v>-44448.06</v>
      </c>
      <c r="AI49" s="375">
        <v>-44448.06</v>
      </c>
      <c r="AJ49" s="4"/>
      <c r="AK49" s="375">
        <v>8556.99</v>
      </c>
      <c r="AL49" s="375">
        <v>8556.99</v>
      </c>
      <c r="AM49" s="4"/>
      <c r="AN49" s="375">
        <v>-17277.96</v>
      </c>
      <c r="AO49" s="375">
        <v>-17277.96</v>
      </c>
      <c r="AP49" s="4"/>
      <c r="AQ49" s="375">
        <f t="shared" si="32"/>
        <v>-53169.03</v>
      </c>
      <c r="AR49" s="375">
        <f t="shared" si="32"/>
        <v>-53169.03</v>
      </c>
      <c r="AS49" s="4"/>
      <c r="AT49" s="375">
        <f t="shared" si="25"/>
        <v>-134719.74</v>
      </c>
      <c r="AU49" s="4"/>
      <c r="AV49" s="375"/>
      <c r="AW49" s="375">
        <v>-21306.95</v>
      </c>
      <c r="AX49" s="4"/>
      <c r="AY49" s="375"/>
      <c r="AZ49" s="375">
        <v>-16988.57</v>
      </c>
      <c r="BA49" s="4"/>
      <c r="BB49" s="375"/>
      <c r="BC49" s="375">
        <v>-17690.78</v>
      </c>
      <c r="BD49" s="4"/>
      <c r="BE49" s="375">
        <f t="shared" si="33"/>
        <v>0</v>
      </c>
      <c r="BF49" s="375">
        <f t="shared" si="33"/>
        <v>-55986.3</v>
      </c>
      <c r="BG49" s="402"/>
      <c r="BH49" s="375">
        <f t="shared" si="34"/>
        <v>-134719.74</v>
      </c>
      <c r="BI49" s="388">
        <f t="shared" si="35"/>
        <v>-190706.03999999998</v>
      </c>
      <c r="BJ49" s="4"/>
      <c r="BK49" s="386" t="s">
        <v>48</v>
      </c>
      <c r="BL49" s="386" t="s">
        <v>49</v>
      </c>
      <c r="BM49" s="375">
        <v>0</v>
      </c>
      <c r="BN49" s="282"/>
    </row>
    <row r="50" spans="1:67" ht="15" hidden="1" customHeight="1" outlineLevel="1">
      <c r="A50" s="386" t="s">
        <v>48</v>
      </c>
      <c r="B50" s="386" t="s">
        <v>27</v>
      </c>
      <c r="C50" s="375">
        <v>0</v>
      </c>
      <c r="D50" s="4"/>
      <c r="E50" s="375">
        <v>0</v>
      </c>
      <c r="F50" s="4"/>
      <c r="G50" s="375"/>
      <c r="H50" s="375"/>
      <c r="I50" s="4"/>
      <c r="J50" s="375"/>
      <c r="K50" s="375"/>
      <c r="L50" s="4"/>
      <c r="M50" s="375"/>
      <c r="N50" s="375">
        <v>0</v>
      </c>
      <c r="O50" s="4"/>
      <c r="P50" s="375">
        <f t="shared" si="17"/>
        <v>0</v>
      </c>
      <c r="Q50" s="375">
        <f t="shared" si="17"/>
        <v>0</v>
      </c>
      <c r="R50" s="4"/>
      <c r="S50" s="375"/>
      <c r="T50" s="375"/>
      <c r="U50" s="4"/>
      <c r="V50" s="375"/>
      <c r="W50" s="375"/>
      <c r="X50" s="4"/>
      <c r="Y50" s="375"/>
      <c r="Z50" s="375"/>
      <c r="AA50" s="4"/>
      <c r="AB50" s="375">
        <f t="shared" si="20"/>
        <v>0</v>
      </c>
      <c r="AC50" s="375">
        <f t="shared" si="21"/>
        <v>0</v>
      </c>
      <c r="AD50" s="402"/>
      <c r="AE50" s="375">
        <f t="shared" si="22"/>
        <v>0</v>
      </c>
      <c r="AF50" s="375">
        <f t="shared" si="23"/>
        <v>0</v>
      </c>
      <c r="AG50" s="4"/>
      <c r="AH50" s="375"/>
      <c r="AI50" s="375"/>
      <c r="AJ50" s="4"/>
      <c r="AK50" s="375"/>
      <c r="AL50" s="375"/>
      <c r="AM50" s="4"/>
      <c r="AN50" s="375"/>
      <c r="AO50" s="375"/>
      <c r="AP50" s="4"/>
      <c r="AQ50" s="375">
        <f t="shared" si="32"/>
        <v>0</v>
      </c>
      <c r="AR50" s="375">
        <f t="shared" si="32"/>
        <v>0</v>
      </c>
      <c r="AS50" s="4"/>
      <c r="AT50" s="375">
        <f t="shared" si="25"/>
        <v>0</v>
      </c>
      <c r="AU50" s="4"/>
      <c r="AV50" s="375"/>
      <c r="AW50" s="375"/>
      <c r="AX50" s="4"/>
      <c r="AY50" s="375"/>
      <c r="AZ50" s="375"/>
      <c r="BA50" s="4"/>
      <c r="BB50" s="375"/>
      <c r="BC50" s="375"/>
      <c r="BD50" s="4"/>
      <c r="BE50" s="375">
        <f t="shared" si="33"/>
        <v>0</v>
      </c>
      <c r="BF50" s="375">
        <f t="shared" si="33"/>
        <v>0</v>
      </c>
      <c r="BG50" s="402"/>
      <c r="BH50" s="375">
        <f t="shared" si="34"/>
        <v>0</v>
      </c>
      <c r="BI50" s="388">
        <f t="shared" si="35"/>
        <v>0</v>
      </c>
      <c r="BJ50" s="4"/>
      <c r="BK50" s="386" t="s">
        <v>48</v>
      </c>
      <c r="BL50" s="386" t="s">
        <v>27</v>
      </c>
      <c r="BM50" s="375">
        <v>0</v>
      </c>
      <c r="BN50" s="282"/>
    </row>
    <row r="51" spans="1:67" ht="15" hidden="1" customHeight="1" outlineLevel="1">
      <c r="A51" s="386" t="s">
        <v>48</v>
      </c>
      <c r="B51" s="386" t="s">
        <v>50</v>
      </c>
      <c r="C51" s="375">
        <v>0</v>
      </c>
      <c r="D51" s="4"/>
      <c r="E51" s="375">
        <v>0</v>
      </c>
      <c r="F51" s="4"/>
      <c r="G51" s="375"/>
      <c r="H51" s="375"/>
      <c r="I51" s="4"/>
      <c r="J51" s="375"/>
      <c r="K51" s="375"/>
      <c r="L51" s="4"/>
      <c r="M51" s="375"/>
      <c r="N51" s="375">
        <v>0</v>
      </c>
      <c r="O51" s="4"/>
      <c r="P51" s="375">
        <f t="shared" si="17"/>
        <v>0</v>
      </c>
      <c r="Q51" s="375">
        <f t="shared" si="17"/>
        <v>0</v>
      </c>
      <c r="R51" s="4"/>
      <c r="S51" s="375"/>
      <c r="T51" s="375"/>
      <c r="U51" s="4"/>
      <c r="V51" s="375"/>
      <c r="W51" s="375"/>
      <c r="X51" s="4"/>
      <c r="Y51" s="375"/>
      <c r="Z51" s="375"/>
      <c r="AA51" s="4"/>
      <c r="AB51" s="375">
        <f t="shared" si="20"/>
        <v>0</v>
      </c>
      <c r="AC51" s="375">
        <f t="shared" si="21"/>
        <v>0</v>
      </c>
      <c r="AD51" s="402"/>
      <c r="AE51" s="375">
        <f t="shared" si="22"/>
        <v>0</v>
      </c>
      <c r="AF51" s="375">
        <f t="shared" si="23"/>
        <v>0</v>
      </c>
      <c r="AG51" s="4"/>
      <c r="AH51" s="375"/>
      <c r="AI51" s="375"/>
      <c r="AJ51" s="4"/>
      <c r="AK51" s="375"/>
      <c r="AL51" s="375"/>
      <c r="AM51" s="4"/>
      <c r="AN51" s="375"/>
      <c r="AO51" s="375"/>
      <c r="AP51" s="4"/>
      <c r="AQ51" s="375">
        <f t="shared" si="32"/>
        <v>0</v>
      </c>
      <c r="AR51" s="375">
        <f t="shared" si="32"/>
        <v>0</v>
      </c>
      <c r="AS51" s="4"/>
      <c r="AT51" s="375">
        <f t="shared" si="25"/>
        <v>0</v>
      </c>
      <c r="AU51" s="4"/>
      <c r="AV51" s="375"/>
      <c r="AW51" s="375"/>
      <c r="AX51" s="4"/>
      <c r="AY51" s="375"/>
      <c r="AZ51" s="375"/>
      <c r="BA51" s="4"/>
      <c r="BB51" s="375"/>
      <c r="BC51" s="375"/>
      <c r="BD51" s="4"/>
      <c r="BE51" s="375">
        <f t="shared" si="33"/>
        <v>0</v>
      </c>
      <c r="BF51" s="375">
        <f t="shared" si="33"/>
        <v>0</v>
      </c>
      <c r="BG51" s="402"/>
      <c r="BH51" s="375">
        <f t="shared" si="34"/>
        <v>0</v>
      </c>
      <c r="BI51" s="388">
        <f t="shared" si="35"/>
        <v>0</v>
      </c>
      <c r="BJ51" s="4"/>
      <c r="BK51" s="386" t="s">
        <v>48</v>
      </c>
      <c r="BL51" s="386" t="s">
        <v>50</v>
      </c>
      <c r="BM51" s="375">
        <v>0</v>
      </c>
      <c r="BN51" s="282"/>
    </row>
    <row r="52" spans="1:67" ht="15" hidden="1" customHeight="1" outlineLevel="1">
      <c r="A52" s="386" t="s">
        <v>48</v>
      </c>
      <c r="B52" s="386" t="s">
        <v>35</v>
      </c>
      <c r="C52" s="375">
        <v>-290511.46999999997</v>
      </c>
      <c r="D52" s="4"/>
      <c r="E52" s="375">
        <v>-14060</v>
      </c>
      <c r="F52" s="4"/>
      <c r="G52" s="375"/>
      <c r="H52" s="375">
        <v>-169242.48</v>
      </c>
      <c r="I52" s="4"/>
      <c r="J52" s="375"/>
      <c r="K52" s="375">
        <v>-3200</v>
      </c>
      <c r="L52" s="4"/>
      <c r="M52" s="375"/>
      <c r="N52" s="375">
        <v>-8880</v>
      </c>
      <c r="O52" s="4"/>
      <c r="P52" s="375">
        <f t="shared" si="17"/>
        <v>0</v>
      </c>
      <c r="Q52" s="375">
        <f t="shared" si="17"/>
        <v>-181322.48</v>
      </c>
      <c r="R52" s="4"/>
      <c r="S52" s="375">
        <v>-8800</v>
      </c>
      <c r="T52" s="375">
        <v>-8800</v>
      </c>
      <c r="U52" s="4"/>
      <c r="V52" s="375">
        <v>-8962</v>
      </c>
      <c r="W52" s="375"/>
      <c r="X52" s="4"/>
      <c r="Y52" s="375">
        <v>-9000</v>
      </c>
      <c r="Z52" s="375">
        <v>-9000</v>
      </c>
      <c r="AA52" s="4"/>
      <c r="AB52" s="375">
        <f t="shared" si="20"/>
        <v>-26762</v>
      </c>
      <c r="AC52" s="375">
        <f t="shared" si="21"/>
        <v>-17800</v>
      </c>
      <c r="AD52" s="402"/>
      <c r="AE52" s="375">
        <f t="shared" si="22"/>
        <v>-208084.48000000001</v>
      </c>
      <c r="AF52" s="375">
        <f t="shared" si="23"/>
        <v>-199122.48</v>
      </c>
      <c r="AG52" s="4"/>
      <c r="AH52" s="375">
        <v>-25130</v>
      </c>
      <c r="AI52" s="375">
        <v>-25130</v>
      </c>
      <c r="AJ52" s="4"/>
      <c r="AK52" s="375">
        <v>-8702.5</v>
      </c>
      <c r="AL52" s="375">
        <v>-8702.5</v>
      </c>
      <c r="AM52" s="4"/>
      <c r="AN52" s="375">
        <v>-8846</v>
      </c>
      <c r="AO52" s="375">
        <v>-8846</v>
      </c>
      <c r="AP52" s="4"/>
      <c r="AQ52" s="375">
        <f t="shared" si="32"/>
        <v>-42678.5</v>
      </c>
      <c r="AR52" s="375">
        <f t="shared" si="32"/>
        <v>-42678.5</v>
      </c>
      <c r="AS52" s="4"/>
      <c r="AT52" s="375">
        <f t="shared" si="25"/>
        <v>-241800.98</v>
      </c>
      <c r="AU52" s="4"/>
      <c r="AV52" s="375"/>
      <c r="AW52" s="375">
        <v>-8800</v>
      </c>
      <c r="AX52" s="4"/>
      <c r="AY52" s="375"/>
      <c r="AZ52" s="375">
        <v>-8800</v>
      </c>
      <c r="BA52" s="4"/>
      <c r="BB52" s="375"/>
      <c r="BC52" s="375">
        <v>-9610</v>
      </c>
      <c r="BD52" s="4"/>
      <c r="BE52" s="375">
        <f t="shared" si="33"/>
        <v>0</v>
      </c>
      <c r="BF52" s="375">
        <f t="shared" si="33"/>
        <v>-27210</v>
      </c>
      <c r="BG52" s="402"/>
      <c r="BH52" s="375">
        <f t="shared" si="34"/>
        <v>-250762.98</v>
      </c>
      <c r="BI52" s="388">
        <f t="shared" si="35"/>
        <v>-269010.98</v>
      </c>
      <c r="BJ52" s="4"/>
      <c r="BK52" s="386" t="s">
        <v>48</v>
      </c>
      <c r="BL52" s="386" t="s">
        <v>35</v>
      </c>
      <c r="BM52" s="375">
        <v>0</v>
      </c>
      <c r="BN52" s="282"/>
    </row>
    <row r="53" spans="1:67" ht="15" hidden="1" customHeight="1" outlineLevel="1">
      <c r="A53" s="386" t="s">
        <v>48</v>
      </c>
      <c r="B53" s="386" t="s">
        <v>51</v>
      </c>
      <c r="C53" s="375">
        <v>0</v>
      </c>
      <c r="D53" s="4"/>
      <c r="E53" s="375">
        <v>0</v>
      </c>
      <c r="F53" s="4"/>
      <c r="G53" s="375"/>
      <c r="H53" s="375"/>
      <c r="I53" s="4"/>
      <c r="J53" s="375"/>
      <c r="K53" s="375"/>
      <c r="L53" s="4"/>
      <c r="M53" s="375"/>
      <c r="N53" s="375">
        <v>0</v>
      </c>
      <c r="O53" s="4"/>
      <c r="P53" s="375">
        <f t="shared" si="17"/>
        <v>0</v>
      </c>
      <c r="Q53" s="375">
        <f t="shared" si="17"/>
        <v>0</v>
      </c>
      <c r="R53" s="4"/>
      <c r="S53" s="375"/>
      <c r="T53" s="375"/>
      <c r="U53" s="4"/>
      <c r="V53" s="375"/>
      <c r="W53" s="375">
        <v>-8962</v>
      </c>
      <c r="X53" s="4"/>
      <c r="Y53" s="375"/>
      <c r="Z53" s="375"/>
      <c r="AA53" s="4"/>
      <c r="AB53" s="375">
        <f t="shared" si="20"/>
        <v>0</v>
      </c>
      <c r="AC53" s="375">
        <f t="shared" si="21"/>
        <v>-8962</v>
      </c>
      <c r="AD53" s="402"/>
      <c r="AE53" s="375">
        <f t="shared" si="22"/>
        <v>0</v>
      </c>
      <c r="AF53" s="375">
        <f t="shared" si="23"/>
        <v>-8962</v>
      </c>
      <c r="AG53" s="4"/>
      <c r="AH53" s="375"/>
      <c r="AI53" s="375"/>
      <c r="AJ53" s="4"/>
      <c r="AK53" s="375"/>
      <c r="AL53" s="375"/>
      <c r="AM53" s="4"/>
      <c r="AN53" s="375"/>
      <c r="AO53" s="375"/>
      <c r="AP53" s="4"/>
      <c r="AQ53" s="375">
        <f t="shared" si="32"/>
        <v>0</v>
      </c>
      <c r="AR53" s="375">
        <f t="shared" si="32"/>
        <v>0</v>
      </c>
      <c r="AS53" s="4"/>
      <c r="AT53" s="375">
        <f t="shared" si="25"/>
        <v>-8962</v>
      </c>
      <c r="AU53" s="4"/>
      <c r="AV53" s="375"/>
      <c r="AW53" s="375"/>
      <c r="AX53" s="4"/>
      <c r="AY53" s="375"/>
      <c r="AZ53" s="375"/>
      <c r="BA53" s="4"/>
      <c r="BB53" s="375"/>
      <c r="BC53" s="375"/>
      <c r="BD53" s="4"/>
      <c r="BE53" s="375">
        <f t="shared" si="33"/>
        <v>0</v>
      </c>
      <c r="BF53" s="375">
        <f t="shared" si="33"/>
        <v>0</v>
      </c>
      <c r="BG53" s="402"/>
      <c r="BH53" s="375">
        <f t="shared" si="34"/>
        <v>0</v>
      </c>
      <c r="BI53" s="388">
        <f t="shared" si="35"/>
        <v>-8962</v>
      </c>
      <c r="BJ53" s="4"/>
      <c r="BK53" s="386" t="s">
        <v>48</v>
      </c>
      <c r="BL53" s="386" t="s">
        <v>51</v>
      </c>
      <c r="BM53" s="375">
        <v>0</v>
      </c>
      <c r="BN53" s="282"/>
    </row>
    <row r="54" spans="1:67" ht="15" hidden="1" customHeight="1" outlineLevel="1">
      <c r="A54" s="386" t="s">
        <v>48</v>
      </c>
      <c r="B54" s="386" t="s">
        <v>52</v>
      </c>
      <c r="C54" s="375">
        <v>0</v>
      </c>
      <c r="D54" s="4"/>
      <c r="E54" s="375">
        <v>0</v>
      </c>
      <c r="F54" s="4"/>
      <c r="G54" s="375"/>
      <c r="H54" s="375"/>
      <c r="I54" s="4"/>
      <c r="J54" s="375"/>
      <c r="K54" s="375"/>
      <c r="L54" s="4"/>
      <c r="M54" s="375"/>
      <c r="N54" s="375">
        <v>0</v>
      </c>
      <c r="O54" s="4"/>
      <c r="P54" s="375">
        <f t="shared" si="17"/>
        <v>0</v>
      </c>
      <c r="Q54" s="375">
        <f t="shared" si="17"/>
        <v>0</v>
      </c>
      <c r="R54" s="4"/>
      <c r="S54" s="375"/>
      <c r="T54" s="375"/>
      <c r="U54" s="4"/>
      <c r="V54" s="375"/>
      <c r="W54" s="375"/>
      <c r="X54" s="4"/>
      <c r="Y54" s="375"/>
      <c r="Z54" s="375"/>
      <c r="AA54" s="4"/>
      <c r="AB54" s="375">
        <f t="shared" si="20"/>
        <v>0</v>
      </c>
      <c r="AC54" s="375">
        <f t="shared" si="21"/>
        <v>0</v>
      </c>
      <c r="AD54" s="402"/>
      <c r="AE54" s="375">
        <f t="shared" si="22"/>
        <v>0</v>
      </c>
      <c r="AF54" s="375">
        <f t="shared" si="23"/>
        <v>0</v>
      </c>
      <c r="AG54" s="4"/>
      <c r="AH54" s="375"/>
      <c r="AI54" s="375"/>
      <c r="AJ54" s="4"/>
      <c r="AK54" s="375"/>
      <c r="AL54" s="375"/>
      <c r="AM54" s="4"/>
      <c r="AN54" s="375"/>
      <c r="AO54" s="375"/>
      <c r="AP54" s="4"/>
      <c r="AQ54" s="375">
        <f t="shared" si="32"/>
        <v>0</v>
      </c>
      <c r="AR54" s="375">
        <f t="shared" si="32"/>
        <v>0</v>
      </c>
      <c r="AS54" s="4"/>
      <c r="AT54" s="375">
        <f t="shared" si="25"/>
        <v>0</v>
      </c>
      <c r="AU54" s="4"/>
      <c r="AV54" s="375"/>
      <c r="AW54" s="375"/>
      <c r="AX54" s="4"/>
      <c r="AY54" s="375"/>
      <c r="AZ54" s="375"/>
      <c r="BA54" s="4"/>
      <c r="BB54" s="375"/>
      <c r="BC54" s="375"/>
      <c r="BD54" s="4"/>
      <c r="BE54" s="375">
        <f t="shared" si="33"/>
        <v>0</v>
      </c>
      <c r="BF54" s="375">
        <f t="shared" si="33"/>
        <v>0</v>
      </c>
      <c r="BG54" s="402"/>
      <c r="BH54" s="375">
        <f t="shared" si="34"/>
        <v>0</v>
      </c>
      <c r="BI54" s="388">
        <f t="shared" si="35"/>
        <v>0</v>
      </c>
      <c r="BJ54" s="4"/>
      <c r="BK54" s="386" t="s">
        <v>48</v>
      </c>
      <c r="BL54" s="386" t="s">
        <v>52</v>
      </c>
      <c r="BM54" s="375">
        <v>0</v>
      </c>
      <c r="BN54" s="282"/>
    </row>
    <row r="55" spans="1:67" ht="15" hidden="1" customHeight="1" outlineLevel="1">
      <c r="A55" s="386" t="s">
        <v>48</v>
      </c>
      <c r="B55" s="386" t="s">
        <v>53</v>
      </c>
      <c r="C55" s="375">
        <v>0</v>
      </c>
      <c r="D55" s="4"/>
      <c r="E55" s="375">
        <v>0</v>
      </c>
      <c r="F55" s="4"/>
      <c r="G55" s="375"/>
      <c r="H55" s="375"/>
      <c r="I55" s="4"/>
      <c r="J55" s="375"/>
      <c r="K55" s="375">
        <v>-6519</v>
      </c>
      <c r="L55" s="4"/>
      <c r="M55" s="375"/>
      <c r="N55" s="375">
        <v>0</v>
      </c>
      <c r="O55" s="4"/>
      <c r="P55" s="375">
        <f t="shared" si="17"/>
        <v>0</v>
      </c>
      <c r="Q55" s="375">
        <f t="shared" si="17"/>
        <v>-6519</v>
      </c>
      <c r="R55" s="4"/>
      <c r="S55" s="375"/>
      <c r="T55" s="375"/>
      <c r="U55" s="4"/>
      <c r="V55" s="375"/>
      <c r="W55" s="375"/>
      <c r="X55" s="4"/>
      <c r="Y55" s="375"/>
      <c r="Z55" s="375"/>
      <c r="AA55" s="4"/>
      <c r="AB55" s="375">
        <f t="shared" si="20"/>
        <v>0</v>
      </c>
      <c r="AC55" s="375">
        <f t="shared" si="21"/>
        <v>0</v>
      </c>
      <c r="AD55" s="402"/>
      <c r="AE55" s="375">
        <f t="shared" si="22"/>
        <v>-6519</v>
      </c>
      <c r="AF55" s="375">
        <f t="shared" si="23"/>
        <v>-6519</v>
      </c>
      <c r="AG55" s="4"/>
      <c r="AH55" s="375"/>
      <c r="AI55" s="375"/>
      <c r="AJ55" s="4"/>
      <c r="AK55" s="375"/>
      <c r="AL55" s="375"/>
      <c r="AM55" s="4"/>
      <c r="AN55" s="375"/>
      <c r="AO55" s="375"/>
      <c r="AP55" s="4"/>
      <c r="AQ55" s="375">
        <f t="shared" si="32"/>
        <v>0</v>
      </c>
      <c r="AR55" s="375">
        <f t="shared" si="32"/>
        <v>0</v>
      </c>
      <c r="AS55" s="4"/>
      <c r="AT55" s="375">
        <f t="shared" si="25"/>
        <v>-6519</v>
      </c>
      <c r="AU55" s="4"/>
      <c r="AV55" s="375"/>
      <c r="AW55" s="375"/>
      <c r="AX55" s="4"/>
      <c r="AY55" s="375"/>
      <c r="AZ55" s="375"/>
      <c r="BA55" s="4"/>
      <c r="BB55" s="375"/>
      <c r="BC55" s="375"/>
      <c r="BD55" s="4"/>
      <c r="BE55" s="375">
        <f t="shared" si="33"/>
        <v>0</v>
      </c>
      <c r="BF55" s="375">
        <f t="shared" si="33"/>
        <v>0</v>
      </c>
      <c r="BG55" s="402"/>
      <c r="BH55" s="375">
        <f t="shared" si="34"/>
        <v>-6519</v>
      </c>
      <c r="BI55" s="388">
        <f t="shared" si="35"/>
        <v>-6519</v>
      </c>
      <c r="BJ55" s="4"/>
      <c r="BK55" s="386" t="s">
        <v>48</v>
      </c>
      <c r="BL55" s="386" t="s">
        <v>53</v>
      </c>
      <c r="BM55" s="375">
        <v>0</v>
      </c>
      <c r="BN55" s="282"/>
    </row>
    <row r="56" spans="1:67" ht="15" hidden="1" customHeight="1" outlineLevel="1">
      <c r="A56" s="386" t="s">
        <v>48</v>
      </c>
      <c r="B56" s="386" t="s">
        <v>36</v>
      </c>
      <c r="C56" s="375">
        <v>-93966.2</v>
      </c>
      <c r="D56" s="4"/>
      <c r="E56" s="375">
        <v>-16316.05</v>
      </c>
      <c r="F56" s="4"/>
      <c r="G56" s="375"/>
      <c r="H56" s="375">
        <v>-10798.2</v>
      </c>
      <c r="I56" s="4"/>
      <c r="J56" s="375"/>
      <c r="K56" s="375">
        <v>-8837.2000000000007</v>
      </c>
      <c r="L56" s="4"/>
      <c r="M56" s="375"/>
      <c r="N56" s="375">
        <v>10944.35</v>
      </c>
      <c r="O56" s="4"/>
      <c r="P56" s="375">
        <f t="shared" si="17"/>
        <v>0</v>
      </c>
      <c r="Q56" s="375">
        <f t="shared" si="17"/>
        <v>-8691.0500000000011</v>
      </c>
      <c r="R56" s="4"/>
      <c r="S56" s="375">
        <v>-31861.200000000001</v>
      </c>
      <c r="T56" s="375">
        <v>-31861.200000000001</v>
      </c>
      <c r="U56" s="4"/>
      <c r="V56" s="375">
        <v>-10492.09</v>
      </c>
      <c r="W56" s="375">
        <v>-10492.09</v>
      </c>
      <c r="X56" s="4"/>
      <c r="Y56" s="375">
        <v>11960.9</v>
      </c>
      <c r="Z56" s="375">
        <v>11960.9</v>
      </c>
      <c r="AA56" s="4"/>
      <c r="AB56" s="375">
        <f t="shared" si="20"/>
        <v>-30392.39</v>
      </c>
      <c r="AC56" s="375">
        <f t="shared" si="21"/>
        <v>-30392.39</v>
      </c>
      <c r="AD56" s="402"/>
      <c r="AE56" s="375">
        <f t="shared" si="22"/>
        <v>-39083.440000000002</v>
      </c>
      <c r="AF56" s="375">
        <f t="shared" si="23"/>
        <v>-39083.440000000002</v>
      </c>
      <c r="AG56" s="4"/>
      <c r="AH56" s="375">
        <v>-32773.949999999997</v>
      </c>
      <c r="AI56" s="375">
        <v>-32773.949999999997</v>
      </c>
      <c r="AJ56" s="4"/>
      <c r="AK56" s="375">
        <v>-8226.4699999999993</v>
      </c>
      <c r="AL56" s="375">
        <v>-8226.4699999999993</v>
      </c>
      <c r="AM56" s="4"/>
      <c r="AN56" s="375">
        <v>43945.77</v>
      </c>
      <c r="AO56" s="375">
        <v>43945.77</v>
      </c>
      <c r="AP56" s="4"/>
      <c r="AQ56" s="375">
        <f t="shared" si="32"/>
        <v>2945.3499999999985</v>
      </c>
      <c r="AR56" s="375">
        <f t="shared" si="32"/>
        <v>2945.3499999999985</v>
      </c>
      <c r="AS56" s="4"/>
      <c r="AT56" s="375">
        <f t="shared" si="25"/>
        <v>-36138.090000000004</v>
      </c>
      <c r="AU56" s="4"/>
      <c r="AV56" s="375"/>
      <c r="AW56" s="375">
        <v>-10626.38</v>
      </c>
      <c r="AX56" s="4"/>
      <c r="AY56" s="375"/>
      <c r="AZ56" s="375">
        <v>-14077.38</v>
      </c>
      <c r="BA56" s="4"/>
      <c r="BB56" s="375"/>
      <c r="BC56" s="375">
        <v>4087.58</v>
      </c>
      <c r="BD56" s="4"/>
      <c r="BE56" s="375">
        <f t="shared" si="33"/>
        <v>0</v>
      </c>
      <c r="BF56" s="375">
        <f t="shared" si="33"/>
        <v>-20616.18</v>
      </c>
      <c r="BG56" s="402"/>
      <c r="BH56" s="375">
        <f t="shared" si="34"/>
        <v>-36138.090000000004</v>
      </c>
      <c r="BI56" s="388">
        <f t="shared" si="35"/>
        <v>-56754.270000000004</v>
      </c>
      <c r="BJ56" s="4"/>
      <c r="BK56" s="386" t="s">
        <v>48</v>
      </c>
      <c r="BL56" s="386" t="s">
        <v>36</v>
      </c>
      <c r="BM56" s="375">
        <v>0</v>
      </c>
      <c r="BN56" s="282"/>
    </row>
    <row r="57" spans="1:67" ht="15" hidden="1" customHeight="1" outlineLevel="1">
      <c r="A57" s="386" t="s">
        <v>48</v>
      </c>
      <c r="B57" s="386" t="s">
        <v>54</v>
      </c>
      <c r="C57" s="375">
        <v>0</v>
      </c>
      <c r="D57" s="4"/>
      <c r="E57" s="375">
        <v>0</v>
      </c>
      <c r="F57" s="4"/>
      <c r="G57" s="375"/>
      <c r="H57" s="375"/>
      <c r="I57" s="4"/>
      <c r="J57" s="375"/>
      <c r="K57" s="375"/>
      <c r="L57" s="4"/>
      <c r="M57" s="375"/>
      <c r="N57" s="375">
        <v>0</v>
      </c>
      <c r="O57" s="4"/>
      <c r="P57" s="375">
        <f t="shared" si="17"/>
        <v>0</v>
      </c>
      <c r="Q57" s="375">
        <f t="shared" si="17"/>
        <v>0</v>
      </c>
      <c r="R57" s="4"/>
      <c r="S57" s="375"/>
      <c r="T57" s="375"/>
      <c r="U57" s="4"/>
      <c r="V57" s="375"/>
      <c r="W57" s="375"/>
      <c r="X57" s="4"/>
      <c r="Y57" s="375"/>
      <c r="Z57" s="375"/>
      <c r="AA57" s="4"/>
      <c r="AB57" s="375">
        <f t="shared" si="20"/>
        <v>0</v>
      </c>
      <c r="AC57" s="375">
        <f t="shared" si="21"/>
        <v>0</v>
      </c>
      <c r="AD57" s="402"/>
      <c r="AE57" s="375">
        <f t="shared" si="22"/>
        <v>0</v>
      </c>
      <c r="AF57" s="375">
        <f t="shared" si="23"/>
        <v>0</v>
      </c>
      <c r="AG57" s="4"/>
      <c r="AH57" s="375"/>
      <c r="AI57" s="375"/>
      <c r="AJ57" s="4"/>
      <c r="AK57" s="375"/>
      <c r="AL57" s="375"/>
      <c r="AM57" s="4"/>
      <c r="AN57" s="375">
        <v>-52023.28</v>
      </c>
      <c r="AO57" s="375">
        <v>-52023.28</v>
      </c>
      <c r="AP57" s="4"/>
      <c r="AQ57" s="375">
        <f t="shared" si="32"/>
        <v>-52023.28</v>
      </c>
      <c r="AR57" s="375">
        <f t="shared" si="32"/>
        <v>-52023.28</v>
      </c>
      <c r="AS57" s="4"/>
      <c r="AT57" s="375">
        <f t="shared" si="25"/>
        <v>-52023.28</v>
      </c>
      <c r="AU57" s="4"/>
      <c r="AV57" s="375"/>
      <c r="AW57" s="375"/>
      <c r="AX57" s="4"/>
      <c r="AY57" s="375"/>
      <c r="AZ57" s="375"/>
      <c r="BA57" s="4"/>
      <c r="BB57" s="375"/>
      <c r="BC57" s="375"/>
      <c r="BD57" s="4"/>
      <c r="BE57" s="375">
        <f t="shared" si="33"/>
        <v>0</v>
      </c>
      <c r="BF57" s="375">
        <f t="shared" si="33"/>
        <v>0</v>
      </c>
      <c r="BG57" s="402"/>
      <c r="BH57" s="375">
        <f t="shared" si="34"/>
        <v>-52023.28</v>
      </c>
      <c r="BI57" s="388">
        <f t="shared" si="35"/>
        <v>-52023.28</v>
      </c>
      <c r="BJ57" s="4"/>
      <c r="BK57" s="386" t="s">
        <v>48</v>
      </c>
      <c r="BL57" s="386" t="s">
        <v>54</v>
      </c>
      <c r="BM57" s="375">
        <v>0</v>
      </c>
      <c r="BN57" s="282"/>
    </row>
    <row r="58" spans="1:67" ht="15" hidden="1" customHeight="1" outlineLevel="1">
      <c r="A58" s="386" t="s">
        <v>48</v>
      </c>
      <c r="B58" s="386" t="s">
        <v>55</v>
      </c>
      <c r="C58" s="375">
        <v>-538115.79</v>
      </c>
      <c r="D58" s="4"/>
      <c r="E58" s="375">
        <v>-356446.87</v>
      </c>
      <c r="F58" s="4"/>
      <c r="G58" s="375">
        <v>-36991.67</v>
      </c>
      <c r="H58" s="375">
        <v>-17139.900000000001</v>
      </c>
      <c r="I58" s="4"/>
      <c r="J58" s="375">
        <v>-36991.67</v>
      </c>
      <c r="K58" s="375">
        <v>-2156</v>
      </c>
      <c r="L58" s="4"/>
      <c r="M58" s="375">
        <v>-36991.67</v>
      </c>
      <c r="N58" s="375">
        <v>-103094.74</v>
      </c>
      <c r="O58" s="4"/>
      <c r="P58" s="375">
        <f t="shared" si="17"/>
        <v>-110975.01</v>
      </c>
      <c r="Q58" s="375">
        <f t="shared" si="17"/>
        <v>-122390.64000000001</v>
      </c>
      <c r="R58" s="4"/>
      <c r="S58" s="375">
        <v>-12498.07</v>
      </c>
      <c r="T58" s="375">
        <v>-12498.07</v>
      </c>
      <c r="U58" s="4"/>
      <c r="V58" s="375">
        <v>-25781.54</v>
      </c>
      <c r="W58" s="375">
        <v>-25781.54</v>
      </c>
      <c r="X58" s="4"/>
      <c r="Y58" s="375">
        <v>-4719.5</v>
      </c>
      <c r="Z58" s="375">
        <v>-4719.5</v>
      </c>
      <c r="AA58" s="4"/>
      <c r="AB58" s="375">
        <f t="shared" si="20"/>
        <v>-42999.11</v>
      </c>
      <c r="AC58" s="375">
        <f>+T58+W58+Z58</f>
        <v>-42999.11</v>
      </c>
      <c r="AD58" s="402"/>
      <c r="AE58" s="375">
        <f t="shared" si="22"/>
        <v>-165389.75</v>
      </c>
      <c r="AF58" s="375">
        <f t="shared" si="23"/>
        <v>-165389.75</v>
      </c>
      <c r="AG58" s="4"/>
      <c r="AH58" s="375">
        <v>-25771.32</v>
      </c>
      <c r="AI58" s="375">
        <v>-25771.32</v>
      </c>
      <c r="AJ58" s="4"/>
      <c r="AK58" s="375">
        <v>-121569.29</v>
      </c>
      <c r="AL58" s="375">
        <v>-121569.29</v>
      </c>
      <c r="AM58" s="4"/>
      <c r="AN58" s="375"/>
      <c r="AO58" s="375"/>
      <c r="AP58" s="4"/>
      <c r="AQ58" s="375">
        <f t="shared" si="32"/>
        <v>-147340.60999999999</v>
      </c>
      <c r="AR58" s="375">
        <f t="shared" si="32"/>
        <v>-147340.60999999999</v>
      </c>
      <c r="AS58" s="4"/>
      <c r="AT58" s="375">
        <f t="shared" si="25"/>
        <v>-312730.36</v>
      </c>
      <c r="AU58" s="4"/>
      <c r="AV58" s="375">
        <v>-44887.62</v>
      </c>
      <c r="AW58" s="375">
        <v>-70070.100000000006</v>
      </c>
      <c r="AX58" s="4"/>
      <c r="AY58" s="375">
        <v>-44887.62</v>
      </c>
      <c r="AZ58" s="375">
        <v>-45634.66</v>
      </c>
      <c r="BA58" s="4"/>
      <c r="BB58" s="375">
        <v>-48699.694999999992</v>
      </c>
      <c r="BC58" s="375">
        <v>-19655.98</v>
      </c>
      <c r="BD58" s="4"/>
      <c r="BE58" s="375">
        <f t="shared" si="33"/>
        <v>-138474.935</v>
      </c>
      <c r="BF58" s="375">
        <f t="shared" si="33"/>
        <v>-135360.74</v>
      </c>
      <c r="BG58" s="402"/>
      <c r="BH58" s="375">
        <f t="shared" si="34"/>
        <v>-451205.29499999998</v>
      </c>
      <c r="BI58" s="388">
        <f t="shared" si="35"/>
        <v>-448091.1</v>
      </c>
      <c r="BJ58" s="4"/>
      <c r="BK58" s="386" t="s">
        <v>48</v>
      </c>
      <c r="BL58" s="386" t="s">
        <v>55</v>
      </c>
      <c r="BM58" s="375">
        <v>-566094.72</v>
      </c>
      <c r="BN58" s="282"/>
    </row>
    <row r="59" spans="1:67" collapsed="1">
      <c r="A59" s="386" t="s">
        <v>48</v>
      </c>
      <c r="B59" s="386"/>
      <c r="C59" s="391">
        <f>SUM(C48:C58)</f>
        <v>-1970212.5399999998</v>
      </c>
      <c r="D59" s="4"/>
      <c r="E59" s="391">
        <f>SUM(E48:E58)</f>
        <v>-648393.14999999991</v>
      </c>
      <c r="F59" s="4"/>
      <c r="G59" s="391">
        <f>SUM(G48:G58)</f>
        <v>-301840.39999999997</v>
      </c>
      <c r="H59" s="391">
        <f>SUM(H48:H58)</f>
        <v>-309148.58</v>
      </c>
      <c r="I59" s="4"/>
      <c r="J59" s="391">
        <f>SUM(J48:J58)</f>
        <v>-301840.39999999997</v>
      </c>
      <c r="K59" s="391">
        <f>SUM(K48:K58)</f>
        <v>-144171.34000000003</v>
      </c>
      <c r="L59" s="4"/>
      <c r="M59" s="391">
        <f>SUM(M48:M58)</f>
        <v>-301840.39999999997</v>
      </c>
      <c r="N59" s="391">
        <f>SUM(N48:N58)</f>
        <v>-368917.39</v>
      </c>
      <c r="O59" s="4"/>
      <c r="P59" s="391">
        <f t="shared" si="17"/>
        <v>-905521.2</v>
      </c>
      <c r="Q59" s="391">
        <f t="shared" si="17"/>
        <v>-822237.31</v>
      </c>
      <c r="R59" s="4"/>
      <c r="S59" s="391">
        <f>SUM(S48:S58)</f>
        <v>-299421.64</v>
      </c>
      <c r="T59" s="391">
        <f>SUM(T48:T58)</f>
        <v>-299421.64</v>
      </c>
      <c r="U59" s="4"/>
      <c r="V59" s="391">
        <f>SUM(V48:V58)</f>
        <v>-294346.58</v>
      </c>
      <c r="W59" s="391">
        <f>SUM(W48:W58)</f>
        <v>-294346.58</v>
      </c>
      <c r="X59" s="4"/>
      <c r="Y59" s="391">
        <f>SUM(Y48:Y58)</f>
        <v>-269288.12</v>
      </c>
      <c r="Z59" s="391">
        <f>SUM(Z48:Z58)</f>
        <v>-269288.12</v>
      </c>
      <c r="AA59" s="4"/>
      <c r="AB59" s="391">
        <f>SUM(AB48:AB58)</f>
        <v>-863056.34</v>
      </c>
      <c r="AC59" s="391">
        <f>SUM(AC48:AC58)</f>
        <v>-863056.34</v>
      </c>
      <c r="AD59" s="402"/>
      <c r="AE59" s="391">
        <f>SUM(AE48:AE58)</f>
        <v>-1685293.65</v>
      </c>
      <c r="AF59" s="391">
        <f>SUM(AF48:AF58)</f>
        <v>-1685293.65</v>
      </c>
      <c r="AG59" s="4"/>
      <c r="AH59" s="391">
        <f>SUM(AH48:AH58)</f>
        <v>-345684.83</v>
      </c>
      <c r="AI59" s="391">
        <f>SUM(AI48:AI58)</f>
        <v>-345684.83</v>
      </c>
      <c r="AJ59" s="4"/>
      <c r="AK59" s="391">
        <f>SUM(AK48:AK58)</f>
        <v>-346267.27</v>
      </c>
      <c r="AL59" s="391">
        <f>SUM(AL48:AL58)</f>
        <v>-346267.27</v>
      </c>
      <c r="AM59" s="4"/>
      <c r="AN59" s="391">
        <f>SUM(AN48:AN58)</f>
        <v>-251454.06</v>
      </c>
      <c r="AO59" s="391">
        <f>SUM(AO48:AO58)</f>
        <v>-251454.06</v>
      </c>
      <c r="AP59" s="4"/>
      <c r="AQ59" s="391">
        <f>SUM(AQ48:AQ58)</f>
        <v>-943406.16</v>
      </c>
      <c r="AR59" s="391">
        <f>SUM(AR48:AR58)</f>
        <v>-943406.16</v>
      </c>
      <c r="AS59" s="4"/>
      <c r="AT59" s="391">
        <f>SUM(AT48:AT58)</f>
        <v>-2628699.8099999996</v>
      </c>
      <c r="AU59" s="4"/>
      <c r="AV59" s="391">
        <f>SUM(AV48:AV58)</f>
        <v>-311310.38</v>
      </c>
      <c r="AW59" s="391">
        <f>SUM(AW48:AW58)</f>
        <v>-325708.43000000005</v>
      </c>
      <c r="AX59" s="4"/>
      <c r="AY59" s="391">
        <f>SUM(AY48:AY58)</f>
        <v>-311310.38</v>
      </c>
      <c r="AZ59" s="391">
        <f>SUM(AZ48:AZ58)</f>
        <v>-303493.61</v>
      </c>
      <c r="BA59" s="4"/>
      <c r="BB59" s="391">
        <f>SUM(BB48:BB58)</f>
        <v>-452217.75625000003</v>
      </c>
      <c r="BC59" s="391">
        <f>SUM(BC48:BC58)</f>
        <v>-262217.37</v>
      </c>
      <c r="BD59" s="4"/>
      <c r="BE59" s="391">
        <f>SUM(BE48:BE58)</f>
        <v>-1074838.5162500001</v>
      </c>
      <c r="BF59" s="391">
        <f>SUM(BF48:BF58)</f>
        <v>-891419.41</v>
      </c>
      <c r="BG59" s="402"/>
      <c r="BH59" s="391">
        <f>SUM(BH48:BH58)</f>
        <v>-3703538.3262499999</v>
      </c>
      <c r="BI59" s="391">
        <f>SUM(BI48:BI58)</f>
        <v>-3520119.2199999997</v>
      </c>
      <c r="BJ59" s="4"/>
      <c r="BK59" s="386" t="s">
        <v>48</v>
      </c>
      <c r="BL59" s="386"/>
      <c r="BM59" s="389">
        <v>-5071611.24</v>
      </c>
      <c r="BN59" s="282"/>
      <c r="BO59" s="381">
        <f>+BO69+'IS Assumption'!R144+'IS Assumption'!R127</f>
        <v>-4.0000000968575478E-2</v>
      </c>
    </row>
    <row r="60" spans="1:67" ht="15" hidden="1" customHeight="1" outlineLevel="1">
      <c r="A60" s="386" t="s">
        <v>56</v>
      </c>
      <c r="B60" s="386" t="s">
        <v>14</v>
      </c>
      <c r="C60" s="375">
        <v>-5961350.9800000004</v>
      </c>
      <c r="D60" s="4"/>
      <c r="E60" s="375">
        <v>-1666636.91</v>
      </c>
      <c r="F60" s="4"/>
      <c r="G60" s="375">
        <v>-564126.57999999984</v>
      </c>
      <c r="H60" s="375">
        <v>-534066.81000000006</v>
      </c>
      <c r="I60" s="4"/>
      <c r="J60" s="375">
        <v>-564126.57999999984</v>
      </c>
      <c r="K60" s="375">
        <v>-642102.03</v>
      </c>
      <c r="L60" s="4"/>
      <c r="M60" s="375">
        <v>-564126.57999999984</v>
      </c>
      <c r="N60" s="375">
        <v>-524242.53</v>
      </c>
      <c r="O60" s="4"/>
      <c r="P60" s="375">
        <f t="shared" si="17"/>
        <v>-1692379.7399999995</v>
      </c>
      <c r="Q60" s="375">
        <f t="shared" si="17"/>
        <v>-1700411.37</v>
      </c>
      <c r="R60" s="4"/>
      <c r="S60" s="375">
        <v>-594368.81999999995</v>
      </c>
      <c r="T60" s="375">
        <v>-594368.81999999995</v>
      </c>
      <c r="U60" s="4"/>
      <c r="V60" s="375">
        <v>-579923.93999999994</v>
      </c>
      <c r="W60" s="375">
        <v>-579923.93999999994</v>
      </c>
      <c r="X60" s="4"/>
      <c r="Y60" s="375">
        <v>-660228.23</v>
      </c>
      <c r="Z60" s="375">
        <v>-660228.23</v>
      </c>
      <c r="AA60" s="4"/>
      <c r="AB60" s="375">
        <f t="shared" si="20"/>
        <v>-1834520.9899999998</v>
      </c>
      <c r="AC60" s="375">
        <f>+T60+W60+Z60</f>
        <v>-1834520.9899999998</v>
      </c>
      <c r="AD60" s="402"/>
      <c r="AE60" s="375">
        <f t="shared" ref="AE60:AE68" si="36">+Q60+AB60</f>
        <v>-3534932.36</v>
      </c>
      <c r="AF60" s="375">
        <f t="shared" ref="AF60:AF68" si="37">+AC60+Q60</f>
        <v>-3534932.36</v>
      </c>
      <c r="AG60" s="4"/>
      <c r="AH60" s="375">
        <v>-570991.57999999996</v>
      </c>
      <c r="AI60" s="375">
        <v>-570991.57999999996</v>
      </c>
      <c r="AJ60" s="4"/>
      <c r="AK60" s="375">
        <v>-47528.65</v>
      </c>
      <c r="AL60" s="375">
        <v>-47528.65</v>
      </c>
      <c r="AM60" s="4"/>
      <c r="AN60" s="375">
        <v>-460181.54</v>
      </c>
      <c r="AO60" s="375">
        <v>-460181.54</v>
      </c>
      <c r="AP60" s="4"/>
      <c r="AQ60" s="375">
        <f t="shared" ref="AQ60:AR68" si="38">AN60+AK60+AH60</f>
        <v>-1078701.77</v>
      </c>
      <c r="AR60" s="375">
        <f t="shared" si="38"/>
        <v>-1078701.77</v>
      </c>
      <c r="AS60" s="4"/>
      <c r="AT60" s="375">
        <f t="shared" ref="AT60:AT68" si="39">+AF60+AR60</f>
        <v>-4613634.13</v>
      </c>
      <c r="AU60" s="4"/>
      <c r="AV60" s="375">
        <v>-535982.17999999993</v>
      </c>
      <c r="AW60" s="375">
        <v>-478632.57</v>
      </c>
      <c r="AX60" s="4"/>
      <c r="AY60" s="375">
        <v>-535982.17999999993</v>
      </c>
      <c r="AZ60" s="375">
        <v>-659690.4</v>
      </c>
      <c r="BA60" s="4"/>
      <c r="BB60" s="375">
        <v>-551397.12874999992</v>
      </c>
      <c r="BC60" s="375">
        <v>-703711.7</v>
      </c>
      <c r="BD60" s="4"/>
      <c r="BE60" s="375">
        <f t="shared" ref="BE60:BF68" si="40">BB60+AY60+AV60</f>
        <v>-1623361.4887499998</v>
      </c>
      <c r="BF60" s="375">
        <f t="shared" si="40"/>
        <v>-1842034.6700000002</v>
      </c>
      <c r="BG60" s="402"/>
      <c r="BH60" s="375">
        <f t="shared" ref="BH60:BH68" si="41">Q60+AB60+AQ60+BE60</f>
        <v>-6236995.6187499994</v>
      </c>
      <c r="BI60" s="388">
        <f t="shared" ref="BI60:BI68" si="42">Q60+AC60+AR60+BF60</f>
        <v>-6455668.7999999998</v>
      </c>
      <c r="BJ60" s="4"/>
      <c r="BK60" s="386" t="s">
        <v>56</v>
      </c>
      <c r="BL60" s="386" t="s">
        <v>14</v>
      </c>
      <c r="BM60" s="375">
        <v>-7450501.3200000012</v>
      </c>
      <c r="BN60" s="282"/>
    </row>
    <row r="61" spans="1:67" ht="15" hidden="1" customHeight="1" outlineLevel="1">
      <c r="A61" s="386" t="s">
        <v>56</v>
      </c>
      <c r="B61" s="386" t="s">
        <v>49</v>
      </c>
      <c r="C61" s="375">
        <v>-726550.05</v>
      </c>
      <c r="D61" s="4"/>
      <c r="E61" s="375">
        <v>-255072.4</v>
      </c>
      <c r="F61" s="4"/>
      <c r="G61" s="375"/>
      <c r="H61" s="375">
        <v>-31821.200000000001</v>
      </c>
      <c r="I61" s="4"/>
      <c r="J61" s="375"/>
      <c r="K61" s="375">
        <v>-56124.55</v>
      </c>
      <c r="L61" s="4"/>
      <c r="M61" s="375"/>
      <c r="N61" s="375">
        <v>-41829.379999999997</v>
      </c>
      <c r="O61" s="4"/>
      <c r="P61" s="375">
        <f t="shared" si="17"/>
        <v>0</v>
      </c>
      <c r="Q61" s="375">
        <f t="shared" si="17"/>
        <v>-129775.13</v>
      </c>
      <c r="R61" s="4"/>
      <c r="S61" s="375">
        <v>-50651.67</v>
      </c>
      <c r="T61" s="375">
        <v>-50651.67</v>
      </c>
      <c r="U61" s="4"/>
      <c r="V61" s="375">
        <v>-50629.75</v>
      </c>
      <c r="W61" s="375">
        <v>-50629.75</v>
      </c>
      <c r="X61" s="4"/>
      <c r="Y61" s="375">
        <v>-48155.95</v>
      </c>
      <c r="Z61" s="375">
        <v>-48155.95</v>
      </c>
      <c r="AA61" s="4"/>
      <c r="AB61" s="375">
        <f t="shared" si="20"/>
        <v>-149437.37</v>
      </c>
      <c r="AC61" s="375">
        <f t="shared" ref="AC61:AC124" si="43">+T61+W61+Z61</f>
        <v>-149437.37</v>
      </c>
      <c r="AD61" s="402"/>
      <c r="AE61" s="375">
        <f t="shared" si="36"/>
        <v>-279212.5</v>
      </c>
      <c r="AF61" s="375">
        <f t="shared" si="37"/>
        <v>-279212.5</v>
      </c>
      <c r="AG61" s="4"/>
      <c r="AH61" s="375">
        <v>-174180.76</v>
      </c>
      <c r="AI61" s="375">
        <v>-174180.76</v>
      </c>
      <c r="AJ61" s="4"/>
      <c r="AK61" s="375">
        <v>80597.58</v>
      </c>
      <c r="AL61" s="375">
        <v>80597.58</v>
      </c>
      <c r="AM61" s="4"/>
      <c r="AN61" s="375">
        <v>-43741.08</v>
      </c>
      <c r="AO61" s="375">
        <v>-43741.08</v>
      </c>
      <c r="AP61" s="4"/>
      <c r="AQ61" s="375">
        <f t="shared" si="38"/>
        <v>-137324.26</v>
      </c>
      <c r="AR61" s="375">
        <f t="shared" si="38"/>
        <v>-137324.26</v>
      </c>
      <c r="AS61" s="4"/>
      <c r="AT61" s="375">
        <f t="shared" si="39"/>
        <v>-416536.76</v>
      </c>
      <c r="AU61" s="4"/>
      <c r="AV61" s="375"/>
      <c r="AW61" s="375">
        <v>-56524.57</v>
      </c>
      <c r="AX61" s="4"/>
      <c r="AY61" s="375"/>
      <c r="AZ61" s="375">
        <v>-55855.73</v>
      </c>
      <c r="BA61" s="4"/>
      <c r="BB61" s="375"/>
      <c r="BC61" s="375">
        <v>-59284.65</v>
      </c>
      <c r="BD61" s="4"/>
      <c r="BE61" s="375">
        <f t="shared" si="40"/>
        <v>0</v>
      </c>
      <c r="BF61" s="375">
        <f t="shared" si="40"/>
        <v>-171664.95</v>
      </c>
      <c r="BG61" s="402"/>
      <c r="BH61" s="375">
        <f t="shared" si="41"/>
        <v>-416536.76</v>
      </c>
      <c r="BI61" s="388">
        <f t="shared" si="42"/>
        <v>-588201.71</v>
      </c>
      <c r="BJ61" s="4"/>
      <c r="BK61" s="386" t="s">
        <v>56</v>
      </c>
      <c r="BL61" s="386" t="s">
        <v>49</v>
      </c>
      <c r="BM61" s="375">
        <v>0</v>
      </c>
      <c r="BN61" s="282"/>
    </row>
    <row r="62" spans="1:67" ht="15" hidden="1" customHeight="1" outlineLevel="1">
      <c r="A62" s="386" t="s">
        <v>56</v>
      </c>
      <c r="B62" s="386" t="s">
        <v>27</v>
      </c>
      <c r="C62" s="375">
        <v>0</v>
      </c>
      <c r="D62" s="4"/>
      <c r="E62" s="375">
        <v>0</v>
      </c>
      <c r="F62" s="4"/>
      <c r="G62" s="375"/>
      <c r="H62" s="375"/>
      <c r="I62" s="4"/>
      <c r="J62" s="375"/>
      <c r="K62" s="375"/>
      <c r="L62" s="4"/>
      <c r="M62" s="375"/>
      <c r="N62" s="375">
        <v>0</v>
      </c>
      <c r="O62" s="4"/>
      <c r="P62" s="375">
        <f t="shared" si="17"/>
        <v>0</v>
      </c>
      <c r="Q62" s="375">
        <f t="shared" si="17"/>
        <v>0</v>
      </c>
      <c r="R62" s="4"/>
      <c r="S62" s="375"/>
      <c r="T62" s="375"/>
      <c r="U62" s="4"/>
      <c r="V62" s="375"/>
      <c r="W62" s="375"/>
      <c r="X62" s="4"/>
      <c r="Y62" s="375"/>
      <c r="Z62" s="375"/>
      <c r="AA62" s="4"/>
      <c r="AB62" s="375">
        <f t="shared" si="20"/>
        <v>0</v>
      </c>
      <c r="AC62" s="375">
        <f t="shared" si="43"/>
        <v>0</v>
      </c>
      <c r="AD62" s="402"/>
      <c r="AE62" s="375">
        <f t="shared" si="36"/>
        <v>0</v>
      </c>
      <c r="AF62" s="375">
        <f t="shared" si="37"/>
        <v>0</v>
      </c>
      <c r="AG62" s="4"/>
      <c r="AH62" s="375"/>
      <c r="AI62" s="375"/>
      <c r="AJ62" s="4"/>
      <c r="AK62" s="375"/>
      <c r="AL62" s="375"/>
      <c r="AM62" s="4"/>
      <c r="AN62" s="375"/>
      <c r="AO62" s="375"/>
      <c r="AP62" s="4"/>
      <c r="AQ62" s="375">
        <f t="shared" si="38"/>
        <v>0</v>
      </c>
      <c r="AR62" s="375">
        <f t="shared" si="38"/>
        <v>0</v>
      </c>
      <c r="AS62" s="4"/>
      <c r="AT62" s="375">
        <f t="shared" si="39"/>
        <v>0</v>
      </c>
      <c r="AU62" s="4"/>
      <c r="AV62" s="375"/>
      <c r="AW62" s="375"/>
      <c r="AX62" s="4"/>
      <c r="AY62" s="375"/>
      <c r="AZ62" s="375"/>
      <c r="BA62" s="4"/>
      <c r="BB62" s="375"/>
      <c r="BC62" s="375"/>
      <c r="BD62" s="4"/>
      <c r="BE62" s="375">
        <f t="shared" si="40"/>
        <v>0</v>
      </c>
      <c r="BF62" s="375">
        <f t="shared" si="40"/>
        <v>0</v>
      </c>
      <c r="BG62" s="402"/>
      <c r="BH62" s="375">
        <f t="shared" si="41"/>
        <v>0</v>
      </c>
      <c r="BI62" s="388">
        <f t="shared" si="42"/>
        <v>0</v>
      </c>
      <c r="BJ62" s="4"/>
      <c r="BK62" s="386" t="s">
        <v>56</v>
      </c>
      <c r="BL62" s="386" t="s">
        <v>27</v>
      </c>
      <c r="BM62" s="375">
        <v>0</v>
      </c>
      <c r="BN62" s="282"/>
    </row>
    <row r="63" spans="1:67" ht="15" hidden="1" customHeight="1" outlineLevel="1">
      <c r="A63" s="386" t="s">
        <v>56</v>
      </c>
      <c r="B63" s="386" t="s">
        <v>57</v>
      </c>
      <c r="C63" s="375">
        <v>0</v>
      </c>
      <c r="D63" s="4"/>
      <c r="E63" s="375">
        <v>0</v>
      </c>
      <c r="F63" s="4"/>
      <c r="G63" s="375"/>
      <c r="H63" s="375"/>
      <c r="I63" s="4"/>
      <c r="J63" s="375"/>
      <c r="K63" s="375"/>
      <c r="L63" s="4"/>
      <c r="M63" s="375"/>
      <c r="N63" s="375">
        <v>0</v>
      </c>
      <c r="O63" s="4"/>
      <c r="P63" s="375">
        <f t="shared" si="17"/>
        <v>0</v>
      </c>
      <c r="Q63" s="375">
        <f t="shared" si="17"/>
        <v>0</v>
      </c>
      <c r="R63" s="4"/>
      <c r="S63" s="375"/>
      <c r="T63" s="375"/>
      <c r="U63" s="4"/>
      <c r="V63" s="375"/>
      <c r="W63" s="375"/>
      <c r="X63" s="4"/>
      <c r="Y63" s="375"/>
      <c r="Z63" s="375"/>
      <c r="AA63" s="4"/>
      <c r="AB63" s="375">
        <f t="shared" si="20"/>
        <v>0</v>
      </c>
      <c r="AC63" s="375">
        <f t="shared" si="43"/>
        <v>0</v>
      </c>
      <c r="AD63" s="402"/>
      <c r="AE63" s="375">
        <f t="shared" si="36"/>
        <v>0</v>
      </c>
      <c r="AF63" s="375">
        <f t="shared" si="37"/>
        <v>0</v>
      </c>
      <c r="AG63" s="4"/>
      <c r="AH63" s="375"/>
      <c r="AI63" s="375"/>
      <c r="AJ63" s="4"/>
      <c r="AK63" s="375"/>
      <c r="AL63" s="375"/>
      <c r="AM63" s="4"/>
      <c r="AN63" s="375"/>
      <c r="AO63" s="375"/>
      <c r="AP63" s="4"/>
      <c r="AQ63" s="375">
        <f t="shared" si="38"/>
        <v>0</v>
      </c>
      <c r="AR63" s="375">
        <f t="shared" si="38"/>
        <v>0</v>
      </c>
      <c r="AS63" s="4"/>
      <c r="AT63" s="375">
        <f t="shared" si="39"/>
        <v>0</v>
      </c>
      <c r="AU63" s="4"/>
      <c r="AV63" s="375"/>
      <c r="AW63" s="375"/>
      <c r="AX63" s="4"/>
      <c r="AY63" s="375"/>
      <c r="AZ63" s="375"/>
      <c r="BA63" s="4"/>
      <c r="BB63" s="375"/>
      <c r="BC63" s="375"/>
      <c r="BD63" s="4"/>
      <c r="BE63" s="375">
        <f t="shared" si="40"/>
        <v>0</v>
      </c>
      <c r="BF63" s="375">
        <f t="shared" si="40"/>
        <v>0</v>
      </c>
      <c r="BG63" s="402"/>
      <c r="BH63" s="375">
        <f t="shared" si="41"/>
        <v>0</v>
      </c>
      <c r="BI63" s="388">
        <f t="shared" si="42"/>
        <v>0</v>
      </c>
      <c r="BJ63" s="4"/>
      <c r="BK63" s="386" t="s">
        <v>56</v>
      </c>
      <c r="BL63" s="386" t="s">
        <v>57</v>
      </c>
      <c r="BM63" s="375">
        <v>0</v>
      </c>
      <c r="BN63" s="282"/>
    </row>
    <row r="64" spans="1:67" ht="15" hidden="1" customHeight="1" outlineLevel="1">
      <c r="A64" s="386" t="s">
        <v>56</v>
      </c>
      <c r="B64" s="386" t="s">
        <v>58</v>
      </c>
      <c r="C64" s="375">
        <v>0</v>
      </c>
      <c r="D64" s="4"/>
      <c r="E64" s="375">
        <v>0</v>
      </c>
      <c r="F64" s="4"/>
      <c r="G64" s="375"/>
      <c r="H64" s="375"/>
      <c r="I64" s="4"/>
      <c r="J64" s="375"/>
      <c r="K64" s="375"/>
      <c r="L64" s="4"/>
      <c r="M64" s="375"/>
      <c r="N64" s="375">
        <v>0</v>
      </c>
      <c r="O64" s="4"/>
      <c r="P64" s="375">
        <f t="shared" si="17"/>
        <v>0</v>
      </c>
      <c r="Q64" s="375">
        <f t="shared" si="17"/>
        <v>0</v>
      </c>
      <c r="R64" s="4"/>
      <c r="S64" s="375"/>
      <c r="T64" s="375"/>
      <c r="U64" s="4"/>
      <c r="V64" s="375"/>
      <c r="W64" s="375"/>
      <c r="X64" s="4"/>
      <c r="Y64" s="375"/>
      <c r="Z64" s="375"/>
      <c r="AA64" s="4"/>
      <c r="AB64" s="375">
        <f t="shared" si="20"/>
        <v>0</v>
      </c>
      <c r="AC64" s="375">
        <f t="shared" si="43"/>
        <v>0</v>
      </c>
      <c r="AD64" s="402"/>
      <c r="AE64" s="375">
        <f t="shared" si="36"/>
        <v>0</v>
      </c>
      <c r="AF64" s="375">
        <f t="shared" si="37"/>
        <v>0</v>
      </c>
      <c r="AG64" s="4"/>
      <c r="AH64" s="375"/>
      <c r="AI64" s="375"/>
      <c r="AJ64" s="4"/>
      <c r="AK64" s="375"/>
      <c r="AL64" s="375"/>
      <c r="AM64" s="4"/>
      <c r="AN64" s="375"/>
      <c r="AO64" s="375"/>
      <c r="AP64" s="4"/>
      <c r="AQ64" s="375">
        <f t="shared" si="38"/>
        <v>0</v>
      </c>
      <c r="AR64" s="375">
        <f t="shared" si="38"/>
        <v>0</v>
      </c>
      <c r="AS64" s="4"/>
      <c r="AT64" s="375">
        <f t="shared" si="39"/>
        <v>0</v>
      </c>
      <c r="AU64" s="4"/>
      <c r="AV64" s="375"/>
      <c r="AW64" s="375"/>
      <c r="AX64" s="4"/>
      <c r="AY64" s="375"/>
      <c r="AZ64" s="375"/>
      <c r="BA64" s="4"/>
      <c r="BB64" s="375"/>
      <c r="BC64" s="375"/>
      <c r="BD64" s="4"/>
      <c r="BE64" s="375">
        <f t="shared" si="40"/>
        <v>0</v>
      </c>
      <c r="BF64" s="375">
        <f t="shared" si="40"/>
        <v>0</v>
      </c>
      <c r="BG64" s="402"/>
      <c r="BH64" s="375">
        <f t="shared" si="41"/>
        <v>0</v>
      </c>
      <c r="BI64" s="388">
        <f t="shared" si="42"/>
        <v>0</v>
      </c>
      <c r="BJ64" s="4"/>
      <c r="BK64" s="386" t="s">
        <v>56</v>
      </c>
      <c r="BL64" s="386" t="s">
        <v>58</v>
      </c>
      <c r="BM64" s="375">
        <v>0</v>
      </c>
      <c r="BN64" s="282"/>
    </row>
    <row r="65" spans="1:67" ht="15" hidden="1" customHeight="1" outlineLevel="1">
      <c r="A65" s="386" t="s">
        <v>56</v>
      </c>
      <c r="B65" s="386" t="s">
        <v>59</v>
      </c>
      <c r="C65" s="375">
        <v>0</v>
      </c>
      <c r="D65" s="4"/>
      <c r="E65" s="375">
        <v>0</v>
      </c>
      <c r="F65" s="4"/>
      <c r="G65" s="375"/>
      <c r="H65" s="375"/>
      <c r="I65" s="4"/>
      <c r="J65" s="375"/>
      <c r="K65" s="375"/>
      <c r="L65" s="4"/>
      <c r="M65" s="375"/>
      <c r="N65" s="375">
        <v>0</v>
      </c>
      <c r="O65" s="4"/>
      <c r="P65" s="375">
        <f t="shared" si="17"/>
        <v>0</v>
      </c>
      <c r="Q65" s="375">
        <f t="shared" si="17"/>
        <v>0</v>
      </c>
      <c r="R65" s="4"/>
      <c r="S65" s="375"/>
      <c r="T65" s="375"/>
      <c r="U65" s="4"/>
      <c r="V65" s="375"/>
      <c r="W65" s="375"/>
      <c r="X65" s="4"/>
      <c r="Y65" s="375"/>
      <c r="Z65" s="375"/>
      <c r="AA65" s="4"/>
      <c r="AB65" s="375">
        <f t="shared" si="20"/>
        <v>0</v>
      </c>
      <c r="AC65" s="375">
        <f t="shared" si="43"/>
        <v>0</v>
      </c>
      <c r="AD65" s="402"/>
      <c r="AE65" s="375">
        <f t="shared" si="36"/>
        <v>0</v>
      </c>
      <c r="AF65" s="375">
        <f t="shared" si="37"/>
        <v>0</v>
      </c>
      <c r="AG65" s="4"/>
      <c r="AH65" s="375"/>
      <c r="AI65" s="375"/>
      <c r="AJ65" s="4"/>
      <c r="AK65" s="375"/>
      <c r="AL65" s="375"/>
      <c r="AM65" s="4"/>
      <c r="AN65" s="375"/>
      <c r="AO65" s="375"/>
      <c r="AP65" s="4"/>
      <c r="AQ65" s="375">
        <f t="shared" si="38"/>
        <v>0</v>
      </c>
      <c r="AR65" s="375">
        <f t="shared" si="38"/>
        <v>0</v>
      </c>
      <c r="AS65" s="4"/>
      <c r="AT65" s="375">
        <f t="shared" si="39"/>
        <v>0</v>
      </c>
      <c r="AU65" s="4"/>
      <c r="AV65" s="375"/>
      <c r="AW65" s="375"/>
      <c r="AX65" s="4"/>
      <c r="AY65" s="375"/>
      <c r="AZ65" s="375"/>
      <c r="BA65" s="4"/>
      <c r="BB65" s="375"/>
      <c r="BC65" s="375"/>
      <c r="BD65" s="4"/>
      <c r="BE65" s="375">
        <f t="shared" si="40"/>
        <v>0</v>
      </c>
      <c r="BF65" s="375">
        <f t="shared" si="40"/>
        <v>0</v>
      </c>
      <c r="BG65" s="402"/>
      <c r="BH65" s="375">
        <f t="shared" si="41"/>
        <v>0</v>
      </c>
      <c r="BI65" s="388">
        <f t="shared" si="42"/>
        <v>0</v>
      </c>
      <c r="BJ65" s="4"/>
      <c r="BK65" s="386" t="s">
        <v>56</v>
      </c>
      <c r="BL65" s="386" t="s">
        <v>59</v>
      </c>
      <c r="BM65" s="375">
        <v>0</v>
      </c>
      <c r="BN65" s="282"/>
    </row>
    <row r="66" spans="1:67" ht="15" hidden="1" customHeight="1" outlineLevel="1">
      <c r="A66" s="386" t="s">
        <v>56</v>
      </c>
      <c r="B66" s="386" t="s">
        <v>60</v>
      </c>
      <c r="C66" s="375">
        <v>0</v>
      </c>
      <c r="D66" s="4"/>
      <c r="E66" s="375">
        <v>0</v>
      </c>
      <c r="F66" s="4"/>
      <c r="G66" s="375"/>
      <c r="H66" s="375"/>
      <c r="I66" s="4"/>
      <c r="J66" s="375"/>
      <c r="K66" s="375"/>
      <c r="L66" s="4"/>
      <c r="M66" s="375"/>
      <c r="N66" s="375">
        <v>0</v>
      </c>
      <c r="O66" s="4"/>
      <c r="P66" s="375">
        <f t="shared" si="17"/>
        <v>0</v>
      </c>
      <c r="Q66" s="375">
        <f t="shared" si="17"/>
        <v>0</v>
      </c>
      <c r="R66" s="4"/>
      <c r="S66" s="375"/>
      <c r="T66" s="375"/>
      <c r="U66" s="4"/>
      <c r="V66" s="375"/>
      <c r="W66" s="375"/>
      <c r="X66" s="4"/>
      <c r="Y66" s="375"/>
      <c r="Z66" s="375"/>
      <c r="AA66" s="4"/>
      <c r="AB66" s="375">
        <f t="shared" si="20"/>
        <v>0</v>
      </c>
      <c r="AC66" s="375">
        <f t="shared" si="43"/>
        <v>0</v>
      </c>
      <c r="AD66" s="402"/>
      <c r="AE66" s="375">
        <f t="shared" si="36"/>
        <v>0</v>
      </c>
      <c r="AF66" s="375">
        <f t="shared" si="37"/>
        <v>0</v>
      </c>
      <c r="AG66" s="4"/>
      <c r="AH66" s="375"/>
      <c r="AI66" s="375"/>
      <c r="AJ66" s="4"/>
      <c r="AK66" s="375"/>
      <c r="AL66" s="375"/>
      <c r="AM66" s="4"/>
      <c r="AN66" s="375"/>
      <c r="AO66" s="375"/>
      <c r="AP66" s="4"/>
      <c r="AQ66" s="375">
        <f t="shared" si="38"/>
        <v>0</v>
      </c>
      <c r="AR66" s="375">
        <f t="shared" si="38"/>
        <v>0</v>
      </c>
      <c r="AS66" s="4"/>
      <c r="AT66" s="375">
        <f t="shared" si="39"/>
        <v>0</v>
      </c>
      <c r="AU66" s="4"/>
      <c r="AV66" s="375"/>
      <c r="AW66" s="375"/>
      <c r="AX66" s="4"/>
      <c r="AY66" s="375"/>
      <c r="AZ66" s="375"/>
      <c r="BA66" s="4"/>
      <c r="BB66" s="375"/>
      <c r="BC66" s="375"/>
      <c r="BD66" s="4"/>
      <c r="BE66" s="375">
        <f t="shared" si="40"/>
        <v>0</v>
      </c>
      <c r="BF66" s="375">
        <f t="shared" si="40"/>
        <v>0</v>
      </c>
      <c r="BG66" s="402"/>
      <c r="BH66" s="375">
        <f t="shared" si="41"/>
        <v>0</v>
      </c>
      <c r="BI66" s="388">
        <f t="shared" si="42"/>
        <v>0</v>
      </c>
      <c r="BJ66" s="4"/>
      <c r="BK66" s="386" t="s">
        <v>56</v>
      </c>
      <c r="BL66" s="386" t="s">
        <v>60</v>
      </c>
      <c r="BM66" s="375">
        <v>0</v>
      </c>
      <c r="BN66" s="282"/>
    </row>
    <row r="67" spans="1:67" ht="15" hidden="1" customHeight="1" outlineLevel="1">
      <c r="A67" s="386" t="s">
        <v>56</v>
      </c>
      <c r="B67" s="386" t="s">
        <v>61</v>
      </c>
      <c r="C67" s="375">
        <v>0</v>
      </c>
      <c r="D67" s="4"/>
      <c r="E67" s="375">
        <v>0</v>
      </c>
      <c r="F67" s="4"/>
      <c r="G67" s="375"/>
      <c r="H67" s="375"/>
      <c r="I67" s="4"/>
      <c r="J67" s="375"/>
      <c r="K67" s="375"/>
      <c r="L67" s="4"/>
      <c r="M67" s="375"/>
      <c r="N67" s="375">
        <v>0</v>
      </c>
      <c r="O67" s="4"/>
      <c r="P67" s="375">
        <f t="shared" si="17"/>
        <v>0</v>
      </c>
      <c r="Q67" s="375">
        <f t="shared" si="17"/>
        <v>0</v>
      </c>
      <c r="R67" s="4"/>
      <c r="S67" s="375"/>
      <c r="T67" s="375"/>
      <c r="U67" s="4"/>
      <c r="V67" s="375"/>
      <c r="W67" s="375"/>
      <c r="X67" s="4"/>
      <c r="Y67" s="375"/>
      <c r="Z67" s="375"/>
      <c r="AA67" s="4"/>
      <c r="AB67" s="375">
        <f t="shared" si="20"/>
        <v>0</v>
      </c>
      <c r="AC67" s="375">
        <f t="shared" si="43"/>
        <v>0</v>
      </c>
      <c r="AD67" s="402"/>
      <c r="AE67" s="375">
        <f t="shared" si="36"/>
        <v>0</v>
      </c>
      <c r="AF67" s="375">
        <f t="shared" si="37"/>
        <v>0</v>
      </c>
      <c r="AG67" s="4"/>
      <c r="AH67" s="375"/>
      <c r="AI67" s="375"/>
      <c r="AJ67" s="4"/>
      <c r="AK67" s="375"/>
      <c r="AL67" s="375"/>
      <c r="AM67" s="4"/>
      <c r="AN67" s="375"/>
      <c r="AO67" s="375"/>
      <c r="AP67" s="4"/>
      <c r="AQ67" s="375">
        <f t="shared" si="38"/>
        <v>0</v>
      </c>
      <c r="AR67" s="375">
        <f t="shared" si="38"/>
        <v>0</v>
      </c>
      <c r="AS67" s="4"/>
      <c r="AT67" s="375">
        <f t="shared" si="39"/>
        <v>0</v>
      </c>
      <c r="AU67" s="4"/>
      <c r="AV67" s="375"/>
      <c r="AW67" s="375"/>
      <c r="AX67" s="4"/>
      <c r="AY67" s="375"/>
      <c r="AZ67" s="375"/>
      <c r="BA67" s="4"/>
      <c r="BB67" s="375"/>
      <c r="BC67" s="375"/>
      <c r="BD67" s="4"/>
      <c r="BE67" s="375">
        <f t="shared" si="40"/>
        <v>0</v>
      </c>
      <c r="BF67" s="375">
        <f t="shared" si="40"/>
        <v>0</v>
      </c>
      <c r="BG67" s="402"/>
      <c r="BH67" s="375">
        <f t="shared" si="41"/>
        <v>0</v>
      </c>
      <c r="BI67" s="388">
        <f t="shared" si="42"/>
        <v>0</v>
      </c>
      <c r="BJ67" s="4"/>
      <c r="BK67" s="386" t="s">
        <v>56</v>
      </c>
      <c r="BL67" s="386" t="s">
        <v>61</v>
      </c>
      <c r="BM67" s="375">
        <v>0</v>
      </c>
      <c r="BN67" s="282"/>
    </row>
    <row r="68" spans="1:67" ht="15" hidden="1" customHeight="1" outlineLevel="1">
      <c r="A68" s="386" t="s">
        <v>56</v>
      </c>
      <c r="B68" s="386" t="s">
        <v>62</v>
      </c>
      <c r="C68" s="375">
        <v>0</v>
      </c>
      <c r="D68" s="4"/>
      <c r="E68" s="375">
        <v>0</v>
      </c>
      <c r="F68" s="4"/>
      <c r="G68" s="375"/>
      <c r="H68" s="375"/>
      <c r="I68" s="4"/>
      <c r="J68" s="375"/>
      <c r="K68" s="375"/>
      <c r="L68" s="4"/>
      <c r="M68" s="375"/>
      <c r="N68" s="375">
        <v>0</v>
      </c>
      <c r="O68" s="4"/>
      <c r="P68" s="375">
        <f t="shared" si="17"/>
        <v>0</v>
      </c>
      <c r="Q68" s="375">
        <f t="shared" si="17"/>
        <v>0</v>
      </c>
      <c r="R68" s="4"/>
      <c r="S68" s="375"/>
      <c r="T68" s="375"/>
      <c r="U68" s="4"/>
      <c r="V68" s="375"/>
      <c r="W68" s="375"/>
      <c r="X68" s="4"/>
      <c r="Y68" s="375"/>
      <c r="Z68" s="375"/>
      <c r="AA68" s="4"/>
      <c r="AB68" s="375">
        <f t="shared" si="20"/>
        <v>0</v>
      </c>
      <c r="AC68" s="375">
        <f t="shared" si="43"/>
        <v>0</v>
      </c>
      <c r="AD68" s="402"/>
      <c r="AE68" s="375">
        <f t="shared" si="36"/>
        <v>0</v>
      </c>
      <c r="AF68" s="375">
        <f t="shared" si="37"/>
        <v>0</v>
      </c>
      <c r="AG68" s="4"/>
      <c r="AH68" s="375"/>
      <c r="AI68" s="375"/>
      <c r="AJ68" s="4"/>
      <c r="AK68" s="375"/>
      <c r="AL68" s="375"/>
      <c r="AM68" s="4"/>
      <c r="AN68" s="375"/>
      <c r="AO68" s="375"/>
      <c r="AP68" s="4"/>
      <c r="AQ68" s="375">
        <f t="shared" si="38"/>
        <v>0</v>
      </c>
      <c r="AR68" s="375">
        <f t="shared" si="38"/>
        <v>0</v>
      </c>
      <c r="AS68" s="4"/>
      <c r="AT68" s="375">
        <f t="shared" si="39"/>
        <v>0</v>
      </c>
      <c r="AU68" s="4"/>
      <c r="AV68" s="375"/>
      <c r="AW68" s="375"/>
      <c r="AX68" s="4"/>
      <c r="AY68" s="375"/>
      <c r="AZ68" s="375"/>
      <c r="BA68" s="4"/>
      <c r="BB68" s="375"/>
      <c r="BC68" s="375"/>
      <c r="BD68" s="4"/>
      <c r="BE68" s="375">
        <f t="shared" si="40"/>
        <v>0</v>
      </c>
      <c r="BF68" s="375">
        <f t="shared" si="40"/>
        <v>0</v>
      </c>
      <c r="BG68" s="402"/>
      <c r="BH68" s="375">
        <f t="shared" si="41"/>
        <v>0</v>
      </c>
      <c r="BI68" s="388">
        <f t="shared" si="42"/>
        <v>0</v>
      </c>
      <c r="BJ68" s="4"/>
      <c r="BK68" s="386" t="s">
        <v>56</v>
      </c>
      <c r="BL68" s="386" t="s">
        <v>62</v>
      </c>
      <c r="BM68" s="375">
        <v>-270000</v>
      </c>
      <c r="BN68" s="282"/>
    </row>
    <row r="69" spans="1:67" collapsed="1">
      <c r="A69" s="386" t="s">
        <v>56</v>
      </c>
      <c r="B69" s="386"/>
      <c r="C69" s="389">
        <f>SUM(C60:C68)</f>
        <v>-6687901.0300000003</v>
      </c>
      <c r="D69" s="4"/>
      <c r="E69" s="389">
        <f>SUM(E60:E68)</f>
        <v>-1921709.3099999998</v>
      </c>
      <c r="F69" s="4"/>
      <c r="G69" s="389">
        <f>SUM(G60:G68)</f>
        <v>-564126.57999999984</v>
      </c>
      <c r="H69" s="389">
        <f>SUM(H60:H68)</f>
        <v>-565888.01</v>
      </c>
      <c r="I69" s="4"/>
      <c r="J69" s="389">
        <f>SUM(J60:J68)</f>
        <v>-564126.57999999984</v>
      </c>
      <c r="K69" s="389">
        <f>SUM(K60:K68)</f>
        <v>-698226.58000000007</v>
      </c>
      <c r="L69" s="4"/>
      <c r="M69" s="389">
        <f>SUM(M60:M68)</f>
        <v>-564126.57999999984</v>
      </c>
      <c r="N69" s="389">
        <f>SUM(N60:N68)</f>
        <v>-566071.91</v>
      </c>
      <c r="O69" s="4"/>
      <c r="P69" s="389">
        <f t="shared" si="17"/>
        <v>-1692379.7399999995</v>
      </c>
      <c r="Q69" s="389">
        <f t="shared" si="17"/>
        <v>-1830186.5</v>
      </c>
      <c r="R69" s="4"/>
      <c r="S69" s="389">
        <f>SUM(S60:S68)</f>
        <v>-645020.49</v>
      </c>
      <c r="T69" s="389">
        <f>SUM(T60:T68)</f>
        <v>-645020.49</v>
      </c>
      <c r="U69" s="4"/>
      <c r="V69" s="389">
        <f>SUM(V60:V68)</f>
        <v>-630553.68999999994</v>
      </c>
      <c r="W69" s="389">
        <f>SUM(W60:W68)</f>
        <v>-630553.68999999994</v>
      </c>
      <c r="X69" s="4"/>
      <c r="Y69" s="389">
        <f>SUM(Y60:Y68)</f>
        <v>-708384.17999999993</v>
      </c>
      <c r="Z69" s="389">
        <f>SUM(Z60:Z68)</f>
        <v>-708384.17999999993</v>
      </c>
      <c r="AA69" s="4"/>
      <c r="AB69" s="389">
        <f>SUM(AB60:AB68)</f>
        <v>-1983958.3599999999</v>
      </c>
      <c r="AC69" s="389">
        <f>SUM(AC60:AC68)</f>
        <v>-1983958.3599999999</v>
      </c>
      <c r="AD69" s="402"/>
      <c r="AE69" s="389">
        <f>SUM(AE60:AE68)</f>
        <v>-3814144.86</v>
      </c>
      <c r="AF69" s="389">
        <f>SUM(AF60:AF68)</f>
        <v>-3814144.86</v>
      </c>
      <c r="AG69" s="4"/>
      <c r="AH69" s="389">
        <f>SUM(AH60:AH68)</f>
        <v>-745172.34</v>
      </c>
      <c r="AI69" s="389">
        <f>SUM(AI60:AI68)</f>
        <v>-745172.34</v>
      </c>
      <c r="AJ69" s="4"/>
      <c r="AK69" s="389">
        <f>SUM(AK60:AK68)</f>
        <v>33068.93</v>
      </c>
      <c r="AL69" s="389">
        <f>SUM(AL60:AL68)</f>
        <v>33068.93</v>
      </c>
      <c r="AM69" s="4"/>
      <c r="AN69" s="389">
        <f>SUM(AN60:AN68)</f>
        <v>-503922.62</v>
      </c>
      <c r="AO69" s="389">
        <f>SUM(AO60:AO68)</f>
        <v>-503922.62</v>
      </c>
      <c r="AP69" s="4"/>
      <c r="AQ69" s="389">
        <f>SUM(AQ60:AQ68)</f>
        <v>-1216026.03</v>
      </c>
      <c r="AR69" s="389">
        <f>SUM(AR60:AR68)</f>
        <v>-1216026.03</v>
      </c>
      <c r="AS69" s="4"/>
      <c r="AT69" s="389">
        <f>SUM(AT60:AT68)</f>
        <v>-5030170.8899999997</v>
      </c>
      <c r="AU69" s="4"/>
      <c r="AV69" s="389">
        <f>SUM(AV60:AV68)</f>
        <v>-535982.17999999993</v>
      </c>
      <c r="AW69" s="389">
        <f>SUM(AW60:AW68)</f>
        <v>-535157.14</v>
      </c>
      <c r="AX69" s="4"/>
      <c r="AY69" s="389">
        <f>SUM(AY60:AY68)</f>
        <v>-535982.17999999993</v>
      </c>
      <c r="AZ69" s="389">
        <f>SUM(AZ60:AZ68)</f>
        <v>-715546.13</v>
      </c>
      <c r="BA69" s="4"/>
      <c r="BB69" s="389">
        <f>SUM(BB60:BB68)</f>
        <v>-551397.12874999992</v>
      </c>
      <c r="BC69" s="389">
        <f>SUM(BC60:BC68)</f>
        <v>-762996.35</v>
      </c>
      <c r="BD69" s="4"/>
      <c r="BE69" s="389">
        <f>SUM(BE60:BE68)</f>
        <v>-1623361.4887499998</v>
      </c>
      <c r="BF69" s="389">
        <f>SUM(BF60:BF68)</f>
        <v>-2013699.62</v>
      </c>
      <c r="BG69" s="402"/>
      <c r="BH69" s="389">
        <f>SUM(BH60:BH68)</f>
        <v>-6653532.3787499992</v>
      </c>
      <c r="BI69" s="389">
        <f>SUM(BI60:BI68)</f>
        <v>-7043870.5099999998</v>
      </c>
      <c r="BJ69" s="4"/>
      <c r="BK69" s="386" t="s">
        <v>56</v>
      </c>
      <c r="BL69" s="386"/>
      <c r="BM69" s="389">
        <v>-7720501.3200000012</v>
      </c>
      <c r="BN69" s="282"/>
      <c r="BO69" s="376">
        <f>SUM(BO74:BO125)</f>
        <v>-12875008</v>
      </c>
    </row>
    <row r="70" spans="1:67" ht="15" hidden="1" customHeight="1" outlineLevel="1">
      <c r="A70" s="386" t="s">
        <v>63</v>
      </c>
      <c r="B70" s="386" t="s">
        <v>64</v>
      </c>
      <c r="C70" s="375">
        <v>-429831.58</v>
      </c>
      <c r="D70" s="4"/>
      <c r="E70" s="375">
        <v>-416000</v>
      </c>
      <c r="F70" s="4"/>
      <c r="G70" s="375"/>
      <c r="H70" s="375"/>
      <c r="I70" s="4"/>
      <c r="J70" s="375"/>
      <c r="K70" s="375"/>
      <c r="L70" s="4"/>
      <c r="M70" s="375"/>
      <c r="N70" s="375">
        <v>-33000</v>
      </c>
      <c r="O70" s="4"/>
      <c r="P70" s="375">
        <f t="shared" si="17"/>
        <v>0</v>
      </c>
      <c r="Q70" s="375">
        <f t="shared" si="17"/>
        <v>-33000</v>
      </c>
      <c r="R70" s="4"/>
      <c r="S70" s="375">
        <v>-286000</v>
      </c>
      <c r="T70" s="375">
        <v>-286000</v>
      </c>
      <c r="U70" s="4"/>
      <c r="V70" s="375">
        <v>-66000</v>
      </c>
      <c r="W70" s="375">
        <v>-66000</v>
      </c>
      <c r="X70" s="4"/>
      <c r="Y70" s="375"/>
      <c r="Z70" s="375"/>
      <c r="AA70" s="4"/>
      <c r="AB70" s="375">
        <f t="shared" si="20"/>
        <v>-352000</v>
      </c>
      <c r="AC70" s="375">
        <f t="shared" si="43"/>
        <v>-352000</v>
      </c>
      <c r="AD70" s="402"/>
      <c r="AE70" s="375">
        <f t="shared" ref="AE70:AE73" si="44">+Q70+AB70</f>
        <v>-385000</v>
      </c>
      <c r="AF70" s="375">
        <f t="shared" ref="AF70:AF73" si="45">+AC70+Q70</f>
        <v>-385000</v>
      </c>
      <c r="AG70" s="4"/>
      <c r="AH70" s="375"/>
      <c r="AI70" s="375"/>
      <c r="AJ70" s="4"/>
      <c r="AK70" s="375"/>
      <c r="AL70" s="375"/>
      <c r="AM70" s="4"/>
      <c r="AN70" s="375">
        <v>-11000</v>
      </c>
      <c r="AO70" s="375">
        <v>-11000</v>
      </c>
      <c r="AP70" s="4"/>
      <c r="AQ70" s="375">
        <f t="shared" ref="AQ70:AR73" si="46">AN70+AK70+AH70</f>
        <v>-11000</v>
      </c>
      <c r="AR70" s="375">
        <f t="shared" si="46"/>
        <v>-11000</v>
      </c>
      <c r="AS70" s="4"/>
      <c r="AT70" s="375">
        <f t="shared" ref="AT70:AT73" si="47">+AF70+AR70</f>
        <v>-396000</v>
      </c>
      <c r="AU70" s="4"/>
      <c r="AV70" s="375"/>
      <c r="AW70" s="375"/>
      <c r="AX70" s="4"/>
      <c r="AY70" s="375"/>
      <c r="AZ70" s="375"/>
      <c r="BA70" s="4"/>
      <c r="BB70" s="375"/>
      <c r="BC70" s="375"/>
      <c r="BD70" s="4"/>
      <c r="BE70" s="375">
        <f t="shared" ref="BE70:BF73" si="48">BB70+AY70+AV70</f>
        <v>0</v>
      </c>
      <c r="BF70" s="375">
        <f t="shared" si="48"/>
        <v>0</v>
      </c>
      <c r="BG70" s="402"/>
      <c r="BH70" s="375">
        <f t="shared" ref="BH70:BH73" si="49">Q70+AB70+AQ70+BE70</f>
        <v>-396000</v>
      </c>
      <c r="BI70" s="388">
        <f t="shared" ref="BI70:BI73" si="50">Q70+AC70+AR70+BF70</f>
        <v>-396000</v>
      </c>
      <c r="BJ70" s="4"/>
      <c r="BK70" s="386" t="s">
        <v>63</v>
      </c>
      <c r="BL70" s="386" t="s">
        <v>64</v>
      </c>
      <c r="BM70" s="375">
        <v>0</v>
      </c>
      <c r="BN70" s="282"/>
    </row>
    <row r="71" spans="1:67" ht="15" hidden="1" customHeight="1" outlineLevel="1">
      <c r="A71" s="386" t="s">
        <v>63</v>
      </c>
      <c r="B71" s="386" t="s">
        <v>65</v>
      </c>
      <c r="C71" s="375">
        <v>-1906856.04</v>
      </c>
      <c r="D71" s="4"/>
      <c r="E71" s="375">
        <v>-703462</v>
      </c>
      <c r="F71" s="4"/>
      <c r="G71" s="375"/>
      <c r="H71" s="375">
        <v>-135000</v>
      </c>
      <c r="I71" s="4"/>
      <c r="J71" s="375"/>
      <c r="K71" s="375">
        <v>-135000</v>
      </c>
      <c r="L71" s="4"/>
      <c r="M71" s="375"/>
      <c r="N71" s="375">
        <v>-135000</v>
      </c>
      <c r="O71" s="4"/>
      <c r="P71" s="375">
        <f t="shared" si="17"/>
        <v>0</v>
      </c>
      <c r="Q71" s="375">
        <f t="shared" si="17"/>
        <v>-405000</v>
      </c>
      <c r="R71" s="4"/>
      <c r="S71" s="375">
        <v>-135000</v>
      </c>
      <c r="T71" s="375">
        <v>-135000</v>
      </c>
      <c r="U71" s="4"/>
      <c r="V71" s="375">
        <v>-158173.49</v>
      </c>
      <c r="W71" s="375">
        <v>-158173.49</v>
      </c>
      <c r="X71" s="4"/>
      <c r="Y71" s="375">
        <v>-218340.49</v>
      </c>
      <c r="Z71" s="375">
        <v>-218340.49</v>
      </c>
      <c r="AA71" s="4"/>
      <c r="AB71" s="375">
        <f t="shared" si="20"/>
        <v>-511513.98</v>
      </c>
      <c r="AC71" s="375">
        <f t="shared" si="43"/>
        <v>-511513.98</v>
      </c>
      <c r="AD71" s="402"/>
      <c r="AE71" s="375">
        <f t="shared" si="44"/>
        <v>-916513.98</v>
      </c>
      <c r="AF71" s="375">
        <f t="shared" si="45"/>
        <v>-916513.98</v>
      </c>
      <c r="AG71" s="4"/>
      <c r="AH71" s="375">
        <v>-158173.49</v>
      </c>
      <c r="AI71" s="375">
        <v>-158173.49</v>
      </c>
      <c r="AJ71" s="4"/>
      <c r="AK71" s="375">
        <v>-158173.49</v>
      </c>
      <c r="AL71" s="375">
        <v>-158173.49</v>
      </c>
      <c r="AM71" s="4"/>
      <c r="AN71" s="375">
        <v>-202673.49</v>
      </c>
      <c r="AO71" s="375">
        <v>-202673.49</v>
      </c>
      <c r="AP71" s="4"/>
      <c r="AQ71" s="375">
        <f t="shared" si="46"/>
        <v>-519020.47</v>
      </c>
      <c r="AR71" s="375">
        <f t="shared" si="46"/>
        <v>-519020.47</v>
      </c>
      <c r="AS71" s="4"/>
      <c r="AT71" s="375">
        <f t="shared" si="47"/>
        <v>-1435534.45</v>
      </c>
      <c r="AU71" s="4"/>
      <c r="AV71" s="375"/>
      <c r="AW71" s="375">
        <v>-213173.49</v>
      </c>
      <c r="AX71" s="4"/>
      <c r="AY71" s="375"/>
      <c r="AZ71" s="375">
        <v>-67173.490000000005</v>
      </c>
      <c r="BA71" s="4"/>
      <c r="BB71" s="375"/>
      <c r="BC71" s="375">
        <v>-334173.49</v>
      </c>
      <c r="BD71" s="4"/>
      <c r="BE71" s="375">
        <f t="shared" si="48"/>
        <v>0</v>
      </c>
      <c r="BF71" s="375">
        <f t="shared" si="48"/>
        <v>-614520.47</v>
      </c>
      <c r="BG71" s="402"/>
      <c r="BH71" s="375">
        <f t="shared" si="49"/>
        <v>-1435534.45</v>
      </c>
      <c r="BI71" s="388">
        <f t="shared" si="50"/>
        <v>-2050054.92</v>
      </c>
      <c r="BJ71" s="4"/>
      <c r="BK71" s="386" t="s">
        <v>63</v>
      </c>
      <c r="BL71" s="386" t="s">
        <v>65</v>
      </c>
      <c r="BM71" s="375">
        <v>0</v>
      </c>
      <c r="BN71" s="282"/>
    </row>
    <row r="72" spans="1:67" ht="15" hidden="1" customHeight="1" outlineLevel="1">
      <c r="A72" s="386" t="s">
        <v>63</v>
      </c>
      <c r="B72" s="386" t="s">
        <v>66</v>
      </c>
      <c r="C72" s="375">
        <v>-350000</v>
      </c>
      <c r="D72" s="4"/>
      <c r="E72" s="375">
        <v>-350000</v>
      </c>
      <c r="F72" s="4"/>
      <c r="G72" s="375"/>
      <c r="H72" s="375"/>
      <c r="I72" s="4"/>
      <c r="J72" s="375"/>
      <c r="K72" s="375"/>
      <c r="L72" s="4"/>
      <c r="M72" s="375"/>
      <c r="N72" s="375">
        <v>-164065</v>
      </c>
      <c r="O72" s="4"/>
      <c r="P72" s="375">
        <f t="shared" si="17"/>
        <v>0</v>
      </c>
      <c r="Q72" s="375">
        <f t="shared" si="17"/>
        <v>-164065</v>
      </c>
      <c r="R72" s="4"/>
      <c r="S72" s="375">
        <v>-100000</v>
      </c>
      <c r="T72" s="375">
        <v>-100000</v>
      </c>
      <c r="U72" s="4"/>
      <c r="V72" s="375"/>
      <c r="W72" s="375"/>
      <c r="X72" s="4"/>
      <c r="Y72" s="375">
        <v>-100000</v>
      </c>
      <c r="Z72" s="375">
        <v>-100000</v>
      </c>
      <c r="AA72" s="4"/>
      <c r="AB72" s="375">
        <f t="shared" si="20"/>
        <v>-200000</v>
      </c>
      <c r="AC72" s="375">
        <f t="shared" si="43"/>
        <v>-200000</v>
      </c>
      <c r="AD72" s="402"/>
      <c r="AE72" s="375">
        <f t="shared" si="44"/>
        <v>-364065</v>
      </c>
      <c r="AF72" s="375">
        <f t="shared" si="45"/>
        <v>-364065</v>
      </c>
      <c r="AG72" s="4"/>
      <c r="AH72" s="375"/>
      <c r="AI72" s="375"/>
      <c r="AJ72" s="4"/>
      <c r="AK72" s="375"/>
      <c r="AL72" s="375"/>
      <c r="AM72" s="4"/>
      <c r="AN72" s="375"/>
      <c r="AO72" s="375"/>
      <c r="AP72" s="4"/>
      <c r="AQ72" s="375">
        <f t="shared" si="46"/>
        <v>0</v>
      </c>
      <c r="AR72" s="375">
        <f t="shared" si="46"/>
        <v>0</v>
      </c>
      <c r="AS72" s="4"/>
      <c r="AT72" s="375">
        <f t="shared" si="47"/>
        <v>-364065</v>
      </c>
      <c r="AU72" s="4"/>
      <c r="AV72" s="375"/>
      <c r="AW72" s="375">
        <v>-100000</v>
      </c>
      <c r="AX72" s="4"/>
      <c r="AY72" s="375"/>
      <c r="AZ72" s="375"/>
      <c r="BA72" s="4"/>
      <c r="BB72" s="375"/>
      <c r="BC72" s="375"/>
      <c r="BD72" s="4"/>
      <c r="BE72" s="375">
        <f t="shared" si="48"/>
        <v>0</v>
      </c>
      <c r="BF72" s="375">
        <f t="shared" si="48"/>
        <v>-100000</v>
      </c>
      <c r="BG72" s="402"/>
      <c r="BH72" s="375">
        <f t="shared" si="49"/>
        <v>-364065</v>
      </c>
      <c r="BI72" s="388">
        <f t="shared" si="50"/>
        <v>-464065</v>
      </c>
      <c r="BJ72" s="4"/>
      <c r="BK72" s="386" t="s">
        <v>63</v>
      </c>
      <c r="BL72" s="386" t="s">
        <v>66</v>
      </c>
      <c r="BM72" s="375">
        <v>0</v>
      </c>
      <c r="BN72" s="282"/>
    </row>
    <row r="73" spans="1:67" ht="15" hidden="1" customHeight="1" outlineLevel="1">
      <c r="A73" s="386" t="s">
        <v>63</v>
      </c>
      <c r="B73" s="386" t="s">
        <v>67</v>
      </c>
      <c r="C73" s="375">
        <v>-11500</v>
      </c>
      <c r="D73" s="4"/>
      <c r="E73" s="375">
        <v>-11500</v>
      </c>
      <c r="F73" s="4"/>
      <c r="G73" s="375"/>
      <c r="H73" s="375"/>
      <c r="I73" s="4"/>
      <c r="J73" s="375"/>
      <c r="K73" s="375"/>
      <c r="L73" s="4"/>
      <c r="M73" s="375"/>
      <c r="N73" s="375">
        <v>-27232.45</v>
      </c>
      <c r="O73" s="4"/>
      <c r="P73" s="375">
        <f t="shared" si="17"/>
        <v>0</v>
      </c>
      <c r="Q73" s="375">
        <f t="shared" si="17"/>
        <v>-27232.45</v>
      </c>
      <c r="R73" s="4"/>
      <c r="S73" s="375">
        <v>-140578.9</v>
      </c>
      <c r="T73" s="375">
        <v>-140578.9</v>
      </c>
      <c r="U73" s="4"/>
      <c r="V73" s="375"/>
      <c r="W73" s="375"/>
      <c r="X73" s="4"/>
      <c r="Y73" s="375"/>
      <c r="Z73" s="375"/>
      <c r="AA73" s="4"/>
      <c r="AB73" s="375">
        <f t="shared" si="20"/>
        <v>-140578.9</v>
      </c>
      <c r="AC73" s="375">
        <f t="shared" si="43"/>
        <v>-140578.9</v>
      </c>
      <c r="AD73" s="402"/>
      <c r="AE73" s="375">
        <f t="shared" si="44"/>
        <v>-167811.35</v>
      </c>
      <c r="AF73" s="375">
        <f t="shared" si="45"/>
        <v>-167811.35</v>
      </c>
      <c r="AG73" s="4"/>
      <c r="AH73" s="375"/>
      <c r="AI73" s="375"/>
      <c r="AJ73" s="4"/>
      <c r="AK73" s="375"/>
      <c r="AL73" s="375"/>
      <c r="AM73" s="4"/>
      <c r="AN73" s="375"/>
      <c r="AO73" s="375"/>
      <c r="AP73" s="4"/>
      <c r="AQ73" s="375">
        <f t="shared" si="46"/>
        <v>0</v>
      </c>
      <c r="AR73" s="375">
        <f t="shared" si="46"/>
        <v>0</v>
      </c>
      <c r="AS73" s="4"/>
      <c r="AT73" s="375">
        <f t="shared" si="47"/>
        <v>-167811.35</v>
      </c>
      <c r="AU73" s="4"/>
      <c r="AV73" s="375"/>
      <c r="AW73" s="375"/>
      <c r="AX73" s="4"/>
      <c r="AY73" s="375"/>
      <c r="AZ73" s="375">
        <v>-167907.68</v>
      </c>
      <c r="BA73" s="4"/>
      <c r="BB73" s="375"/>
      <c r="BC73" s="375"/>
      <c r="BD73" s="4"/>
      <c r="BE73" s="375">
        <f t="shared" si="48"/>
        <v>0</v>
      </c>
      <c r="BF73" s="375">
        <f t="shared" si="48"/>
        <v>-167907.68</v>
      </c>
      <c r="BG73" s="402"/>
      <c r="BH73" s="375">
        <f t="shared" si="49"/>
        <v>-167811.35</v>
      </c>
      <c r="BI73" s="388">
        <f t="shared" si="50"/>
        <v>-335719.03</v>
      </c>
      <c r="BJ73" s="4"/>
      <c r="BK73" s="386" t="s">
        <v>63</v>
      </c>
      <c r="BL73" s="386" t="s">
        <v>67</v>
      </c>
      <c r="BM73" s="375">
        <v>0</v>
      </c>
      <c r="BN73" s="282"/>
    </row>
    <row r="74" spans="1:67" collapsed="1">
      <c r="A74" s="386" t="s">
        <v>63</v>
      </c>
      <c r="B74" s="386"/>
      <c r="C74" s="389">
        <f>SUM(C70:C73)</f>
        <v>-2698187.62</v>
      </c>
      <c r="D74" s="4"/>
      <c r="E74" s="389">
        <f>SUM(E70:E73)</f>
        <v>-1480962</v>
      </c>
      <c r="F74" s="4"/>
      <c r="G74" s="389">
        <f>SUM(G70:G73)</f>
        <v>0</v>
      </c>
      <c r="H74" s="389">
        <f>SUM(H70:H73)</f>
        <v>-135000</v>
      </c>
      <c r="I74" s="4"/>
      <c r="J74" s="389">
        <f>SUM(J70:J73)</f>
        <v>0</v>
      </c>
      <c r="K74" s="389">
        <f>SUM(K70:K73)</f>
        <v>-135000</v>
      </c>
      <c r="L74" s="4"/>
      <c r="M74" s="389">
        <f>SUM(M70:M73)</f>
        <v>0</v>
      </c>
      <c r="N74" s="389">
        <f>SUM(N70:N73)</f>
        <v>-359297.45</v>
      </c>
      <c r="O74" s="4"/>
      <c r="P74" s="389">
        <f t="shared" si="17"/>
        <v>0</v>
      </c>
      <c r="Q74" s="389">
        <f t="shared" si="17"/>
        <v>-629297.44999999995</v>
      </c>
      <c r="R74" s="4"/>
      <c r="S74" s="389">
        <f>SUM(S70:S73)</f>
        <v>-661578.9</v>
      </c>
      <c r="T74" s="389">
        <f>SUM(T70:T73)</f>
        <v>-661578.9</v>
      </c>
      <c r="U74" s="4"/>
      <c r="V74" s="389">
        <f>SUM(V70:V73)</f>
        <v>-224173.49</v>
      </c>
      <c r="W74" s="389">
        <f>SUM(W70:W73)</f>
        <v>-224173.49</v>
      </c>
      <c r="X74" s="4"/>
      <c r="Y74" s="389">
        <f>SUM(Y70:Y73)</f>
        <v>-318340.49</v>
      </c>
      <c r="Z74" s="389">
        <f>SUM(Z70:Z73)</f>
        <v>-318340.49</v>
      </c>
      <c r="AA74" s="4"/>
      <c r="AB74" s="389">
        <f>SUM(AB70:AB73)</f>
        <v>-1204092.8799999999</v>
      </c>
      <c r="AC74" s="389">
        <f>SUM(AC70:AC73)</f>
        <v>-1204092.8799999999</v>
      </c>
      <c r="AD74" s="402"/>
      <c r="AE74" s="389">
        <f>SUM(AE70:AE73)</f>
        <v>-1833390.33</v>
      </c>
      <c r="AF74" s="389">
        <f>SUM(AF70:AF73)</f>
        <v>-1833390.33</v>
      </c>
      <c r="AG74" s="4"/>
      <c r="AH74" s="389">
        <f>SUM(AH70:AH73)</f>
        <v>-158173.49</v>
      </c>
      <c r="AI74" s="389">
        <f>SUM(AI70:AI73)</f>
        <v>-158173.49</v>
      </c>
      <c r="AJ74" s="4"/>
      <c r="AK74" s="389">
        <f>SUM(AK70:AK73)</f>
        <v>-158173.49</v>
      </c>
      <c r="AL74" s="389">
        <f>SUM(AL70:AL73)</f>
        <v>-158173.49</v>
      </c>
      <c r="AM74" s="4"/>
      <c r="AN74" s="389">
        <f>SUM(AN70:AN73)</f>
        <v>-213673.49</v>
      </c>
      <c r="AO74" s="389">
        <f>SUM(AO70:AO73)</f>
        <v>-213673.49</v>
      </c>
      <c r="AP74" s="4"/>
      <c r="AQ74" s="389">
        <f>SUM(AQ70:AQ73)</f>
        <v>-530020.47</v>
      </c>
      <c r="AR74" s="389">
        <f>SUM(AR70:AR73)</f>
        <v>-530020.47</v>
      </c>
      <c r="AS74" s="4"/>
      <c r="AT74" s="389">
        <f>SUM(AT70:AT73)</f>
        <v>-2363410.8000000003</v>
      </c>
      <c r="AU74" s="4"/>
      <c r="AV74" s="389">
        <f>SUM(AV70:AV73)</f>
        <v>0</v>
      </c>
      <c r="AW74" s="389">
        <f>SUM(AW70:AW73)</f>
        <v>-313173.49</v>
      </c>
      <c r="AX74" s="4"/>
      <c r="AY74" s="389">
        <f>SUM(AY70:AY73)</f>
        <v>0</v>
      </c>
      <c r="AZ74" s="389">
        <f>SUM(AZ70:AZ73)</f>
        <v>-235081.16999999998</v>
      </c>
      <c r="BA74" s="4"/>
      <c r="BB74" s="389">
        <f>SUM(BB70:BB73)</f>
        <v>0</v>
      </c>
      <c r="BC74" s="389">
        <f>SUM(BC70:BC73)</f>
        <v>-334173.49</v>
      </c>
      <c r="BD74" s="4"/>
      <c r="BE74" s="389">
        <f>SUM(BE70:BE73)</f>
        <v>0</v>
      </c>
      <c r="BF74" s="389">
        <f>SUM(BF70:BF73)</f>
        <v>-882428.14999999991</v>
      </c>
      <c r="BG74" s="402"/>
      <c r="BH74" s="389">
        <f>SUM(BH70:BH73)</f>
        <v>-2363410.8000000003</v>
      </c>
      <c r="BI74" s="389">
        <f>SUM(BI70:BI73)</f>
        <v>-3245838.95</v>
      </c>
      <c r="BJ74" s="4"/>
      <c r="BK74" s="386" t="s">
        <v>63</v>
      </c>
      <c r="BL74" s="386"/>
      <c r="BM74" s="389">
        <v>-5450000</v>
      </c>
      <c r="BN74" s="282"/>
      <c r="BO74" s="378">
        <f>-3600000-1850000</f>
        <v>-5450000</v>
      </c>
    </row>
    <row r="75" spans="1:67" ht="15" hidden="1" customHeight="1" outlineLevel="1">
      <c r="A75" s="386" t="s">
        <v>68</v>
      </c>
      <c r="B75" s="386" t="s">
        <v>69</v>
      </c>
      <c r="C75" s="375">
        <v>-9104.6</v>
      </c>
      <c r="D75" s="4"/>
      <c r="E75" s="375">
        <v>-1470.07</v>
      </c>
      <c r="F75" s="4"/>
      <c r="G75" s="375"/>
      <c r="H75" s="375">
        <v>-660</v>
      </c>
      <c r="I75" s="4"/>
      <c r="J75" s="375"/>
      <c r="K75" s="375">
        <v>-60</v>
      </c>
      <c r="L75" s="4"/>
      <c r="M75" s="375"/>
      <c r="N75" s="375">
        <v>-502.73</v>
      </c>
      <c r="O75" s="4"/>
      <c r="P75" s="375">
        <f t="shared" si="17"/>
        <v>0</v>
      </c>
      <c r="Q75" s="375">
        <f t="shared" si="17"/>
        <v>-1222.73</v>
      </c>
      <c r="R75" s="4"/>
      <c r="S75" s="375">
        <v>-32.72</v>
      </c>
      <c r="T75" s="375">
        <v>-32.72</v>
      </c>
      <c r="U75" s="4"/>
      <c r="V75" s="375">
        <v>-32.72</v>
      </c>
      <c r="W75" s="375">
        <v>-32.72</v>
      </c>
      <c r="X75" s="4"/>
      <c r="Y75" s="375">
        <v>-32.72</v>
      </c>
      <c r="Z75" s="375">
        <v>-32.72</v>
      </c>
      <c r="AA75" s="4"/>
      <c r="AB75" s="375">
        <f>+T75+V75+Y75</f>
        <v>-98.16</v>
      </c>
      <c r="AC75" s="375">
        <f t="shared" si="43"/>
        <v>-98.16</v>
      </c>
      <c r="AD75" s="402"/>
      <c r="AE75" s="375">
        <f t="shared" ref="AE75:AE77" si="51">+Q75+AB75</f>
        <v>-1320.89</v>
      </c>
      <c r="AF75" s="375">
        <f t="shared" ref="AF75:AF77" si="52">+AC75+Q75</f>
        <v>-1320.89</v>
      </c>
      <c r="AG75" s="4"/>
      <c r="AH75" s="375">
        <v>-32.72</v>
      </c>
      <c r="AI75" s="375">
        <v>-32.72</v>
      </c>
      <c r="AJ75" s="4"/>
      <c r="AK75" s="375">
        <v>-2212.16</v>
      </c>
      <c r="AL75" s="375">
        <v>-2212.16</v>
      </c>
      <c r="AM75" s="4"/>
      <c r="AN75" s="375"/>
      <c r="AO75" s="375"/>
      <c r="AP75" s="4"/>
      <c r="AQ75" s="375">
        <f t="shared" ref="AQ75:AQ77" si="53">AN75+AK75+AH75</f>
        <v>-2244.8799999999997</v>
      </c>
      <c r="AR75" s="375">
        <f>AO75+AL75+AI75</f>
        <v>-2244.8799999999997</v>
      </c>
      <c r="AS75" s="4"/>
      <c r="AT75" s="375">
        <f t="shared" ref="AT75:AT77" si="54">+AF75+AR75</f>
        <v>-3565.7699999999995</v>
      </c>
      <c r="AU75" s="4"/>
      <c r="AV75" s="375"/>
      <c r="AW75" s="375"/>
      <c r="AX75" s="4"/>
      <c r="AY75" s="375"/>
      <c r="AZ75" s="375"/>
      <c r="BA75" s="4"/>
      <c r="BB75" s="375"/>
      <c r="BC75" s="375"/>
      <c r="BD75" s="4"/>
      <c r="BE75" s="375">
        <f t="shared" ref="BE75:BE77" si="55">BB75+AY75+AV75</f>
        <v>0</v>
      </c>
      <c r="BF75" s="375">
        <f>BC75+AZ75+AW75</f>
        <v>0</v>
      </c>
      <c r="BG75" s="402"/>
      <c r="BH75" s="375">
        <f t="shared" ref="BH75:BH77" si="56">Q75+AB75+AQ75+BE75</f>
        <v>-3565.7699999999995</v>
      </c>
      <c r="BI75" s="388">
        <f t="shared" ref="BI75:BI77" si="57">Q75+AC75+AR75+BF75</f>
        <v>-3565.7699999999995</v>
      </c>
      <c r="BJ75" s="4"/>
      <c r="BK75" s="386" t="s">
        <v>68</v>
      </c>
      <c r="BL75" s="386" t="s">
        <v>69</v>
      </c>
      <c r="BM75" s="375"/>
      <c r="BN75" s="282"/>
      <c r="BO75" s="378"/>
    </row>
    <row r="76" spans="1:67" ht="15" hidden="1" customHeight="1" outlineLevel="1">
      <c r="A76" s="386" t="s">
        <v>68</v>
      </c>
      <c r="B76" s="386" t="s">
        <v>70</v>
      </c>
      <c r="C76" s="375">
        <v>-4360</v>
      </c>
      <c r="D76" s="4"/>
      <c r="E76" s="375">
        <v>-1800</v>
      </c>
      <c r="F76" s="4"/>
      <c r="G76" s="375"/>
      <c r="H76" s="375">
        <v>-100</v>
      </c>
      <c r="I76" s="4"/>
      <c r="J76" s="375"/>
      <c r="K76" s="375"/>
      <c r="L76" s="4"/>
      <c r="M76" s="375"/>
      <c r="N76" s="375">
        <v>-100</v>
      </c>
      <c r="O76" s="4"/>
      <c r="P76" s="375">
        <f t="shared" si="17"/>
        <v>0</v>
      </c>
      <c r="Q76" s="375">
        <f t="shared" si="17"/>
        <v>-200</v>
      </c>
      <c r="R76" s="4"/>
      <c r="S76" s="375">
        <v>-745</v>
      </c>
      <c r="T76" s="375">
        <v>-745</v>
      </c>
      <c r="U76" s="4"/>
      <c r="V76" s="375">
        <v>-200</v>
      </c>
      <c r="W76" s="375">
        <v>-200</v>
      </c>
      <c r="X76" s="4"/>
      <c r="Y76" s="375">
        <v>-645</v>
      </c>
      <c r="Z76" s="375">
        <v>-645</v>
      </c>
      <c r="AA76" s="4"/>
      <c r="AB76" s="375">
        <f t="shared" si="20"/>
        <v>-1590</v>
      </c>
      <c r="AC76" s="375">
        <f t="shared" si="43"/>
        <v>-1590</v>
      </c>
      <c r="AD76" s="402"/>
      <c r="AE76" s="375">
        <f t="shared" si="51"/>
        <v>-1790</v>
      </c>
      <c r="AF76" s="375">
        <f t="shared" si="52"/>
        <v>-1790</v>
      </c>
      <c r="AG76" s="4"/>
      <c r="AH76" s="375"/>
      <c r="AI76" s="375"/>
      <c r="AJ76" s="4"/>
      <c r="AK76" s="375"/>
      <c r="AL76" s="375"/>
      <c r="AM76" s="4"/>
      <c r="AN76" s="375"/>
      <c r="AO76" s="375"/>
      <c r="AP76" s="4"/>
      <c r="AQ76" s="375">
        <f t="shared" si="53"/>
        <v>0</v>
      </c>
      <c r="AR76" s="375">
        <f>AO76+AL76+AI76</f>
        <v>0</v>
      </c>
      <c r="AS76" s="4"/>
      <c r="AT76" s="375">
        <f t="shared" si="54"/>
        <v>-1790</v>
      </c>
      <c r="AU76" s="4"/>
      <c r="AV76" s="375"/>
      <c r="AW76" s="375"/>
      <c r="AX76" s="4"/>
      <c r="AY76" s="375"/>
      <c r="AZ76" s="375">
        <v>-200</v>
      </c>
      <c r="BA76" s="4"/>
      <c r="BB76" s="375"/>
      <c r="BC76" s="375"/>
      <c r="BD76" s="4"/>
      <c r="BE76" s="375">
        <f t="shared" si="55"/>
        <v>0</v>
      </c>
      <c r="BF76" s="375">
        <f>BC76+AZ76+AW76</f>
        <v>-200</v>
      </c>
      <c r="BG76" s="402"/>
      <c r="BH76" s="375">
        <f t="shared" si="56"/>
        <v>-1790</v>
      </c>
      <c r="BI76" s="388">
        <f t="shared" si="57"/>
        <v>-1990</v>
      </c>
      <c r="BJ76" s="4"/>
      <c r="BK76" s="386" t="s">
        <v>68</v>
      </c>
      <c r="BL76" s="386" t="s">
        <v>70</v>
      </c>
      <c r="BM76" s="375"/>
      <c r="BN76" s="282"/>
      <c r="BO76" s="378"/>
    </row>
    <row r="77" spans="1:67" ht="15" hidden="1" customHeight="1" outlineLevel="1">
      <c r="A77" s="386" t="s">
        <v>68</v>
      </c>
      <c r="B77" s="386" t="s">
        <v>71</v>
      </c>
      <c r="C77" s="375">
        <v>-26997.06</v>
      </c>
      <c r="D77" s="4"/>
      <c r="E77" s="375">
        <v>-3813.65</v>
      </c>
      <c r="F77" s="4"/>
      <c r="G77" s="375"/>
      <c r="H77" s="375">
        <v>-85</v>
      </c>
      <c r="I77" s="4"/>
      <c r="J77" s="375"/>
      <c r="K77" s="375"/>
      <c r="L77" s="4"/>
      <c r="M77" s="375"/>
      <c r="N77" s="375">
        <v>-8320.67</v>
      </c>
      <c r="O77" s="4"/>
      <c r="P77" s="375">
        <f t="shared" si="17"/>
        <v>0</v>
      </c>
      <c r="Q77" s="375">
        <f t="shared" si="17"/>
        <v>-8405.67</v>
      </c>
      <c r="R77" s="4"/>
      <c r="S77" s="375">
        <v>-582.63</v>
      </c>
      <c r="T77" s="375">
        <v>-582.63</v>
      </c>
      <c r="U77" s="4"/>
      <c r="V77" s="375">
        <v>-2232.8200000000002</v>
      </c>
      <c r="W77" s="375">
        <v>-2232.8200000000002</v>
      </c>
      <c r="X77" s="4"/>
      <c r="Y77" s="375"/>
      <c r="Z77" s="375"/>
      <c r="AA77" s="4"/>
      <c r="AB77" s="375">
        <f t="shared" si="20"/>
        <v>-2815.4500000000003</v>
      </c>
      <c r="AC77" s="375">
        <f t="shared" si="43"/>
        <v>-2815.4500000000003</v>
      </c>
      <c r="AD77" s="402"/>
      <c r="AE77" s="375">
        <f t="shared" si="51"/>
        <v>-11221.12</v>
      </c>
      <c r="AF77" s="375">
        <f t="shared" si="52"/>
        <v>-11221.12</v>
      </c>
      <c r="AG77" s="4"/>
      <c r="AH77" s="375"/>
      <c r="AI77" s="375"/>
      <c r="AJ77" s="4"/>
      <c r="AK77" s="375">
        <v>-1456.21</v>
      </c>
      <c r="AL77" s="375">
        <v>-1456.21</v>
      </c>
      <c r="AM77" s="4"/>
      <c r="AN77" s="375">
        <v>-90</v>
      </c>
      <c r="AO77" s="375">
        <v>-90</v>
      </c>
      <c r="AP77" s="4"/>
      <c r="AQ77" s="375">
        <f t="shared" si="53"/>
        <v>-1546.21</v>
      </c>
      <c r="AR77" s="375">
        <f>AO77+AL77+AI77</f>
        <v>-1546.21</v>
      </c>
      <c r="AS77" s="4"/>
      <c r="AT77" s="375">
        <f t="shared" si="54"/>
        <v>-12767.330000000002</v>
      </c>
      <c r="AU77" s="4"/>
      <c r="AV77" s="375"/>
      <c r="AW77" s="375"/>
      <c r="AX77" s="4"/>
      <c r="AY77" s="375"/>
      <c r="AZ77" s="375">
        <v>-1278</v>
      </c>
      <c r="BA77" s="4"/>
      <c r="BB77" s="375"/>
      <c r="BC77" s="375"/>
      <c r="BD77" s="4"/>
      <c r="BE77" s="375">
        <f t="shared" si="55"/>
        <v>0</v>
      </c>
      <c r="BF77" s="375">
        <f>BC77+AZ77+AW77</f>
        <v>-1278</v>
      </c>
      <c r="BG77" s="402"/>
      <c r="BH77" s="375">
        <f t="shared" si="56"/>
        <v>-12767.330000000002</v>
      </c>
      <c r="BI77" s="388">
        <f t="shared" si="57"/>
        <v>-14045.330000000002</v>
      </c>
      <c r="BJ77" s="4"/>
      <c r="BK77" s="386" t="s">
        <v>68</v>
      </c>
      <c r="BL77" s="386" t="s">
        <v>71</v>
      </c>
      <c r="BM77" s="375"/>
      <c r="BN77" s="282"/>
      <c r="BO77" s="378"/>
    </row>
    <row r="78" spans="1:67" collapsed="1">
      <c r="A78" s="386" t="s">
        <v>68</v>
      </c>
      <c r="B78" s="386"/>
      <c r="C78" s="389">
        <f>SUM(C75:C77)</f>
        <v>-40461.660000000003</v>
      </c>
      <c r="D78" s="4"/>
      <c r="E78" s="389">
        <f>SUM(E75:E77)</f>
        <v>-7083.7199999999993</v>
      </c>
      <c r="F78" s="4"/>
      <c r="G78" s="389">
        <f>SUM(G75:G77)</f>
        <v>0</v>
      </c>
      <c r="H78" s="389">
        <f>SUM(H75:H77)</f>
        <v>-845</v>
      </c>
      <c r="I78" s="4"/>
      <c r="J78" s="389">
        <f>SUM(J75:J77)</f>
        <v>0</v>
      </c>
      <c r="K78" s="389">
        <f>SUM(K75:K77)</f>
        <v>-60</v>
      </c>
      <c r="L78" s="4"/>
      <c r="M78" s="389">
        <f>SUM(M75:M77)</f>
        <v>0</v>
      </c>
      <c r="N78" s="389">
        <f>SUM(N75:N77)</f>
        <v>-8923.4</v>
      </c>
      <c r="O78" s="4"/>
      <c r="P78" s="389">
        <f t="shared" si="17"/>
        <v>0</v>
      </c>
      <c r="Q78" s="389">
        <f t="shared" si="17"/>
        <v>-9828.4</v>
      </c>
      <c r="R78" s="4"/>
      <c r="S78" s="389">
        <f>SUM(S75:S77)</f>
        <v>-1360.35</v>
      </c>
      <c r="T78" s="389">
        <f>SUM(T75:T77)</f>
        <v>-1360.35</v>
      </c>
      <c r="U78" s="4"/>
      <c r="V78" s="389">
        <f>SUM(V75:V77)</f>
        <v>-2465.54</v>
      </c>
      <c r="W78" s="389">
        <f>SUM(W75:W77)</f>
        <v>-2465.54</v>
      </c>
      <c r="X78" s="4"/>
      <c r="Y78" s="389">
        <f>SUM(Y75:Y77)</f>
        <v>-677.72</v>
      </c>
      <c r="Z78" s="389">
        <f>SUM(Z75:Z77)</f>
        <v>-677.72</v>
      </c>
      <c r="AA78" s="4"/>
      <c r="AB78" s="389">
        <f>SUM(AB75:AB77)</f>
        <v>-4503.6100000000006</v>
      </c>
      <c r="AC78" s="389">
        <f>SUM(AC75:AC77)</f>
        <v>-4503.6100000000006</v>
      </c>
      <c r="AD78" s="402"/>
      <c r="AE78" s="389">
        <f>SUM(AE75:AE77)</f>
        <v>-14332.010000000002</v>
      </c>
      <c r="AF78" s="389">
        <f>SUM(AF75:AF77)</f>
        <v>-14332.010000000002</v>
      </c>
      <c r="AG78" s="4"/>
      <c r="AH78" s="389">
        <f>SUM(AH75:AH77)</f>
        <v>-32.72</v>
      </c>
      <c r="AI78" s="389">
        <f>SUM(AI75:AI77)</f>
        <v>-32.72</v>
      </c>
      <c r="AJ78" s="4"/>
      <c r="AK78" s="389">
        <f>SUM(AK75:AK77)</f>
        <v>-3668.37</v>
      </c>
      <c r="AL78" s="389">
        <f>SUM(AL75:AL77)</f>
        <v>-3668.37</v>
      </c>
      <c r="AM78" s="4"/>
      <c r="AN78" s="389">
        <f>SUM(AN75:AN77)</f>
        <v>-90</v>
      </c>
      <c r="AO78" s="389">
        <f>SUM(AO75:AO77)</f>
        <v>-90</v>
      </c>
      <c r="AP78" s="4"/>
      <c r="AQ78" s="389">
        <f>SUM(AQ75:AQ77)</f>
        <v>-3791.0899999999997</v>
      </c>
      <c r="AR78" s="389">
        <f>SUM(AR75:AR77)</f>
        <v>-3791.0899999999997</v>
      </c>
      <c r="AS78" s="4"/>
      <c r="AT78" s="389">
        <f>SUM(AT75:AT77)</f>
        <v>-18123.100000000002</v>
      </c>
      <c r="AU78" s="4"/>
      <c r="AV78" s="389">
        <f>SUM(AV75:AV77)</f>
        <v>0</v>
      </c>
      <c r="AW78" s="389">
        <f>SUM(AW75:AW77)</f>
        <v>0</v>
      </c>
      <c r="AX78" s="4"/>
      <c r="AY78" s="389">
        <f>SUM(AY75:AY77)</f>
        <v>0</v>
      </c>
      <c r="AZ78" s="389">
        <f>SUM(AZ75:AZ77)</f>
        <v>-1478</v>
      </c>
      <c r="BA78" s="4"/>
      <c r="BB78" s="389">
        <f>SUM(BB75:BB77)</f>
        <v>0</v>
      </c>
      <c r="BC78" s="389">
        <f>SUM(BC75:BC77)</f>
        <v>0</v>
      </c>
      <c r="BD78" s="4"/>
      <c r="BE78" s="389">
        <f>SUM(BE75:BE77)</f>
        <v>0</v>
      </c>
      <c r="BF78" s="389">
        <f>SUM(BF75:BF77)</f>
        <v>-1478</v>
      </c>
      <c r="BG78" s="402"/>
      <c r="BH78" s="389">
        <f>SUM(BH75:BH77)</f>
        <v>-18123.100000000002</v>
      </c>
      <c r="BI78" s="389">
        <f>SUM(BI75:BI77)</f>
        <v>-19601.100000000002</v>
      </c>
      <c r="BJ78" s="4"/>
      <c r="BK78" s="386" t="s">
        <v>68</v>
      </c>
      <c r="BL78" s="386"/>
      <c r="BM78" s="389">
        <v>-22550</v>
      </c>
      <c r="BN78" s="282"/>
      <c r="BO78" s="378">
        <v>-22550</v>
      </c>
    </row>
    <row r="79" spans="1:67" ht="15" hidden="1" customHeight="1" outlineLevel="1">
      <c r="A79" s="386" t="s">
        <v>72</v>
      </c>
      <c r="B79" s="386" t="s">
        <v>73</v>
      </c>
      <c r="C79" s="375">
        <v>-49442.75</v>
      </c>
      <c r="D79" s="4"/>
      <c r="E79" s="375">
        <v>-10133.5</v>
      </c>
      <c r="F79" s="4"/>
      <c r="G79" s="375"/>
      <c r="H79" s="375"/>
      <c r="I79" s="4"/>
      <c r="J79" s="375"/>
      <c r="K79" s="375"/>
      <c r="L79" s="4"/>
      <c r="M79" s="375"/>
      <c r="N79" s="375">
        <v>-14301.67</v>
      </c>
      <c r="O79" s="4"/>
      <c r="P79" s="375">
        <f t="shared" si="17"/>
        <v>0</v>
      </c>
      <c r="Q79" s="375">
        <f t="shared" si="17"/>
        <v>-14301.67</v>
      </c>
      <c r="R79" s="4"/>
      <c r="S79" s="375">
        <v>-21529</v>
      </c>
      <c r="T79" s="375">
        <v>-21529</v>
      </c>
      <c r="U79" s="4"/>
      <c r="V79" s="375">
        <v>-21899.56</v>
      </c>
      <c r="W79" s="375">
        <v>-21899.56</v>
      </c>
      <c r="X79" s="4"/>
      <c r="Y79" s="375"/>
      <c r="Z79" s="375"/>
      <c r="AA79" s="4"/>
      <c r="AB79" s="375">
        <f t="shared" si="20"/>
        <v>-43428.56</v>
      </c>
      <c r="AC79" s="375">
        <f t="shared" si="43"/>
        <v>-43428.56</v>
      </c>
      <c r="AD79" s="402"/>
      <c r="AE79" s="375">
        <f t="shared" ref="AE79:AE83" si="58">+Q79+AB79</f>
        <v>-57730.229999999996</v>
      </c>
      <c r="AF79" s="375">
        <f t="shared" ref="AF79:AF83" si="59">+AC79+Q79</f>
        <v>-57730.229999999996</v>
      </c>
      <c r="AG79" s="4"/>
      <c r="AH79" s="375">
        <v>-6669</v>
      </c>
      <c r="AI79" s="375">
        <v>-6669</v>
      </c>
      <c r="AJ79" s="4"/>
      <c r="AK79" s="375">
        <v>-23813.57</v>
      </c>
      <c r="AL79" s="375">
        <v>-23813.57</v>
      </c>
      <c r="AM79" s="4"/>
      <c r="AN79" s="375"/>
      <c r="AO79" s="375"/>
      <c r="AP79" s="4"/>
      <c r="AQ79" s="375">
        <f t="shared" ref="AQ79:AR83" si="60">AN79+AK79+AH79</f>
        <v>-30482.57</v>
      </c>
      <c r="AR79" s="375">
        <f t="shared" si="60"/>
        <v>-30482.57</v>
      </c>
      <c r="AS79" s="4"/>
      <c r="AT79" s="375">
        <f t="shared" ref="AT79:AT83" si="61">+AF79+AR79</f>
        <v>-88212.799999999988</v>
      </c>
      <c r="AU79" s="4"/>
      <c r="AV79" s="375"/>
      <c r="AW79" s="375">
        <v>-8718</v>
      </c>
      <c r="AX79" s="4"/>
      <c r="AY79" s="375"/>
      <c r="AZ79" s="375">
        <v>-25530</v>
      </c>
      <c r="BA79" s="4"/>
      <c r="BB79" s="375"/>
      <c r="BC79" s="375">
        <v>-1485</v>
      </c>
      <c r="BD79" s="4"/>
      <c r="BE79" s="375">
        <f t="shared" ref="BE79:BF83" si="62">BB79+AY79+AV79</f>
        <v>0</v>
      </c>
      <c r="BF79" s="375">
        <f t="shared" si="62"/>
        <v>-35733</v>
      </c>
      <c r="BG79" s="402"/>
      <c r="BH79" s="375">
        <f t="shared" ref="BH79:BH83" si="63">Q79+AB79+AQ79+BE79</f>
        <v>-88212.799999999988</v>
      </c>
      <c r="BI79" s="388">
        <f t="shared" ref="BI79:BI83" si="64">Q79+AC79+AR79+BF79</f>
        <v>-123945.79999999999</v>
      </c>
      <c r="BJ79" s="4"/>
      <c r="BK79" s="386" t="s">
        <v>72</v>
      </c>
      <c r="BL79" s="386" t="s">
        <v>73</v>
      </c>
      <c r="BM79" s="375"/>
      <c r="BN79" s="282"/>
      <c r="BO79" s="378"/>
    </row>
    <row r="80" spans="1:67" ht="15" hidden="1" customHeight="1" outlineLevel="1">
      <c r="A80" s="386" t="s">
        <v>72</v>
      </c>
      <c r="B80" s="386" t="s">
        <v>74</v>
      </c>
      <c r="C80" s="375">
        <v>-346261.19</v>
      </c>
      <c r="D80" s="4"/>
      <c r="E80" s="375">
        <v>-30147.46</v>
      </c>
      <c r="F80" s="4"/>
      <c r="G80" s="375"/>
      <c r="H80" s="375"/>
      <c r="I80" s="4"/>
      <c r="J80" s="375"/>
      <c r="K80" s="375"/>
      <c r="L80" s="4"/>
      <c r="M80" s="375"/>
      <c r="N80" s="375">
        <v>0</v>
      </c>
      <c r="O80" s="4"/>
      <c r="P80" s="375">
        <f t="shared" si="17"/>
        <v>0</v>
      </c>
      <c r="Q80" s="375">
        <f t="shared" si="17"/>
        <v>0</v>
      </c>
      <c r="R80" s="4"/>
      <c r="S80" s="375">
        <v>-906</v>
      </c>
      <c r="T80" s="375">
        <v>-906</v>
      </c>
      <c r="U80" s="4"/>
      <c r="V80" s="375">
        <v>-36017.86</v>
      </c>
      <c r="W80" s="375">
        <v>-36017.86</v>
      </c>
      <c r="X80" s="4"/>
      <c r="Y80" s="375">
        <v>-35092.67</v>
      </c>
      <c r="Z80" s="375">
        <v>-35092.67</v>
      </c>
      <c r="AA80" s="4"/>
      <c r="AB80" s="375">
        <f t="shared" si="20"/>
        <v>-72016.53</v>
      </c>
      <c r="AC80" s="375">
        <f t="shared" si="43"/>
        <v>-72016.53</v>
      </c>
      <c r="AD80" s="402"/>
      <c r="AE80" s="375">
        <f t="shared" si="58"/>
        <v>-72016.53</v>
      </c>
      <c r="AF80" s="375">
        <f t="shared" si="59"/>
        <v>-72016.53</v>
      </c>
      <c r="AG80" s="4"/>
      <c r="AH80" s="375">
        <v>-35092.67</v>
      </c>
      <c r="AI80" s="375">
        <v>-35092.67</v>
      </c>
      <c r="AJ80" s="4"/>
      <c r="AK80" s="375">
        <v>-35092.67</v>
      </c>
      <c r="AL80" s="375">
        <v>-35092.67</v>
      </c>
      <c r="AM80" s="4"/>
      <c r="AN80" s="375">
        <v>-35092.67</v>
      </c>
      <c r="AO80" s="375">
        <v>-35092.67</v>
      </c>
      <c r="AP80" s="4"/>
      <c r="AQ80" s="375">
        <f t="shared" si="60"/>
        <v>-105278.01</v>
      </c>
      <c r="AR80" s="375">
        <f t="shared" si="60"/>
        <v>-105278.01</v>
      </c>
      <c r="AS80" s="4"/>
      <c r="AT80" s="375">
        <f t="shared" si="61"/>
        <v>-177294.53999999998</v>
      </c>
      <c r="AU80" s="4"/>
      <c r="AV80" s="375"/>
      <c r="AW80" s="375">
        <v>-35092.67</v>
      </c>
      <c r="AX80" s="4"/>
      <c r="AY80" s="375"/>
      <c r="AZ80" s="375">
        <v>-35092.67</v>
      </c>
      <c r="BA80" s="4"/>
      <c r="BB80" s="375"/>
      <c r="BC80" s="375">
        <v>-35092.67</v>
      </c>
      <c r="BD80" s="4"/>
      <c r="BE80" s="375">
        <f t="shared" si="62"/>
        <v>0</v>
      </c>
      <c r="BF80" s="375">
        <f t="shared" si="62"/>
        <v>-105278.01</v>
      </c>
      <c r="BG80" s="402"/>
      <c r="BH80" s="375">
        <f t="shared" si="63"/>
        <v>-177294.53999999998</v>
      </c>
      <c r="BI80" s="388">
        <f t="shared" si="64"/>
        <v>-282572.55</v>
      </c>
      <c r="BJ80" s="4"/>
      <c r="BK80" s="386" t="s">
        <v>72</v>
      </c>
      <c r="BL80" s="386" t="s">
        <v>74</v>
      </c>
      <c r="BM80" s="375"/>
      <c r="BN80" s="282"/>
      <c r="BO80" s="378"/>
    </row>
    <row r="81" spans="1:67" ht="15" hidden="1" customHeight="1" outlineLevel="1">
      <c r="A81" s="386" t="s">
        <v>72</v>
      </c>
      <c r="B81" s="386" t="s">
        <v>75</v>
      </c>
      <c r="C81" s="375">
        <v>-603605.62</v>
      </c>
      <c r="D81" s="4"/>
      <c r="E81" s="375">
        <v>-209756.5</v>
      </c>
      <c r="F81" s="4"/>
      <c r="G81" s="375"/>
      <c r="H81" s="375">
        <v>-37175</v>
      </c>
      <c r="I81" s="4"/>
      <c r="J81" s="375"/>
      <c r="K81" s="375">
        <v>-37157.5</v>
      </c>
      <c r="L81" s="4"/>
      <c r="M81" s="375"/>
      <c r="N81" s="375">
        <v>-37642</v>
      </c>
      <c r="O81" s="4"/>
      <c r="P81" s="375">
        <f t="shared" si="17"/>
        <v>0</v>
      </c>
      <c r="Q81" s="375">
        <f t="shared" si="17"/>
        <v>-111974.5</v>
      </c>
      <c r="R81" s="4"/>
      <c r="S81" s="375">
        <v>-37052.5</v>
      </c>
      <c r="T81" s="375">
        <v>-37052.5</v>
      </c>
      <c r="U81" s="4"/>
      <c r="V81" s="375">
        <v>44895</v>
      </c>
      <c r="W81" s="375">
        <v>44895</v>
      </c>
      <c r="X81" s="4"/>
      <c r="Y81" s="375">
        <v>104132</v>
      </c>
      <c r="Z81" s="375">
        <v>104132</v>
      </c>
      <c r="AA81" s="4"/>
      <c r="AB81" s="375">
        <f t="shared" si="20"/>
        <v>111974.5</v>
      </c>
      <c r="AC81" s="375">
        <f t="shared" si="43"/>
        <v>111974.5</v>
      </c>
      <c r="AD81" s="402"/>
      <c r="AE81" s="375">
        <f t="shared" si="58"/>
        <v>0</v>
      </c>
      <c r="AF81" s="375">
        <f t="shared" si="59"/>
        <v>0</v>
      </c>
      <c r="AG81" s="4"/>
      <c r="AH81" s="375">
        <v>-10174</v>
      </c>
      <c r="AI81" s="375">
        <v>-10174</v>
      </c>
      <c r="AJ81" s="4"/>
      <c r="AK81" s="375">
        <v>-9665</v>
      </c>
      <c r="AL81" s="375">
        <v>-9665</v>
      </c>
      <c r="AM81" s="4"/>
      <c r="AN81" s="375">
        <v>-9665</v>
      </c>
      <c r="AO81" s="375">
        <v>-9665</v>
      </c>
      <c r="AP81" s="4"/>
      <c r="AQ81" s="375">
        <f t="shared" si="60"/>
        <v>-29504</v>
      </c>
      <c r="AR81" s="375">
        <f t="shared" si="60"/>
        <v>-29504</v>
      </c>
      <c r="AS81" s="4"/>
      <c r="AT81" s="375">
        <f t="shared" si="61"/>
        <v>-29504</v>
      </c>
      <c r="AU81" s="4"/>
      <c r="AV81" s="375"/>
      <c r="AW81" s="375"/>
      <c r="AX81" s="4"/>
      <c r="AY81" s="375"/>
      <c r="AZ81" s="375">
        <v>-11300</v>
      </c>
      <c r="BA81" s="4"/>
      <c r="BB81" s="375"/>
      <c r="BC81" s="375">
        <v>-11817</v>
      </c>
      <c r="BD81" s="4"/>
      <c r="BE81" s="375">
        <f t="shared" si="62"/>
        <v>0</v>
      </c>
      <c r="BF81" s="375">
        <f t="shared" si="62"/>
        <v>-23117</v>
      </c>
      <c r="BG81" s="402"/>
      <c r="BH81" s="375">
        <f t="shared" si="63"/>
        <v>-29504</v>
      </c>
      <c r="BI81" s="388">
        <f t="shared" si="64"/>
        <v>-52621</v>
      </c>
      <c r="BJ81" s="4"/>
      <c r="BK81" s="386" t="s">
        <v>72</v>
      </c>
      <c r="BL81" s="386" t="s">
        <v>75</v>
      </c>
      <c r="BM81" s="375"/>
      <c r="BN81" s="282"/>
      <c r="BO81" s="378"/>
    </row>
    <row r="82" spans="1:67" ht="15" hidden="1" customHeight="1" outlineLevel="1">
      <c r="A82" s="386" t="s">
        <v>72</v>
      </c>
      <c r="B82" s="386" t="s">
        <v>76</v>
      </c>
      <c r="C82" s="375">
        <v>0</v>
      </c>
      <c r="D82" s="4"/>
      <c r="E82" s="375">
        <v>0</v>
      </c>
      <c r="F82" s="4"/>
      <c r="G82" s="375"/>
      <c r="H82" s="375"/>
      <c r="I82" s="4"/>
      <c r="J82" s="375"/>
      <c r="K82" s="375"/>
      <c r="L82" s="4"/>
      <c r="M82" s="375"/>
      <c r="N82" s="375">
        <v>0</v>
      </c>
      <c r="O82" s="4"/>
      <c r="P82" s="375">
        <f t="shared" si="17"/>
        <v>0</v>
      </c>
      <c r="Q82" s="375">
        <f t="shared" si="17"/>
        <v>0</v>
      </c>
      <c r="R82" s="4"/>
      <c r="S82" s="375"/>
      <c r="T82" s="375"/>
      <c r="U82" s="4"/>
      <c r="V82" s="375"/>
      <c r="W82" s="375"/>
      <c r="X82" s="4"/>
      <c r="Y82" s="375"/>
      <c r="Z82" s="375"/>
      <c r="AA82" s="4"/>
      <c r="AB82" s="375">
        <f t="shared" si="20"/>
        <v>0</v>
      </c>
      <c r="AC82" s="375">
        <f t="shared" si="43"/>
        <v>0</v>
      </c>
      <c r="AD82" s="402"/>
      <c r="AE82" s="375">
        <f t="shared" si="58"/>
        <v>0</v>
      </c>
      <c r="AF82" s="375">
        <f t="shared" si="59"/>
        <v>0</v>
      </c>
      <c r="AG82" s="4"/>
      <c r="AH82" s="375"/>
      <c r="AI82" s="375"/>
      <c r="AJ82" s="4"/>
      <c r="AK82" s="375"/>
      <c r="AL82" s="375"/>
      <c r="AM82" s="4"/>
      <c r="AN82" s="375"/>
      <c r="AO82" s="375"/>
      <c r="AP82" s="4"/>
      <c r="AQ82" s="375">
        <f t="shared" si="60"/>
        <v>0</v>
      </c>
      <c r="AR82" s="375">
        <f t="shared" si="60"/>
        <v>0</v>
      </c>
      <c r="AS82" s="4"/>
      <c r="AT82" s="375">
        <f t="shared" si="61"/>
        <v>0</v>
      </c>
      <c r="AU82" s="4"/>
      <c r="AV82" s="375"/>
      <c r="AW82" s="375"/>
      <c r="AX82" s="4"/>
      <c r="AY82" s="375"/>
      <c r="AZ82" s="375"/>
      <c r="BA82" s="4"/>
      <c r="BB82" s="375"/>
      <c r="BC82" s="375"/>
      <c r="BD82" s="4"/>
      <c r="BE82" s="375">
        <f t="shared" si="62"/>
        <v>0</v>
      </c>
      <c r="BF82" s="375">
        <f t="shared" si="62"/>
        <v>0</v>
      </c>
      <c r="BG82" s="402"/>
      <c r="BH82" s="375">
        <f t="shared" si="63"/>
        <v>0</v>
      </c>
      <c r="BI82" s="388">
        <f t="shared" si="64"/>
        <v>0</v>
      </c>
      <c r="BJ82" s="4"/>
      <c r="BK82" s="386" t="s">
        <v>72</v>
      </c>
      <c r="BL82" s="386" t="s">
        <v>76</v>
      </c>
      <c r="BM82" s="375"/>
      <c r="BN82" s="282"/>
      <c r="BO82" s="378"/>
    </row>
    <row r="83" spans="1:67" ht="15" hidden="1" customHeight="1" outlineLevel="1">
      <c r="A83" s="386" t="s">
        <v>72</v>
      </c>
      <c r="B83" s="386" t="s">
        <v>77</v>
      </c>
      <c r="C83" s="375">
        <v>0</v>
      </c>
      <c r="D83" s="4"/>
      <c r="E83" s="375">
        <v>0</v>
      </c>
      <c r="F83" s="4"/>
      <c r="G83" s="375"/>
      <c r="H83" s="375"/>
      <c r="I83" s="4"/>
      <c r="J83" s="375"/>
      <c r="K83" s="375"/>
      <c r="L83" s="4"/>
      <c r="M83" s="375"/>
      <c r="N83" s="375">
        <v>0</v>
      </c>
      <c r="O83" s="4"/>
      <c r="P83" s="375">
        <f t="shared" si="17"/>
        <v>0</v>
      </c>
      <c r="Q83" s="375">
        <f t="shared" si="17"/>
        <v>0</v>
      </c>
      <c r="R83" s="4"/>
      <c r="S83" s="375"/>
      <c r="T83" s="375"/>
      <c r="U83" s="4"/>
      <c r="V83" s="375"/>
      <c r="W83" s="375"/>
      <c r="X83" s="4"/>
      <c r="Y83" s="375"/>
      <c r="Z83" s="375"/>
      <c r="AA83" s="4"/>
      <c r="AB83" s="375">
        <f t="shared" si="20"/>
        <v>0</v>
      </c>
      <c r="AC83" s="375">
        <f t="shared" si="43"/>
        <v>0</v>
      </c>
      <c r="AD83" s="402"/>
      <c r="AE83" s="375">
        <f t="shared" si="58"/>
        <v>0</v>
      </c>
      <c r="AF83" s="375">
        <f t="shared" si="59"/>
        <v>0</v>
      </c>
      <c r="AG83" s="4"/>
      <c r="AH83" s="375"/>
      <c r="AI83" s="375"/>
      <c r="AJ83" s="4"/>
      <c r="AK83" s="375"/>
      <c r="AL83" s="375"/>
      <c r="AM83" s="4"/>
      <c r="AN83" s="375"/>
      <c r="AO83" s="375"/>
      <c r="AP83" s="4"/>
      <c r="AQ83" s="375">
        <f t="shared" si="60"/>
        <v>0</v>
      </c>
      <c r="AR83" s="375">
        <f t="shared" si="60"/>
        <v>0</v>
      </c>
      <c r="AS83" s="4"/>
      <c r="AT83" s="375">
        <f t="shared" si="61"/>
        <v>0</v>
      </c>
      <c r="AU83" s="4"/>
      <c r="AV83" s="375"/>
      <c r="AW83" s="375"/>
      <c r="AX83" s="4"/>
      <c r="AY83" s="375"/>
      <c r="AZ83" s="375"/>
      <c r="BA83" s="4"/>
      <c r="BB83" s="375"/>
      <c r="BC83" s="375"/>
      <c r="BD83" s="4"/>
      <c r="BE83" s="375">
        <f t="shared" si="62"/>
        <v>0</v>
      </c>
      <c r="BF83" s="375">
        <f t="shared" si="62"/>
        <v>0</v>
      </c>
      <c r="BG83" s="402"/>
      <c r="BH83" s="375">
        <f t="shared" si="63"/>
        <v>0</v>
      </c>
      <c r="BI83" s="388">
        <f t="shared" si="64"/>
        <v>0</v>
      </c>
      <c r="BJ83" s="4"/>
      <c r="BK83" s="386" t="s">
        <v>72</v>
      </c>
      <c r="BL83" s="386" t="s">
        <v>77</v>
      </c>
      <c r="BM83" s="375"/>
      <c r="BN83" s="282"/>
      <c r="BO83" s="378"/>
    </row>
    <row r="84" spans="1:67" collapsed="1">
      <c r="A84" s="386" t="s">
        <v>72</v>
      </c>
      <c r="B84" s="386"/>
      <c r="C84" s="389">
        <f>SUM(C79:C83)</f>
        <v>-999309.56</v>
      </c>
      <c r="D84" s="4"/>
      <c r="E84" s="389">
        <f>SUM(E79:E83)</f>
        <v>-250037.46</v>
      </c>
      <c r="F84" s="4"/>
      <c r="G84" s="389">
        <f>SUM(G79:G83)</f>
        <v>0</v>
      </c>
      <c r="H84" s="389">
        <f>SUM(H79:H83)</f>
        <v>-37175</v>
      </c>
      <c r="I84" s="4"/>
      <c r="J84" s="389">
        <f>SUM(J79:J83)</f>
        <v>0</v>
      </c>
      <c r="K84" s="389">
        <f>SUM(K79:K83)</f>
        <v>-37157.5</v>
      </c>
      <c r="L84" s="4"/>
      <c r="M84" s="389">
        <f>SUM(M79:M83)</f>
        <v>0</v>
      </c>
      <c r="N84" s="389">
        <f>SUM(N79:N83)</f>
        <v>-51943.67</v>
      </c>
      <c r="O84" s="4"/>
      <c r="P84" s="389">
        <f t="shared" ref="P84:Q125" si="65">+G84+J84+M84</f>
        <v>0</v>
      </c>
      <c r="Q84" s="389">
        <f t="shared" si="65"/>
        <v>-126276.17</v>
      </c>
      <c r="R84" s="4"/>
      <c r="S84" s="389">
        <f>SUM(S79:S83)</f>
        <v>-59487.5</v>
      </c>
      <c r="T84" s="389">
        <f>SUM(T79:T83)</f>
        <v>-59487.5</v>
      </c>
      <c r="U84" s="4"/>
      <c r="V84" s="389">
        <f>SUM(V79:V83)</f>
        <v>-13022.419999999998</v>
      </c>
      <c r="W84" s="389">
        <f>SUM(W79:W83)</f>
        <v>-13022.419999999998</v>
      </c>
      <c r="X84" s="4"/>
      <c r="Y84" s="389">
        <f>SUM(Y79:Y83)</f>
        <v>69039.33</v>
      </c>
      <c r="Z84" s="389">
        <f>SUM(Z79:Z83)</f>
        <v>69039.33</v>
      </c>
      <c r="AA84" s="4"/>
      <c r="AB84" s="389">
        <f>SUM(AB79:AB83)</f>
        <v>-3470.5899999999965</v>
      </c>
      <c r="AC84" s="389">
        <f>SUM(AC79:AC83)</f>
        <v>-3470.5899999999965</v>
      </c>
      <c r="AD84" s="402"/>
      <c r="AE84" s="389">
        <f>SUM(AE79:AE83)</f>
        <v>-129746.76</v>
      </c>
      <c r="AF84" s="389">
        <f>SUM(AF79:AF83)</f>
        <v>-129746.76</v>
      </c>
      <c r="AG84" s="4"/>
      <c r="AH84" s="389">
        <f>SUM(AH79:AH83)</f>
        <v>-51935.67</v>
      </c>
      <c r="AI84" s="389">
        <f>SUM(AI79:AI83)</f>
        <v>-51935.67</v>
      </c>
      <c r="AJ84" s="4"/>
      <c r="AK84" s="389">
        <f>SUM(AK79:AK83)</f>
        <v>-68571.239999999991</v>
      </c>
      <c r="AL84" s="389">
        <f>SUM(AL79:AL83)</f>
        <v>-68571.239999999991</v>
      </c>
      <c r="AM84" s="4"/>
      <c r="AN84" s="389">
        <f>SUM(AN79:AN83)</f>
        <v>-44757.67</v>
      </c>
      <c r="AO84" s="389">
        <f>SUM(AO79:AO83)</f>
        <v>-44757.67</v>
      </c>
      <c r="AP84" s="4"/>
      <c r="AQ84" s="389">
        <f>SUM(AQ79:AQ83)</f>
        <v>-165264.57999999999</v>
      </c>
      <c r="AR84" s="389">
        <f>SUM(AR79:AR83)</f>
        <v>-165264.57999999999</v>
      </c>
      <c r="AS84" s="4"/>
      <c r="AT84" s="389">
        <f>SUM(AT79:AT83)</f>
        <v>-295011.33999999997</v>
      </c>
      <c r="AU84" s="4"/>
      <c r="AV84" s="389">
        <f>SUM(AV79:AV83)</f>
        <v>0</v>
      </c>
      <c r="AW84" s="389">
        <f>SUM(AW79:AW83)</f>
        <v>-43810.67</v>
      </c>
      <c r="AX84" s="4"/>
      <c r="AY84" s="389">
        <f>SUM(AY79:AY83)</f>
        <v>0</v>
      </c>
      <c r="AZ84" s="389">
        <f>SUM(AZ79:AZ83)</f>
        <v>-71922.67</v>
      </c>
      <c r="BA84" s="4"/>
      <c r="BB84" s="389">
        <f>SUM(BB79:BB83)</f>
        <v>0</v>
      </c>
      <c r="BC84" s="389">
        <f>SUM(BC79:BC83)</f>
        <v>-48394.67</v>
      </c>
      <c r="BD84" s="4"/>
      <c r="BE84" s="389">
        <f>SUM(BE79:BE83)</f>
        <v>0</v>
      </c>
      <c r="BF84" s="389">
        <f>SUM(BF79:BF83)</f>
        <v>-164128.01</v>
      </c>
      <c r="BG84" s="402"/>
      <c r="BH84" s="389">
        <f>SUM(BH79:BH83)</f>
        <v>-295011.33999999997</v>
      </c>
      <c r="BI84" s="389">
        <f>SUM(BI79:BI83)</f>
        <v>-459139.35</v>
      </c>
      <c r="BJ84" s="4"/>
      <c r="BK84" s="386" t="s">
        <v>72</v>
      </c>
      <c r="BL84" s="386"/>
      <c r="BM84" s="389">
        <v>-535000</v>
      </c>
      <c r="BN84" s="282"/>
      <c r="BO84" s="378">
        <v>-535000</v>
      </c>
    </row>
    <row r="85" spans="1:67" ht="15" hidden="1" customHeight="1" outlineLevel="1">
      <c r="A85" s="386" t="s">
        <v>35</v>
      </c>
      <c r="B85" s="386" t="s">
        <v>35</v>
      </c>
      <c r="C85" s="375">
        <v>-236685</v>
      </c>
      <c r="D85" s="4"/>
      <c r="E85" s="375">
        <v>-78987</v>
      </c>
      <c r="F85" s="4"/>
      <c r="G85" s="375"/>
      <c r="H85" s="375">
        <v>-13969.6</v>
      </c>
      <c r="I85" s="4"/>
      <c r="J85" s="375"/>
      <c r="K85" s="375">
        <v>-9925</v>
      </c>
      <c r="L85" s="4"/>
      <c r="M85" s="375"/>
      <c r="N85" s="375">
        <v>-6197</v>
      </c>
      <c r="O85" s="4"/>
      <c r="P85" s="375">
        <f t="shared" si="65"/>
        <v>0</v>
      </c>
      <c r="Q85" s="375">
        <f t="shared" si="65"/>
        <v>-30091.599999999999</v>
      </c>
      <c r="R85" s="4"/>
      <c r="S85" s="375">
        <v>-17470</v>
      </c>
      <c r="T85" s="375">
        <v>-17470</v>
      </c>
      <c r="U85" s="4"/>
      <c r="V85" s="375">
        <v>-7170</v>
      </c>
      <c r="W85" s="375">
        <v>-7170</v>
      </c>
      <c r="X85" s="4"/>
      <c r="Y85" s="375">
        <v>-8980</v>
      </c>
      <c r="Z85" s="375">
        <f>-8980-150</f>
        <v>-9130</v>
      </c>
      <c r="AA85" s="4"/>
      <c r="AB85" s="375">
        <f t="shared" si="20"/>
        <v>-33620</v>
      </c>
      <c r="AC85" s="375">
        <f t="shared" ref="AC85" si="66">+T85+W85+Z85</f>
        <v>-33770</v>
      </c>
      <c r="AD85" s="402"/>
      <c r="AE85" s="375">
        <f>+Q85+AB85</f>
        <v>-63711.6</v>
      </c>
      <c r="AF85" s="375">
        <f>+AC85+Q85</f>
        <v>-63861.599999999999</v>
      </c>
      <c r="AG85" s="4"/>
      <c r="AH85" s="375">
        <v>-7385</v>
      </c>
      <c r="AI85" s="375">
        <v>-7385</v>
      </c>
      <c r="AJ85" s="4"/>
      <c r="AK85" s="375">
        <v>-9792</v>
      </c>
      <c r="AL85" s="375">
        <v>-9792</v>
      </c>
      <c r="AM85" s="4"/>
      <c r="AN85" s="375">
        <v>-15756.56</v>
      </c>
      <c r="AO85" s="375">
        <v>-15756.56</v>
      </c>
      <c r="AP85" s="4"/>
      <c r="AQ85" s="375">
        <f t="shared" ref="AQ85:AR85" si="67">AN85+AK85+AH85</f>
        <v>-32933.56</v>
      </c>
      <c r="AR85" s="375">
        <f t="shared" si="67"/>
        <v>-32933.56</v>
      </c>
      <c r="AS85" s="4"/>
      <c r="AT85" s="375">
        <f t="shared" ref="AT85" si="68">+AF85+AR85</f>
        <v>-96795.16</v>
      </c>
      <c r="AU85" s="4"/>
      <c r="AV85" s="375"/>
      <c r="AW85" s="375">
        <v>-7360</v>
      </c>
      <c r="AX85" s="4"/>
      <c r="AY85" s="375"/>
      <c r="AZ85" s="375">
        <v>-4707</v>
      </c>
      <c r="BA85" s="4"/>
      <c r="BB85" s="375"/>
      <c r="BC85" s="375">
        <v>-12901</v>
      </c>
      <c r="BD85" s="4"/>
      <c r="BE85" s="375">
        <f t="shared" ref="BE85:BF85" si="69">BB85+AY85+AV85</f>
        <v>0</v>
      </c>
      <c r="BF85" s="375">
        <f t="shared" si="69"/>
        <v>-24968</v>
      </c>
      <c r="BG85" s="402"/>
      <c r="BH85" s="375">
        <f>Q85+AB85+AQ85+BE85</f>
        <v>-96645.16</v>
      </c>
      <c r="BI85" s="388">
        <f>Q85+AC85+AR85+BF85</f>
        <v>-121763.16</v>
      </c>
      <c r="BJ85" s="4"/>
      <c r="BK85" s="386" t="s">
        <v>35</v>
      </c>
      <c r="BL85" s="386" t="s">
        <v>35</v>
      </c>
      <c r="BM85" s="375"/>
      <c r="BN85" s="282"/>
      <c r="BO85" s="378"/>
    </row>
    <row r="86" spans="1:67" collapsed="1">
      <c r="A86" s="386" t="s">
        <v>35</v>
      </c>
      <c r="B86" s="386"/>
      <c r="C86" s="389">
        <f>SUM(C85)</f>
        <v>-236685</v>
      </c>
      <c r="D86" s="4"/>
      <c r="E86" s="389">
        <f>SUM(E85)</f>
        <v>-78987</v>
      </c>
      <c r="F86" s="4"/>
      <c r="G86" s="389">
        <f>SUM(G85)</f>
        <v>0</v>
      </c>
      <c r="H86" s="389">
        <f>SUM(H85)</f>
        <v>-13969.6</v>
      </c>
      <c r="I86" s="4"/>
      <c r="J86" s="389">
        <f>SUM(J85)</f>
        <v>0</v>
      </c>
      <c r="K86" s="389">
        <f>SUM(K85)</f>
        <v>-9925</v>
      </c>
      <c r="L86" s="4"/>
      <c r="M86" s="389">
        <f>SUM(M85)</f>
        <v>0</v>
      </c>
      <c r="N86" s="389">
        <f>SUM(N85)</f>
        <v>-6197</v>
      </c>
      <c r="O86" s="4"/>
      <c r="P86" s="389">
        <f t="shared" si="65"/>
        <v>0</v>
      </c>
      <c r="Q86" s="389">
        <f t="shared" si="65"/>
        <v>-30091.599999999999</v>
      </c>
      <c r="R86" s="4"/>
      <c r="S86" s="389">
        <f>SUM(S85)</f>
        <v>-17470</v>
      </c>
      <c r="T86" s="389">
        <f>SUM(T85)</f>
        <v>-17470</v>
      </c>
      <c r="U86" s="4"/>
      <c r="V86" s="389">
        <f>SUM(V85)</f>
        <v>-7170</v>
      </c>
      <c r="W86" s="389">
        <f>SUM(W85)</f>
        <v>-7170</v>
      </c>
      <c r="X86" s="4"/>
      <c r="Y86" s="389">
        <f>SUM(Y85)</f>
        <v>-8980</v>
      </c>
      <c r="Z86" s="389">
        <f>SUM(Z85)</f>
        <v>-9130</v>
      </c>
      <c r="AA86" s="4"/>
      <c r="AB86" s="389">
        <f>SUM(AB85)</f>
        <v>-33620</v>
      </c>
      <c r="AC86" s="389">
        <f>SUM(AC85)</f>
        <v>-33770</v>
      </c>
      <c r="AD86" s="402"/>
      <c r="AE86" s="389">
        <f>SUM(AE85)</f>
        <v>-63711.6</v>
      </c>
      <c r="AF86" s="389">
        <f>SUM(AF85)</f>
        <v>-63861.599999999999</v>
      </c>
      <c r="AG86" s="4"/>
      <c r="AH86" s="389">
        <f>SUM(AH85)</f>
        <v>-7385</v>
      </c>
      <c r="AI86" s="389">
        <f>SUM(AI85)</f>
        <v>-7385</v>
      </c>
      <c r="AJ86" s="4"/>
      <c r="AK86" s="389">
        <f>SUM(AK85)</f>
        <v>-9792</v>
      </c>
      <c r="AL86" s="389">
        <f>SUM(AL85)</f>
        <v>-9792</v>
      </c>
      <c r="AM86" s="4"/>
      <c r="AN86" s="389">
        <f>SUM(AN85)</f>
        <v>-15756.56</v>
      </c>
      <c r="AO86" s="389">
        <f>SUM(AO85)</f>
        <v>-15756.56</v>
      </c>
      <c r="AP86" s="4"/>
      <c r="AQ86" s="389">
        <f>SUM(AQ85)</f>
        <v>-32933.56</v>
      </c>
      <c r="AR86" s="389">
        <f>SUM(AR85)</f>
        <v>-32933.56</v>
      </c>
      <c r="AS86" s="4"/>
      <c r="AT86" s="389">
        <f>SUM(AT85)</f>
        <v>-96795.16</v>
      </c>
      <c r="AU86" s="4"/>
      <c r="AV86" s="389">
        <f>SUM(AV85)</f>
        <v>0</v>
      </c>
      <c r="AW86" s="389">
        <f>SUM(AW85)</f>
        <v>-7360</v>
      </c>
      <c r="AX86" s="4"/>
      <c r="AY86" s="389">
        <f>SUM(AY85)</f>
        <v>0</v>
      </c>
      <c r="AZ86" s="389">
        <f>SUM(AZ85)</f>
        <v>-4707</v>
      </c>
      <c r="BA86" s="4"/>
      <c r="BB86" s="389">
        <f>SUM(BB85)</f>
        <v>0</v>
      </c>
      <c r="BC86" s="389">
        <f>SUM(BC85)</f>
        <v>-12901</v>
      </c>
      <c r="BD86" s="4"/>
      <c r="BE86" s="389">
        <f>SUM(BE85)</f>
        <v>0</v>
      </c>
      <c r="BF86" s="389">
        <f>SUM(BF85)</f>
        <v>-24968</v>
      </c>
      <c r="BG86" s="402"/>
      <c r="BH86" s="389">
        <f>SUM(BH85)</f>
        <v>-96645.16</v>
      </c>
      <c r="BI86" s="389">
        <f>SUM(BI85)</f>
        <v>-121763.16</v>
      </c>
      <c r="BJ86" s="4"/>
      <c r="BK86" s="386" t="s">
        <v>35</v>
      </c>
      <c r="BL86" s="386"/>
      <c r="BM86" s="389">
        <v>-150000</v>
      </c>
      <c r="BN86" s="282"/>
      <c r="BO86" s="378">
        <v>-150000</v>
      </c>
    </row>
    <row r="87" spans="1:67" ht="15" hidden="1" customHeight="1" outlineLevel="1">
      <c r="A87" s="386" t="s">
        <v>78</v>
      </c>
      <c r="B87" s="386" t="s">
        <v>79</v>
      </c>
      <c r="C87" s="375">
        <v>-124792.5</v>
      </c>
      <c r="D87" s="4"/>
      <c r="E87" s="375">
        <v>-70052.5</v>
      </c>
      <c r="F87" s="4"/>
      <c r="G87" s="375"/>
      <c r="H87" s="375">
        <v>-200</v>
      </c>
      <c r="I87" s="4"/>
      <c r="J87" s="375"/>
      <c r="K87" s="375">
        <v>-250</v>
      </c>
      <c r="L87" s="4"/>
      <c r="M87" s="375"/>
      <c r="N87" s="375">
        <v>-14018</v>
      </c>
      <c r="O87" s="4"/>
      <c r="P87" s="375">
        <f t="shared" si="65"/>
        <v>0</v>
      </c>
      <c r="Q87" s="375">
        <f t="shared" si="65"/>
        <v>-14468</v>
      </c>
      <c r="R87" s="4"/>
      <c r="S87" s="375">
        <v>-300</v>
      </c>
      <c r="T87" s="375">
        <v>-300</v>
      </c>
      <c r="U87" s="4"/>
      <c r="V87" s="375">
        <v>-4045</v>
      </c>
      <c r="W87" s="375">
        <v>-4045</v>
      </c>
      <c r="X87" s="4"/>
      <c r="Y87" s="375">
        <v>-5565</v>
      </c>
      <c r="Z87" s="375">
        <v>-5565</v>
      </c>
      <c r="AA87" s="4"/>
      <c r="AB87" s="375">
        <f t="shared" si="20"/>
        <v>-9910</v>
      </c>
      <c r="AC87" s="375">
        <f t="shared" ref="AC87" si="70">+T87+W87+Z87</f>
        <v>-9910</v>
      </c>
      <c r="AD87" s="402"/>
      <c r="AE87" s="375">
        <f>+Q87+AB87</f>
        <v>-24378</v>
      </c>
      <c r="AF87" s="375">
        <f>+AC87+Q87</f>
        <v>-24378</v>
      </c>
      <c r="AG87" s="4"/>
      <c r="AH87" s="375">
        <v>-3000</v>
      </c>
      <c r="AI87" s="375">
        <v>-3000</v>
      </c>
      <c r="AJ87" s="4"/>
      <c r="AK87" s="375">
        <v>-7698.03</v>
      </c>
      <c r="AL87" s="375">
        <v>-7698.03</v>
      </c>
      <c r="AM87" s="4"/>
      <c r="AN87" s="375">
        <v>-2800</v>
      </c>
      <c r="AO87" s="375">
        <v>-2800</v>
      </c>
      <c r="AP87" s="4"/>
      <c r="AQ87" s="375">
        <f t="shared" ref="AQ87:AR87" si="71">AN87+AK87+AH87</f>
        <v>-13498.029999999999</v>
      </c>
      <c r="AR87" s="375">
        <f t="shared" si="71"/>
        <v>-13498.029999999999</v>
      </c>
      <c r="AS87" s="4"/>
      <c r="AT87" s="375">
        <f t="shared" ref="AT87" si="72">+AF87+AR87</f>
        <v>-37876.03</v>
      </c>
      <c r="AU87" s="4"/>
      <c r="AV87" s="375"/>
      <c r="AW87" s="375">
        <v>-3433</v>
      </c>
      <c r="AX87" s="4"/>
      <c r="AY87" s="375"/>
      <c r="AZ87" s="375">
        <v>-24381</v>
      </c>
      <c r="BA87" s="4"/>
      <c r="BB87" s="375"/>
      <c r="BC87" s="375">
        <v>-3021.15</v>
      </c>
      <c r="BD87" s="4"/>
      <c r="BE87" s="375">
        <f t="shared" ref="BE87:BF87" si="73">BB87+AY87+AV87</f>
        <v>0</v>
      </c>
      <c r="BF87" s="375">
        <f t="shared" si="73"/>
        <v>-30835.15</v>
      </c>
      <c r="BG87" s="402"/>
      <c r="BH87" s="375">
        <f>Q87+AB87+AQ87+BE87</f>
        <v>-37876.03</v>
      </c>
      <c r="BI87" s="388">
        <f>Q87+AC87+AR87+BF87</f>
        <v>-68711.179999999993</v>
      </c>
      <c r="BJ87" s="4"/>
      <c r="BK87" s="386" t="s">
        <v>78</v>
      </c>
      <c r="BL87" s="386" t="s">
        <v>79</v>
      </c>
      <c r="BM87" s="375"/>
      <c r="BN87" s="282"/>
      <c r="BO87" s="378"/>
    </row>
    <row r="88" spans="1:67" collapsed="1">
      <c r="A88" s="386" t="s">
        <v>78</v>
      </c>
      <c r="B88" s="386"/>
      <c r="C88" s="389">
        <f>SUM(C87)</f>
        <v>-124792.5</v>
      </c>
      <c r="D88" s="4"/>
      <c r="E88" s="389">
        <f>SUM(E87)</f>
        <v>-70052.5</v>
      </c>
      <c r="F88" s="4"/>
      <c r="G88" s="389">
        <f>SUM(G87)</f>
        <v>0</v>
      </c>
      <c r="H88" s="389">
        <f>SUM(H87)</f>
        <v>-200</v>
      </c>
      <c r="I88" s="4"/>
      <c r="J88" s="389">
        <f>SUM(J87)</f>
        <v>0</v>
      </c>
      <c r="K88" s="389">
        <f>SUM(K87)</f>
        <v>-250</v>
      </c>
      <c r="L88" s="4"/>
      <c r="M88" s="389">
        <f>SUM(M87)</f>
        <v>0</v>
      </c>
      <c r="N88" s="389">
        <f>SUM(N87)</f>
        <v>-14018</v>
      </c>
      <c r="O88" s="4"/>
      <c r="P88" s="389">
        <f t="shared" si="65"/>
        <v>0</v>
      </c>
      <c r="Q88" s="389">
        <f t="shared" si="65"/>
        <v>-14468</v>
      </c>
      <c r="R88" s="4"/>
      <c r="S88" s="389">
        <f>SUM(S87)</f>
        <v>-300</v>
      </c>
      <c r="T88" s="389">
        <f>SUM(T87)</f>
        <v>-300</v>
      </c>
      <c r="U88" s="4"/>
      <c r="V88" s="389">
        <f>SUM(V87)</f>
        <v>-4045</v>
      </c>
      <c r="W88" s="389">
        <f>SUM(W87)</f>
        <v>-4045</v>
      </c>
      <c r="X88" s="4"/>
      <c r="Y88" s="389">
        <f>SUM(Y87)</f>
        <v>-5565</v>
      </c>
      <c r="Z88" s="389">
        <f>SUM(Z87)</f>
        <v>-5565</v>
      </c>
      <c r="AA88" s="4"/>
      <c r="AB88" s="389">
        <f>SUM(AB87)</f>
        <v>-9910</v>
      </c>
      <c r="AC88" s="389">
        <f>SUM(AC87)</f>
        <v>-9910</v>
      </c>
      <c r="AD88" s="402"/>
      <c r="AE88" s="389">
        <f>SUM(AE87)</f>
        <v>-24378</v>
      </c>
      <c r="AF88" s="389">
        <f>SUM(AF87)</f>
        <v>-24378</v>
      </c>
      <c r="AG88" s="4"/>
      <c r="AH88" s="389">
        <f>SUM(AH87)</f>
        <v>-3000</v>
      </c>
      <c r="AI88" s="389">
        <f>SUM(AI87)</f>
        <v>-3000</v>
      </c>
      <c r="AJ88" s="4"/>
      <c r="AK88" s="389">
        <f>SUM(AK87)</f>
        <v>-7698.03</v>
      </c>
      <c r="AL88" s="389">
        <f>SUM(AL87)</f>
        <v>-7698.03</v>
      </c>
      <c r="AM88" s="4"/>
      <c r="AN88" s="389">
        <f>SUM(AN87)</f>
        <v>-2800</v>
      </c>
      <c r="AO88" s="389">
        <f>SUM(AO87)</f>
        <v>-2800</v>
      </c>
      <c r="AP88" s="4"/>
      <c r="AQ88" s="389">
        <f>SUM(AQ87)</f>
        <v>-13498.029999999999</v>
      </c>
      <c r="AR88" s="389">
        <f>SUM(AR87)</f>
        <v>-13498.029999999999</v>
      </c>
      <c r="AS88" s="4"/>
      <c r="AT88" s="389">
        <f>SUM(AT87)</f>
        <v>-37876.03</v>
      </c>
      <c r="AU88" s="4"/>
      <c r="AV88" s="389">
        <f>SUM(AV87)</f>
        <v>0</v>
      </c>
      <c r="AW88" s="389">
        <f>SUM(AW87)</f>
        <v>-3433</v>
      </c>
      <c r="AX88" s="4"/>
      <c r="AY88" s="389">
        <f>SUM(AY87)</f>
        <v>0</v>
      </c>
      <c r="AZ88" s="389">
        <f>SUM(AZ87)</f>
        <v>-24381</v>
      </c>
      <c r="BA88" s="4"/>
      <c r="BB88" s="389">
        <f>SUM(BB87)</f>
        <v>0</v>
      </c>
      <c r="BC88" s="389">
        <f>SUM(BC87)</f>
        <v>-3021.15</v>
      </c>
      <c r="BD88" s="4"/>
      <c r="BE88" s="389">
        <f>SUM(BE87)</f>
        <v>0</v>
      </c>
      <c r="BF88" s="389">
        <f>SUM(BF87)</f>
        <v>-30835.15</v>
      </c>
      <c r="BG88" s="402"/>
      <c r="BH88" s="389">
        <f>SUM(BH87)</f>
        <v>-37876.03</v>
      </c>
      <c r="BI88" s="389">
        <f>SUM(BI87)</f>
        <v>-68711.179999999993</v>
      </c>
      <c r="BJ88" s="4"/>
      <c r="BK88" s="386" t="s">
        <v>78</v>
      </c>
      <c r="BL88" s="386"/>
      <c r="BM88" s="389">
        <v>-85500</v>
      </c>
      <c r="BN88" s="282"/>
      <c r="BO88" s="378">
        <v>-85500</v>
      </c>
    </row>
    <row r="89" spans="1:67" ht="15" hidden="1" customHeight="1" outlineLevel="1">
      <c r="A89" s="386" t="s">
        <v>36</v>
      </c>
      <c r="B89" s="386" t="s">
        <v>80</v>
      </c>
      <c r="C89" s="375">
        <v>0</v>
      </c>
      <c r="D89" s="4"/>
      <c r="E89" s="375">
        <v>0</v>
      </c>
      <c r="F89" s="4"/>
      <c r="G89" s="375"/>
      <c r="H89" s="375"/>
      <c r="I89" s="4"/>
      <c r="J89" s="375"/>
      <c r="K89" s="375"/>
      <c r="L89" s="4"/>
      <c r="M89" s="375"/>
      <c r="N89" s="375">
        <v>0</v>
      </c>
      <c r="O89" s="4"/>
      <c r="P89" s="375">
        <f t="shared" si="65"/>
        <v>0</v>
      </c>
      <c r="Q89" s="375">
        <f t="shared" si="65"/>
        <v>0</v>
      </c>
      <c r="R89" s="4"/>
      <c r="S89" s="375"/>
      <c r="T89" s="375"/>
      <c r="U89" s="4"/>
      <c r="V89" s="375"/>
      <c r="W89" s="375"/>
      <c r="X89" s="4"/>
      <c r="Y89" s="375"/>
      <c r="Z89" s="375"/>
      <c r="AA89" s="4"/>
      <c r="AB89" s="375">
        <f t="shared" si="20"/>
        <v>0</v>
      </c>
      <c r="AC89" s="375">
        <f t="shared" si="43"/>
        <v>0</v>
      </c>
      <c r="AD89" s="402"/>
      <c r="AE89" s="375">
        <f t="shared" ref="AE89:AE92" si="74">+Q89+AB89</f>
        <v>0</v>
      </c>
      <c r="AF89" s="375">
        <f t="shared" ref="AF89:AF90" si="75">+AC89+Q89</f>
        <v>0</v>
      </c>
      <c r="AG89" s="4"/>
      <c r="AH89" s="375"/>
      <c r="AI89" s="375"/>
      <c r="AJ89" s="4"/>
      <c r="AK89" s="375"/>
      <c r="AL89" s="375"/>
      <c r="AM89" s="4"/>
      <c r="AN89" s="375"/>
      <c r="AO89" s="375"/>
      <c r="AP89" s="4"/>
      <c r="AQ89" s="375">
        <f t="shared" ref="AQ89:AR92" si="76">AN89+AK89+AH89</f>
        <v>0</v>
      </c>
      <c r="AR89" s="375">
        <f t="shared" si="76"/>
        <v>0</v>
      </c>
      <c r="AS89" s="4"/>
      <c r="AT89" s="375">
        <f t="shared" ref="AT89:AT92" si="77">+AF89+AR89</f>
        <v>0</v>
      </c>
      <c r="AU89" s="4"/>
      <c r="AV89" s="375"/>
      <c r="AW89" s="375"/>
      <c r="AX89" s="4"/>
      <c r="AY89" s="375"/>
      <c r="AZ89" s="375"/>
      <c r="BA89" s="4"/>
      <c r="BB89" s="375"/>
      <c r="BC89" s="375"/>
      <c r="BD89" s="4"/>
      <c r="BE89" s="375">
        <f t="shared" ref="BE89:BF92" si="78">BB89+AY89+AV89</f>
        <v>0</v>
      </c>
      <c r="BF89" s="375">
        <f t="shared" si="78"/>
        <v>0</v>
      </c>
      <c r="BG89" s="402"/>
      <c r="BH89" s="375">
        <f t="shared" ref="BH89:BH92" si="79">Q89+AB89+AQ89+BE89</f>
        <v>0</v>
      </c>
      <c r="BI89" s="388">
        <f t="shared" ref="BI89:BI92" si="80">Q89+AC89+AR89+BF89</f>
        <v>0</v>
      </c>
      <c r="BJ89" s="4"/>
      <c r="BK89" s="386" t="s">
        <v>36</v>
      </c>
      <c r="BL89" s="386" t="s">
        <v>80</v>
      </c>
      <c r="BM89" s="375"/>
      <c r="BN89" s="282"/>
      <c r="BO89" s="378"/>
    </row>
    <row r="90" spans="1:67" ht="15" hidden="1" customHeight="1" outlineLevel="1">
      <c r="A90" s="386" t="s">
        <v>36</v>
      </c>
      <c r="B90" s="386" t="s">
        <v>81</v>
      </c>
      <c r="C90" s="375">
        <v>0</v>
      </c>
      <c r="D90" s="4"/>
      <c r="E90" s="375">
        <v>0</v>
      </c>
      <c r="F90" s="4"/>
      <c r="G90" s="375"/>
      <c r="H90" s="375"/>
      <c r="I90" s="4"/>
      <c r="J90" s="375"/>
      <c r="K90" s="375"/>
      <c r="L90" s="4"/>
      <c r="M90" s="375"/>
      <c r="N90" s="375">
        <v>0</v>
      </c>
      <c r="O90" s="4"/>
      <c r="P90" s="375">
        <f t="shared" si="65"/>
        <v>0</v>
      </c>
      <c r="Q90" s="375">
        <f t="shared" si="65"/>
        <v>0</v>
      </c>
      <c r="R90" s="4"/>
      <c r="S90" s="375"/>
      <c r="T90" s="375"/>
      <c r="U90" s="4"/>
      <c r="V90" s="375"/>
      <c r="W90" s="375"/>
      <c r="X90" s="4"/>
      <c r="Y90" s="375"/>
      <c r="Z90" s="375"/>
      <c r="AA90" s="4"/>
      <c r="AB90" s="375">
        <f t="shared" si="20"/>
        <v>0</v>
      </c>
      <c r="AC90" s="375">
        <f t="shared" si="43"/>
        <v>0</v>
      </c>
      <c r="AD90" s="402"/>
      <c r="AE90" s="375">
        <f t="shared" si="74"/>
        <v>0</v>
      </c>
      <c r="AF90" s="375">
        <f t="shared" si="75"/>
        <v>0</v>
      </c>
      <c r="AG90" s="4"/>
      <c r="AH90" s="375"/>
      <c r="AI90" s="375"/>
      <c r="AJ90" s="4"/>
      <c r="AK90" s="375"/>
      <c r="AL90" s="375"/>
      <c r="AM90" s="4"/>
      <c r="AN90" s="375"/>
      <c r="AO90" s="375"/>
      <c r="AP90" s="4"/>
      <c r="AQ90" s="375">
        <f t="shared" si="76"/>
        <v>0</v>
      </c>
      <c r="AR90" s="375">
        <f t="shared" si="76"/>
        <v>0</v>
      </c>
      <c r="AS90" s="4"/>
      <c r="AT90" s="375">
        <f t="shared" si="77"/>
        <v>0</v>
      </c>
      <c r="AU90" s="4"/>
      <c r="AV90" s="375"/>
      <c r="AW90" s="375"/>
      <c r="AX90" s="4"/>
      <c r="AY90" s="375"/>
      <c r="AZ90" s="375"/>
      <c r="BA90" s="4"/>
      <c r="BB90" s="375"/>
      <c r="BC90" s="375"/>
      <c r="BD90" s="4"/>
      <c r="BE90" s="375">
        <f t="shared" si="78"/>
        <v>0</v>
      </c>
      <c r="BF90" s="375">
        <f t="shared" si="78"/>
        <v>0</v>
      </c>
      <c r="BG90" s="402"/>
      <c r="BH90" s="375">
        <f t="shared" si="79"/>
        <v>0</v>
      </c>
      <c r="BI90" s="388">
        <f t="shared" si="80"/>
        <v>0</v>
      </c>
      <c r="BJ90" s="4"/>
      <c r="BK90" s="386" t="s">
        <v>36</v>
      </c>
      <c r="BL90" s="386" t="s">
        <v>81</v>
      </c>
      <c r="BM90" s="375"/>
      <c r="BN90" s="282"/>
      <c r="BO90" s="378"/>
    </row>
    <row r="91" spans="1:67" ht="15" hidden="1" customHeight="1" outlineLevel="1">
      <c r="A91" s="386" t="s">
        <v>36</v>
      </c>
      <c r="B91" s="386" t="s">
        <v>82</v>
      </c>
      <c r="C91" s="375">
        <v>-150822.72</v>
      </c>
      <c r="D91" s="4"/>
      <c r="E91" s="375">
        <v>-10828</v>
      </c>
      <c r="F91" s="4"/>
      <c r="G91" s="375"/>
      <c r="H91" s="375">
        <v>-7702</v>
      </c>
      <c r="I91" s="4"/>
      <c r="J91" s="375"/>
      <c r="K91" s="375">
        <v>-4558</v>
      </c>
      <c r="L91" s="4"/>
      <c r="M91" s="375"/>
      <c r="N91" s="375">
        <v>-4134</v>
      </c>
      <c r="O91" s="4"/>
      <c r="P91" s="375">
        <f t="shared" si="65"/>
        <v>0</v>
      </c>
      <c r="Q91" s="375">
        <f t="shared" si="65"/>
        <v>-16394</v>
      </c>
      <c r="R91" s="4"/>
      <c r="S91" s="375">
        <v>-39211</v>
      </c>
      <c r="T91" s="375">
        <v>-39211</v>
      </c>
      <c r="U91" s="4"/>
      <c r="V91" s="375">
        <v>-8480</v>
      </c>
      <c r="W91" s="375">
        <v>-8480</v>
      </c>
      <c r="X91" s="4"/>
      <c r="Y91" s="375">
        <v>-8240</v>
      </c>
      <c r="Z91" s="375">
        <v>-8240</v>
      </c>
      <c r="AA91" s="4"/>
      <c r="AB91" s="375">
        <f t="shared" si="20"/>
        <v>-55931</v>
      </c>
      <c r="AC91" s="375">
        <f t="shared" si="43"/>
        <v>-55931</v>
      </c>
      <c r="AD91" s="402"/>
      <c r="AE91" s="375">
        <f t="shared" si="74"/>
        <v>-72325</v>
      </c>
      <c r="AF91" s="375">
        <f>+AC91+Q91</f>
        <v>-72325</v>
      </c>
      <c r="AG91" s="4"/>
      <c r="AH91" s="375">
        <v>-8480</v>
      </c>
      <c r="AI91" s="375">
        <v>-8480</v>
      </c>
      <c r="AJ91" s="4"/>
      <c r="AK91" s="375">
        <v>-13604.54</v>
      </c>
      <c r="AL91" s="375">
        <v>-13604.54</v>
      </c>
      <c r="AM91" s="4"/>
      <c r="AN91" s="375">
        <v>-12350</v>
      </c>
      <c r="AO91" s="375">
        <v>-12350</v>
      </c>
      <c r="AP91" s="4"/>
      <c r="AQ91" s="375">
        <f t="shared" si="76"/>
        <v>-34434.54</v>
      </c>
      <c r="AR91" s="375">
        <f>AO91+AL91+AI91</f>
        <v>-34434.54</v>
      </c>
      <c r="AS91" s="4"/>
      <c r="AT91" s="375">
        <f t="shared" si="77"/>
        <v>-106759.54000000001</v>
      </c>
      <c r="AU91" s="4"/>
      <c r="AV91" s="375"/>
      <c r="AW91" s="375">
        <v>-31171.5</v>
      </c>
      <c r="AX91" s="4"/>
      <c r="AY91" s="375"/>
      <c r="AZ91" s="375">
        <v>-12650</v>
      </c>
      <c r="BA91" s="4"/>
      <c r="BB91" s="375"/>
      <c r="BC91" s="375">
        <v>-12650</v>
      </c>
      <c r="BD91" s="4"/>
      <c r="BE91" s="375">
        <f t="shared" si="78"/>
        <v>0</v>
      </c>
      <c r="BF91" s="375">
        <f>BC91+AZ91+AW91</f>
        <v>-56471.5</v>
      </c>
      <c r="BG91" s="402"/>
      <c r="BH91" s="375">
        <f t="shared" si="79"/>
        <v>-106759.54000000001</v>
      </c>
      <c r="BI91" s="388">
        <f t="shared" si="80"/>
        <v>-163231.04000000001</v>
      </c>
      <c r="BJ91" s="4"/>
      <c r="BK91" s="386" t="s">
        <v>36</v>
      </c>
      <c r="BL91" s="386" t="s">
        <v>82</v>
      </c>
      <c r="BM91" s="375"/>
      <c r="BN91" s="282"/>
      <c r="BO91" s="378"/>
    </row>
    <row r="92" spans="1:67" ht="15" hidden="1" customHeight="1" outlineLevel="1">
      <c r="A92" s="386" t="s">
        <v>36</v>
      </c>
      <c r="B92" s="386" t="s">
        <v>83</v>
      </c>
      <c r="C92" s="375">
        <v>0</v>
      </c>
      <c r="D92" s="4"/>
      <c r="E92" s="375">
        <v>0</v>
      </c>
      <c r="F92" s="4"/>
      <c r="G92" s="375"/>
      <c r="H92" s="375"/>
      <c r="I92" s="4"/>
      <c r="J92" s="375"/>
      <c r="K92" s="375"/>
      <c r="L92" s="4"/>
      <c r="M92" s="375"/>
      <c r="N92" s="375">
        <v>0</v>
      </c>
      <c r="O92" s="4"/>
      <c r="P92" s="375">
        <f t="shared" si="65"/>
        <v>0</v>
      </c>
      <c r="Q92" s="375">
        <f t="shared" si="65"/>
        <v>0</v>
      </c>
      <c r="R92" s="4"/>
      <c r="S92" s="375"/>
      <c r="T92" s="375"/>
      <c r="U92" s="4"/>
      <c r="V92" s="375"/>
      <c r="W92" s="375"/>
      <c r="X92" s="4"/>
      <c r="Y92" s="375"/>
      <c r="Z92" s="375"/>
      <c r="AA92" s="4"/>
      <c r="AB92" s="375">
        <f t="shared" si="20"/>
        <v>0</v>
      </c>
      <c r="AC92" s="375">
        <f t="shared" si="43"/>
        <v>0</v>
      </c>
      <c r="AD92" s="402"/>
      <c r="AE92" s="375">
        <f t="shared" si="74"/>
        <v>0</v>
      </c>
      <c r="AF92" s="375">
        <f>+AC92+Q92</f>
        <v>0</v>
      </c>
      <c r="AG92" s="4"/>
      <c r="AH92" s="375"/>
      <c r="AI92" s="375"/>
      <c r="AJ92" s="4"/>
      <c r="AK92" s="375"/>
      <c r="AL92" s="375"/>
      <c r="AM92" s="4"/>
      <c r="AN92" s="375"/>
      <c r="AO92" s="375"/>
      <c r="AP92" s="4"/>
      <c r="AQ92" s="375">
        <f t="shared" si="76"/>
        <v>0</v>
      </c>
      <c r="AR92" s="375">
        <f>AO92+AL92+AI92</f>
        <v>0</v>
      </c>
      <c r="AS92" s="4"/>
      <c r="AT92" s="375">
        <f t="shared" si="77"/>
        <v>0</v>
      </c>
      <c r="AU92" s="4"/>
      <c r="AV92" s="375"/>
      <c r="AW92" s="375"/>
      <c r="AX92" s="4"/>
      <c r="AY92" s="375"/>
      <c r="AZ92" s="375"/>
      <c r="BA92" s="4"/>
      <c r="BB92" s="375"/>
      <c r="BC92" s="375"/>
      <c r="BD92" s="4"/>
      <c r="BE92" s="375">
        <f t="shared" si="78"/>
        <v>0</v>
      </c>
      <c r="BF92" s="375">
        <f>BC92+AZ92+AW92</f>
        <v>0</v>
      </c>
      <c r="BG92" s="402"/>
      <c r="BH92" s="375">
        <f t="shared" si="79"/>
        <v>0</v>
      </c>
      <c r="BI92" s="388">
        <f t="shared" si="80"/>
        <v>0</v>
      </c>
      <c r="BJ92" s="4"/>
      <c r="BK92" s="386" t="s">
        <v>36</v>
      </c>
      <c r="BL92" s="386" t="s">
        <v>83</v>
      </c>
      <c r="BM92" s="375"/>
      <c r="BN92" s="282"/>
      <c r="BO92" s="378"/>
    </row>
    <row r="93" spans="1:67" collapsed="1">
      <c r="A93" s="386" t="s">
        <v>36</v>
      </c>
      <c r="B93" s="386"/>
      <c r="C93" s="389">
        <f>SUM(C89:C92)</f>
        <v>-150822.72</v>
      </c>
      <c r="D93" s="4"/>
      <c r="E93" s="389">
        <f>SUM(E89:E92)</f>
        <v>-10828</v>
      </c>
      <c r="F93" s="4"/>
      <c r="G93" s="389">
        <f>SUM(G89:G92)</f>
        <v>0</v>
      </c>
      <c r="H93" s="389">
        <f>SUM(H89:H92)</f>
        <v>-7702</v>
      </c>
      <c r="I93" s="4"/>
      <c r="J93" s="389">
        <f>SUM(J89:J92)</f>
        <v>0</v>
      </c>
      <c r="K93" s="389">
        <f>SUM(K89:K92)</f>
        <v>-4558</v>
      </c>
      <c r="L93" s="4"/>
      <c r="M93" s="389">
        <f>SUM(M89:M92)</f>
        <v>0</v>
      </c>
      <c r="N93" s="389">
        <f>SUM(N89:N92)</f>
        <v>-4134</v>
      </c>
      <c r="O93" s="4"/>
      <c r="P93" s="389">
        <f t="shared" si="65"/>
        <v>0</v>
      </c>
      <c r="Q93" s="389">
        <f t="shared" si="65"/>
        <v>-16394</v>
      </c>
      <c r="R93" s="4"/>
      <c r="S93" s="389">
        <f>SUM(S89:S92)</f>
        <v>-39211</v>
      </c>
      <c r="T93" s="389">
        <f>SUM(T89:T92)</f>
        <v>-39211</v>
      </c>
      <c r="U93" s="4"/>
      <c r="V93" s="389">
        <f>SUM(V89:V92)</f>
        <v>-8480</v>
      </c>
      <c r="W93" s="389">
        <f>SUM(W89:W92)</f>
        <v>-8480</v>
      </c>
      <c r="X93" s="4"/>
      <c r="Y93" s="389">
        <f>SUM(Y89:Y92)</f>
        <v>-8240</v>
      </c>
      <c r="Z93" s="389">
        <f>SUM(Z89:Z92)</f>
        <v>-8240</v>
      </c>
      <c r="AA93" s="4"/>
      <c r="AB93" s="389">
        <f>SUM(AB89:AB92)</f>
        <v>-55931</v>
      </c>
      <c r="AC93" s="389">
        <f>SUM(AC89:AC92)</f>
        <v>-55931</v>
      </c>
      <c r="AD93" s="402"/>
      <c r="AE93" s="389">
        <f>SUM(AE89:AE92)</f>
        <v>-72325</v>
      </c>
      <c r="AF93" s="389">
        <f>SUM(AF89:AF92)</f>
        <v>-72325</v>
      </c>
      <c r="AG93" s="4"/>
      <c r="AH93" s="389">
        <f>SUM(AH89:AH92)</f>
        <v>-8480</v>
      </c>
      <c r="AI93" s="389">
        <f>SUM(AI89:AI92)</f>
        <v>-8480</v>
      </c>
      <c r="AJ93" s="4"/>
      <c r="AK93" s="389">
        <f>SUM(AK89:AK92)</f>
        <v>-13604.54</v>
      </c>
      <c r="AL93" s="389">
        <f>SUM(AL89:AL92)</f>
        <v>-13604.54</v>
      </c>
      <c r="AM93" s="4"/>
      <c r="AN93" s="389">
        <f>SUM(AN89:AN92)</f>
        <v>-12350</v>
      </c>
      <c r="AO93" s="389">
        <f>SUM(AO89:AO92)</f>
        <v>-12350</v>
      </c>
      <c r="AP93" s="4"/>
      <c r="AQ93" s="389">
        <f>SUM(AQ89:AQ92)</f>
        <v>-34434.54</v>
      </c>
      <c r="AR93" s="389">
        <f>SUM(AR89:AR92)</f>
        <v>-34434.54</v>
      </c>
      <c r="AS93" s="4"/>
      <c r="AT93" s="389">
        <f>SUM(AT89:AT92)</f>
        <v>-106759.54000000001</v>
      </c>
      <c r="AU93" s="4"/>
      <c r="AV93" s="389">
        <f>SUM(AV89:AV92)</f>
        <v>0</v>
      </c>
      <c r="AW93" s="389">
        <f>SUM(AW89:AW92)</f>
        <v>-31171.5</v>
      </c>
      <c r="AX93" s="4"/>
      <c r="AY93" s="389">
        <f>SUM(AY89:AY92)</f>
        <v>0</v>
      </c>
      <c r="AZ93" s="389">
        <f>SUM(AZ89:AZ92)</f>
        <v>-12650</v>
      </c>
      <c r="BA93" s="4"/>
      <c r="BB93" s="389">
        <f>SUM(BB89:BB92)</f>
        <v>0</v>
      </c>
      <c r="BC93" s="389">
        <f>SUM(BC89:BC92)</f>
        <v>-12650</v>
      </c>
      <c r="BD93" s="4"/>
      <c r="BE93" s="389">
        <f>SUM(BE89:BE92)</f>
        <v>0</v>
      </c>
      <c r="BF93" s="389">
        <f>SUM(BF89:BF92)</f>
        <v>-56471.5</v>
      </c>
      <c r="BG93" s="402"/>
      <c r="BH93" s="389">
        <f>SUM(BH89:BH92)</f>
        <v>-106759.54000000001</v>
      </c>
      <c r="BI93" s="389">
        <f>SUM(BI89:BI92)</f>
        <v>-163231.04000000001</v>
      </c>
      <c r="BJ93" s="4"/>
      <c r="BK93" s="386" t="s">
        <v>36</v>
      </c>
      <c r="BL93" s="386"/>
      <c r="BM93" s="389">
        <v>-186500</v>
      </c>
      <c r="BN93" s="282"/>
      <c r="BO93" s="378">
        <v>-186500</v>
      </c>
    </row>
    <row r="94" spans="1:67" ht="15" hidden="1" customHeight="1" outlineLevel="1">
      <c r="A94" s="386" t="s">
        <v>84</v>
      </c>
      <c r="B94" s="386" t="s">
        <v>17</v>
      </c>
      <c r="C94" s="375">
        <v>-109134.5</v>
      </c>
      <c r="D94" s="4"/>
      <c r="E94" s="375">
        <v>-31545.18</v>
      </c>
      <c r="F94" s="4"/>
      <c r="G94" s="375"/>
      <c r="H94" s="375">
        <v>-5661.53</v>
      </c>
      <c r="I94" s="4"/>
      <c r="J94" s="375"/>
      <c r="K94" s="375">
        <v>-5415</v>
      </c>
      <c r="L94" s="4"/>
      <c r="M94" s="375"/>
      <c r="N94" s="375">
        <v>-16067.86</v>
      </c>
      <c r="O94" s="4"/>
      <c r="P94" s="375">
        <f t="shared" si="65"/>
        <v>0</v>
      </c>
      <c r="Q94" s="375">
        <f t="shared" si="65"/>
        <v>-27144.39</v>
      </c>
      <c r="R94" s="4"/>
      <c r="S94" s="375">
        <v>-11609.13</v>
      </c>
      <c r="T94" s="375">
        <v>-11609.13</v>
      </c>
      <c r="U94" s="4"/>
      <c r="V94" s="375">
        <v>-664.62</v>
      </c>
      <c r="W94" s="375">
        <v>-664.62</v>
      </c>
      <c r="X94" s="4"/>
      <c r="Y94" s="375">
        <v>-664.62</v>
      </c>
      <c r="Z94" s="375">
        <v>-664.62</v>
      </c>
      <c r="AA94" s="4"/>
      <c r="AB94" s="375">
        <f t="shared" si="20"/>
        <v>-12938.37</v>
      </c>
      <c r="AC94" s="375">
        <f t="shared" ref="AC94:AC96" si="81">+T94+W94+Z94</f>
        <v>-12938.37</v>
      </c>
      <c r="AD94" s="402"/>
      <c r="AE94" s="375">
        <f t="shared" ref="AE94:AE97" si="82">+Q94+AB94</f>
        <v>-40082.76</v>
      </c>
      <c r="AF94" s="375">
        <f t="shared" ref="AF94:AF97" si="83">+AC94+Q94</f>
        <v>-40082.76</v>
      </c>
      <c r="AG94" s="4"/>
      <c r="AH94" s="375">
        <v>-664.62</v>
      </c>
      <c r="AI94" s="375">
        <v>-664.62</v>
      </c>
      <c r="AJ94" s="4"/>
      <c r="AK94" s="375">
        <v>-17688.54</v>
      </c>
      <c r="AL94" s="375">
        <v>-17688.54</v>
      </c>
      <c r="AM94" s="4"/>
      <c r="AN94" s="375">
        <v>-39759.15</v>
      </c>
      <c r="AO94" s="375">
        <v>-39759.15</v>
      </c>
      <c r="AP94" s="4"/>
      <c r="AQ94" s="375">
        <f t="shared" ref="AQ94:AR97" si="84">AN94+AK94+AH94</f>
        <v>-58112.310000000005</v>
      </c>
      <c r="AR94" s="375">
        <f t="shared" si="84"/>
        <v>-58112.310000000005</v>
      </c>
      <c r="AS94" s="4"/>
      <c r="AT94" s="375">
        <f t="shared" ref="AT94:AT124" si="85">+AF94+AR94</f>
        <v>-98195.07</v>
      </c>
      <c r="AU94" s="4"/>
      <c r="AV94" s="375"/>
      <c r="AW94" s="375">
        <v>-26844.799999999999</v>
      </c>
      <c r="AX94" s="4"/>
      <c r="AY94" s="375"/>
      <c r="AZ94" s="375">
        <v>-9784.18</v>
      </c>
      <c r="BA94" s="4"/>
      <c r="BB94" s="375"/>
      <c r="BC94" s="375">
        <v>-14059.87</v>
      </c>
      <c r="BD94" s="4"/>
      <c r="BE94" s="375">
        <f t="shared" ref="BE94:BF97" si="86">BB94+AY94+AV94</f>
        <v>0</v>
      </c>
      <c r="BF94" s="375">
        <f t="shared" si="86"/>
        <v>-50688.850000000006</v>
      </c>
      <c r="BG94" s="402"/>
      <c r="BH94" s="375">
        <f t="shared" ref="BH94:BH97" si="87">Q94+AB94+AQ94+BE94</f>
        <v>-98195.07</v>
      </c>
      <c r="BI94" s="388">
        <f t="shared" ref="BI94:BI97" si="88">Q94+AC94+AR94+BF94</f>
        <v>-148883.92000000001</v>
      </c>
      <c r="BJ94" s="4"/>
      <c r="BK94" s="386" t="s">
        <v>84</v>
      </c>
      <c r="BL94" s="386" t="s">
        <v>17</v>
      </c>
      <c r="BM94" s="375"/>
      <c r="BN94" s="282"/>
      <c r="BO94" s="378"/>
    </row>
    <row r="95" spans="1:67" ht="15" hidden="1" customHeight="1" outlineLevel="1">
      <c r="A95" s="386" t="s">
        <v>84</v>
      </c>
      <c r="B95" s="386" t="s">
        <v>85</v>
      </c>
      <c r="C95" s="375">
        <v>-20260.95</v>
      </c>
      <c r="D95" s="4"/>
      <c r="E95" s="375">
        <v>-6623.88</v>
      </c>
      <c r="F95" s="4"/>
      <c r="G95" s="375"/>
      <c r="H95" s="375">
        <v>-818.77</v>
      </c>
      <c r="I95" s="4"/>
      <c r="J95" s="375"/>
      <c r="K95" s="375">
        <v>-821</v>
      </c>
      <c r="L95" s="4"/>
      <c r="M95" s="375"/>
      <c r="N95" s="375">
        <v>-532.5</v>
      </c>
      <c r="O95" s="4"/>
      <c r="P95" s="375">
        <f t="shared" si="65"/>
        <v>0</v>
      </c>
      <c r="Q95" s="375">
        <f t="shared" si="65"/>
        <v>-2172.27</v>
      </c>
      <c r="R95" s="4"/>
      <c r="S95" s="375">
        <v>-3465.29</v>
      </c>
      <c r="T95" s="375">
        <v>-3465.29</v>
      </c>
      <c r="U95" s="4"/>
      <c r="V95" s="375">
        <v>-855.39</v>
      </c>
      <c r="W95" s="375">
        <v>-855.39</v>
      </c>
      <c r="X95" s="4"/>
      <c r="Y95" s="375">
        <v>-855.39</v>
      </c>
      <c r="Z95" s="375">
        <v>-855.39</v>
      </c>
      <c r="AA95" s="4"/>
      <c r="AB95" s="375">
        <f t="shared" ref="AB95:AB97" si="89">+T95+V95+Y95</f>
        <v>-5176.0700000000006</v>
      </c>
      <c r="AC95" s="375">
        <f t="shared" si="81"/>
        <v>-5176.0700000000006</v>
      </c>
      <c r="AD95" s="402"/>
      <c r="AE95" s="375">
        <f t="shared" si="82"/>
        <v>-7348.34</v>
      </c>
      <c r="AF95" s="375">
        <f t="shared" si="83"/>
        <v>-7348.34</v>
      </c>
      <c r="AG95" s="4"/>
      <c r="AH95" s="375">
        <v>-855.39</v>
      </c>
      <c r="AI95" s="375">
        <v>-855.39</v>
      </c>
      <c r="AJ95" s="4"/>
      <c r="AK95" s="375">
        <v>-6206.66</v>
      </c>
      <c r="AL95" s="375">
        <v>-6206.66</v>
      </c>
      <c r="AM95" s="4"/>
      <c r="AN95" s="375">
        <v>-2727.27</v>
      </c>
      <c r="AO95" s="375">
        <v>-2727.27</v>
      </c>
      <c r="AP95" s="4"/>
      <c r="AQ95" s="375">
        <f t="shared" si="84"/>
        <v>-9789.32</v>
      </c>
      <c r="AR95" s="375">
        <f t="shared" si="84"/>
        <v>-9789.32</v>
      </c>
      <c r="AS95" s="4"/>
      <c r="AT95" s="375">
        <f t="shared" si="85"/>
        <v>-17137.66</v>
      </c>
      <c r="AU95" s="4"/>
      <c r="AV95" s="375"/>
      <c r="AW95" s="375">
        <v>-507.93</v>
      </c>
      <c r="AX95" s="4"/>
      <c r="AY95" s="375"/>
      <c r="AZ95" s="375">
        <v>-507.93</v>
      </c>
      <c r="BA95" s="4"/>
      <c r="BB95" s="375"/>
      <c r="BC95" s="375">
        <v>-507.93</v>
      </c>
      <c r="BD95" s="4"/>
      <c r="BE95" s="375">
        <f t="shared" si="86"/>
        <v>0</v>
      </c>
      <c r="BF95" s="375">
        <f t="shared" si="86"/>
        <v>-1523.79</v>
      </c>
      <c r="BG95" s="402"/>
      <c r="BH95" s="375">
        <f t="shared" si="87"/>
        <v>-17137.66</v>
      </c>
      <c r="BI95" s="388">
        <f t="shared" si="88"/>
        <v>-18661.45</v>
      </c>
      <c r="BJ95" s="4"/>
      <c r="BK95" s="386" t="s">
        <v>84</v>
      </c>
      <c r="BL95" s="386" t="s">
        <v>85</v>
      </c>
      <c r="BM95" s="375"/>
      <c r="BN95" s="282"/>
      <c r="BO95" s="378"/>
    </row>
    <row r="96" spans="1:67" ht="15" hidden="1" customHeight="1" outlineLevel="1">
      <c r="A96" s="386" t="s">
        <v>84</v>
      </c>
      <c r="B96" s="386" t="s">
        <v>86</v>
      </c>
      <c r="C96" s="375">
        <v>-10863.68</v>
      </c>
      <c r="D96" s="4"/>
      <c r="E96" s="375">
        <v>0</v>
      </c>
      <c r="F96" s="4"/>
      <c r="G96" s="375"/>
      <c r="H96" s="375"/>
      <c r="I96" s="4"/>
      <c r="J96" s="375"/>
      <c r="K96" s="375"/>
      <c r="L96" s="4"/>
      <c r="M96" s="375"/>
      <c r="N96" s="375">
        <v>-264.73</v>
      </c>
      <c r="O96" s="4"/>
      <c r="P96" s="375">
        <f t="shared" si="65"/>
        <v>0</v>
      </c>
      <c r="Q96" s="375">
        <f t="shared" si="65"/>
        <v>-264.73</v>
      </c>
      <c r="R96" s="4"/>
      <c r="S96" s="375"/>
      <c r="T96" s="375"/>
      <c r="U96" s="4"/>
      <c r="V96" s="375">
        <v>-1365</v>
      </c>
      <c r="W96" s="375">
        <v>-1365</v>
      </c>
      <c r="X96" s="4"/>
      <c r="Y96" s="375"/>
      <c r="Z96" s="375"/>
      <c r="AA96" s="4"/>
      <c r="AB96" s="375">
        <f t="shared" si="89"/>
        <v>-1365</v>
      </c>
      <c r="AC96" s="375">
        <f t="shared" si="81"/>
        <v>-1365</v>
      </c>
      <c r="AD96" s="402"/>
      <c r="AE96" s="375">
        <f t="shared" si="82"/>
        <v>-1629.73</v>
      </c>
      <c r="AF96" s="375">
        <f t="shared" si="83"/>
        <v>-1629.73</v>
      </c>
      <c r="AG96" s="4"/>
      <c r="AH96" s="375"/>
      <c r="AI96" s="375"/>
      <c r="AJ96" s="4"/>
      <c r="AK96" s="375">
        <v>-150</v>
      </c>
      <c r="AL96" s="375">
        <v>-150</v>
      </c>
      <c r="AM96" s="4"/>
      <c r="AN96" s="375"/>
      <c r="AO96" s="375"/>
      <c r="AP96" s="4"/>
      <c r="AQ96" s="375">
        <f t="shared" si="84"/>
        <v>-150</v>
      </c>
      <c r="AR96" s="375">
        <f t="shared" si="84"/>
        <v>-150</v>
      </c>
      <c r="AS96" s="4"/>
      <c r="AT96" s="375">
        <f t="shared" si="85"/>
        <v>-1779.73</v>
      </c>
      <c r="AU96" s="4"/>
      <c r="AV96" s="375"/>
      <c r="AW96" s="375"/>
      <c r="AX96" s="4"/>
      <c r="AY96" s="375"/>
      <c r="AZ96" s="375">
        <v>-950</v>
      </c>
      <c r="BA96" s="4"/>
      <c r="BB96" s="375"/>
      <c r="BC96" s="375"/>
      <c r="BD96" s="4"/>
      <c r="BE96" s="375">
        <f t="shared" si="86"/>
        <v>0</v>
      </c>
      <c r="BF96" s="375">
        <f t="shared" si="86"/>
        <v>-950</v>
      </c>
      <c r="BG96" s="402"/>
      <c r="BH96" s="375">
        <f t="shared" si="87"/>
        <v>-1779.73</v>
      </c>
      <c r="BI96" s="388">
        <f t="shared" si="88"/>
        <v>-2729.73</v>
      </c>
      <c r="BJ96" s="4"/>
      <c r="BK96" s="386" t="s">
        <v>84</v>
      </c>
      <c r="BL96" s="386" t="s">
        <v>86</v>
      </c>
      <c r="BM96" s="375"/>
      <c r="BN96" s="282"/>
      <c r="BO96" s="378"/>
    </row>
    <row r="97" spans="1:67" ht="15" hidden="1" customHeight="1" outlineLevel="1">
      <c r="A97" s="386" t="s">
        <v>84</v>
      </c>
      <c r="B97" s="386" t="s">
        <v>87</v>
      </c>
      <c r="C97" s="375">
        <v>-72.36</v>
      </c>
      <c r="D97" s="4"/>
      <c r="E97" s="375">
        <v>0</v>
      </c>
      <c r="F97" s="4"/>
      <c r="G97" s="375"/>
      <c r="H97" s="375"/>
      <c r="I97" s="4"/>
      <c r="J97" s="375"/>
      <c r="K97" s="375"/>
      <c r="L97" s="4"/>
      <c r="M97" s="375"/>
      <c r="N97" s="375">
        <v>0</v>
      </c>
      <c r="O97" s="4"/>
      <c r="P97" s="375">
        <f t="shared" si="65"/>
        <v>0</v>
      </c>
      <c r="Q97" s="375">
        <f t="shared" si="65"/>
        <v>0</v>
      </c>
      <c r="R97" s="4"/>
      <c r="S97" s="375"/>
      <c r="T97" s="375"/>
      <c r="U97" s="4"/>
      <c r="V97" s="375"/>
      <c r="W97" s="375"/>
      <c r="X97" s="4"/>
      <c r="Y97" s="375"/>
      <c r="Z97" s="375"/>
      <c r="AA97" s="4"/>
      <c r="AB97" s="375">
        <f t="shared" si="89"/>
        <v>0</v>
      </c>
      <c r="AC97" s="375">
        <f t="shared" si="43"/>
        <v>0</v>
      </c>
      <c r="AD97" s="402"/>
      <c r="AE97" s="375">
        <f t="shared" si="82"/>
        <v>0</v>
      </c>
      <c r="AF97" s="375">
        <f t="shared" si="83"/>
        <v>0</v>
      </c>
      <c r="AG97" s="4"/>
      <c r="AH97" s="375"/>
      <c r="AI97" s="375"/>
      <c r="AJ97" s="4"/>
      <c r="AK97" s="375"/>
      <c r="AL97" s="375"/>
      <c r="AM97" s="4"/>
      <c r="AN97" s="375"/>
      <c r="AO97" s="375"/>
      <c r="AP97" s="4"/>
      <c r="AQ97" s="375">
        <f t="shared" si="84"/>
        <v>0</v>
      </c>
      <c r="AR97" s="375">
        <f t="shared" si="84"/>
        <v>0</v>
      </c>
      <c r="AS97" s="4"/>
      <c r="AT97" s="375">
        <f t="shared" si="85"/>
        <v>0</v>
      </c>
      <c r="AU97" s="4"/>
      <c r="AV97" s="375"/>
      <c r="AW97" s="375"/>
      <c r="AX97" s="4"/>
      <c r="AY97" s="375"/>
      <c r="AZ97" s="375"/>
      <c r="BA97" s="4"/>
      <c r="BB97" s="375"/>
      <c r="BC97" s="375"/>
      <c r="BD97" s="4"/>
      <c r="BE97" s="375">
        <f t="shared" si="86"/>
        <v>0</v>
      </c>
      <c r="BF97" s="375">
        <f t="shared" si="86"/>
        <v>0</v>
      </c>
      <c r="BG97" s="402"/>
      <c r="BH97" s="375">
        <f t="shared" si="87"/>
        <v>0</v>
      </c>
      <c r="BI97" s="388">
        <f t="shared" si="88"/>
        <v>0</v>
      </c>
      <c r="BJ97" s="4"/>
      <c r="BK97" s="386" t="s">
        <v>84</v>
      </c>
      <c r="BL97" s="386" t="s">
        <v>87</v>
      </c>
      <c r="BM97" s="375"/>
      <c r="BN97" s="282"/>
      <c r="BO97" s="378"/>
    </row>
    <row r="98" spans="1:67" collapsed="1">
      <c r="A98" s="386" t="s">
        <v>84</v>
      </c>
      <c r="B98" s="386"/>
      <c r="C98" s="389">
        <f>SUM(C94:C97)</f>
        <v>-140331.49</v>
      </c>
      <c r="D98" s="4"/>
      <c r="E98" s="389">
        <f>SUM(E94:E97)</f>
        <v>-38169.06</v>
      </c>
      <c r="F98" s="4"/>
      <c r="G98" s="389">
        <f>SUM(G94:G97)</f>
        <v>0</v>
      </c>
      <c r="H98" s="389">
        <f>SUM(H94:H97)</f>
        <v>-6480.2999999999993</v>
      </c>
      <c r="I98" s="4"/>
      <c r="J98" s="389">
        <f>SUM(J94:J97)</f>
        <v>0</v>
      </c>
      <c r="K98" s="389">
        <f>SUM(K94:K97)</f>
        <v>-6236</v>
      </c>
      <c r="L98" s="4"/>
      <c r="M98" s="389">
        <f>SUM(M94:M97)</f>
        <v>0</v>
      </c>
      <c r="N98" s="389">
        <f>SUM(N94:N97)</f>
        <v>-16865.09</v>
      </c>
      <c r="O98" s="4"/>
      <c r="P98" s="389">
        <f t="shared" si="65"/>
        <v>0</v>
      </c>
      <c r="Q98" s="389">
        <f t="shared" si="65"/>
        <v>-29581.39</v>
      </c>
      <c r="R98" s="4"/>
      <c r="S98" s="389">
        <f>SUM(S94:S97)</f>
        <v>-15074.419999999998</v>
      </c>
      <c r="T98" s="389">
        <f>SUM(T94:T97)</f>
        <v>-15074.419999999998</v>
      </c>
      <c r="U98" s="4"/>
      <c r="V98" s="389">
        <f>SUM(V94:V97)</f>
        <v>-2885.01</v>
      </c>
      <c r="W98" s="389">
        <f>SUM(W94:W97)</f>
        <v>-2885.01</v>
      </c>
      <c r="X98" s="4"/>
      <c r="Y98" s="389">
        <f>SUM(Y94:Y97)</f>
        <v>-1520.01</v>
      </c>
      <c r="Z98" s="389">
        <f>SUM(Z94:Z97)</f>
        <v>-1520.01</v>
      </c>
      <c r="AA98" s="4"/>
      <c r="AB98" s="389">
        <f>SUM(AB94:AB97)</f>
        <v>-19479.440000000002</v>
      </c>
      <c r="AC98" s="389">
        <f>SUM(AC94:AC97)</f>
        <v>-19479.440000000002</v>
      </c>
      <c r="AD98" s="402"/>
      <c r="AE98" s="389">
        <f>SUM(AE94:AE97)</f>
        <v>-49060.830000000009</v>
      </c>
      <c r="AF98" s="389">
        <f>SUM(AF94:AF97)</f>
        <v>-49060.830000000009</v>
      </c>
      <c r="AG98" s="4"/>
      <c r="AH98" s="389">
        <f>SUM(AH94:AH97)</f>
        <v>-1520.01</v>
      </c>
      <c r="AI98" s="389">
        <f>SUM(AI94:AI97)</f>
        <v>-1520.01</v>
      </c>
      <c r="AJ98" s="4"/>
      <c r="AK98" s="389">
        <f>SUM(AK94:AK97)</f>
        <v>-24045.200000000001</v>
      </c>
      <c r="AL98" s="389">
        <f>SUM(AL94:AL97)</f>
        <v>-24045.200000000001</v>
      </c>
      <c r="AM98" s="4"/>
      <c r="AN98" s="389">
        <f>SUM(AN94:AN97)</f>
        <v>-42486.42</v>
      </c>
      <c r="AO98" s="389">
        <f>SUM(AO94:AO97)</f>
        <v>-42486.42</v>
      </c>
      <c r="AP98" s="4"/>
      <c r="AQ98" s="389">
        <f>SUM(AQ94:AQ97)</f>
        <v>-68051.63</v>
      </c>
      <c r="AR98" s="389">
        <f>SUM(AR94:AR97)</f>
        <v>-68051.63</v>
      </c>
      <c r="AS98" s="4"/>
      <c r="AT98" s="389">
        <f>SUM(AT94:AT97)</f>
        <v>-117112.46</v>
      </c>
      <c r="AU98" s="4"/>
      <c r="AV98" s="389">
        <f>SUM(AV94:AV97)</f>
        <v>0</v>
      </c>
      <c r="AW98" s="389">
        <f>SUM(AW94:AW97)</f>
        <v>-27352.73</v>
      </c>
      <c r="AX98" s="4"/>
      <c r="AY98" s="389">
        <f>SUM(AY94:AY97)</f>
        <v>0</v>
      </c>
      <c r="AZ98" s="389">
        <f>SUM(AZ94:AZ97)</f>
        <v>-11242.11</v>
      </c>
      <c r="BA98" s="4"/>
      <c r="BB98" s="389">
        <f>SUM(BB94:BB97)</f>
        <v>0</v>
      </c>
      <c r="BC98" s="389">
        <f>SUM(BC94:BC97)</f>
        <v>-14567.800000000001</v>
      </c>
      <c r="BD98" s="4"/>
      <c r="BE98" s="389">
        <f>SUM(BE94:BE97)</f>
        <v>0</v>
      </c>
      <c r="BF98" s="389">
        <f>SUM(BF94:BF97)</f>
        <v>-53162.640000000007</v>
      </c>
      <c r="BG98" s="402"/>
      <c r="BH98" s="389">
        <f>SUM(BH94:BH97)</f>
        <v>-117112.46</v>
      </c>
      <c r="BI98" s="389">
        <f>SUM(BI94:BI97)</f>
        <v>-170275.10000000003</v>
      </c>
      <c r="BJ98" s="4"/>
      <c r="BK98" s="386" t="s">
        <v>84</v>
      </c>
      <c r="BL98" s="386"/>
      <c r="BM98" s="389">
        <v>-177000</v>
      </c>
      <c r="BN98" s="282"/>
      <c r="BO98" s="378">
        <v>-177000</v>
      </c>
    </row>
    <row r="99" spans="1:67" ht="15" hidden="1" customHeight="1" outlineLevel="1">
      <c r="A99" s="386" t="s">
        <v>88</v>
      </c>
      <c r="B99" s="386" t="s">
        <v>89</v>
      </c>
      <c r="C99" s="375">
        <v>0</v>
      </c>
      <c r="D99" s="4"/>
      <c r="E99" s="375">
        <v>0</v>
      </c>
      <c r="F99" s="4"/>
      <c r="G99" s="375"/>
      <c r="H99" s="375"/>
      <c r="I99" s="4"/>
      <c r="J99" s="375"/>
      <c r="K99" s="375"/>
      <c r="L99" s="4"/>
      <c r="M99" s="375"/>
      <c r="N99" s="375">
        <v>0</v>
      </c>
      <c r="O99" s="4"/>
      <c r="P99" s="375">
        <f t="shared" si="65"/>
        <v>0</v>
      </c>
      <c r="Q99" s="375">
        <f t="shared" si="65"/>
        <v>0</v>
      </c>
      <c r="R99" s="4"/>
      <c r="S99" s="375"/>
      <c r="T99" s="375"/>
      <c r="U99" s="4"/>
      <c r="V99" s="375"/>
      <c r="W99" s="375"/>
      <c r="X99" s="4"/>
      <c r="Y99" s="375"/>
      <c r="Z99" s="375"/>
      <c r="AA99" s="4"/>
      <c r="AB99" s="375">
        <f t="shared" ref="AB99:AB137" si="90">+T99+V99+Y99</f>
        <v>0</v>
      </c>
      <c r="AC99" s="375">
        <f t="shared" si="43"/>
        <v>0</v>
      </c>
      <c r="AD99" s="402"/>
      <c r="AE99" s="375">
        <f t="shared" ref="AE99:AE124" si="91">+Q99+AB99</f>
        <v>0</v>
      </c>
      <c r="AF99" s="375">
        <f t="shared" ref="AF99:AF121" si="92">+AC99+Q99</f>
        <v>0</v>
      </c>
      <c r="AG99" s="4"/>
      <c r="AH99" s="375"/>
      <c r="AI99" s="375"/>
      <c r="AJ99" s="4"/>
      <c r="AK99" s="375"/>
      <c r="AL99" s="375"/>
      <c r="AM99" s="4"/>
      <c r="AN99" s="375"/>
      <c r="AO99" s="375"/>
      <c r="AP99" s="4"/>
      <c r="AQ99" s="375">
        <f t="shared" ref="AQ99:AR106" si="93">AN99+AK99+AH99</f>
        <v>0</v>
      </c>
      <c r="AR99" s="375">
        <f t="shared" si="93"/>
        <v>0</v>
      </c>
      <c r="AS99" s="4"/>
      <c r="AT99" s="375">
        <f t="shared" si="85"/>
        <v>0</v>
      </c>
      <c r="AU99" s="4"/>
      <c r="AV99" s="375"/>
      <c r="AW99" s="375"/>
      <c r="AX99" s="4"/>
      <c r="AY99" s="375"/>
      <c r="AZ99" s="375"/>
      <c r="BA99" s="4"/>
      <c r="BB99" s="375"/>
      <c r="BC99" s="375"/>
      <c r="BD99" s="4"/>
      <c r="BE99" s="375">
        <f t="shared" ref="BE99:BF106" si="94">BB99+AY99+AV99</f>
        <v>0</v>
      </c>
      <c r="BF99" s="375">
        <f t="shared" si="94"/>
        <v>0</v>
      </c>
      <c r="BG99" s="402"/>
      <c r="BH99" s="375">
        <f t="shared" ref="BH99:BH124" si="95">Q99+AB99+AQ99+BE99</f>
        <v>0</v>
      </c>
      <c r="BI99" s="388">
        <f t="shared" ref="BI99:BI124" si="96">Q99+AC99+AR99+BF99</f>
        <v>0</v>
      </c>
      <c r="BJ99" s="4"/>
      <c r="BK99" s="386" t="s">
        <v>88</v>
      </c>
      <c r="BL99" s="386" t="s">
        <v>89</v>
      </c>
      <c r="BM99" s="375">
        <v>0</v>
      </c>
      <c r="BN99" s="282"/>
      <c r="BO99" s="378"/>
    </row>
    <row r="100" spans="1:67" ht="15" hidden="1" customHeight="1" outlineLevel="1">
      <c r="A100" s="386" t="s">
        <v>88</v>
      </c>
      <c r="B100" s="386" t="s">
        <v>90</v>
      </c>
      <c r="C100" s="375">
        <v>0</v>
      </c>
      <c r="D100" s="4"/>
      <c r="E100" s="375">
        <v>0</v>
      </c>
      <c r="F100" s="4"/>
      <c r="G100" s="375"/>
      <c r="H100" s="375"/>
      <c r="I100" s="4"/>
      <c r="J100" s="375"/>
      <c r="K100" s="375"/>
      <c r="L100" s="4"/>
      <c r="M100" s="375"/>
      <c r="N100" s="375">
        <v>0</v>
      </c>
      <c r="O100" s="4"/>
      <c r="P100" s="375">
        <f t="shared" si="65"/>
        <v>0</v>
      </c>
      <c r="Q100" s="375">
        <f t="shared" si="65"/>
        <v>0</v>
      </c>
      <c r="R100" s="4"/>
      <c r="S100" s="375"/>
      <c r="T100" s="375"/>
      <c r="U100" s="4"/>
      <c r="V100" s="375"/>
      <c r="W100" s="375"/>
      <c r="X100" s="4"/>
      <c r="Y100" s="375"/>
      <c r="Z100" s="375"/>
      <c r="AA100" s="4"/>
      <c r="AB100" s="375">
        <f t="shared" si="90"/>
        <v>0</v>
      </c>
      <c r="AC100" s="375">
        <f t="shared" si="43"/>
        <v>0</v>
      </c>
      <c r="AD100" s="402"/>
      <c r="AE100" s="375">
        <f t="shared" si="91"/>
        <v>0</v>
      </c>
      <c r="AF100" s="375">
        <f t="shared" si="92"/>
        <v>0</v>
      </c>
      <c r="AG100" s="4"/>
      <c r="AH100" s="375"/>
      <c r="AI100" s="375"/>
      <c r="AJ100" s="4"/>
      <c r="AK100" s="375"/>
      <c r="AL100" s="375"/>
      <c r="AM100" s="4"/>
      <c r="AN100" s="375"/>
      <c r="AO100" s="375"/>
      <c r="AP100" s="4"/>
      <c r="AQ100" s="375">
        <f t="shared" si="93"/>
        <v>0</v>
      </c>
      <c r="AR100" s="375">
        <f t="shared" si="93"/>
        <v>0</v>
      </c>
      <c r="AS100" s="4"/>
      <c r="AT100" s="375">
        <f t="shared" si="85"/>
        <v>0</v>
      </c>
      <c r="AU100" s="4"/>
      <c r="AV100" s="375"/>
      <c r="AW100" s="375"/>
      <c r="AX100" s="4"/>
      <c r="AY100" s="375"/>
      <c r="AZ100" s="375"/>
      <c r="BA100" s="4"/>
      <c r="BB100" s="375"/>
      <c r="BC100" s="375"/>
      <c r="BD100" s="4"/>
      <c r="BE100" s="375">
        <f t="shared" si="94"/>
        <v>0</v>
      </c>
      <c r="BF100" s="375">
        <f t="shared" si="94"/>
        <v>0</v>
      </c>
      <c r="BG100" s="402"/>
      <c r="BH100" s="375">
        <f t="shared" si="95"/>
        <v>0</v>
      </c>
      <c r="BI100" s="388">
        <f t="shared" si="96"/>
        <v>0</v>
      </c>
      <c r="BJ100" s="4"/>
      <c r="BK100" s="386" t="s">
        <v>88</v>
      </c>
      <c r="BL100" s="386" t="s">
        <v>90</v>
      </c>
      <c r="BM100" s="375">
        <v>0</v>
      </c>
      <c r="BN100" s="282"/>
      <c r="BO100" s="378"/>
    </row>
    <row r="101" spans="1:67" ht="15" hidden="1" customHeight="1" outlineLevel="1">
      <c r="A101" s="386" t="s">
        <v>88</v>
      </c>
      <c r="B101" s="386" t="s">
        <v>91</v>
      </c>
      <c r="C101" s="375">
        <v>0</v>
      </c>
      <c r="D101" s="4"/>
      <c r="E101" s="375">
        <v>0</v>
      </c>
      <c r="F101" s="4"/>
      <c r="G101" s="375"/>
      <c r="H101" s="375"/>
      <c r="I101" s="4"/>
      <c r="J101" s="375"/>
      <c r="K101" s="375"/>
      <c r="L101" s="4"/>
      <c r="M101" s="375"/>
      <c r="N101" s="375">
        <v>0</v>
      </c>
      <c r="O101" s="4"/>
      <c r="P101" s="375">
        <f t="shared" si="65"/>
        <v>0</v>
      </c>
      <c r="Q101" s="375">
        <f t="shared" si="65"/>
        <v>0</v>
      </c>
      <c r="R101" s="4"/>
      <c r="S101" s="375"/>
      <c r="T101" s="375"/>
      <c r="U101" s="4"/>
      <c r="V101" s="375"/>
      <c r="W101" s="375"/>
      <c r="X101" s="4"/>
      <c r="Y101" s="375"/>
      <c r="Z101" s="375"/>
      <c r="AA101" s="4"/>
      <c r="AB101" s="375">
        <f t="shared" si="90"/>
        <v>0</v>
      </c>
      <c r="AC101" s="375">
        <f t="shared" si="43"/>
        <v>0</v>
      </c>
      <c r="AD101" s="402"/>
      <c r="AE101" s="375">
        <f t="shared" si="91"/>
        <v>0</v>
      </c>
      <c r="AF101" s="375">
        <f t="shared" si="92"/>
        <v>0</v>
      </c>
      <c r="AG101" s="4"/>
      <c r="AH101" s="375"/>
      <c r="AI101" s="375"/>
      <c r="AJ101" s="4"/>
      <c r="AK101" s="375"/>
      <c r="AL101" s="375"/>
      <c r="AM101" s="4"/>
      <c r="AN101" s="375"/>
      <c r="AO101" s="375"/>
      <c r="AP101" s="4"/>
      <c r="AQ101" s="375">
        <f t="shared" si="93"/>
        <v>0</v>
      </c>
      <c r="AR101" s="375">
        <f t="shared" si="93"/>
        <v>0</v>
      </c>
      <c r="AS101" s="4"/>
      <c r="AT101" s="375">
        <f t="shared" si="85"/>
        <v>0</v>
      </c>
      <c r="AU101" s="4"/>
      <c r="AV101" s="375"/>
      <c r="AW101" s="375"/>
      <c r="AX101" s="4"/>
      <c r="AY101" s="375"/>
      <c r="AZ101" s="375"/>
      <c r="BA101" s="4"/>
      <c r="BB101" s="375"/>
      <c r="BC101" s="375"/>
      <c r="BD101" s="4"/>
      <c r="BE101" s="375">
        <f t="shared" si="94"/>
        <v>0</v>
      </c>
      <c r="BF101" s="375">
        <f t="shared" si="94"/>
        <v>0</v>
      </c>
      <c r="BG101" s="402"/>
      <c r="BH101" s="375">
        <f t="shared" si="95"/>
        <v>0</v>
      </c>
      <c r="BI101" s="388">
        <f t="shared" si="96"/>
        <v>0</v>
      </c>
      <c r="BJ101" s="4"/>
      <c r="BK101" s="386" t="s">
        <v>88</v>
      </c>
      <c r="BL101" s="386" t="s">
        <v>91</v>
      </c>
      <c r="BM101" s="375">
        <v>0</v>
      </c>
      <c r="BN101" s="282"/>
      <c r="BO101" s="378"/>
    </row>
    <row r="102" spans="1:67" ht="15" hidden="1" customHeight="1" outlineLevel="1">
      <c r="A102" s="386" t="s">
        <v>88</v>
      </c>
      <c r="B102" s="386" t="s">
        <v>92</v>
      </c>
      <c r="C102" s="375">
        <v>0</v>
      </c>
      <c r="D102" s="4"/>
      <c r="E102" s="375">
        <v>0</v>
      </c>
      <c r="F102" s="4"/>
      <c r="G102" s="375"/>
      <c r="H102" s="375"/>
      <c r="I102" s="4"/>
      <c r="J102" s="375"/>
      <c r="K102" s="375"/>
      <c r="L102" s="4"/>
      <c r="M102" s="375"/>
      <c r="N102" s="375">
        <v>0</v>
      </c>
      <c r="O102" s="4"/>
      <c r="P102" s="375">
        <f t="shared" si="65"/>
        <v>0</v>
      </c>
      <c r="Q102" s="375">
        <f t="shared" si="65"/>
        <v>0</v>
      </c>
      <c r="R102" s="4"/>
      <c r="S102" s="375"/>
      <c r="T102" s="375"/>
      <c r="U102" s="4"/>
      <c r="V102" s="375"/>
      <c r="W102" s="375"/>
      <c r="X102" s="4"/>
      <c r="Y102" s="375"/>
      <c r="Z102" s="375"/>
      <c r="AA102" s="4"/>
      <c r="AB102" s="375">
        <f t="shared" si="90"/>
        <v>0</v>
      </c>
      <c r="AC102" s="375">
        <f t="shared" si="43"/>
        <v>0</v>
      </c>
      <c r="AD102" s="402"/>
      <c r="AE102" s="375">
        <f t="shared" si="91"/>
        <v>0</v>
      </c>
      <c r="AF102" s="375">
        <f t="shared" si="92"/>
        <v>0</v>
      </c>
      <c r="AG102" s="4"/>
      <c r="AH102" s="375"/>
      <c r="AI102" s="375"/>
      <c r="AJ102" s="4"/>
      <c r="AK102" s="375"/>
      <c r="AL102" s="375"/>
      <c r="AM102" s="4"/>
      <c r="AN102" s="375"/>
      <c r="AO102" s="375"/>
      <c r="AP102" s="4"/>
      <c r="AQ102" s="375">
        <f t="shared" si="93"/>
        <v>0</v>
      </c>
      <c r="AR102" s="375">
        <f t="shared" si="93"/>
        <v>0</v>
      </c>
      <c r="AS102" s="4"/>
      <c r="AT102" s="375">
        <f t="shared" si="85"/>
        <v>0</v>
      </c>
      <c r="AU102" s="4"/>
      <c r="AV102" s="375"/>
      <c r="AW102" s="375"/>
      <c r="AX102" s="4"/>
      <c r="AY102" s="375"/>
      <c r="AZ102" s="375"/>
      <c r="BA102" s="4"/>
      <c r="BB102" s="375"/>
      <c r="BC102" s="375"/>
      <c r="BD102" s="4"/>
      <c r="BE102" s="375">
        <f t="shared" si="94"/>
        <v>0</v>
      </c>
      <c r="BF102" s="375">
        <f t="shared" si="94"/>
        <v>0</v>
      </c>
      <c r="BG102" s="402"/>
      <c r="BH102" s="375">
        <f t="shared" si="95"/>
        <v>0</v>
      </c>
      <c r="BI102" s="388">
        <f t="shared" si="96"/>
        <v>0</v>
      </c>
      <c r="BJ102" s="4"/>
      <c r="BK102" s="386" t="s">
        <v>88</v>
      </c>
      <c r="BL102" s="386" t="s">
        <v>92</v>
      </c>
      <c r="BM102" s="375">
        <v>0</v>
      </c>
      <c r="BN102" s="282"/>
      <c r="BO102" s="378"/>
    </row>
    <row r="103" spans="1:67" ht="15" hidden="1" customHeight="1" outlineLevel="1">
      <c r="A103" s="386" t="s">
        <v>88</v>
      </c>
      <c r="B103" s="386" t="s">
        <v>93</v>
      </c>
      <c r="C103" s="375">
        <v>0</v>
      </c>
      <c r="D103" s="4"/>
      <c r="E103" s="375">
        <v>0</v>
      </c>
      <c r="F103" s="4"/>
      <c r="G103" s="375"/>
      <c r="H103" s="375"/>
      <c r="I103" s="4"/>
      <c r="J103" s="375"/>
      <c r="K103" s="375"/>
      <c r="L103" s="4"/>
      <c r="M103" s="375"/>
      <c r="N103" s="375">
        <v>0</v>
      </c>
      <c r="O103" s="4"/>
      <c r="P103" s="375">
        <f t="shared" si="65"/>
        <v>0</v>
      </c>
      <c r="Q103" s="375">
        <f t="shared" si="65"/>
        <v>0</v>
      </c>
      <c r="R103" s="4"/>
      <c r="S103" s="375"/>
      <c r="T103" s="375"/>
      <c r="U103" s="4"/>
      <c r="V103" s="375"/>
      <c r="W103" s="375"/>
      <c r="X103" s="4"/>
      <c r="Y103" s="375"/>
      <c r="Z103" s="375"/>
      <c r="AA103" s="4"/>
      <c r="AB103" s="375">
        <f t="shared" si="90"/>
        <v>0</v>
      </c>
      <c r="AC103" s="375">
        <f t="shared" si="43"/>
        <v>0</v>
      </c>
      <c r="AD103" s="402"/>
      <c r="AE103" s="375">
        <f t="shared" si="91"/>
        <v>0</v>
      </c>
      <c r="AF103" s="375">
        <f t="shared" si="92"/>
        <v>0</v>
      </c>
      <c r="AG103" s="4"/>
      <c r="AH103" s="375"/>
      <c r="AI103" s="375"/>
      <c r="AJ103" s="4"/>
      <c r="AK103" s="375"/>
      <c r="AL103" s="375"/>
      <c r="AM103" s="4"/>
      <c r="AN103" s="375"/>
      <c r="AO103" s="375"/>
      <c r="AP103" s="4"/>
      <c r="AQ103" s="375">
        <f t="shared" si="93"/>
        <v>0</v>
      </c>
      <c r="AR103" s="375">
        <f t="shared" si="93"/>
        <v>0</v>
      </c>
      <c r="AS103" s="4"/>
      <c r="AT103" s="375">
        <f t="shared" si="85"/>
        <v>0</v>
      </c>
      <c r="AU103" s="4"/>
      <c r="AV103" s="375"/>
      <c r="AW103" s="375"/>
      <c r="AX103" s="4"/>
      <c r="AY103" s="375"/>
      <c r="AZ103" s="375"/>
      <c r="BA103" s="4"/>
      <c r="BB103" s="375"/>
      <c r="BC103" s="375"/>
      <c r="BD103" s="4"/>
      <c r="BE103" s="375">
        <f t="shared" si="94"/>
        <v>0</v>
      </c>
      <c r="BF103" s="375">
        <f t="shared" si="94"/>
        <v>0</v>
      </c>
      <c r="BG103" s="402"/>
      <c r="BH103" s="375">
        <f t="shared" si="95"/>
        <v>0</v>
      </c>
      <c r="BI103" s="388">
        <f t="shared" si="96"/>
        <v>0</v>
      </c>
      <c r="BJ103" s="4"/>
      <c r="BK103" s="386" t="s">
        <v>88</v>
      </c>
      <c r="BL103" s="386" t="s">
        <v>93</v>
      </c>
      <c r="BM103" s="375">
        <v>0</v>
      </c>
      <c r="BN103" s="282"/>
      <c r="BO103" s="378"/>
    </row>
    <row r="104" spans="1:67" ht="15" hidden="1" customHeight="1" outlineLevel="1">
      <c r="A104" s="386" t="s">
        <v>88</v>
      </c>
      <c r="B104" s="386" t="s">
        <v>94</v>
      </c>
      <c r="C104" s="375">
        <v>0</v>
      </c>
      <c r="D104" s="4"/>
      <c r="E104" s="375">
        <v>0</v>
      </c>
      <c r="F104" s="4"/>
      <c r="G104" s="375"/>
      <c r="H104" s="375"/>
      <c r="I104" s="4"/>
      <c r="J104" s="375"/>
      <c r="K104" s="375"/>
      <c r="L104" s="4"/>
      <c r="M104" s="375"/>
      <c r="N104" s="375">
        <v>0</v>
      </c>
      <c r="O104" s="4"/>
      <c r="P104" s="375">
        <f t="shared" si="65"/>
        <v>0</v>
      </c>
      <c r="Q104" s="375">
        <f t="shared" si="65"/>
        <v>0</v>
      </c>
      <c r="R104" s="4"/>
      <c r="S104" s="375"/>
      <c r="T104" s="375"/>
      <c r="U104" s="4"/>
      <c r="V104" s="375"/>
      <c r="W104" s="375"/>
      <c r="X104" s="4"/>
      <c r="Y104" s="375"/>
      <c r="Z104" s="375"/>
      <c r="AA104" s="4"/>
      <c r="AB104" s="375">
        <f t="shared" si="90"/>
        <v>0</v>
      </c>
      <c r="AC104" s="375">
        <f t="shared" si="43"/>
        <v>0</v>
      </c>
      <c r="AD104" s="402"/>
      <c r="AE104" s="375">
        <f t="shared" si="91"/>
        <v>0</v>
      </c>
      <c r="AF104" s="375">
        <f t="shared" si="92"/>
        <v>0</v>
      </c>
      <c r="AG104" s="4"/>
      <c r="AH104" s="375"/>
      <c r="AI104" s="375"/>
      <c r="AJ104" s="4"/>
      <c r="AK104" s="375"/>
      <c r="AL104" s="375"/>
      <c r="AM104" s="4"/>
      <c r="AN104" s="375"/>
      <c r="AO104" s="375"/>
      <c r="AP104" s="4"/>
      <c r="AQ104" s="375">
        <f t="shared" si="93"/>
        <v>0</v>
      </c>
      <c r="AR104" s="375">
        <f t="shared" si="93"/>
        <v>0</v>
      </c>
      <c r="AS104" s="4"/>
      <c r="AT104" s="375">
        <f t="shared" si="85"/>
        <v>0</v>
      </c>
      <c r="AU104" s="4"/>
      <c r="AV104" s="375"/>
      <c r="AW104" s="375"/>
      <c r="AX104" s="4"/>
      <c r="AY104" s="375"/>
      <c r="AZ104" s="375"/>
      <c r="BA104" s="4"/>
      <c r="BB104" s="375"/>
      <c r="BC104" s="375"/>
      <c r="BD104" s="4"/>
      <c r="BE104" s="375">
        <f t="shared" si="94"/>
        <v>0</v>
      </c>
      <c r="BF104" s="375">
        <f t="shared" si="94"/>
        <v>0</v>
      </c>
      <c r="BG104" s="402"/>
      <c r="BH104" s="375">
        <f t="shared" si="95"/>
        <v>0</v>
      </c>
      <c r="BI104" s="388">
        <f t="shared" si="96"/>
        <v>0</v>
      </c>
      <c r="BJ104" s="4"/>
      <c r="BK104" s="386" t="s">
        <v>88</v>
      </c>
      <c r="BL104" s="386" t="s">
        <v>94</v>
      </c>
      <c r="BM104" s="375">
        <v>0</v>
      </c>
      <c r="BN104" s="282"/>
      <c r="BO104" s="378"/>
    </row>
    <row r="105" spans="1:67" ht="15" hidden="1" customHeight="1" outlineLevel="1">
      <c r="A105" s="386" t="s">
        <v>88</v>
      </c>
      <c r="B105" s="386" t="s">
        <v>95</v>
      </c>
      <c r="C105" s="375">
        <v>0</v>
      </c>
      <c r="D105" s="4"/>
      <c r="E105" s="375">
        <v>0</v>
      </c>
      <c r="F105" s="4"/>
      <c r="G105" s="375"/>
      <c r="H105" s="375"/>
      <c r="I105" s="4"/>
      <c r="J105" s="375"/>
      <c r="K105" s="375"/>
      <c r="L105" s="4"/>
      <c r="M105" s="375"/>
      <c r="N105" s="375">
        <v>0</v>
      </c>
      <c r="O105" s="4"/>
      <c r="P105" s="375">
        <f t="shared" si="65"/>
        <v>0</v>
      </c>
      <c r="Q105" s="375">
        <f t="shared" si="65"/>
        <v>0</v>
      </c>
      <c r="R105" s="4"/>
      <c r="S105" s="375"/>
      <c r="T105" s="375"/>
      <c r="U105" s="4"/>
      <c r="V105" s="375"/>
      <c r="W105" s="375"/>
      <c r="X105" s="4"/>
      <c r="Y105" s="375"/>
      <c r="Z105" s="375"/>
      <c r="AA105" s="4"/>
      <c r="AB105" s="375">
        <f t="shared" si="90"/>
        <v>0</v>
      </c>
      <c r="AC105" s="375">
        <f t="shared" si="43"/>
        <v>0</v>
      </c>
      <c r="AD105" s="402"/>
      <c r="AE105" s="375">
        <f t="shared" si="91"/>
        <v>0</v>
      </c>
      <c r="AF105" s="375">
        <f t="shared" si="92"/>
        <v>0</v>
      </c>
      <c r="AG105" s="4"/>
      <c r="AH105" s="375"/>
      <c r="AI105" s="375"/>
      <c r="AJ105" s="4"/>
      <c r="AK105" s="375"/>
      <c r="AL105" s="375"/>
      <c r="AM105" s="4"/>
      <c r="AN105" s="375"/>
      <c r="AO105" s="375"/>
      <c r="AP105" s="4"/>
      <c r="AQ105" s="375">
        <f t="shared" si="93"/>
        <v>0</v>
      </c>
      <c r="AR105" s="375">
        <f t="shared" si="93"/>
        <v>0</v>
      </c>
      <c r="AS105" s="4"/>
      <c r="AT105" s="375">
        <f t="shared" si="85"/>
        <v>0</v>
      </c>
      <c r="AU105" s="4"/>
      <c r="AV105" s="375"/>
      <c r="AW105" s="375"/>
      <c r="AX105" s="4"/>
      <c r="AY105" s="375"/>
      <c r="AZ105" s="375"/>
      <c r="BA105" s="4"/>
      <c r="BB105" s="375"/>
      <c r="BC105" s="375"/>
      <c r="BD105" s="4"/>
      <c r="BE105" s="375">
        <f t="shared" si="94"/>
        <v>0</v>
      </c>
      <c r="BF105" s="375">
        <f t="shared" si="94"/>
        <v>0</v>
      </c>
      <c r="BG105" s="402"/>
      <c r="BH105" s="375">
        <f t="shared" si="95"/>
        <v>0</v>
      </c>
      <c r="BI105" s="388">
        <f t="shared" si="96"/>
        <v>0</v>
      </c>
      <c r="BJ105" s="4"/>
      <c r="BK105" s="386" t="s">
        <v>88</v>
      </c>
      <c r="BL105" s="386" t="s">
        <v>95</v>
      </c>
      <c r="BM105" s="375">
        <v>0</v>
      </c>
      <c r="BN105" s="282"/>
      <c r="BO105" s="378"/>
    </row>
    <row r="106" spans="1:67" ht="15" hidden="1" customHeight="1" outlineLevel="1">
      <c r="A106" s="386" t="s">
        <v>88</v>
      </c>
      <c r="B106" s="386" t="s">
        <v>96</v>
      </c>
      <c r="C106" s="375">
        <v>0</v>
      </c>
      <c r="D106" s="4"/>
      <c r="E106" s="375">
        <v>0</v>
      </c>
      <c r="F106" s="4"/>
      <c r="G106" s="375"/>
      <c r="H106" s="375"/>
      <c r="I106" s="4"/>
      <c r="J106" s="375"/>
      <c r="K106" s="375"/>
      <c r="L106" s="4"/>
      <c r="M106" s="375"/>
      <c r="N106" s="375">
        <v>0</v>
      </c>
      <c r="O106" s="4"/>
      <c r="P106" s="375">
        <f t="shared" si="65"/>
        <v>0</v>
      </c>
      <c r="Q106" s="375">
        <f t="shared" si="65"/>
        <v>0</v>
      </c>
      <c r="R106" s="4"/>
      <c r="S106" s="375"/>
      <c r="T106" s="375"/>
      <c r="U106" s="4"/>
      <c r="V106" s="375"/>
      <c r="W106" s="375"/>
      <c r="X106" s="4"/>
      <c r="Y106" s="375"/>
      <c r="Z106" s="375"/>
      <c r="AA106" s="4"/>
      <c r="AB106" s="375">
        <f t="shared" si="90"/>
        <v>0</v>
      </c>
      <c r="AC106" s="375">
        <f t="shared" si="43"/>
        <v>0</v>
      </c>
      <c r="AD106" s="402"/>
      <c r="AE106" s="375">
        <f t="shared" si="91"/>
        <v>0</v>
      </c>
      <c r="AF106" s="375">
        <f t="shared" si="92"/>
        <v>0</v>
      </c>
      <c r="AG106" s="4"/>
      <c r="AH106" s="375"/>
      <c r="AI106" s="375"/>
      <c r="AJ106" s="4"/>
      <c r="AK106" s="375"/>
      <c r="AL106" s="375"/>
      <c r="AM106" s="4"/>
      <c r="AN106" s="375"/>
      <c r="AO106" s="375"/>
      <c r="AP106" s="4"/>
      <c r="AQ106" s="375">
        <f t="shared" si="93"/>
        <v>0</v>
      </c>
      <c r="AR106" s="375">
        <f t="shared" si="93"/>
        <v>0</v>
      </c>
      <c r="AS106" s="4"/>
      <c r="AT106" s="375">
        <f t="shared" si="85"/>
        <v>0</v>
      </c>
      <c r="AU106" s="4"/>
      <c r="AV106" s="375"/>
      <c r="AW106" s="375"/>
      <c r="AX106" s="4"/>
      <c r="AY106" s="375"/>
      <c r="AZ106" s="375"/>
      <c r="BA106" s="4"/>
      <c r="BB106" s="375"/>
      <c r="BC106" s="375"/>
      <c r="BD106" s="4"/>
      <c r="BE106" s="375">
        <f t="shared" si="94"/>
        <v>0</v>
      </c>
      <c r="BF106" s="375">
        <f t="shared" si="94"/>
        <v>0</v>
      </c>
      <c r="BG106" s="402"/>
      <c r="BH106" s="375">
        <f t="shared" si="95"/>
        <v>0</v>
      </c>
      <c r="BI106" s="388">
        <f t="shared" si="96"/>
        <v>0</v>
      </c>
      <c r="BJ106" s="4"/>
      <c r="BK106" s="386" t="s">
        <v>88</v>
      </c>
      <c r="BL106" s="386" t="s">
        <v>96</v>
      </c>
      <c r="BM106" s="375">
        <v>0</v>
      </c>
      <c r="BN106" s="282"/>
      <c r="BO106" s="378"/>
    </row>
    <row r="107" spans="1:67" collapsed="1">
      <c r="A107" s="386" t="s">
        <v>88</v>
      </c>
      <c r="B107" s="386"/>
      <c r="C107" s="389">
        <f>SUM(C99:C106)</f>
        <v>0</v>
      </c>
      <c r="D107" s="4"/>
      <c r="E107" s="389">
        <f>SUM(E99:E106)</f>
        <v>0</v>
      </c>
      <c r="F107" s="4"/>
      <c r="G107" s="389">
        <f>SUM(G99:G106)</f>
        <v>0</v>
      </c>
      <c r="H107" s="389"/>
      <c r="I107" s="4"/>
      <c r="J107" s="389">
        <f>SUM(J99:J106)</f>
        <v>0</v>
      </c>
      <c r="K107" s="389"/>
      <c r="L107" s="4"/>
      <c r="M107" s="389">
        <f>SUM(M99:M106)</f>
        <v>0</v>
      </c>
      <c r="N107" s="389">
        <f>SUM(N99:N106)</f>
        <v>0</v>
      </c>
      <c r="O107" s="4"/>
      <c r="P107" s="389">
        <f t="shared" si="65"/>
        <v>0</v>
      </c>
      <c r="Q107" s="389">
        <f t="shared" si="65"/>
        <v>0</v>
      </c>
      <c r="R107" s="4"/>
      <c r="S107" s="389">
        <f>SUM(S99:S106)</f>
        <v>0</v>
      </c>
      <c r="T107" s="389">
        <f>SUM(T99:T106)</f>
        <v>0</v>
      </c>
      <c r="U107" s="4"/>
      <c r="V107" s="389">
        <f>SUM(V99:V106)</f>
        <v>0</v>
      </c>
      <c r="W107" s="389">
        <f>SUM(W99:W106)</f>
        <v>0</v>
      </c>
      <c r="X107" s="4"/>
      <c r="Y107" s="389">
        <f>SUM(Y99:Y106)</f>
        <v>0</v>
      </c>
      <c r="Z107" s="389">
        <f>SUM(Z99:Z106)</f>
        <v>0</v>
      </c>
      <c r="AA107" s="4"/>
      <c r="AB107" s="375">
        <f t="shared" si="90"/>
        <v>0</v>
      </c>
      <c r="AC107" s="375">
        <f t="shared" si="43"/>
        <v>0</v>
      </c>
      <c r="AD107" s="402"/>
      <c r="AE107" s="375">
        <f t="shared" si="91"/>
        <v>0</v>
      </c>
      <c r="AF107" s="375">
        <f t="shared" si="92"/>
        <v>0</v>
      </c>
      <c r="AG107" s="4"/>
      <c r="AH107" s="389">
        <f>SUM(AH99:AH106)</f>
        <v>0</v>
      </c>
      <c r="AI107" s="389">
        <f>SUM(AI99:AI106)</f>
        <v>0</v>
      </c>
      <c r="AJ107" s="4"/>
      <c r="AK107" s="389">
        <f>SUM(AK99:AK106)</f>
        <v>0</v>
      </c>
      <c r="AL107" s="389">
        <f>SUM(AL99:AL106)</f>
        <v>0</v>
      </c>
      <c r="AM107" s="4"/>
      <c r="AN107" s="389">
        <f>SUM(AN99:AN106)</f>
        <v>0</v>
      </c>
      <c r="AO107" s="389">
        <f>SUM(AO99:AO106)</f>
        <v>0</v>
      </c>
      <c r="AP107" s="4"/>
      <c r="AQ107" s="389"/>
      <c r="AR107" s="389"/>
      <c r="AS107" s="4"/>
      <c r="AT107" s="375">
        <f t="shared" si="85"/>
        <v>0</v>
      </c>
      <c r="AU107" s="4"/>
      <c r="AV107" s="389">
        <f>SUM(AV99:AV106)</f>
        <v>0</v>
      </c>
      <c r="AW107" s="389">
        <f>SUM(AW99:AW106)</f>
        <v>0</v>
      </c>
      <c r="AX107" s="4"/>
      <c r="AY107" s="389">
        <f>SUM(AY99:AY106)</f>
        <v>0</v>
      </c>
      <c r="AZ107" s="389">
        <f>SUM(AZ99:AZ106)</f>
        <v>0</v>
      </c>
      <c r="BA107" s="4"/>
      <c r="BB107" s="389">
        <f>SUM(BB99:BB106)</f>
        <v>0</v>
      </c>
      <c r="BC107" s="389">
        <f>SUM(BC99:BC106)</f>
        <v>0</v>
      </c>
      <c r="BD107" s="4"/>
      <c r="BE107" s="389"/>
      <c r="BF107" s="389"/>
      <c r="BG107" s="402"/>
      <c r="BH107" s="375">
        <f t="shared" si="95"/>
        <v>0</v>
      </c>
      <c r="BI107" s="388">
        <f t="shared" si="96"/>
        <v>0</v>
      </c>
      <c r="BJ107" s="4"/>
      <c r="BK107" s="386" t="s">
        <v>88</v>
      </c>
      <c r="BL107" s="386"/>
      <c r="BM107" s="389">
        <v>0</v>
      </c>
      <c r="BN107" s="282"/>
      <c r="BO107" s="378"/>
    </row>
    <row r="108" spans="1:67" ht="15" hidden="1" customHeight="1" outlineLevel="1">
      <c r="A108" s="386" t="s">
        <v>97</v>
      </c>
      <c r="B108" s="386" t="s">
        <v>98</v>
      </c>
      <c r="C108" s="389">
        <v>0</v>
      </c>
      <c r="D108" s="4"/>
      <c r="E108" s="389">
        <v>0</v>
      </c>
      <c r="F108" s="4"/>
      <c r="G108" s="389"/>
      <c r="H108" s="389"/>
      <c r="I108" s="4"/>
      <c r="J108" s="389"/>
      <c r="K108" s="389"/>
      <c r="L108" s="4"/>
      <c r="M108" s="389"/>
      <c r="N108" s="389">
        <v>0</v>
      </c>
      <c r="O108" s="4"/>
      <c r="P108" s="389">
        <f t="shared" si="65"/>
        <v>0</v>
      </c>
      <c r="Q108" s="389">
        <f t="shared" si="65"/>
        <v>0</v>
      </c>
      <c r="R108" s="4"/>
      <c r="S108" s="389"/>
      <c r="T108" s="389"/>
      <c r="U108" s="4"/>
      <c r="V108" s="389"/>
      <c r="W108" s="389"/>
      <c r="X108" s="4"/>
      <c r="Y108" s="389"/>
      <c r="Z108" s="389"/>
      <c r="AA108" s="4"/>
      <c r="AB108" s="375">
        <f t="shared" si="90"/>
        <v>0</v>
      </c>
      <c r="AC108" s="375">
        <f t="shared" si="43"/>
        <v>0</v>
      </c>
      <c r="AD108" s="402"/>
      <c r="AE108" s="375">
        <f t="shared" si="91"/>
        <v>0</v>
      </c>
      <c r="AF108" s="375">
        <f t="shared" si="92"/>
        <v>0</v>
      </c>
      <c r="AG108" s="4"/>
      <c r="AH108" s="389"/>
      <c r="AI108" s="389"/>
      <c r="AJ108" s="4"/>
      <c r="AK108" s="389"/>
      <c r="AL108" s="389"/>
      <c r="AM108" s="4"/>
      <c r="AN108" s="389"/>
      <c r="AO108" s="389"/>
      <c r="AP108" s="4"/>
      <c r="AQ108" s="375">
        <f t="shared" ref="AQ108:AR110" si="97">AN108+AK108+AH108</f>
        <v>0</v>
      </c>
      <c r="AR108" s="375">
        <f t="shared" si="97"/>
        <v>0</v>
      </c>
      <c r="AS108" s="4"/>
      <c r="AT108" s="375">
        <f t="shared" si="85"/>
        <v>0</v>
      </c>
      <c r="AU108" s="4"/>
      <c r="AV108" s="389"/>
      <c r="AW108" s="389"/>
      <c r="AX108" s="4"/>
      <c r="AY108" s="389"/>
      <c r="AZ108" s="389"/>
      <c r="BA108" s="4"/>
      <c r="BB108" s="389"/>
      <c r="BC108" s="389"/>
      <c r="BD108" s="4"/>
      <c r="BE108" s="375">
        <f t="shared" ref="BE108:BF110" si="98">BB108+AY108+AV108</f>
        <v>0</v>
      </c>
      <c r="BF108" s="375">
        <f t="shared" si="98"/>
        <v>0</v>
      </c>
      <c r="BG108" s="402"/>
      <c r="BH108" s="375">
        <f t="shared" si="95"/>
        <v>0</v>
      </c>
      <c r="BI108" s="388">
        <f t="shared" si="96"/>
        <v>0</v>
      </c>
      <c r="BJ108" s="4"/>
      <c r="BK108" s="386" t="s">
        <v>97</v>
      </c>
      <c r="BL108" s="386" t="s">
        <v>98</v>
      </c>
      <c r="BM108" s="375">
        <v>0</v>
      </c>
      <c r="BN108" s="282"/>
      <c r="BO108" s="378"/>
    </row>
    <row r="109" spans="1:67" ht="15" hidden="1" customHeight="1" outlineLevel="1">
      <c r="A109" s="386" t="s">
        <v>97</v>
      </c>
      <c r="B109" s="386" t="s">
        <v>99</v>
      </c>
      <c r="C109" s="389">
        <v>0</v>
      </c>
      <c r="D109" s="4"/>
      <c r="E109" s="389">
        <v>0</v>
      </c>
      <c r="F109" s="4"/>
      <c r="G109" s="389"/>
      <c r="H109" s="389"/>
      <c r="I109" s="4"/>
      <c r="J109" s="389"/>
      <c r="K109" s="389"/>
      <c r="L109" s="4"/>
      <c r="M109" s="389"/>
      <c r="N109" s="389">
        <v>0</v>
      </c>
      <c r="O109" s="4"/>
      <c r="P109" s="389">
        <f t="shared" si="65"/>
        <v>0</v>
      </c>
      <c r="Q109" s="389">
        <f t="shared" si="65"/>
        <v>0</v>
      </c>
      <c r="R109" s="4"/>
      <c r="S109" s="389"/>
      <c r="T109" s="389"/>
      <c r="U109" s="4"/>
      <c r="V109" s="389"/>
      <c r="W109" s="389"/>
      <c r="X109" s="4"/>
      <c r="Y109" s="389"/>
      <c r="Z109" s="389"/>
      <c r="AA109" s="4"/>
      <c r="AB109" s="375">
        <f t="shared" si="90"/>
        <v>0</v>
      </c>
      <c r="AC109" s="375">
        <f t="shared" si="43"/>
        <v>0</v>
      </c>
      <c r="AD109" s="402"/>
      <c r="AE109" s="375">
        <f t="shared" si="91"/>
        <v>0</v>
      </c>
      <c r="AF109" s="375">
        <f t="shared" si="92"/>
        <v>0</v>
      </c>
      <c r="AG109" s="4"/>
      <c r="AH109" s="389"/>
      <c r="AI109" s="389"/>
      <c r="AJ109" s="4"/>
      <c r="AK109" s="389"/>
      <c r="AL109" s="389"/>
      <c r="AM109" s="4"/>
      <c r="AN109" s="389"/>
      <c r="AO109" s="389"/>
      <c r="AP109" s="4"/>
      <c r="AQ109" s="375">
        <f t="shared" si="97"/>
        <v>0</v>
      </c>
      <c r="AR109" s="375">
        <f t="shared" si="97"/>
        <v>0</v>
      </c>
      <c r="AS109" s="4"/>
      <c r="AT109" s="375">
        <f t="shared" si="85"/>
        <v>0</v>
      </c>
      <c r="AU109" s="4"/>
      <c r="AV109" s="389"/>
      <c r="AW109" s="389"/>
      <c r="AX109" s="4"/>
      <c r="AY109" s="389"/>
      <c r="AZ109" s="389"/>
      <c r="BA109" s="4"/>
      <c r="BB109" s="389"/>
      <c r="BC109" s="389"/>
      <c r="BD109" s="4"/>
      <c r="BE109" s="375">
        <f t="shared" si="98"/>
        <v>0</v>
      </c>
      <c r="BF109" s="375">
        <f t="shared" si="98"/>
        <v>0</v>
      </c>
      <c r="BG109" s="402"/>
      <c r="BH109" s="375">
        <f t="shared" si="95"/>
        <v>0</v>
      </c>
      <c r="BI109" s="388">
        <f t="shared" si="96"/>
        <v>0</v>
      </c>
      <c r="BJ109" s="4"/>
      <c r="BK109" s="386" t="s">
        <v>97</v>
      </c>
      <c r="BL109" s="386" t="s">
        <v>99</v>
      </c>
      <c r="BM109" s="375">
        <v>0</v>
      </c>
      <c r="BN109" s="282"/>
      <c r="BO109" s="378"/>
    </row>
    <row r="110" spans="1:67" ht="15" hidden="1" customHeight="1" outlineLevel="1">
      <c r="A110" s="386" t="s">
        <v>97</v>
      </c>
      <c r="B110" s="386" t="s">
        <v>100</v>
      </c>
      <c r="C110" s="375">
        <v>-957321</v>
      </c>
      <c r="D110" s="4"/>
      <c r="E110" s="375">
        <v>-957321</v>
      </c>
      <c r="F110" s="4"/>
      <c r="G110" s="375"/>
      <c r="H110" s="375"/>
      <c r="I110" s="4"/>
      <c r="J110" s="375"/>
      <c r="K110" s="375"/>
      <c r="L110" s="4"/>
      <c r="M110" s="388"/>
      <c r="N110" s="388">
        <v>0</v>
      </c>
      <c r="O110" s="4"/>
      <c r="P110" s="388">
        <f t="shared" si="65"/>
        <v>0</v>
      </c>
      <c r="Q110" s="388">
        <f t="shared" si="65"/>
        <v>0</v>
      </c>
      <c r="R110" s="4"/>
      <c r="S110" s="375"/>
      <c r="T110" s="375"/>
      <c r="U110" s="4"/>
      <c r="V110" s="375"/>
      <c r="W110" s="375"/>
      <c r="X110" s="4"/>
      <c r="Y110" s="375"/>
      <c r="Z110" s="375"/>
      <c r="AA110" s="4"/>
      <c r="AB110" s="375">
        <f t="shared" si="90"/>
        <v>0</v>
      </c>
      <c r="AC110" s="375">
        <f t="shared" si="43"/>
        <v>0</v>
      </c>
      <c r="AD110" s="402"/>
      <c r="AE110" s="375">
        <f t="shared" si="91"/>
        <v>0</v>
      </c>
      <c r="AF110" s="375">
        <f t="shared" si="92"/>
        <v>0</v>
      </c>
      <c r="AG110" s="4"/>
      <c r="AH110" s="375"/>
      <c r="AI110" s="375"/>
      <c r="AJ110" s="4"/>
      <c r="AK110" s="375"/>
      <c r="AL110" s="375"/>
      <c r="AM110" s="4"/>
      <c r="AN110" s="375"/>
      <c r="AO110" s="375"/>
      <c r="AP110" s="4"/>
      <c r="AQ110" s="375">
        <f t="shared" si="97"/>
        <v>0</v>
      </c>
      <c r="AR110" s="375">
        <f t="shared" si="97"/>
        <v>0</v>
      </c>
      <c r="AS110" s="4"/>
      <c r="AT110" s="375">
        <f t="shared" si="85"/>
        <v>0</v>
      </c>
      <c r="AU110" s="4"/>
      <c r="AV110" s="375"/>
      <c r="AW110" s="375"/>
      <c r="AX110" s="4"/>
      <c r="AY110" s="375"/>
      <c r="AZ110" s="375"/>
      <c r="BA110" s="4"/>
      <c r="BB110" s="375"/>
      <c r="BC110" s="375">
        <v>957321</v>
      </c>
      <c r="BD110" s="4"/>
      <c r="BE110" s="375">
        <f t="shared" si="98"/>
        <v>0</v>
      </c>
      <c r="BF110" s="375">
        <f t="shared" si="98"/>
        <v>957321</v>
      </c>
      <c r="BG110" s="402"/>
      <c r="BH110" s="375">
        <f t="shared" si="95"/>
        <v>0</v>
      </c>
      <c r="BI110" s="388">
        <f>Q110+AC110+AR110+BF110</f>
        <v>957321</v>
      </c>
      <c r="BJ110" s="4"/>
      <c r="BK110" s="386" t="s">
        <v>97</v>
      </c>
      <c r="BL110" s="386" t="s">
        <v>100</v>
      </c>
      <c r="BM110" s="375">
        <v>0</v>
      </c>
      <c r="BN110" s="282"/>
      <c r="BO110" s="378"/>
    </row>
    <row r="111" spans="1:67" collapsed="1">
      <c r="A111" s="386" t="s">
        <v>97</v>
      </c>
      <c r="B111" s="386"/>
      <c r="C111" s="389">
        <f>SUM(C108:C110)</f>
        <v>-957321</v>
      </c>
      <c r="D111" s="4"/>
      <c r="E111" s="389">
        <f>SUM(E108:E110)</f>
        <v>-957321</v>
      </c>
      <c r="F111" s="4"/>
      <c r="G111" s="389">
        <f>SUM(G108:G110)</f>
        <v>0</v>
      </c>
      <c r="H111" s="389"/>
      <c r="I111" s="4"/>
      <c r="J111" s="389">
        <f>SUM(J108:J110)</f>
        <v>0</v>
      </c>
      <c r="K111" s="389"/>
      <c r="L111" s="4"/>
      <c r="M111" s="389">
        <f>SUM(M108:M110)</f>
        <v>0</v>
      </c>
      <c r="N111" s="389">
        <f>SUM(N108:N110)</f>
        <v>0</v>
      </c>
      <c r="O111" s="4"/>
      <c r="P111" s="389">
        <f t="shared" si="65"/>
        <v>0</v>
      </c>
      <c r="Q111" s="389">
        <f>+H111+K111+N111</f>
        <v>0</v>
      </c>
      <c r="R111" s="4"/>
      <c r="S111" s="389">
        <f>SUM(S108:S110)</f>
        <v>0</v>
      </c>
      <c r="T111" s="389">
        <f>SUM(T108:T110)</f>
        <v>0</v>
      </c>
      <c r="U111" s="4"/>
      <c r="V111" s="389">
        <f>SUM(V108:V110)</f>
        <v>0</v>
      </c>
      <c r="W111" s="389">
        <f>SUM(W108:W110)</f>
        <v>0</v>
      </c>
      <c r="X111" s="4"/>
      <c r="Y111" s="389">
        <f>SUM(Y108:Y110)</f>
        <v>0</v>
      </c>
      <c r="Z111" s="389">
        <f>SUM(Z108:Z110)</f>
        <v>0</v>
      </c>
      <c r="AA111" s="4"/>
      <c r="AB111" s="375">
        <f t="shared" si="90"/>
        <v>0</v>
      </c>
      <c r="AC111" s="375">
        <f t="shared" si="43"/>
        <v>0</v>
      </c>
      <c r="AD111" s="402"/>
      <c r="AE111" s="375">
        <f t="shared" si="91"/>
        <v>0</v>
      </c>
      <c r="AF111" s="375">
        <f t="shared" si="92"/>
        <v>0</v>
      </c>
      <c r="AG111" s="4"/>
      <c r="AH111" s="389">
        <f>SUM(AH108:AH110)</f>
        <v>0</v>
      </c>
      <c r="AI111" s="389">
        <f>SUM(AI108:AI110)</f>
        <v>0</v>
      </c>
      <c r="AJ111" s="4"/>
      <c r="AK111" s="389">
        <f>SUM(AK108:AK110)</f>
        <v>0</v>
      </c>
      <c r="AL111" s="389">
        <f>SUM(AL108:AL110)</f>
        <v>0</v>
      </c>
      <c r="AM111" s="4"/>
      <c r="AN111" s="389">
        <f>SUM(AN108:AN110)</f>
        <v>0</v>
      </c>
      <c r="AO111" s="389">
        <f>SUM(AO108:AO110)</f>
        <v>0</v>
      </c>
      <c r="AP111" s="4"/>
      <c r="AQ111" s="389">
        <f>SUM(AQ108:AQ110)</f>
        <v>0</v>
      </c>
      <c r="AR111" s="388">
        <f>N111+Z111+AF111</f>
        <v>0</v>
      </c>
      <c r="AS111" s="4"/>
      <c r="AT111" s="375">
        <f t="shared" si="85"/>
        <v>0</v>
      </c>
      <c r="AU111" s="4"/>
      <c r="AV111" s="389">
        <f>SUM(AV108:AV110)</f>
        <v>0</v>
      </c>
      <c r="AW111" s="389">
        <f>SUM(AW108:AW110)</f>
        <v>0</v>
      </c>
      <c r="AX111" s="4"/>
      <c r="AY111" s="389">
        <f>SUM(AY108:AY110)</f>
        <v>0</v>
      </c>
      <c r="AZ111" s="389">
        <f>SUM(AZ108:AZ110)</f>
        <v>0</v>
      </c>
      <c r="BA111" s="4"/>
      <c r="BB111" s="389">
        <f>SUM(BB108:BB110)</f>
        <v>0</v>
      </c>
      <c r="BC111" s="389">
        <f>SUM(BC108:BC110)</f>
        <v>957321</v>
      </c>
      <c r="BD111" s="4"/>
      <c r="BE111" s="389">
        <f>SUM(BE108:BE110)</f>
        <v>0</v>
      </c>
      <c r="BF111" s="389">
        <f>SUM(BF108:BF110)</f>
        <v>957321</v>
      </c>
      <c r="BG111" s="402"/>
      <c r="BH111" s="375">
        <f t="shared" si="95"/>
        <v>0</v>
      </c>
      <c r="BI111" s="389">
        <f t="shared" si="96"/>
        <v>957321</v>
      </c>
      <c r="BJ111" s="4"/>
      <c r="BK111" s="386" t="s">
        <v>97</v>
      </c>
      <c r="BL111" s="386"/>
      <c r="BM111" s="375">
        <v>0</v>
      </c>
      <c r="BN111" s="282"/>
      <c r="BO111" s="378"/>
    </row>
    <row r="112" spans="1:67" ht="15" hidden="1" customHeight="1" outlineLevel="1">
      <c r="A112" s="386" t="s">
        <v>101</v>
      </c>
      <c r="B112" s="386" t="s">
        <v>102</v>
      </c>
      <c r="C112" s="375">
        <v>0</v>
      </c>
      <c r="D112" s="4"/>
      <c r="E112" s="375">
        <v>0</v>
      </c>
      <c r="F112" s="4"/>
      <c r="G112" s="375"/>
      <c r="H112" s="375"/>
      <c r="I112" s="4"/>
      <c r="J112" s="375"/>
      <c r="K112" s="375"/>
      <c r="L112" s="4"/>
      <c r="M112" s="375"/>
      <c r="N112" s="375">
        <v>0</v>
      </c>
      <c r="O112" s="4"/>
      <c r="P112" s="375">
        <f t="shared" si="65"/>
        <v>0</v>
      </c>
      <c r="Q112" s="375">
        <f t="shared" si="65"/>
        <v>0</v>
      </c>
      <c r="R112" s="4"/>
      <c r="S112" s="375"/>
      <c r="T112" s="375"/>
      <c r="U112" s="4"/>
      <c r="V112" s="375"/>
      <c r="W112" s="375"/>
      <c r="X112" s="4"/>
      <c r="Y112" s="375"/>
      <c r="Z112" s="375"/>
      <c r="AA112" s="4"/>
      <c r="AB112" s="375">
        <f t="shared" si="90"/>
        <v>0</v>
      </c>
      <c r="AC112" s="375">
        <f t="shared" si="43"/>
        <v>0</v>
      </c>
      <c r="AD112" s="402"/>
      <c r="AE112" s="375">
        <f t="shared" si="91"/>
        <v>0</v>
      </c>
      <c r="AF112" s="375">
        <f t="shared" si="92"/>
        <v>0</v>
      </c>
      <c r="AG112" s="4"/>
      <c r="AH112" s="375"/>
      <c r="AI112" s="375"/>
      <c r="AJ112" s="4"/>
      <c r="AK112" s="375"/>
      <c r="AL112" s="375"/>
      <c r="AM112" s="4"/>
      <c r="AN112" s="375"/>
      <c r="AO112" s="375"/>
      <c r="AP112" s="4"/>
      <c r="AQ112" s="375">
        <f t="shared" ref="AQ112:AR124" si="99">AN112+AK112+AH112</f>
        <v>0</v>
      </c>
      <c r="AR112" s="375">
        <f t="shared" si="99"/>
        <v>0</v>
      </c>
      <c r="AS112" s="4"/>
      <c r="AT112" s="375">
        <f t="shared" si="85"/>
        <v>0</v>
      </c>
      <c r="AU112" s="4"/>
      <c r="AV112" s="375"/>
      <c r="AW112" s="375"/>
      <c r="AX112" s="4"/>
      <c r="AY112" s="375"/>
      <c r="AZ112" s="375"/>
      <c r="BA112" s="4"/>
      <c r="BB112" s="375"/>
      <c r="BC112" s="375"/>
      <c r="BD112" s="4"/>
      <c r="BE112" s="375">
        <f t="shared" ref="BE112:BF124" si="100">BB112+AY112+AV112</f>
        <v>0</v>
      </c>
      <c r="BF112" s="375">
        <f t="shared" si="100"/>
        <v>0</v>
      </c>
      <c r="BG112" s="402"/>
      <c r="BH112" s="375">
        <f t="shared" si="95"/>
        <v>0</v>
      </c>
      <c r="BI112" s="388">
        <f t="shared" si="96"/>
        <v>0</v>
      </c>
      <c r="BJ112" s="4"/>
      <c r="BK112" s="386" t="s">
        <v>101</v>
      </c>
      <c r="BL112" s="386" t="s">
        <v>102</v>
      </c>
      <c r="BM112" s="375">
        <v>0</v>
      </c>
      <c r="BN112" s="282"/>
      <c r="BO112" s="378"/>
    </row>
    <row r="113" spans="1:67" ht="15" hidden="1" customHeight="1" outlineLevel="1">
      <c r="A113" s="386" t="s">
        <v>101</v>
      </c>
      <c r="B113" s="386" t="s">
        <v>103</v>
      </c>
      <c r="C113" s="375">
        <v>0</v>
      </c>
      <c r="D113" s="4"/>
      <c r="E113" s="375">
        <v>0</v>
      </c>
      <c r="F113" s="4"/>
      <c r="G113" s="375"/>
      <c r="H113" s="375"/>
      <c r="I113" s="4"/>
      <c r="J113" s="375"/>
      <c r="K113" s="375"/>
      <c r="L113" s="4"/>
      <c r="M113" s="375"/>
      <c r="N113" s="375">
        <v>0</v>
      </c>
      <c r="O113" s="4"/>
      <c r="P113" s="375">
        <f t="shared" si="65"/>
        <v>0</v>
      </c>
      <c r="Q113" s="375">
        <f t="shared" si="65"/>
        <v>0</v>
      </c>
      <c r="R113" s="4"/>
      <c r="S113" s="375"/>
      <c r="T113" s="375"/>
      <c r="U113" s="4"/>
      <c r="V113" s="375"/>
      <c r="W113" s="375"/>
      <c r="X113" s="4"/>
      <c r="Y113" s="375"/>
      <c r="Z113" s="375"/>
      <c r="AA113" s="4"/>
      <c r="AB113" s="375">
        <f t="shared" si="90"/>
        <v>0</v>
      </c>
      <c r="AC113" s="375">
        <f t="shared" si="43"/>
        <v>0</v>
      </c>
      <c r="AD113" s="402"/>
      <c r="AE113" s="375">
        <f t="shared" si="91"/>
        <v>0</v>
      </c>
      <c r="AF113" s="375">
        <f t="shared" si="92"/>
        <v>0</v>
      </c>
      <c r="AG113" s="4"/>
      <c r="AH113" s="375"/>
      <c r="AI113" s="375"/>
      <c r="AJ113" s="4"/>
      <c r="AK113" s="375"/>
      <c r="AL113" s="375"/>
      <c r="AM113" s="4"/>
      <c r="AN113" s="375"/>
      <c r="AO113" s="375"/>
      <c r="AP113" s="4"/>
      <c r="AQ113" s="375">
        <f t="shared" si="99"/>
        <v>0</v>
      </c>
      <c r="AR113" s="375">
        <f t="shared" si="99"/>
        <v>0</v>
      </c>
      <c r="AS113" s="4"/>
      <c r="AT113" s="375">
        <f t="shared" si="85"/>
        <v>0</v>
      </c>
      <c r="AU113" s="4"/>
      <c r="AV113" s="375"/>
      <c r="AW113" s="375"/>
      <c r="AX113" s="4"/>
      <c r="AY113" s="375"/>
      <c r="AZ113" s="375"/>
      <c r="BA113" s="4"/>
      <c r="BB113" s="375"/>
      <c r="BC113" s="375"/>
      <c r="BD113" s="4"/>
      <c r="BE113" s="375">
        <f t="shared" si="100"/>
        <v>0</v>
      </c>
      <c r="BF113" s="375">
        <f t="shared" si="100"/>
        <v>0</v>
      </c>
      <c r="BG113" s="402"/>
      <c r="BH113" s="375">
        <f t="shared" si="95"/>
        <v>0</v>
      </c>
      <c r="BI113" s="388">
        <f t="shared" si="96"/>
        <v>0</v>
      </c>
      <c r="BJ113" s="4"/>
      <c r="BK113" s="386" t="s">
        <v>101</v>
      </c>
      <c r="BL113" s="386" t="s">
        <v>103</v>
      </c>
      <c r="BM113" s="375">
        <v>0</v>
      </c>
      <c r="BN113" s="282"/>
      <c r="BO113" s="378"/>
    </row>
    <row r="114" spans="1:67" ht="15" hidden="1" customHeight="1" outlineLevel="1">
      <c r="A114" s="386" t="s">
        <v>101</v>
      </c>
      <c r="B114" s="386" t="s">
        <v>104</v>
      </c>
      <c r="C114" s="375">
        <v>0</v>
      </c>
      <c r="D114" s="4"/>
      <c r="E114" s="375">
        <v>0</v>
      </c>
      <c r="F114" s="4"/>
      <c r="G114" s="375"/>
      <c r="H114" s="375"/>
      <c r="I114" s="4"/>
      <c r="J114" s="375"/>
      <c r="K114" s="375"/>
      <c r="L114" s="4"/>
      <c r="M114" s="375"/>
      <c r="N114" s="375">
        <v>0</v>
      </c>
      <c r="O114" s="4"/>
      <c r="P114" s="375">
        <f t="shared" si="65"/>
        <v>0</v>
      </c>
      <c r="Q114" s="375">
        <f t="shared" si="65"/>
        <v>0</v>
      </c>
      <c r="R114" s="4"/>
      <c r="S114" s="375"/>
      <c r="T114" s="375"/>
      <c r="U114" s="4"/>
      <c r="V114" s="375"/>
      <c r="W114" s="375"/>
      <c r="X114" s="4"/>
      <c r="Y114" s="375"/>
      <c r="Z114" s="375"/>
      <c r="AA114" s="4"/>
      <c r="AB114" s="375">
        <f t="shared" si="90"/>
        <v>0</v>
      </c>
      <c r="AC114" s="375">
        <f t="shared" si="43"/>
        <v>0</v>
      </c>
      <c r="AD114" s="402"/>
      <c r="AE114" s="375">
        <f t="shared" si="91"/>
        <v>0</v>
      </c>
      <c r="AF114" s="375">
        <f t="shared" si="92"/>
        <v>0</v>
      </c>
      <c r="AG114" s="4"/>
      <c r="AH114" s="375"/>
      <c r="AI114" s="375"/>
      <c r="AJ114" s="4"/>
      <c r="AK114" s="375"/>
      <c r="AL114" s="375"/>
      <c r="AM114" s="4"/>
      <c r="AN114" s="375"/>
      <c r="AO114" s="375"/>
      <c r="AP114" s="4"/>
      <c r="AQ114" s="375">
        <f t="shared" si="99"/>
        <v>0</v>
      </c>
      <c r="AR114" s="375">
        <f t="shared" si="99"/>
        <v>0</v>
      </c>
      <c r="AS114" s="4"/>
      <c r="AT114" s="375">
        <f t="shared" si="85"/>
        <v>0</v>
      </c>
      <c r="AU114" s="4"/>
      <c r="AV114" s="375"/>
      <c r="AW114" s="375"/>
      <c r="AX114" s="4"/>
      <c r="AY114" s="375"/>
      <c r="AZ114" s="375"/>
      <c r="BA114" s="4"/>
      <c r="BB114" s="375"/>
      <c r="BC114" s="375"/>
      <c r="BD114" s="4"/>
      <c r="BE114" s="375">
        <f t="shared" si="100"/>
        <v>0</v>
      </c>
      <c r="BF114" s="375">
        <f t="shared" si="100"/>
        <v>0</v>
      </c>
      <c r="BG114" s="402"/>
      <c r="BH114" s="375">
        <f t="shared" si="95"/>
        <v>0</v>
      </c>
      <c r="BI114" s="388">
        <f t="shared" si="96"/>
        <v>0</v>
      </c>
      <c r="BJ114" s="4"/>
      <c r="BK114" s="386" t="s">
        <v>101</v>
      </c>
      <c r="BL114" s="386" t="s">
        <v>104</v>
      </c>
      <c r="BM114" s="375">
        <v>0</v>
      </c>
      <c r="BN114" s="282"/>
      <c r="BO114" s="378"/>
    </row>
    <row r="115" spans="1:67" ht="15" hidden="1" customHeight="1" outlineLevel="1">
      <c r="A115" s="386" t="s">
        <v>101</v>
      </c>
      <c r="B115" s="386" t="s">
        <v>105</v>
      </c>
      <c r="C115" s="375">
        <v>0</v>
      </c>
      <c r="D115" s="4"/>
      <c r="E115" s="375">
        <v>0</v>
      </c>
      <c r="F115" s="4"/>
      <c r="G115" s="375"/>
      <c r="H115" s="375"/>
      <c r="I115" s="4"/>
      <c r="J115" s="375"/>
      <c r="K115" s="375"/>
      <c r="L115" s="4"/>
      <c r="M115" s="375"/>
      <c r="N115" s="375">
        <v>0</v>
      </c>
      <c r="O115" s="4"/>
      <c r="P115" s="375">
        <f t="shared" si="65"/>
        <v>0</v>
      </c>
      <c r="Q115" s="375">
        <f t="shared" si="65"/>
        <v>0</v>
      </c>
      <c r="R115" s="4"/>
      <c r="S115" s="375"/>
      <c r="T115" s="375"/>
      <c r="U115" s="4"/>
      <c r="V115" s="375"/>
      <c r="W115" s="375"/>
      <c r="X115" s="4"/>
      <c r="Y115" s="375"/>
      <c r="Z115" s="375"/>
      <c r="AA115" s="4"/>
      <c r="AB115" s="375">
        <f t="shared" si="90"/>
        <v>0</v>
      </c>
      <c r="AC115" s="375">
        <f t="shared" si="43"/>
        <v>0</v>
      </c>
      <c r="AD115" s="402"/>
      <c r="AE115" s="375">
        <f t="shared" si="91"/>
        <v>0</v>
      </c>
      <c r="AF115" s="375">
        <f t="shared" si="92"/>
        <v>0</v>
      </c>
      <c r="AG115" s="4"/>
      <c r="AH115" s="375"/>
      <c r="AI115" s="375"/>
      <c r="AJ115" s="4"/>
      <c r="AK115" s="375"/>
      <c r="AL115" s="375"/>
      <c r="AM115" s="4"/>
      <c r="AN115" s="375"/>
      <c r="AO115" s="375"/>
      <c r="AP115" s="4"/>
      <c r="AQ115" s="375">
        <f t="shared" si="99"/>
        <v>0</v>
      </c>
      <c r="AR115" s="375">
        <f t="shared" si="99"/>
        <v>0</v>
      </c>
      <c r="AS115" s="4"/>
      <c r="AT115" s="375">
        <f t="shared" si="85"/>
        <v>0</v>
      </c>
      <c r="AU115" s="4"/>
      <c r="AV115" s="375"/>
      <c r="AW115" s="375"/>
      <c r="AX115" s="4"/>
      <c r="AY115" s="375"/>
      <c r="AZ115" s="375"/>
      <c r="BA115" s="4"/>
      <c r="BB115" s="375"/>
      <c r="BC115" s="375"/>
      <c r="BD115" s="4"/>
      <c r="BE115" s="375">
        <f t="shared" si="100"/>
        <v>0</v>
      </c>
      <c r="BF115" s="375">
        <f t="shared" si="100"/>
        <v>0</v>
      </c>
      <c r="BG115" s="402"/>
      <c r="BH115" s="375">
        <f t="shared" si="95"/>
        <v>0</v>
      </c>
      <c r="BI115" s="388">
        <f t="shared" si="96"/>
        <v>0</v>
      </c>
      <c r="BJ115" s="4"/>
      <c r="BK115" s="386" t="s">
        <v>101</v>
      </c>
      <c r="BL115" s="386" t="s">
        <v>105</v>
      </c>
      <c r="BM115" s="375">
        <v>0</v>
      </c>
      <c r="BN115" s="282"/>
      <c r="BO115" s="378"/>
    </row>
    <row r="116" spans="1:67" ht="15" hidden="1" customHeight="1" outlineLevel="1">
      <c r="A116" s="386" t="s">
        <v>101</v>
      </c>
      <c r="B116" s="386" t="s">
        <v>106</v>
      </c>
      <c r="C116" s="375">
        <v>0</v>
      </c>
      <c r="D116" s="4"/>
      <c r="E116" s="375">
        <v>0</v>
      </c>
      <c r="F116" s="4"/>
      <c r="G116" s="375"/>
      <c r="H116" s="375"/>
      <c r="I116" s="4"/>
      <c r="J116" s="375"/>
      <c r="K116" s="375"/>
      <c r="L116" s="4"/>
      <c r="M116" s="375"/>
      <c r="N116" s="375">
        <v>0</v>
      </c>
      <c r="O116" s="4"/>
      <c r="P116" s="375">
        <f t="shared" si="65"/>
        <v>0</v>
      </c>
      <c r="Q116" s="375">
        <f t="shared" si="65"/>
        <v>0</v>
      </c>
      <c r="R116" s="4"/>
      <c r="S116" s="375"/>
      <c r="T116" s="375"/>
      <c r="U116" s="4"/>
      <c r="V116" s="375"/>
      <c r="W116" s="375"/>
      <c r="X116" s="4"/>
      <c r="Y116" s="375"/>
      <c r="Z116" s="375"/>
      <c r="AA116" s="4"/>
      <c r="AB116" s="375">
        <f t="shared" si="90"/>
        <v>0</v>
      </c>
      <c r="AC116" s="375">
        <f t="shared" si="43"/>
        <v>0</v>
      </c>
      <c r="AD116" s="402"/>
      <c r="AE116" s="375">
        <f t="shared" si="91"/>
        <v>0</v>
      </c>
      <c r="AF116" s="375">
        <f t="shared" si="92"/>
        <v>0</v>
      </c>
      <c r="AG116" s="4"/>
      <c r="AH116" s="375"/>
      <c r="AI116" s="375"/>
      <c r="AJ116" s="4"/>
      <c r="AK116" s="375"/>
      <c r="AL116" s="375"/>
      <c r="AM116" s="4"/>
      <c r="AN116" s="375"/>
      <c r="AO116" s="375"/>
      <c r="AP116" s="4"/>
      <c r="AQ116" s="375">
        <f t="shared" si="99"/>
        <v>0</v>
      </c>
      <c r="AR116" s="375">
        <f t="shared" si="99"/>
        <v>0</v>
      </c>
      <c r="AS116" s="4"/>
      <c r="AT116" s="375">
        <f t="shared" si="85"/>
        <v>0</v>
      </c>
      <c r="AU116" s="4"/>
      <c r="AV116" s="375"/>
      <c r="AW116" s="375"/>
      <c r="AX116" s="4"/>
      <c r="AY116" s="375"/>
      <c r="AZ116" s="375"/>
      <c r="BA116" s="4"/>
      <c r="BB116" s="375"/>
      <c r="BC116" s="375"/>
      <c r="BD116" s="4"/>
      <c r="BE116" s="375">
        <f t="shared" si="100"/>
        <v>0</v>
      </c>
      <c r="BF116" s="375">
        <f t="shared" si="100"/>
        <v>0</v>
      </c>
      <c r="BG116" s="402"/>
      <c r="BH116" s="375">
        <f t="shared" si="95"/>
        <v>0</v>
      </c>
      <c r="BI116" s="388">
        <f t="shared" si="96"/>
        <v>0</v>
      </c>
      <c r="BJ116" s="4"/>
      <c r="BK116" s="386" t="s">
        <v>101</v>
      </c>
      <c r="BL116" s="386" t="s">
        <v>106</v>
      </c>
      <c r="BM116" s="375">
        <v>0</v>
      </c>
      <c r="BN116" s="282"/>
      <c r="BO116" s="378"/>
    </row>
    <row r="117" spans="1:67" ht="15" hidden="1" customHeight="1" outlineLevel="1">
      <c r="A117" s="386" t="s">
        <v>101</v>
      </c>
      <c r="B117" s="386" t="s">
        <v>107</v>
      </c>
      <c r="C117" s="375">
        <v>0</v>
      </c>
      <c r="D117" s="4"/>
      <c r="E117" s="375">
        <v>0</v>
      </c>
      <c r="F117" s="4"/>
      <c r="G117" s="375"/>
      <c r="H117" s="375"/>
      <c r="I117" s="4"/>
      <c r="J117" s="375"/>
      <c r="K117" s="375"/>
      <c r="L117" s="4"/>
      <c r="M117" s="375"/>
      <c r="N117" s="375">
        <v>0</v>
      </c>
      <c r="O117" s="4"/>
      <c r="P117" s="375">
        <f t="shared" si="65"/>
        <v>0</v>
      </c>
      <c r="Q117" s="375">
        <f t="shared" si="65"/>
        <v>0</v>
      </c>
      <c r="R117" s="4"/>
      <c r="S117" s="375"/>
      <c r="T117" s="375"/>
      <c r="U117" s="4"/>
      <c r="V117" s="375"/>
      <c r="W117" s="375"/>
      <c r="X117" s="4"/>
      <c r="Y117" s="375"/>
      <c r="Z117" s="375"/>
      <c r="AA117" s="4"/>
      <c r="AB117" s="375">
        <f t="shared" si="90"/>
        <v>0</v>
      </c>
      <c r="AC117" s="375">
        <f t="shared" si="43"/>
        <v>0</v>
      </c>
      <c r="AD117" s="402"/>
      <c r="AE117" s="375">
        <f t="shared" si="91"/>
        <v>0</v>
      </c>
      <c r="AF117" s="375">
        <f t="shared" si="92"/>
        <v>0</v>
      </c>
      <c r="AG117" s="4"/>
      <c r="AH117" s="375"/>
      <c r="AI117" s="375"/>
      <c r="AJ117" s="4"/>
      <c r="AK117" s="375"/>
      <c r="AL117" s="375"/>
      <c r="AM117" s="4"/>
      <c r="AN117" s="375"/>
      <c r="AO117" s="375"/>
      <c r="AP117" s="4"/>
      <c r="AQ117" s="375">
        <f t="shared" si="99"/>
        <v>0</v>
      </c>
      <c r="AR117" s="375">
        <f t="shared" si="99"/>
        <v>0</v>
      </c>
      <c r="AS117" s="4"/>
      <c r="AT117" s="375">
        <f t="shared" si="85"/>
        <v>0</v>
      </c>
      <c r="AU117" s="4"/>
      <c r="AV117" s="375"/>
      <c r="AW117" s="375"/>
      <c r="AX117" s="4"/>
      <c r="AY117" s="375"/>
      <c r="AZ117" s="375"/>
      <c r="BA117" s="4"/>
      <c r="BB117" s="375"/>
      <c r="BC117" s="375"/>
      <c r="BD117" s="4"/>
      <c r="BE117" s="375">
        <f t="shared" si="100"/>
        <v>0</v>
      </c>
      <c r="BF117" s="375">
        <f t="shared" si="100"/>
        <v>0</v>
      </c>
      <c r="BG117" s="402"/>
      <c r="BH117" s="375">
        <f t="shared" si="95"/>
        <v>0</v>
      </c>
      <c r="BI117" s="388">
        <f t="shared" si="96"/>
        <v>0</v>
      </c>
      <c r="BJ117" s="4"/>
      <c r="BK117" s="386" t="s">
        <v>101</v>
      </c>
      <c r="BL117" s="386" t="s">
        <v>107</v>
      </c>
      <c r="BM117" s="375">
        <v>0</v>
      </c>
      <c r="BN117" s="282"/>
      <c r="BO117" s="378"/>
    </row>
    <row r="118" spans="1:67" ht="15" hidden="1" customHeight="1" outlineLevel="1">
      <c r="A118" s="386" t="s">
        <v>101</v>
      </c>
      <c r="B118" s="386" t="s">
        <v>108</v>
      </c>
      <c r="C118" s="375">
        <v>0</v>
      </c>
      <c r="D118" s="4"/>
      <c r="E118" s="375">
        <v>0</v>
      </c>
      <c r="F118" s="4"/>
      <c r="G118" s="375"/>
      <c r="H118" s="375"/>
      <c r="I118" s="4"/>
      <c r="J118" s="375"/>
      <c r="K118" s="375"/>
      <c r="L118" s="4"/>
      <c r="M118" s="375"/>
      <c r="N118" s="375">
        <v>0</v>
      </c>
      <c r="O118" s="4"/>
      <c r="P118" s="375">
        <f t="shared" si="65"/>
        <v>0</v>
      </c>
      <c r="Q118" s="375">
        <f t="shared" si="65"/>
        <v>0</v>
      </c>
      <c r="R118" s="4"/>
      <c r="S118" s="375"/>
      <c r="T118" s="375"/>
      <c r="U118" s="4"/>
      <c r="V118" s="375"/>
      <c r="W118" s="375"/>
      <c r="X118" s="4"/>
      <c r="Y118" s="375"/>
      <c r="Z118" s="375"/>
      <c r="AA118" s="4"/>
      <c r="AB118" s="375">
        <f t="shared" si="90"/>
        <v>0</v>
      </c>
      <c r="AC118" s="375">
        <f t="shared" si="43"/>
        <v>0</v>
      </c>
      <c r="AD118" s="402"/>
      <c r="AE118" s="375">
        <f t="shared" si="91"/>
        <v>0</v>
      </c>
      <c r="AF118" s="375">
        <f t="shared" si="92"/>
        <v>0</v>
      </c>
      <c r="AG118" s="4"/>
      <c r="AH118" s="375"/>
      <c r="AI118" s="375"/>
      <c r="AJ118" s="4"/>
      <c r="AK118" s="375"/>
      <c r="AL118" s="375"/>
      <c r="AM118" s="4"/>
      <c r="AN118" s="375"/>
      <c r="AO118" s="375"/>
      <c r="AP118" s="4"/>
      <c r="AQ118" s="375">
        <f t="shared" si="99"/>
        <v>0</v>
      </c>
      <c r="AR118" s="375">
        <f t="shared" si="99"/>
        <v>0</v>
      </c>
      <c r="AS118" s="4"/>
      <c r="AT118" s="375">
        <f t="shared" si="85"/>
        <v>0</v>
      </c>
      <c r="AU118" s="4"/>
      <c r="AV118" s="375"/>
      <c r="AW118" s="375"/>
      <c r="AX118" s="4"/>
      <c r="AY118" s="375"/>
      <c r="AZ118" s="375"/>
      <c r="BA118" s="4"/>
      <c r="BB118" s="375"/>
      <c r="BC118" s="375"/>
      <c r="BD118" s="4"/>
      <c r="BE118" s="375">
        <f t="shared" si="100"/>
        <v>0</v>
      </c>
      <c r="BF118" s="375">
        <f t="shared" si="100"/>
        <v>0</v>
      </c>
      <c r="BG118" s="402"/>
      <c r="BH118" s="375">
        <f t="shared" si="95"/>
        <v>0</v>
      </c>
      <c r="BI118" s="388">
        <f t="shared" si="96"/>
        <v>0</v>
      </c>
      <c r="BJ118" s="4"/>
      <c r="BK118" s="386" t="s">
        <v>101</v>
      </c>
      <c r="BL118" s="386" t="s">
        <v>108</v>
      </c>
      <c r="BM118" s="375">
        <v>0</v>
      </c>
      <c r="BN118" s="282"/>
      <c r="BO118" s="378"/>
    </row>
    <row r="119" spans="1:67" ht="15" hidden="1" customHeight="1" outlineLevel="1">
      <c r="A119" s="386" t="s">
        <v>101</v>
      </c>
      <c r="B119" s="386" t="s">
        <v>109</v>
      </c>
      <c r="C119" s="375">
        <v>0</v>
      </c>
      <c r="D119" s="4"/>
      <c r="E119" s="375">
        <v>0</v>
      </c>
      <c r="F119" s="4"/>
      <c r="G119" s="375"/>
      <c r="H119" s="375"/>
      <c r="I119" s="4"/>
      <c r="J119" s="375"/>
      <c r="K119" s="375"/>
      <c r="L119" s="4"/>
      <c r="M119" s="375"/>
      <c r="N119" s="375">
        <v>0</v>
      </c>
      <c r="O119" s="4"/>
      <c r="P119" s="375">
        <f t="shared" si="65"/>
        <v>0</v>
      </c>
      <c r="Q119" s="375">
        <f t="shared" si="65"/>
        <v>0</v>
      </c>
      <c r="R119" s="4"/>
      <c r="S119" s="375"/>
      <c r="T119" s="375"/>
      <c r="U119" s="4"/>
      <c r="V119" s="375"/>
      <c r="W119" s="375"/>
      <c r="X119" s="4"/>
      <c r="Y119" s="375"/>
      <c r="Z119" s="375"/>
      <c r="AA119" s="4"/>
      <c r="AB119" s="375">
        <f t="shared" si="90"/>
        <v>0</v>
      </c>
      <c r="AC119" s="375">
        <f t="shared" si="43"/>
        <v>0</v>
      </c>
      <c r="AD119" s="402"/>
      <c r="AE119" s="375">
        <f t="shared" si="91"/>
        <v>0</v>
      </c>
      <c r="AF119" s="375">
        <f t="shared" si="92"/>
        <v>0</v>
      </c>
      <c r="AG119" s="4"/>
      <c r="AH119" s="375"/>
      <c r="AI119" s="375"/>
      <c r="AJ119" s="4"/>
      <c r="AK119" s="375"/>
      <c r="AL119" s="375"/>
      <c r="AM119" s="4"/>
      <c r="AN119" s="375"/>
      <c r="AO119" s="375"/>
      <c r="AP119" s="4"/>
      <c r="AQ119" s="375">
        <f t="shared" si="99"/>
        <v>0</v>
      </c>
      <c r="AR119" s="375">
        <f t="shared" si="99"/>
        <v>0</v>
      </c>
      <c r="AS119" s="4"/>
      <c r="AT119" s="375">
        <f t="shared" si="85"/>
        <v>0</v>
      </c>
      <c r="AU119" s="4"/>
      <c r="AV119" s="375"/>
      <c r="AW119" s="375"/>
      <c r="AX119" s="4"/>
      <c r="AY119" s="375"/>
      <c r="AZ119" s="375"/>
      <c r="BA119" s="4"/>
      <c r="BB119" s="375"/>
      <c r="BC119" s="375"/>
      <c r="BD119" s="4"/>
      <c r="BE119" s="375">
        <f t="shared" si="100"/>
        <v>0</v>
      </c>
      <c r="BF119" s="375">
        <f t="shared" si="100"/>
        <v>0</v>
      </c>
      <c r="BG119" s="402"/>
      <c r="BH119" s="375">
        <f t="shared" si="95"/>
        <v>0</v>
      </c>
      <c r="BI119" s="388">
        <f t="shared" si="96"/>
        <v>0</v>
      </c>
      <c r="BJ119" s="4"/>
      <c r="BK119" s="386" t="s">
        <v>101</v>
      </c>
      <c r="BL119" s="386" t="s">
        <v>109</v>
      </c>
      <c r="BM119" s="375">
        <v>0</v>
      </c>
      <c r="BN119" s="282"/>
      <c r="BO119" s="378"/>
    </row>
    <row r="120" spans="1:67" ht="15" hidden="1" customHeight="1" outlineLevel="1">
      <c r="A120" s="386" t="s">
        <v>101</v>
      </c>
      <c r="B120" s="386" t="s">
        <v>110</v>
      </c>
      <c r="C120" s="375">
        <v>0</v>
      </c>
      <c r="D120" s="4"/>
      <c r="E120" s="375">
        <v>0</v>
      </c>
      <c r="F120" s="4"/>
      <c r="G120" s="375"/>
      <c r="H120" s="375"/>
      <c r="I120" s="4"/>
      <c r="J120" s="375"/>
      <c r="K120" s="375"/>
      <c r="L120" s="4"/>
      <c r="M120" s="375"/>
      <c r="N120" s="375">
        <v>0</v>
      </c>
      <c r="O120" s="4"/>
      <c r="P120" s="375">
        <f t="shared" si="65"/>
        <v>0</v>
      </c>
      <c r="Q120" s="375">
        <f t="shared" si="65"/>
        <v>0</v>
      </c>
      <c r="R120" s="4"/>
      <c r="S120" s="375"/>
      <c r="T120" s="375"/>
      <c r="U120" s="4"/>
      <c r="V120" s="375"/>
      <c r="W120" s="375"/>
      <c r="X120" s="4"/>
      <c r="Y120" s="375"/>
      <c r="Z120" s="375"/>
      <c r="AA120" s="4"/>
      <c r="AB120" s="375">
        <f t="shared" si="90"/>
        <v>0</v>
      </c>
      <c r="AC120" s="375">
        <f t="shared" si="43"/>
        <v>0</v>
      </c>
      <c r="AD120" s="402"/>
      <c r="AE120" s="375">
        <f t="shared" si="91"/>
        <v>0</v>
      </c>
      <c r="AF120" s="375">
        <f t="shared" si="92"/>
        <v>0</v>
      </c>
      <c r="AG120" s="4"/>
      <c r="AH120" s="375"/>
      <c r="AI120" s="375"/>
      <c r="AJ120" s="4"/>
      <c r="AK120" s="375"/>
      <c r="AL120" s="375"/>
      <c r="AM120" s="4"/>
      <c r="AN120" s="375"/>
      <c r="AO120" s="375"/>
      <c r="AP120" s="4"/>
      <c r="AQ120" s="375">
        <f t="shared" si="99"/>
        <v>0</v>
      </c>
      <c r="AR120" s="375">
        <f t="shared" si="99"/>
        <v>0</v>
      </c>
      <c r="AS120" s="4"/>
      <c r="AT120" s="375">
        <f t="shared" si="85"/>
        <v>0</v>
      </c>
      <c r="AU120" s="4"/>
      <c r="AV120" s="375"/>
      <c r="AW120" s="375"/>
      <c r="AX120" s="4"/>
      <c r="AY120" s="375"/>
      <c r="AZ120" s="375"/>
      <c r="BA120" s="4"/>
      <c r="BB120" s="375"/>
      <c r="BC120" s="375"/>
      <c r="BD120" s="4"/>
      <c r="BE120" s="375">
        <f t="shared" si="100"/>
        <v>0</v>
      </c>
      <c r="BF120" s="375">
        <f t="shared" si="100"/>
        <v>0</v>
      </c>
      <c r="BG120" s="402"/>
      <c r="BH120" s="375">
        <f t="shared" si="95"/>
        <v>0</v>
      </c>
      <c r="BI120" s="388">
        <f t="shared" si="96"/>
        <v>0</v>
      </c>
      <c r="BJ120" s="4"/>
      <c r="BK120" s="386" t="s">
        <v>101</v>
      </c>
      <c r="BL120" s="386" t="s">
        <v>110</v>
      </c>
      <c r="BM120" s="375">
        <v>0</v>
      </c>
      <c r="BN120" s="282"/>
      <c r="BO120" s="378"/>
    </row>
    <row r="121" spans="1:67" ht="15" hidden="1" customHeight="1" outlineLevel="1">
      <c r="A121" s="386" t="s">
        <v>101</v>
      </c>
      <c r="B121" s="386" t="s">
        <v>111</v>
      </c>
      <c r="C121" s="375">
        <v>0</v>
      </c>
      <c r="D121" s="4"/>
      <c r="E121" s="375">
        <v>0</v>
      </c>
      <c r="F121" s="4"/>
      <c r="G121" s="375"/>
      <c r="H121" s="375"/>
      <c r="I121" s="4"/>
      <c r="J121" s="375"/>
      <c r="K121" s="375"/>
      <c r="L121" s="4"/>
      <c r="M121" s="375"/>
      <c r="N121" s="375">
        <v>0</v>
      </c>
      <c r="O121" s="4"/>
      <c r="P121" s="375">
        <f t="shared" si="65"/>
        <v>0</v>
      </c>
      <c r="Q121" s="375">
        <f t="shared" si="65"/>
        <v>0</v>
      </c>
      <c r="R121" s="4"/>
      <c r="S121" s="375"/>
      <c r="T121" s="375"/>
      <c r="U121" s="4"/>
      <c r="V121" s="375"/>
      <c r="W121" s="375"/>
      <c r="X121" s="4"/>
      <c r="Y121" s="375"/>
      <c r="Z121" s="375"/>
      <c r="AA121" s="4"/>
      <c r="AB121" s="375">
        <f t="shared" si="90"/>
        <v>0</v>
      </c>
      <c r="AC121" s="375">
        <f t="shared" si="43"/>
        <v>0</v>
      </c>
      <c r="AD121" s="402"/>
      <c r="AE121" s="375">
        <f t="shared" si="91"/>
        <v>0</v>
      </c>
      <c r="AF121" s="375">
        <f t="shared" si="92"/>
        <v>0</v>
      </c>
      <c r="AG121" s="4"/>
      <c r="AH121" s="375"/>
      <c r="AI121" s="375"/>
      <c r="AJ121" s="4"/>
      <c r="AK121" s="375"/>
      <c r="AL121" s="375"/>
      <c r="AM121" s="4"/>
      <c r="AN121" s="375"/>
      <c r="AO121" s="375"/>
      <c r="AP121" s="4"/>
      <c r="AQ121" s="375">
        <f t="shared" si="99"/>
        <v>0</v>
      </c>
      <c r="AR121" s="375">
        <f t="shared" si="99"/>
        <v>0</v>
      </c>
      <c r="AS121" s="4"/>
      <c r="AT121" s="375">
        <f t="shared" si="85"/>
        <v>0</v>
      </c>
      <c r="AU121" s="4"/>
      <c r="AV121" s="375"/>
      <c r="AW121" s="375"/>
      <c r="AX121" s="4"/>
      <c r="AY121" s="375"/>
      <c r="AZ121" s="375"/>
      <c r="BA121" s="4"/>
      <c r="BB121" s="375"/>
      <c r="BC121" s="375"/>
      <c r="BD121" s="4"/>
      <c r="BE121" s="375">
        <f t="shared" si="100"/>
        <v>0</v>
      </c>
      <c r="BF121" s="375">
        <f t="shared" si="100"/>
        <v>0</v>
      </c>
      <c r="BG121" s="402"/>
      <c r="BH121" s="375">
        <f t="shared" si="95"/>
        <v>0</v>
      </c>
      <c r="BI121" s="388">
        <f t="shared" si="96"/>
        <v>0</v>
      </c>
      <c r="BJ121" s="4"/>
      <c r="BK121" s="386" t="s">
        <v>101</v>
      </c>
      <c r="BL121" s="386" t="s">
        <v>111</v>
      </c>
      <c r="BM121" s="375">
        <v>0</v>
      </c>
      <c r="BN121" s="282"/>
      <c r="BO121" s="378"/>
    </row>
    <row r="122" spans="1:67" ht="15" hidden="1" customHeight="1" outlineLevel="1">
      <c r="A122" s="386" t="s">
        <v>101</v>
      </c>
      <c r="B122" s="386" t="s">
        <v>30</v>
      </c>
      <c r="C122" s="375">
        <v>0</v>
      </c>
      <c r="D122" s="4"/>
      <c r="E122" s="375">
        <v>0</v>
      </c>
      <c r="F122" s="4"/>
      <c r="G122" s="375"/>
      <c r="H122" s="375"/>
      <c r="I122" s="4"/>
      <c r="J122" s="375"/>
      <c r="K122" s="375"/>
      <c r="L122" s="4"/>
      <c r="M122" s="375"/>
      <c r="N122" s="375">
        <v>0</v>
      </c>
      <c r="O122" s="4"/>
      <c r="P122" s="375">
        <f t="shared" si="65"/>
        <v>0</v>
      </c>
      <c r="Q122" s="375">
        <f t="shared" si="65"/>
        <v>0</v>
      </c>
      <c r="R122" s="4"/>
      <c r="S122" s="375"/>
      <c r="T122" s="375"/>
      <c r="U122" s="4"/>
      <c r="V122" s="375"/>
      <c r="W122" s="375"/>
      <c r="X122" s="4"/>
      <c r="Y122" s="375"/>
      <c r="Z122" s="375"/>
      <c r="AA122" s="4"/>
      <c r="AB122" s="375">
        <f t="shared" si="90"/>
        <v>0</v>
      </c>
      <c r="AC122" s="375">
        <f t="shared" si="43"/>
        <v>0</v>
      </c>
      <c r="AD122" s="402"/>
      <c r="AE122" s="375">
        <f t="shared" si="91"/>
        <v>0</v>
      </c>
      <c r="AF122" s="375">
        <f>+AC122+Q122</f>
        <v>0</v>
      </c>
      <c r="AG122" s="4"/>
      <c r="AH122" s="375"/>
      <c r="AI122" s="375"/>
      <c r="AJ122" s="4"/>
      <c r="AK122" s="375">
        <v>-3920080.01</v>
      </c>
      <c r="AL122" s="375">
        <v>-3920080.01</v>
      </c>
      <c r="AM122" s="4"/>
      <c r="AN122" s="375">
        <v>-478078</v>
      </c>
      <c r="AO122" s="375">
        <v>-478078</v>
      </c>
      <c r="AP122" s="4"/>
      <c r="AQ122" s="375">
        <f t="shared" si="99"/>
        <v>-4398158.01</v>
      </c>
      <c r="AR122" s="375">
        <f t="shared" si="99"/>
        <v>-4398158.01</v>
      </c>
      <c r="AS122" s="4"/>
      <c r="AT122" s="375">
        <f t="shared" si="85"/>
        <v>-4398158.01</v>
      </c>
      <c r="AU122" s="4"/>
      <c r="AV122" s="375"/>
      <c r="AW122" s="375"/>
      <c r="AX122" s="4"/>
      <c r="AY122" s="375"/>
      <c r="AZ122" s="375"/>
      <c r="BA122" s="4"/>
      <c r="BB122" s="375"/>
      <c r="BC122" s="375">
        <v>2513538</v>
      </c>
      <c r="BD122" s="4"/>
      <c r="BE122" s="375">
        <f t="shared" si="100"/>
        <v>0</v>
      </c>
      <c r="BF122" s="375">
        <f t="shared" si="100"/>
        <v>2513538</v>
      </c>
      <c r="BG122" s="402"/>
      <c r="BH122" s="375">
        <f t="shared" si="95"/>
        <v>-4398158.01</v>
      </c>
      <c r="BI122" s="388">
        <f t="shared" si="96"/>
        <v>-1884620.0099999998</v>
      </c>
      <c r="BJ122" s="4"/>
      <c r="BK122" s="386" t="s">
        <v>101</v>
      </c>
      <c r="BL122" s="386" t="s">
        <v>252</v>
      </c>
      <c r="BM122" s="375">
        <v>0</v>
      </c>
      <c r="BN122" s="282"/>
      <c r="BO122" s="378"/>
    </row>
    <row r="123" spans="1:67" ht="15" hidden="1" customHeight="1" outlineLevel="1">
      <c r="A123" s="386" t="s">
        <v>101</v>
      </c>
      <c r="B123" s="386" t="s">
        <v>112</v>
      </c>
      <c r="C123" s="375">
        <v>-1113004.5</v>
      </c>
      <c r="D123" s="4"/>
      <c r="E123" s="375">
        <v>899229</v>
      </c>
      <c r="F123" s="4"/>
      <c r="G123" s="375">
        <v>-312046.51999999996</v>
      </c>
      <c r="H123" s="375">
        <v>-33196.31</v>
      </c>
      <c r="I123" s="4"/>
      <c r="J123" s="375">
        <v>-312046.51999999996</v>
      </c>
      <c r="K123" s="375">
        <v>-27866.22</v>
      </c>
      <c r="L123" s="4"/>
      <c r="M123" s="388">
        <v>-312046.51999999996</v>
      </c>
      <c r="N123" s="388">
        <v>64946.74</v>
      </c>
      <c r="O123" s="4"/>
      <c r="P123" s="388">
        <f t="shared" si="65"/>
        <v>-936139.55999999982</v>
      </c>
      <c r="Q123" s="388">
        <f t="shared" si="65"/>
        <v>3884.2099999999991</v>
      </c>
      <c r="R123" s="4"/>
      <c r="S123" s="375">
        <v>-104208.89</v>
      </c>
      <c r="T123" s="375">
        <v>-104208.89</v>
      </c>
      <c r="U123" s="4"/>
      <c r="V123" s="375">
        <v>-48907.13</v>
      </c>
      <c r="W123" s="375">
        <v>-48907.13</v>
      </c>
      <c r="X123" s="4"/>
      <c r="Y123" s="375">
        <v>89908.19</v>
      </c>
      <c r="Z123" s="375">
        <v>89908.19</v>
      </c>
      <c r="AA123" s="4"/>
      <c r="AB123" s="375">
        <f t="shared" si="90"/>
        <v>-63207.829999999987</v>
      </c>
      <c r="AC123" s="375">
        <f t="shared" si="43"/>
        <v>-63207.829999999987</v>
      </c>
      <c r="AD123" s="402"/>
      <c r="AE123" s="375">
        <f t="shared" si="91"/>
        <v>-59323.619999999988</v>
      </c>
      <c r="AF123" s="375">
        <f>+AC123+Q123</f>
        <v>-59323.619999999988</v>
      </c>
      <c r="AG123" s="4"/>
      <c r="AH123" s="375">
        <v>-167478.15</v>
      </c>
      <c r="AI123" s="375">
        <v>-167478.15</v>
      </c>
      <c r="AJ123" s="4"/>
      <c r="AK123" s="375">
        <v>-206922.18</v>
      </c>
      <c r="AL123" s="375">
        <v>-206922.18</v>
      </c>
      <c r="AM123" s="4"/>
      <c r="AN123" s="381">
        <v>-95523.650000000023</v>
      </c>
      <c r="AO123" s="381">
        <v>-95523.650000000023</v>
      </c>
      <c r="AP123" s="4"/>
      <c r="AQ123" s="375">
        <f t="shared" si="99"/>
        <v>-469923.98</v>
      </c>
      <c r="AR123" s="375">
        <f t="shared" si="99"/>
        <v>-469923.98</v>
      </c>
      <c r="AS123" s="4"/>
      <c r="AT123" s="375">
        <f>+AF123+AR123</f>
        <v>-529247.6</v>
      </c>
      <c r="AU123" s="4"/>
      <c r="AV123" s="375">
        <v>-574555.48</v>
      </c>
      <c r="AW123" s="381">
        <v>-342135.62</v>
      </c>
      <c r="AX123" s="4"/>
      <c r="AY123" s="375">
        <v>-574555.48</v>
      </c>
      <c r="AZ123" s="381">
        <v>-283254.96000000002</v>
      </c>
      <c r="BA123" s="4"/>
      <c r="BB123" s="375">
        <v>-138051.39000000001</v>
      </c>
      <c r="BC123" s="375">
        <f>-825587.33</f>
        <v>-825587.33</v>
      </c>
      <c r="BD123" s="4"/>
      <c r="BE123" s="375">
        <f t="shared" si="100"/>
        <v>-1287162.3500000001</v>
      </c>
      <c r="BF123" s="375">
        <f t="shared" si="100"/>
        <v>-1450977.9100000001</v>
      </c>
      <c r="BG123" s="402"/>
      <c r="BH123" s="375">
        <f t="shared" si="95"/>
        <v>-1816409.9500000002</v>
      </c>
      <c r="BI123" s="388">
        <f t="shared" si="96"/>
        <v>-1980225.5100000002</v>
      </c>
      <c r="BJ123" s="4"/>
      <c r="BK123" s="386" t="s">
        <v>101</v>
      </c>
      <c r="BL123" s="386" t="s">
        <v>112</v>
      </c>
      <c r="BM123" s="375">
        <v>-9275007.959999999</v>
      </c>
      <c r="BN123" s="282"/>
      <c r="BO123" s="378"/>
    </row>
    <row r="124" spans="1:67" ht="15" hidden="1" customHeight="1" outlineLevel="1">
      <c r="A124" s="386" t="s">
        <v>101</v>
      </c>
      <c r="B124" s="386" t="s">
        <v>113</v>
      </c>
      <c r="C124" s="375">
        <v>0</v>
      </c>
      <c r="D124" s="4"/>
      <c r="E124" s="375">
        <v>0</v>
      </c>
      <c r="F124" s="4"/>
      <c r="G124" s="375"/>
      <c r="H124" s="375"/>
      <c r="I124" s="4"/>
      <c r="J124" s="375"/>
      <c r="K124" s="375"/>
      <c r="L124" s="4"/>
      <c r="M124" s="375"/>
      <c r="N124" s="375">
        <v>0</v>
      </c>
      <c r="O124" s="4"/>
      <c r="P124" s="375">
        <f t="shared" si="65"/>
        <v>0</v>
      </c>
      <c r="Q124" s="375">
        <f t="shared" si="65"/>
        <v>0</v>
      </c>
      <c r="R124" s="4"/>
      <c r="S124" s="375"/>
      <c r="T124" s="375"/>
      <c r="U124" s="4"/>
      <c r="V124" s="375"/>
      <c r="W124" s="375"/>
      <c r="X124" s="4"/>
      <c r="Y124" s="375"/>
      <c r="Z124" s="375"/>
      <c r="AA124" s="4"/>
      <c r="AB124" s="375">
        <f t="shared" si="90"/>
        <v>0</v>
      </c>
      <c r="AC124" s="375">
        <f t="shared" si="43"/>
        <v>0</v>
      </c>
      <c r="AD124" s="402"/>
      <c r="AE124" s="375">
        <f t="shared" si="91"/>
        <v>0</v>
      </c>
      <c r="AF124" s="375">
        <f>+AC124+Q124</f>
        <v>0</v>
      </c>
      <c r="AG124" s="4"/>
      <c r="AH124" s="375"/>
      <c r="AI124" s="375"/>
      <c r="AJ124" s="4"/>
      <c r="AK124" s="375"/>
      <c r="AL124" s="375"/>
      <c r="AM124" s="4"/>
      <c r="AN124" s="375"/>
      <c r="AO124" s="375"/>
      <c r="AP124" s="4"/>
      <c r="AQ124" s="375">
        <f t="shared" si="99"/>
        <v>0</v>
      </c>
      <c r="AR124" s="375">
        <f t="shared" si="99"/>
        <v>0</v>
      </c>
      <c r="AS124" s="4"/>
      <c r="AT124" s="375">
        <f t="shared" si="85"/>
        <v>0</v>
      </c>
      <c r="AU124" s="4"/>
      <c r="AV124" s="375"/>
      <c r="AW124" s="375"/>
      <c r="AX124" s="4"/>
      <c r="AY124" s="375"/>
      <c r="AZ124" s="375"/>
      <c r="BA124" s="4"/>
      <c r="BB124" s="375"/>
      <c r="BC124" s="375"/>
      <c r="BD124" s="4"/>
      <c r="BE124" s="375">
        <f t="shared" si="100"/>
        <v>0</v>
      </c>
      <c r="BF124" s="375">
        <f t="shared" si="100"/>
        <v>0</v>
      </c>
      <c r="BG124" s="402"/>
      <c r="BH124" s="375">
        <f t="shared" si="95"/>
        <v>0</v>
      </c>
      <c r="BI124" s="388">
        <f t="shared" si="96"/>
        <v>0</v>
      </c>
      <c r="BJ124" s="4"/>
      <c r="BK124" s="386" t="s">
        <v>101</v>
      </c>
      <c r="BL124" s="386" t="s">
        <v>113</v>
      </c>
      <c r="BM124" s="375">
        <v>0</v>
      </c>
      <c r="BN124" s="282"/>
      <c r="BO124" s="378"/>
    </row>
    <row r="125" spans="1:67" collapsed="1">
      <c r="A125" s="386" t="s">
        <v>101</v>
      </c>
      <c r="B125" s="386"/>
      <c r="C125" s="389">
        <f>SUM(C112:C124)</f>
        <v>-1113004.5</v>
      </c>
      <c r="D125" s="4"/>
      <c r="E125" s="389">
        <f>SUM(E112:E124)</f>
        <v>899229</v>
      </c>
      <c r="F125" s="4"/>
      <c r="G125" s="389">
        <f>SUM(G112:G124)</f>
        <v>-312046.51999999996</v>
      </c>
      <c r="H125" s="389">
        <f>SUM(H112:H124)</f>
        <v>-33196.31</v>
      </c>
      <c r="I125" s="4"/>
      <c r="J125" s="389">
        <f>SUM(J112:J124)</f>
        <v>-312046.51999999996</v>
      </c>
      <c r="K125" s="389">
        <f>SUM(K112:K124)</f>
        <v>-27866.22</v>
      </c>
      <c r="L125" s="4"/>
      <c r="M125" s="389">
        <f>SUM(M112:M124)</f>
        <v>-312046.51999999996</v>
      </c>
      <c r="N125" s="389">
        <f>SUM(N112:N124)</f>
        <v>64946.74</v>
      </c>
      <c r="O125" s="4"/>
      <c r="P125" s="389">
        <f t="shared" si="65"/>
        <v>-936139.55999999982</v>
      </c>
      <c r="Q125" s="389">
        <f>+H125+K125+N125</f>
        <v>3884.2099999999991</v>
      </c>
      <c r="R125" s="4"/>
      <c r="S125" s="389">
        <f>SUM(S112:S124)</f>
        <v>-104208.89</v>
      </c>
      <c r="T125" s="389">
        <f>SUM(T112:T124)</f>
        <v>-104208.89</v>
      </c>
      <c r="U125" s="4"/>
      <c r="V125" s="389">
        <f>SUM(V112:V124)</f>
        <v>-48907.13</v>
      </c>
      <c r="W125" s="389">
        <f>SUM(W112:W124)</f>
        <v>-48907.13</v>
      </c>
      <c r="X125" s="4"/>
      <c r="Y125" s="389">
        <f>SUM(Y112:Y124)</f>
        <v>89908.19</v>
      </c>
      <c r="Z125" s="389">
        <f>SUM(Z112:Z124)</f>
        <v>89908.19</v>
      </c>
      <c r="AA125" s="4"/>
      <c r="AB125" s="375">
        <f t="shared" si="90"/>
        <v>-63207.829999999987</v>
      </c>
      <c r="AC125" s="389">
        <f>SUM(AC112:AC124)</f>
        <v>-63207.829999999987</v>
      </c>
      <c r="AD125" s="402"/>
      <c r="AE125" s="375">
        <f>+Q125+AB125</f>
        <v>-59323.619999999988</v>
      </c>
      <c r="AF125" s="375">
        <f>+AC125+Q125</f>
        <v>-59323.619999999988</v>
      </c>
      <c r="AG125" s="4"/>
      <c r="AH125" s="389">
        <f>SUM(AH112:AH124)</f>
        <v>-167478.15</v>
      </c>
      <c r="AI125" s="389">
        <f>SUM(AI112:AI124)</f>
        <v>-167478.15</v>
      </c>
      <c r="AJ125" s="4"/>
      <c r="AK125" s="389">
        <f>SUM(AK112:AK124)</f>
        <v>-4127002.19</v>
      </c>
      <c r="AL125" s="389">
        <f>SUM(AL112:AL124)</f>
        <v>-4127002.19</v>
      </c>
      <c r="AM125" s="4"/>
      <c r="AN125" s="389">
        <f>SUM(AN112:AN124)</f>
        <v>-573601.65</v>
      </c>
      <c r="AO125" s="389">
        <f>SUM(AO112:AO124)</f>
        <v>-573601.65</v>
      </c>
      <c r="AP125" s="4"/>
      <c r="AQ125" s="389">
        <f>SUM(AQ112:AQ124)</f>
        <v>-4868081.99</v>
      </c>
      <c r="AR125" s="389">
        <f>SUM(AR112:AR124)</f>
        <v>-4868081.99</v>
      </c>
      <c r="AS125" s="4"/>
      <c r="AT125" s="389">
        <f>SUM(AT112:AT124)</f>
        <v>-4927405.6099999994</v>
      </c>
      <c r="AU125" s="4"/>
      <c r="AV125" s="389">
        <f>SUM(AV112:AV124)</f>
        <v>-574555.48</v>
      </c>
      <c r="AW125" s="389">
        <f>SUM(AW112:AW124)</f>
        <v>-342135.62</v>
      </c>
      <c r="AX125" s="4"/>
      <c r="AY125" s="389">
        <f>SUM(AY112:AY124)</f>
        <v>-574555.48</v>
      </c>
      <c r="AZ125" s="389">
        <f>SUM(AZ112:AZ124)</f>
        <v>-283254.96000000002</v>
      </c>
      <c r="BA125" s="4"/>
      <c r="BB125" s="389">
        <f>SUM(BB112:BB124)</f>
        <v>-138051.39000000001</v>
      </c>
      <c r="BC125" s="389">
        <f>SUM(BC112:BC124)</f>
        <v>1687950.67</v>
      </c>
      <c r="BD125" s="4"/>
      <c r="BE125" s="389">
        <f>SUM(BE112:BE124)</f>
        <v>-1287162.3500000001</v>
      </c>
      <c r="BF125" s="389">
        <f>SUM(BF112:BF124)</f>
        <v>1062560.0899999999</v>
      </c>
      <c r="BG125" s="402"/>
      <c r="BH125" s="389">
        <f>SUM(BH112:BH124)</f>
        <v>-6214567.96</v>
      </c>
      <c r="BI125" s="389">
        <f>SUM(BI112:BI124)</f>
        <v>-3864845.52</v>
      </c>
      <c r="BJ125" s="4"/>
      <c r="BK125" s="386" t="s">
        <v>101</v>
      </c>
      <c r="BL125" s="386"/>
      <c r="BM125" s="389">
        <v>-6268458</v>
      </c>
      <c r="BN125" s="282"/>
      <c r="BO125" s="378">
        <f>-5000000-1218458-50000</f>
        <v>-6268458</v>
      </c>
    </row>
    <row r="126" spans="1:67">
      <c r="A126" s="8" t="s">
        <v>114</v>
      </c>
      <c r="B126" s="8" t="s">
        <v>115</v>
      </c>
      <c r="C126" s="9">
        <f>C29+C47+C59+C69+C74+C78+C84+C86+C88+C93+C98+C107+C125+C111</f>
        <v>-40539195.759999998</v>
      </c>
      <c r="D126" s="11">
        <f>C126/C8</f>
        <v>-0.33211969702356825</v>
      </c>
      <c r="E126" s="9">
        <f>E29+E47+E59+E69+E74+E78+E84+E86+E88+E93+E98+E107+E125+E111</f>
        <v>-6488542.3099999968</v>
      </c>
      <c r="F126" s="11">
        <f>E126/E8</f>
        <v>-0.15990992692492995</v>
      </c>
      <c r="G126" s="9">
        <f>G29+G47+G59+G69+G74+G78+G84+G86+G88+G93+G98+G107+G125+G111</f>
        <v>-4419296.7266666675</v>
      </c>
      <c r="H126" s="9">
        <f>H29+H47+H59+H69+H74+H78+H84+H86+H88+H93+H98+H107+H125+H111</f>
        <v>409474.66000000038</v>
      </c>
      <c r="I126" s="10"/>
      <c r="J126" s="9">
        <f>J29+J47+J59+J69+J74+J78+J84+J86+J88+J93+J98+J107+J125+J111</f>
        <v>-7456705.6966666635</v>
      </c>
      <c r="K126" s="9">
        <f>K29+K47+K59+K69+K74+K78+K84+K86+K88+K93+K98+K107+K125+K111</f>
        <v>-3874194.1599999992</v>
      </c>
      <c r="L126" s="10"/>
      <c r="M126" s="9">
        <f>M29+M47+M59+M69+M74+M78+M84+M86+M88+M93+M98+M107+M125+M111</f>
        <v>1214515.9333333352</v>
      </c>
      <c r="N126" s="9">
        <f>N29+N47+N59+N69+N74+N78+N84+N86+N88+N93+N98+N107+N125+N111</f>
        <v>3288560.77</v>
      </c>
      <c r="O126" s="10"/>
      <c r="P126" s="9">
        <f>+G126+J126+M126</f>
        <v>-10661486.489999996</v>
      </c>
      <c r="Q126" s="9">
        <f>+H126+K126+N126</f>
        <v>-176158.72999999905</v>
      </c>
      <c r="R126" s="11">
        <f>Q126/Q8</f>
        <v>-4.8437735028834632E-3</v>
      </c>
      <c r="S126" s="9">
        <f>S29+S47+S59+S69+S74+S78+S84+S86+S88+S93+S98+S107+S125+S111</f>
        <v>-556943.34999999916</v>
      </c>
      <c r="T126" s="9">
        <f>T29+T47+T59+T69+T74+T78+T84+T86+T88+T93+T98+T107+T125+T111</f>
        <v>-556943.34999999916</v>
      </c>
      <c r="U126" s="11">
        <f>T126/T8</f>
        <v>-5.3418112209821608E-2</v>
      </c>
      <c r="V126" s="9">
        <f>V29+V47+V59+V69+V74+V78+V84+V86+V88+V93+V98+V107+V125+V111</f>
        <v>-2865145.5999999996</v>
      </c>
      <c r="W126" s="9">
        <f>W29+W47+W59+W69+W74+W78+W84+W86+W88+W93+W98+W107+W125+W111</f>
        <v>-2855617.9799999986</v>
      </c>
      <c r="X126" s="11">
        <f>W126/W8</f>
        <v>-0.25336973278887293</v>
      </c>
      <c r="Y126" s="9">
        <f>Y29+Y47+Y59+Y69+Y74+Y78+Y84+Y86+Y88+Y93+Y98+Y107+Y125+Y111</f>
        <v>4682497.55</v>
      </c>
      <c r="Z126" s="9">
        <f>Z29+Z47+Z59+Z69+Z74+Z78+Z84+Z86+Z88+Z93+Z98+Z107+Z125+Z111</f>
        <v>4672969.9300000006</v>
      </c>
      <c r="AA126" s="11">
        <f>Z126/Z8</f>
        <v>0.30362365146081138</v>
      </c>
      <c r="AB126" s="9">
        <f>AB29+AB47+AB59+AB69+AB74+AB78+AB84+AB86+AB88+AB93+AB98+AB107+AB125+AB111</f>
        <v>1260408.6000000024</v>
      </c>
      <c r="AC126" s="9">
        <f>AC29+AC47+AC59+AC69+AC74+AC78+AC84+AC86+AC88+AC93+AC98+AC107+AC125+AC111</f>
        <v>1260408.6000000024</v>
      </c>
      <c r="AD126" s="405">
        <f>AC126/AC8</f>
        <v>3.3984877958488209E-2</v>
      </c>
      <c r="AE126" s="9">
        <f>AE29+AE47+AE59+AE69+AE74+AE78+AE84+AE86+AE88+AE93+AE98+AE107+AE125+AE111</f>
        <v>1084249.8700000027</v>
      </c>
      <c r="AF126" s="9">
        <f>AF29+AF47+AF59+AF69+AF74+AF78+AF84+AF86+AF88+AF93+AF98+AF107+AF125+AF111</f>
        <v>1084249.8700000027</v>
      </c>
      <c r="AG126" s="11">
        <f>AF126/AF8</f>
        <v>1.4760652938520144E-2</v>
      </c>
      <c r="AH126" s="9">
        <f>AH29+AH47+AH59+AH69+AH74+AH78+AH84+AH86+AH88+AH93+AH98+AH107+AH125+AH111</f>
        <v>-6803737.1299999999</v>
      </c>
      <c r="AI126" s="9">
        <f>AI29+AI47+AI59+AI69+AI74+AI78+AI84+AI86+AI88+AI93+AI98+AI107+AI125+AI111</f>
        <v>-6803737.1299999999</v>
      </c>
      <c r="AJ126" s="11">
        <f>AI126/AI8</f>
        <v>-1.1427338527353414</v>
      </c>
      <c r="AK126" s="9">
        <f>AK29+AK47+AK59+AK69+AK74+AK78+AK84+AK86+AK88+AK93+AK98+AK107+AK125+AK111</f>
        <v>-2699066.6000000006</v>
      </c>
      <c r="AL126" s="9">
        <f>AL29+AL47+AL59+AL69+AL74+AL78+AL84+AL86+AL88+AL93+AL98+AL107+AL125+AL111</f>
        <v>-2699066.6000000006</v>
      </c>
      <c r="AM126" s="11">
        <f>AL126/AL8</f>
        <v>-0.38740526023910493</v>
      </c>
      <c r="AN126" s="9">
        <f>AN29+AN47+AN59+AN69+AN74+AN78+AN84+AN86+AN88+AN93+AN98+AN107+AN125+AN111</f>
        <v>9280276.2499999981</v>
      </c>
      <c r="AO126" s="9">
        <f>AO29+AO47+AO59+AO69+AO74+AO78+AO84+AO86+AO88+AO93+AO98+AO107+AO125+AO111</f>
        <v>9280276.2499999981</v>
      </c>
      <c r="AP126" s="11">
        <f>AO126/AO8</f>
        <v>0.67730870917891506</v>
      </c>
      <c r="AQ126" s="9">
        <f>AQ29+AQ47+AQ59+AQ69+AQ74+AQ78+AQ84+AQ86+AQ88+AQ93+AQ98+AQ107+AQ125+AQ111</f>
        <v>-222527.48000000417</v>
      </c>
      <c r="AR126" s="9">
        <f>AR29+AR47+AR59+AR69+AR74+AR78+AR84+AR86+AR88+AR93+AR98+AR107+AR125+AR111</f>
        <v>-222527.48000000417</v>
      </c>
      <c r="AS126" s="11">
        <f>AR126/AR8</f>
        <v>-8.3585798288492181E-3</v>
      </c>
      <c r="AT126" s="9">
        <f>AT29+AT47+AT59+AT69+AT74+AT78+AT84+AT86+AT88+AT93+AT98+AT107+AT125+AT111</f>
        <v>861722.38999998104</v>
      </c>
      <c r="AU126" s="11">
        <f>AT126/AT8</f>
        <v>8.6105028841464617E-3</v>
      </c>
      <c r="AV126" s="9">
        <f>AV29+AV47+AV59+AV69+AV74+AV78+AV84+AV86+AV88+AV93+AV98+AV107+AV125+AV111</f>
        <v>-6360599.4027452338</v>
      </c>
      <c r="AW126" s="9">
        <f>AW29+AW47+AW59+AW69+AW74+AW78+AW84+AW86+AW88+AW93+AW98+AW107+AW125+AW111</f>
        <v>-11751225.609999998</v>
      </c>
      <c r="AX126" s="11">
        <f>AW126/AW8</f>
        <v>-3.6424998154685069</v>
      </c>
      <c r="AY126" s="9">
        <f>AY29+AY47+AY59+AY69+AY74+AY78+AY84+AY86+AY88+AY93+AY98+AY107+AY125+AY111</f>
        <v>1244224.2827776892</v>
      </c>
      <c r="AZ126" s="9">
        <f>AZ29+AZ47+AZ59+AZ69+AZ74+AZ78+AZ84+AZ86+AZ88+AZ93+AZ98+AZ107+AZ125+AZ111</f>
        <v>-5058822.3500000006</v>
      </c>
      <c r="BA126" s="11">
        <f>AZ126/AZ8</f>
        <v>-1.0019911108284285</v>
      </c>
      <c r="BB126" s="9">
        <f>BB29+BB47+BB59+BB69+BB74+BB78+BB84+BB86+BB88+BB93+BB98+BB107+BB125+BB111</f>
        <v>17075511.694293052</v>
      </c>
      <c r="BC126" s="9">
        <f>BC29+BC47+BC59+BC69+BC74+BC78+BC84+BC86+BC88+BC93+BC98+BC107+BC125+BC111</f>
        <v>20480611.589999996</v>
      </c>
      <c r="BD126" s="11">
        <f>BC126/BC8</f>
        <v>0.88565746457711492</v>
      </c>
      <c r="BE126" s="9">
        <f>BE29+BE47+BE59+BE69+BE74+BE78+BE84+BE86+BE88+BE93+BE98+BE107+BE125+BE111</f>
        <v>11959136.574325515</v>
      </c>
      <c r="BF126" s="9">
        <f>BF29+BF47+BF59+BF69+BF74+BF78+BF84+BF86+BF88+BF93+BF98+BF107+BF125+BF111</f>
        <v>3670563.6299999966</v>
      </c>
      <c r="BG126" s="405">
        <f>BF126/BF8</f>
        <v>0.11689816893267756</v>
      </c>
      <c r="BH126" s="9">
        <f>BH29+BH47+BH59+BH69+BH74+BH78+BH84+BH86+BH88+BH93+BH98+BH107+BH125+BH111</f>
        <v>12820858.964325488</v>
      </c>
      <c r="BI126" s="9">
        <f>BI29+BI47+BI59+BI69+BI74+BI78+BI84+BI86+BI88+BI93+BI98+BI107+BI125+BI111</f>
        <v>4532286.0199999884</v>
      </c>
      <c r="BJ126" s="11">
        <f>BI126/BI8</f>
        <v>3.4471893035432313E-2</v>
      </c>
      <c r="BK126" s="8" t="s">
        <v>114</v>
      </c>
      <c r="BL126" s="8" t="s">
        <v>115</v>
      </c>
      <c r="BM126" s="9">
        <f>BM29+BM47+BM59+BM69+BM74+BM78+BM84+BM86+BM88+BM93+BM98+BM107+BM125+BM111</f>
        <v>27972422.480000101</v>
      </c>
      <c r="BN126" s="285">
        <f>BM126/BM8</f>
        <v>9.8067439396160028E-2</v>
      </c>
    </row>
    <row r="127" spans="1:67" ht="15" hidden="1" customHeight="1" outlineLevel="1">
      <c r="A127" s="386" t="s">
        <v>116</v>
      </c>
      <c r="B127" s="386" t="s">
        <v>117</v>
      </c>
      <c r="C127" s="388">
        <v>-23163000</v>
      </c>
      <c r="D127" s="4"/>
      <c r="E127" s="388">
        <v>6973000</v>
      </c>
      <c r="F127" s="4"/>
      <c r="G127" s="388"/>
      <c r="H127" s="388"/>
      <c r="I127" s="4"/>
      <c r="J127" s="375"/>
      <c r="K127" s="375"/>
      <c r="L127" s="4"/>
      <c r="M127" s="375"/>
      <c r="N127" s="375"/>
      <c r="O127" s="4"/>
      <c r="P127" s="375">
        <f>+G127+J127+M127</f>
        <v>0</v>
      </c>
      <c r="Q127" s="375">
        <f>+H127+K127+N127</f>
        <v>0</v>
      </c>
      <c r="R127" s="4"/>
      <c r="S127" s="375"/>
      <c r="T127" s="375"/>
      <c r="U127" s="4"/>
      <c r="V127" s="375"/>
      <c r="W127" s="375"/>
      <c r="X127" s="4"/>
      <c r="Y127" s="375"/>
      <c r="Z127" s="375"/>
      <c r="AA127" s="4"/>
      <c r="AB127" s="375">
        <f t="shared" si="90"/>
        <v>0</v>
      </c>
      <c r="AC127" s="375">
        <f t="shared" ref="AC127:AC134" si="101">+T127+W127+Z127</f>
        <v>0</v>
      </c>
      <c r="AD127" s="402"/>
      <c r="AE127" s="375">
        <f t="shared" ref="AE127:AE128" si="102">+Q127+AB127</f>
        <v>0</v>
      </c>
      <c r="AF127" s="375">
        <f>+AC127+Q127</f>
        <v>0</v>
      </c>
      <c r="AG127" s="4"/>
      <c r="AH127" s="375"/>
      <c r="AI127" s="375"/>
      <c r="AJ127" s="4"/>
      <c r="AK127" s="375"/>
      <c r="AL127" s="375"/>
      <c r="AM127" s="4"/>
      <c r="AN127" s="375"/>
      <c r="AO127" s="375"/>
      <c r="AP127" s="4"/>
      <c r="AQ127" s="375">
        <f t="shared" ref="AQ127:AR128" si="103">AN127+AK127+AH127</f>
        <v>0</v>
      </c>
      <c r="AR127" s="375">
        <f t="shared" si="103"/>
        <v>0</v>
      </c>
      <c r="AS127" s="4"/>
      <c r="AT127" s="375">
        <f t="shared" ref="AT127:AT134" si="104">+AF127+AR127</f>
        <v>0</v>
      </c>
      <c r="AU127" s="4"/>
      <c r="AV127" s="375"/>
      <c r="AW127" s="375"/>
      <c r="AX127" s="4"/>
      <c r="AY127" s="375"/>
      <c r="AZ127" s="375"/>
      <c r="BA127" s="4"/>
      <c r="BB127" s="375"/>
      <c r="BC127" s="375"/>
      <c r="BD127" s="4"/>
      <c r="BE127" s="375">
        <f t="shared" ref="BE127:BF128" si="105">BB127+AY127+AV127</f>
        <v>0</v>
      </c>
      <c r="BF127" s="375">
        <f t="shared" si="105"/>
        <v>0</v>
      </c>
      <c r="BG127" s="402"/>
      <c r="BH127" s="375">
        <f t="shared" ref="BH127:BH128" si="106">Q127+AB127+AQ127+BE127</f>
        <v>0</v>
      </c>
      <c r="BI127" s="388">
        <f t="shared" ref="BI127:BI128" si="107">Q127+AC127+AR127+BF127</f>
        <v>0</v>
      </c>
      <c r="BJ127" s="4"/>
      <c r="BK127" s="386" t="s">
        <v>116</v>
      </c>
      <c r="BL127" s="386" t="s">
        <v>117</v>
      </c>
      <c r="BM127" s="375">
        <v>0</v>
      </c>
      <c r="BN127" s="282"/>
    </row>
    <row r="128" spans="1:67" ht="15" hidden="1" customHeight="1" outlineLevel="1">
      <c r="A128" s="386" t="s">
        <v>116</v>
      </c>
      <c r="B128" s="386" t="s">
        <v>118</v>
      </c>
      <c r="C128" s="375"/>
      <c r="D128" s="4"/>
      <c r="E128" s="375"/>
      <c r="F128" s="4"/>
      <c r="G128" s="375">
        <v>-417382.27000000008</v>
      </c>
      <c r="H128" s="375"/>
      <c r="I128" s="4"/>
      <c r="J128" s="375">
        <v>-417382.27000000008</v>
      </c>
      <c r="K128" s="375"/>
      <c r="L128" s="4"/>
      <c r="M128" s="375">
        <v>-417382.27000000008</v>
      </c>
      <c r="N128" s="375"/>
      <c r="O128" s="4"/>
      <c r="P128" s="375">
        <f>+G128+J128+M128</f>
        <v>-1252146.8100000003</v>
      </c>
      <c r="Q128" s="375">
        <f>+H128+K128+N128</f>
        <v>0</v>
      </c>
      <c r="R128" s="4"/>
      <c r="S128" s="375"/>
      <c r="T128" s="375"/>
      <c r="U128" s="4"/>
      <c r="V128" s="375">
        <v>-74547</v>
      </c>
      <c r="W128" s="375">
        <v>-74547</v>
      </c>
      <c r="X128" s="4"/>
      <c r="Y128" s="375"/>
      <c r="Z128" s="375"/>
      <c r="AA128" s="4"/>
      <c r="AB128" s="375">
        <f t="shared" si="90"/>
        <v>-74547</v>
      </c>
      <c r="AC128" s="375">
        <f t="shared" si="101"/>
        <v>-74547</v>
      </c>
      <c r="AD128" s="402"/>
      <c r="AE128" s="375">
        <f t="shared" si="102"/>
        <v>-74547</v>
      </c>
      <c r="AF128" s="375">
        <f>+AC128+Q128</f>
        <v>-74547</v>
      </c>
      <c r="AG128" s="4"/>
      <c r="AH128" s="375"/>
      <c r="AI128" s="375"/>
      <c r="AJ128" s="4"/>
      <c r="AK128" s="375">
        <v>-876617.98</v>
      </c>
      <c r="AL128" s="375">
        <v>-876617.98</v>
      </c>
      <c r="AM128" s="4"/>
      <c r="AN128" s="375">
        <v>-176605.02</v>
      </c>
      <c r="AO128" s="375">
        <v>-176605.02</v>
      </c>
      <c r="AP128" s="4"/>
      <c r="AQ128" s="375">
        <f t="shared" si="103"/>
        <v>-1053223</v>
      </c>
      <c r="AR128" s="375">
        <f>AO128+AL128+AI128</f>
        <v>-1053223</v>
      </c>
      <c r="AS128" s="4"/>
      <c r="AT128" s="375">
        <f t="shared" si="104"/>
        <v>-1127770</v>
      </c>
      <c r="AU128" s="4"/>
      <c r="AV128" s="375"/>
      <c r="AW128" s="375">
        <v>-179605.02</v>
      </c>
      <c r="AX128" s="4"/>
      <c r="AY128" s="375"/>
      <c r="AZ128" s="375">
        <v>-179605.02</v>
      </c>
      <c r="BA128" s="4"/>
      <c r="BB128" s="375">
        <v>-625000</v>
      </c>
      <c r="BC128" s="375">
        <v>-144985.01999999999</v>
      </c>
      <c r="BD128" s="4"/>
      <c r="BE128" s="375">
        <f t="shared" si="105"/>
        <v>-625000</v>
      </c>
      <c r="BF128" s="375">
        <f>BC128+AZ128+AW128</f>
        <v>-504195.05999999994</v>
      </c>
      <c r="BG128" s="402"/>
      <c r="BH128" s="375">
        <f t="shared" si="106"/>
        <v>-1752770</v>
      </c>
      <c r="BI128" s="388">
        <f t="shared" si="107"/>
        <v>-1631965.06</v>
      </c>
      <c r="BJ128" s="4"/>
      <c r="BK128" s="386" t="s">
        <v>116</v>
      </c>
      <c r="BL128" s="386" t="s">
        <v>118</v>
      </c>
      <c r="BM128" s="375">
        <v>-5190551.99</v>
      </c>
      <c r="BN128" s="282"/>
    </row>
    <row r="129" spans="1:67" ht="15" customHeight="1" collapsed="1">
      <c r="A129" s="386" t="s">
        <v>116</v>
      </c>
      <c r="B129" s="386"/>
      <c r="C129" s="389">
        <f>SUM(C127:C128)</f>
        <v>-23163000</v>
      </c>
      <c r="D129" s="4"/>
      <c r="E129" s="389">
        <f>SUM(E127:E128)</f>
        <v>6973000</v>
      </c>
      <c r="F129" s="4"/>
      <c r="G129" s="389">
        <f>SUM(G127:G128)</f>
        <v>-417382.27000000008</v>
      </c>
      <c r="H129" s="389"/>
      <c r="I129" s="4"/>
      <c r="J129" s="389">
        <f>SUM(J127:J128)</f>
        <v>-417382.27000000008</v>
      </c>
      <c r="K129" s="389"/>
      <c r="L129" s="4"/>
      <c r="M129" s="389">
        <f>SUM(M127:M128)</f>
        <v>-417382.27000000008</v>
      </c>
      <c r="N129" s="389"/>
      <c r="O129" s="4"/>
      <c r="P129" s="389">
        <f t="shared" ref="P129:Q176" si="108">+G129+J129+M129</f>
        <v>-1252146.8100000003</v>
      </c>
      <c r="Q129" s="389">
        <f t="shared" si="108"/>
        <v>0</v>
      </c>
      <c r="R129" s="4"/>
      <c r="S129" s="389"/>
      <c r="T129" s="389"/>
      <c r="U129" s="4"/>
      <c r="V129" s="389">
        <f>SUM(V127:V128)</f>
        <v>-74547</v>
      </c>
      <c r="W129" s="389">
        <f>SUM(W127:W128)</f>
        <v>-74547</v>
      </c>
      <c r="X129" s="4"/>
      <c r="Y129" s="389">
        <f>SUM(Y127:Y128)</f>
        <v>0</v>
      </c>
      <c r="Z129" s="389">
        <f>SUM(Z127:Z128)</f>
        <v>0</v>
      </c>
      <c r="AA129" s="4"/>
      <c r="AB129" s="389">
        <f>SUM(AB127:AB128)</f>
        <v>-74547</v>
      </c>
      <c r="AC129" s="389">
        <f>SUM(AC127:AC128)</f>
        <v>-74547</v>
      </c>
      <c r="AD129" s="402"/>
      <c r="AE129" s="389">
        <f>SUM(AE127:AE128)</f>
        <v>-74547</v>
      </c>
      <c r="AF129" s="389">
        <f>SUM(AF127:AF128)</f>
        <v>-74547</v>
      </c>
      <c r="AG129" s="4"/>
      <c r="AH129" s="389">
        <f>SUM(AH127:AH128)</f>
        <v>0</v>
      </c>
      <c r="AI129" s="389">
        <f>SUM(AI127:AI128)</f>
        <v>0</v>
      </c>
      <c r="AJ129" s="4"/>
      <c r="AK129" s="389">
        <f>SUM(AK127:AK128)</f>
        <v>-876617.98</v>
      </c>
      <c r="AL129" s="389">
        <f>SUM(AL127:AL128)</f>
        <v>-876617.98</v>
      </c>
      <c r="AM129" s="4"/>
      <c r="AN129" s="389">
        <f>SUM(AN127:AN128)</f>
        <v>-176605.02</v>
      </c>
      <c r="AO129" s="389">
        <f>SUM(AO127:AO128)</f>
        <v>-176605.02</v>
      </c>
      <c r="AP129" s="4"/>
      <c r="AQ129" s="389">
        <f>SUM(AQ127:AQ128)</f>
        <v>-1053223</v>
      </c>
      <c r="AR129" s="389">
        <f>SUM(AR127:AR128)</f>
        <v>-1053223</v>
      </c>
      <c r="AS129" s="4"/>
      <c r="AT129" s="389">
        <f>SUM(AT127:AT128)</f>
        <v>-1127770</v>
      </c>
      <c r="AU129" s="4"/>
      <c r="AV129" s="389">
        <f>SUM(AV127:AV128)</f>
        <v>0</v>
      </c>
      <c r="AW129" s="389">
        <f>SUM(AW127:AW128)</f>
        <v>-179605.02</v>
      </c>
      <c r="AX129" s="4"/>
      <c r="AY129" s="389">
        <f>SUM(AY127:AY128)</f>
        <v>0</v>
      </c>
      <c r="AZ129" s="389">
        <f>SUM(AZ127:AZ128)</f>
        <v>-179605.02</v>
      </c>
      <c r="BA129" s="4"/>
      <c r="BB129" s="389">
        <f>SUM(BB127:BB128)</f>
        <v>-625000</v>
      </c>
      <c r="BC129" s="389">
        <f>SUM(BC127:BC128)</f>
        <v>-144985.01999999999</v>
      </c>
      <c r="BD129" s="4"/>
      <c r="BE129" s="389">
        <f>SUM(BE127:BE128)</f>
        <v>-625000</v>
      </c>
      <c r="BF129" s="389">
        <f>SUM(BF127:BF128)</f>
        <v>-504195.05999999994</v>
      </c>
      <c r="BG129" s="402"/>
      <c r="BH129" s="389">
        <f>SUM(BH127:BH128)</f>
        <v>-1752770</v>
      </c>
      <c r="BI129" s="389">
        <f>SUM(BI127:BI128)</f>
        <v>-1631965.06</v>
      </c>
      <c r="BJ129" s="4"/>
      <c r="BK129" s="386" t="s">
        <v>116</v>
      </c>
      <c r="BL129" s="386"/>
      <c r="BM129" s="389">
        <v>-5190551.99</v>
      </c>
      <c r="BN129" s="282"/>
    </row>
    <row r="130" spans="1:67" ht="15" hidden="1" customHeight="1" outlineLevel="1">
      <c r="A130" s="386" t="s">
        <v>119</v>
      </c>
      <c r="B130" s="386" t="s">
        <v>120</v>
      </c>
      <c r="C130" s="375"/>
      <c r="D130" s="4"/>
      <c r="E130" s="375"/>
      <c r="F130" s="4"/>
      <c r="G130" s="375"/>
      <c r="H130" s="375"/>
      <c r="I130" s="4"/>
      <c r="J130" s="375"/>
      <c r="K130" s="375"/>
      <c r="L130" s="4"/>
      <c r="M130" s="375"/>
      <c r="N130" s="375"/>
      <c r="O130" s="4"/>
      <c r="P130" s="375">
        <f t="shared" si="108"/>
        <v>0</v>
      </c>
      <c r="Q130" s="375">
        <f t="shared" si="108"/>
        <v>0</v>
      </c>
      <c r="R130" s="4"/>
      <c r="S130" s="375"/>
      <c r="T130" s="375"/>
      <c r="U130" s="4"/>
      <c r="V130" s="375"/>
      <c r="W130" s="375"/>
      <c r="X130" s="4"/>
      <c r="Y130" s="375"/>
      <c r="Z130" s="375"/>
      <c r="AA130" s="4"/>
      <c r="AB130" s="375">
        <f t="shared" si="90"/>
        <v>0</v>
      </c>
      <c r="AC130" s="375">
        <f t="shared" si="101"/>
        <v>0</v>
      </c>
      <c r="AD130" s="402"/>
      <c r="AE130" s="375">
        <f t="shared" ref="AE130:AE134" si="109">+Q130+AB130</f>
        <v>0</v>
      </c>
      <c r="AF130" s="375">
        <f t="shared" ref="AF130:AF134" si="110">+AC130+Q130</f>
        <v>0</v>
      </c>
      <c r="AG130" s="4"/>
      <c r="AH130" s="375"/>
      <c r="AI130" s="375"/>
      <c r="AJ130" s="4"/>
      <c r="AK130" s="375"/>
      <c r="AL130" s="375"/>
      <c r="AM130" s="4"/>
      <c r="AN130" s="375"/>
      <c r="AO130" s="375"/>
      <c r="AP130" s="4"/>
      <c r="AQ130" s="375">
        <f t="shared" ref="AQ130:AR134" si="111">AN130+AK130+AH130</f>
        <v>0</v>
      </c>
      <c r="AR130" s="375">
        <f t="shared" si="111"/>
        <v>0</v>
      </c>
      <c r="AS130" s="4"/>
      <c r="AT130" s="375">
        <f t="shared" si="104"/>
        <v>0</v>
      </c>
      <c r="AU130" s="4"/>
      <c r="AV130" s="375"/>
      <c r="AW130" s="375"/>
      <c r="AX130" s="4"/>
      <c r="AY130" s="375"/>
      <c r="AZ130" s="375"/>
      <c r="BA130" s="4"/>
      <c r="BB130" s="375"/>
      <c r="BC130" s="375"/>
      <c r="BD130" s="4"/>
      <c r="BE130" s="375">
        <f t="shared" ref="BE130:BF134" si="112">BB130+AY130+AV130</f>
        <v>0</v>
      </c>
      <c r="BF130" s="375">
        <f t="shared" si="112"/>
        <v>0</v>
      </c>
      <c r="BG130" s="402"/>
      <c r="BH130" s="375">
        <f t="shared" ref="BH130:BH134" si="113">Q130+AB130+AQ130+BE130</f>
        <v>0</v>
      </c>
      <c r="BI130" s="388">
        <f t="shared" ref="BI130:BI134" si="114">Q130+AC130+AR130+BF130</f>
        <v>0</v>
      </c>
      <c r="BJ130" s="4"/>
      <c r="BK130" s="386" t="s">
        <v>119</v>
      </c>
      <c r="BL130" s="386" t="s">
        <v>120</v>
      </c>
      <c r="BM130" s="375">
        <v>0</v>
      </c>
      <c r="BN130" s="282"/>
    </row>
    <row r="131" spans="1:67" ht="15" hidden="1" customHeight="1" outlineLevel="1">
      <c r="A131" s="386" t="s">
        <v>119</v>
      </c>
      <c r="B131" s="386" t="s">
        <v>119</v>
      </c>
      <c r="C131" s="375"/>
      <c r="D131" s="4"/>
      <c r="E131" s="375"/>
      <c r="F131" s="4"/>
      <c r="G131" s="375"/>
      <c r="H131" s="375"/>
      <c r="I131" s="4"/>
      <c r="J131" s="375"/>
      <c r="K131" s="375"/>
      <c r="L131" s="4"/>
      <c r="M131" s="375"/>
      <c r="N131" s="375"/>
      <c r="O131" s="4"/>
      <c r="P131" s="375">
        <f t="shared" si="108"/>
        <v>0</v>
      </c>
      <c r="Q131" s="375">
        <f t="shared" si="108"/>
        <v>0</v>
      </c>
      <c r="R131" s="4"/>
      <c r="S131" s="375"/>
      <c r="T131" s="375"/>
      <c r="U131" s="4"/>
      <c r="V131" s="375"/>
      <c r="W131" s="375"/>
      <c r="X131" s="4"/>
      <c r="Y131" s="375"/>
      <c r="Z131" s="375"/>
      <c r="AA131" s="4"/>
      <c r="AB131" s="375">
        <f t="shared" si="90"/>
        <v>0</v>
      </c>
      <c r="AC131" s="375">
        <f t="shared" si="101"/>
        <v>0</v>
      </c>
      <c r="AD131" s="402"/>
      <c r="AE131" s="375">
        <f t="shared" si="109"/>
        <v>0</v>
      </c>
      <c r="AF131" s="375">
        <f t="shared" si="110"/>
        <v>0</v>
      </c>
      <c r="AG131" s="4"/>
      <c r="AH131" s="375"/>
      <c r="AI131" s="375"/>
      <c r="AJ131" s="4"/>
      <c r="AK131" s="375"/>
      <c r="AL131" s="375"/>
      <c r="AM131" s="4"/>
      <c r="AN131" s="375"/>
      <c r="AO131" s="375"/>
      <c r="AP131" s="4"/>
      <c r="AQ131" s="375">
        <f t="shared" si="111"/>
        <v>0</v>
      </c>
      <c r="AR131" s="375">
        <f t="shared" si="111"/>
        <v>0</v>
      </c>
      <c r="AS131" s="4"/>
      <c r="AT131" s="375">
        <f t="shared" si="104"/>
        <v>0</v>
      </c>
      <c r="AU131" s="4"/>
      <c r="AV131" s="375"/>
      <c r="AW131" s="375"/>
      <c r="AX131" s="4"/>
      <c r="AY131" s="375"/>
      <c r="AZ131" s="375"/>
      <c r="BA131" s="4"/>
      <c r="BB131" s="375"/>
      <c r="BC131" s="375"/>
      <c r="BD131" s="4"/>
      <c r="BE131" s="375">
        <f t="shared" si="112"/>
        <v>0</v>
      </c>
      <c r="BF131" s="375">
        <f t="shared" si="112"/>
        <v>0</v>
      </c>
      <c r="BG131" s="402"/>
      <c r="BH131" s="375">
        <f t="shared" si="113"/>
        <v>0</v>
      </c>
      <c r="BI131" s="388">
        <f t="shared" si="114"/>
        <v>0</v>
      </c>
      <c r="BJ131" s="4"/>
      <c r="BK131" s="386" t="s">
        <v>119</v>
      </c>
      <c r="BL131" s="386" t="s">
        <v>119</v>
      </c>
      <c r="BM131" s="375">
        <v>0</v>
      </c>
      <c r="BN131" s="282"/>
    </row>
    <row r="132" spans="1:67" ht="15" hidden="1" customHeight="1" outlineLevel="1">
      <c r="A132" s="386" t="s">
        <v>119</v>
      </c>
      <c r="B132" s="386" t="s">
        <v>121</v>
      </c>
      <c r="C132" s="375">
        <v>0</v>
      </c>
      <c r="D132" s="4"/>
      <c r="E132" s="375">
        <v>0</v>
      </c>
      <c r="F132" s="4"/>
      <c r="G132" s="375">
        <v>0</v>
      </c>
      <c r="H132" s="375"/>
      <c r="I132" s="4"/>
      <c r="J132" s="375">
        <v>0</v>
      </c>
      <c r="K132" s="375"/>
      <c r="L132" s="4"/>
      <c r="M132" s="375">
        <v>0</v>
      </c>
      <c r="N132" s="375"/>
      <c r="O132" s="4"/>
      <c r="P132" s="375">
        <f t="shared" si="108"/>
        <v>0</v>
      </c>
      <c r="Q132" s="375">
        <f t="shared" si="108"/>
        <v>0</v>
      </c>
      <c r="R132" s="4"/>
      <c r="S132" s="375"/>
      <c r="T132" s="375"/>
      <c r="U132" s="4"/>
      <c r="V132" s="375">
        <v>0</v>
      </c>
      <c r="W132" s="375"/>
      <c r="X132" s="4"/>
      <c r="Y132" s="375">
        <v>0</v>
      </c>
      <c r="Z132" s="375"/>
      <c r="AA132" s="4"/>
      <c r="AB132" s="375">
        <f t="shared" si="90"/>
        <v>0</v>
      </c>
      <c r="AC132" s="375">
        <f t="shared" si="101"/>
        <v>0</v>
      </c>
      <c r="AD132" s="402"/>
      <c r="AE132" s="375">
        <f t="shared" si="109"/>
        <v>0</v>
      </c>
      <c r="AF132" s="375">
        <f t="shared" si="110"/>
        <v>0</v>
      </c>
      <c r="AG132" s="4"/>
      <c r="AH132" s="375">
        <v>0</v>
      </c>
      <c r="AI132" s="375">
        <v>0</v>
      </c>
      <c r="AJ132" s="4"/>
      <c r="AK132" s="375"/>
      <c r="AL132" s="375"/>
      <c r="AM132" s="4"/>
      <c r="AN132" s="375">
        <v>0</v>
      </c>
      <c r="AO132" s="375">
        <v>0</v>
      </c>
      <c r="AP132" s="4"/>
      <c r="AQ132" s="375">
        <f t="shared" si="111"/>
        <v>0</v>
      </c>
      <c r="AR132" s="375">
        <f t="shared" si="111"/>
        <v>0</v>
      </c>
      <c r="AS132" s="4"/>
      <c r="AT132" s="375">
        <f t="shared" si="104"/>
        <v>0</v>
      </c>
      <c r="AU132" s="4"/>
      <c r="AV132" s="375">
        <v>0</v>
      </c>
      <c r="AW132" s="375">
        <v>0</v>
      </c>
      <c r="AX132" s="4"/>
      <c r="AY132" s="375"/>
      <c r="AZ132" s="375">
        <v>0</v>
      </c>
      <c r="BA132" s="4"/>
      <c r="BB132" s="375"/>
      <c r="BC132" s="375"/>
      <c r="BD132" s="4"/>
      <c r="BE132" s="375">
        <f t="shared" si="112"/>
        <v>0</v>
      </c>
      <c r="BF132" s="375">
        <f t="shared" si="112"/>
        <v>0</v>
      </c>
      <c r="BG132" s="402"/>
      <c r="BH132" s="375">
        <f t="shared" si="113"/>
        <v>0</v>
      </c>
      <c r="BI132" s="388">
        <f t="shared" si="114"/>
        <v>0</v>
      </c>
      <c r="BJ132" s="4"/>
      <c r="BK132" s="386" t="s">
        <v>119</v>
      </c>
      <c r="BL132" s="386" t="s">
        <v>121</v>
      </c>
      <c r="BM132" s="375">
        <v>0</v>
      </c>
      <c r="BN132" s="282"/>
    </row>
    <row r="133" spans="1:67" ht="15" hidden="1" customHeight="1" outlineLevel="1">
      <c r="A133" s="386" t="s">
        <v>119</v>
      </c>
      <c r="B133" s="386" t="s">
        <v>122</v>
      </c>
      <c r="C133" s="375"/>
      <c r="D133" s="4"/>
      <c r="E133" s="375"/>
      <c r="F133" s="4"/>
      <c r="G133" s="375"/>
      <c r="H133" s="375"/>
      <c r="I133" s="4"/>
      <c r="J133" s="375"/>
      <c r="K133" s="375"/>
      <c r="L133" s="4"/>
      <c r="M133" s="375"/>
      <c r="N133" s="375"/>
      <c r="O133" s="4"/>
      <c r="P133" s="375">
        <f t="shared" si="108"/>
        <v>0</v>
      </c>
      <c r="Q133" s="375">
        <f t="shared" si="108"/>
        <v>0</v>
      </c>
      <c r="R133" s="4"/>
      <c r="S133" s="375"/>
      <c r="T133" s="375"/>
      <c r="U133" s="4"/>
      <c r="V133" s="375"/>
      <c r="W133" s="375"/>
      <c r="X133" s="4"/>
      <c r="Y133" s="375"/>
      <c r="Z133" s="375"/>
      <c r="AA133" s="4"/>
      <c r="AB133" s="375">
        <f t="shared" si="90"/>
        <v>0</v>
      </c>
      <c r="AC133" s="375">
        <f t="shared" si="101"/>
        <v>0</v>
      </c>
      <c r="AD133" s="402"/>
      <c r="AE133" s="375">
        <f t="shared" si="109"/>
        <v>0</v>
      </c>
      <c r="AF133" s="375">
        <f t="shared" si="110"/>
        <v>0</v>
      </c>
      <c r="AG133" s="4"/>
      <c r="AH133" s="375"/>
      <c r="AI133" s="375"/>
      <c r="AJ133" s="4"/>
      <c r="AK133" s="375"/>
      <c r="AL133" s="375"/>
      <c r="AM133" s="4"/>
      <c r="AN133" s="375"/>
      <c r="AO133" s="375"/>
      <c r="AP133" s="4"/>
      <c r="AQ133" s="375">
        <f t="shared" si="111"/>
        <v>0</v>
      </c>
      <c r="AR133" s="375">
        <f t="shared" si="111"/>
        <v>0</v>
      </c>
      <c r="AS133" s="4"/>
      <c r="AT133" s="375">
        <f>+AF133+AR133</f>
        <v>0</v>
      </c>
      <c r="AU133" s="4"/>
      <c r="AV133" s="375"/>
      <c r="AW133" s="375"/>
      <c r="AX133" s="4"/>
      <c r="AY133" s="375"/>
      <c r="AZ133" s="375"/>
      <c r="BA133" s="4"/>
      <c r="BB133" s="375"/>
      <c r="BC133" s="375"/>
      <c r="BD133" s="4"/>
      <c r="BE133" s="375">
        <f t="shared" si="112"/>
        <v>0</v>
      </c>
      <c r="BF133" s="375">
        <f t="shared" si="112"/>
        <v>0</v>
      </c>
      <c r="BG133" s="402"/>
      <c r="BH133" s="375">
        <f t="shared" si="113"/>
        <v>0</v>
      </c>
      <c r="BI133" s="388">
        <f t="shared" si="114"/>
        <v>0</v>
      </c>
      <c r="BJ133" s="4"/>
      <c r="BK133" s="386" t="s">
        <v>119</v>
      </c>
      <c r="BL133" s="386" t="s">
        <v>122</v>
      </c>
      <c r="BM133" s="375">
        <v>0</v>
      </c>
      <c r="BN133" s="282"/>
    </row>
    <row r="134" spans="1:67" ht="15" hidden="1" customHeight="1" outlineLevel="1">
      <c r="A134" s="386" t="s">
        <v>119</v>
      </c>
      <c r="B134" s="386"/>
      <c r="C134" s="389">
        <f>SUM(C130:C133)</f>
        <v>0</v>
      </c>
      <c r="D134" s="4"/>
      <c r="E134" s="389">
        <f>SUM(E130:E133)</f>
        <v>0</v>
      </c>
      <c r="F134" s="4"/>
      <c r="G134" s="389">
        <f>SUM(G130:G133)</f>
        <v>0</v>
      </c>
      <c r="H134" s="389"/>
      <c r="I134" s="4"/>
      <c r="J134" s="389">
        <f>SUM(J130:J133)</f>
        <v>0</v>
      </c>
      <c r="K134" s="389"/>
      <c r="L134" s="4"/>
      <c r="M134" s="389">
        <f>SUM(M130:M133)</f>
        <v>0</v>
      </c>
      <c r="N134" s="389"/>
      <c r="O134" s="4"/>
      <c r="P134" s="389">
        <f t="shared" si="108"/>
        <v>0</v>
      </c>
      <c r="Q134" s="389">
        <f t="shared" si="108"/>
        <v>0</v>
      </c>
      <c r="R134" s="4"/>
      <c r="S134" s="389"/>
      <c r="T134" s="389"/>
      <c r="U134" s="4"/>
      <c r="V134" s="389">
        <f>SUM(V130:V133)</f>
        <v>0</v>
      </c>
      <c r="W134" s="389"/>
      <c r="X134" s="4"/>
      <c r="Y134" s="389">
        <f>SUM(Y130:Y133)</f>
        <v>0</v>
      </c>
      <c r="Z134" s="389"/>
      <c r="AA134" s="4"/>
      <c r="AB134" s="375">
        <f t="shared" si="90"/>
        <v>0</v>
      </c>
      <c r="AC134" s="375">
        <f t="shared" si="101"/>
        <v>0</v>
      </c>
      <c r="AD134" s="402"/>
      <c r="AE134" s="375">
        <f t="shared" si="109"/>
        <v>0</v>
      </c>
      <c r="AF134" s="375">
        <f t="shared" si="110"/>
        <v>0</v>
      </c>
      <c r="AG134" s="4"/>
      <c r="AH134" s="389">
        <f>SUM(AH130:AH133)</f>
        <v>0</v>
      </c>
      <c r="AI134" s="389">
        <f>SUM(AI130:AI133)</f>
        <v>0</v>
      </c>
      <c r="AJ134" s="4"/>
      <c r="AK134" s="389"/>
      <c r="AL134" s="389"/>
      <c r="AM134" s="4"/>
      <c r="AN134" s="389">
        <f>SUM(AN130:AN133)</f>
        <v>0</v>
      </c>
      <c r="AO134" s="389">
        <f>SUM(AO130:AO133)</f>
        <v>0</v>
      </c>
      <c r="AP134" s="4"/>
      <c r="AQ134" s="375">
        <f t="shared" si="111"/>
        <v>0</v>
      </c>
      <c r="AR134" s="375">
        <f t="shared" si="111"/>
        <v>0</v>
      </c>
      <c r="AS134" s="4"/>
      <c r="AT134" s="375">
        <f t="shared" si="104"/>
        <v>0</v>
      </c>
      <c r="AU134" s="4"/>
      <c r="AV134" s="389">
        <f>SUM(AV130:AV133)</f>
        <v>0</v>
      </c>
      <c r="AW134" s="389">
        <f>SUM(AW130:AW133)</f>
        <v>0</v>
      </c>
      <c r="AX134" s="4"/>
      <c r="AY134" s="389">
        <f>SUM(AY130:AY133)</f>
        <v>0</v>
      </c>
      <c r="AZ134" s="389">
        <f>SUM(AZ130:AZ133)</f>
        <v>0</v>
      </c>
      <c r="BA134" s="4"/>
      <c r="BB134" s="389">
        <f>SUM(BB130:BB133)</f>
        <v>0</v>
      </c>
      <c r="BC134" s="389">
        <f>SUM(BC130:BC133)</f>
        <v>0</v>
      </c>
      <c r="BD134" s="4"/>
      <c r="BE134" s="375">
        <f t="shared" si="112"/>
        <v>0</v>
      </c>
      <c r="BF134" s="375">
        <f t="shared" si="112"/>
        <v>0</v>
      </c>
      <c r="BG134" s="402"/>
      <c r="BH134" s="375">
        <f t="shared" si="113"/>
        <v>0</v>
      </c>
      <c r="BI134" s="388">
        <f t="shared" si="114"/>
        <v>0</v>
      </c>
      <c r="BJ134" s="4"/>
      <c r="BK134" s="386" t="s">
        <v>119</v>
      </c>
      <c r="BL134" s="386"/>
      <c r="BM134" s="389">
        <v>0</v>
      </c>
      <c r="BN134" s="282"/>
    </row>
    <row r="135" spans="1:67" ht="15" customHeight="1" collapsed="1">
      <c r="A135" s="8" t="s">
        <v>123</v>
      </c>
      <c r="B135" s="8" t="s">
        <v>124</v>
      </c>
      <c r="C135" s="9">
        <f>C126+C129+C134</f>
        <v>-63702195.759999998</v>
      </c>
      <c r="D135" s="11">
        <f>C135/C8</f>
        <v>-0.52188390911352489</v>
      </c>
      <c r="E135" s="9">
        <f>E126+E129+E134</f>
        <v>484457.6900000032</v>
      </c>
      <c r="F135" s="10"/>
      <c r="G135" s="9">
        <f>G126+G129+G134</f>
        <v>-4836678.996666668</v>
      </c>
      <c r="H135" s="9">
        <f>H126+H129+H134</f>
        <v>409474.66000000038</v>
      </c>
      <c r="I135" s="10"/>
      <c r="J135" s="9">
        <f>J126+J129+J134</f>
        <v>-7874087.966666664</v>
      </c>
      <c r="K135" s="9">
        <f>K126+K129+K134</f>
        <v>-3874194.1599999992</v>
      </c>
      <c r="L135" s="10"/>
      <c r="M135" s="9">
        <f>M126+M129+M134</f>
        <v>797133.66333333519</v>
      </c>
      <c r="N135" s="9">
        <f>N126+N129+N134</f>
        <v>3288560.77</v>
      </c>
      <c r="O135" s="10"/>
      <c r="P135" s="9">
        <f>+G135+J135+M135</f>
        <v>-11913633.299999995</v>
      </c>
      <c r="Q135" s="9">
        <f>+H135+K135+N135</f>
        <v>-176158.72999999905</v>
      </c>
      <c r="R135" s="11">
        <f>Q135/Q8</f>
        <v>-4.8437735028834632E-3</v>
      </c>
      <c r="S135" s="9">
        <f>S126+S129+S134</f>
        <v>-556943.34999999916</v>
      </c>
      <c r="T135" s="9">
        <f>T126+T129+T134</f>
        <v>-556943.34999999916</v>
      </c>
      <c r="U135" s="4"/>
      <c r="V135" s="9">
        <f>V126+V129+V134</f>
        <v>-2939692.5999999996</v>
      </c>
      <c r="W135" s="9">
        <f>W126+W129+W134</f>
        <v>-2930164.9799999986</v>
      </c>
      <c r="X135" s="4"/>
      <c r="Y135" s="9">
        <f>Y126+Y129+Y134</f>
        <v>4682497.55</v>
      </c>
      <c r="Z135" s="9">
        <f>Z126+Z129+Z134</f>
        <v>4672969.9300000006</v>
      </c>
      <c r="AA135" s="4"/>
      <c r="AB135" s="9">
        <f>AB126+AB129+AB134</f>
        <v>1185861.6000000024</v>
      </c>
      <c r="AC135" s="9">
        <f>AC126+AC129+AC134</f>
        <v>1185861.6000000024</v>
      </c>
      <c r="AD135" s="405">
        <f>AC135/AC8</f>
        <v>3.1974838755985613E-2</v>
      </c>
      <c r="AE135" s="9">
        <f>AE126+AE129+AE134</f>
        <v>1009702.8700000027</v>
      </c>
      <c r="AF135" s="9">
        <f>AF126+AF129+AF134</f>
        <v>1009702.8700000027</v>
      </c>
      <c r="AG135" s="11">
        <f>AF135/AF8</f>
        <v>1.3745792411391044E-2</v>
      </c>
      <c r="AH135" s="9">
        <f>AH126+AH129+AH134</f>
        <v>-6803737.1299999999</v>
      </c>
      <c r="AI135" s="9">
        <f>AI126+AI129+AI134</f>
        <v>-6803737.1299999999</v>
      </c>
      <c r="AJ135" s="4"/>
      <c r="AK135" s="9">
        <f>AK126+AK129+AK134</f>
        <v>-3575684.5800000005</v>
      </c>
      <c r="AL135" s="9">
        <f>AL126+AL129+AL134</f>
        <v>-3575684.5800000005</v>
      </c>
      <c r="AM135" s="4"/>
      <c r="AN135" s="9">
        <f>AN126+AN129+AN134</f>
        <v>9103671.2299999986</v>
      </c>
      <c r="AO135" s="9">
        <f>AO126+AO129+AO134</f>
        <v>9103671.2299999986</v>
      </c>
      <c r="AP135" s="4"/>
      <c r="AQ135" s="9">
        <f>AQ126+AQ129+AQ134</f>
        <v>-1275750.4800000042</v>
      </c>
      <c r="AR135" s="9">
        <f>AR126+AR129+AR134</f>
        <v>-1275750.4800000042</v>
      </c>
      <c r="AS135" s="11">
        <f>AR135/AR8</f>
        <v>-4.7919754579400904E-2</v>
      </c>
      <c r="AT135" s="9">
        <f>AT126+AT129+AT134</f>
        <v>-266047.61000001896</v>
      </c>
      <c r="AU135" s="11">
        <f>AT135/AT8</f>
        <v>-2.6584010579387253E-3</v>
      </c>
      <c r="AV135" s="9">
        <f>AV126+AV129+AV134</f>
        <v>-6360599.4027452338</v>
      </c>
      <c r="AW135" s="9">
        <f>AW126+AW129+AW134</f>
        <v>-11930830.629999997</v>
      </c>
      <c r="AX135" s="11">
        <f>AW135/AW8</f>
        <v>-3.6981715618819617</v>
      </c>
      <c r="AY135" s="9">
        <f>AY126+AY129+AY134</f>
        <v>1244224.2827776892</v>
      </c>
      <c r="AZ135" s="9">
        <f>AZ126+AZ129+AZ134</f>
        <v>-5238427.37</v>
      </c>
      <c r="BA135" s="11">
        <f>AZ135/AZ8</f>
        <v>-1.0375651280698448</v>
      </c>
      <c r="BB135" s="9">
        <f>BB126+BB129+BB134</f>
        <v>16450511.694293052</v>
      </c>
      <c r="BC135" s="9">
        <f>BC126+BC129+BC134</f>
        <v>20335626.569999997</v>
      </c>
      <c r="BD135" s="11">
        <f>BC135/BC8</f>
        <v>0.87938777557634507</v>
      </c>
      <c r="BE135" s="9">
        <f>BE126+BE129+BE134</f>
        <v>11334136.574325515</v>
      </c>
      <c r="BF135" s="9">
        <f>BF126+BF129+BF134</f>
        <v>3166368.5699999966</v>
      </c>
      <c r="BG135" s="405">
        <f>BF135/BF8</f>
        <v>0.10084083135727594</v>
      </c>
      <c r="BH135" s="9">
        <f>BH126+BH129+BH134</f>
        <v>11068088.964325488</v>
      </c>
      <c r="BI135" s="9">
        <f>BI126+BI129+BI134</f>
        <v>2900320.9599999883</v>
      </c>
      <c r="BJ135" s="11">
        <f>BI135/BI8</f>
        <v>2.205940963574541E-2</v>
      </c>
      <c r="BK135" s="8" t="s">
        <v>123</v>
      </c>
      <c r="BL135" s="8" t="s">
        <v>124</v>
      </c>
      <c r="BM135" s="9">
        <f>BM126+BM129+BM134</f>
        <v>22781870.490000099</v>
      </c>
      <c r="BN135" s="441">
        <f>BM135/BM8</f>
        <v>7.9870082943536438E-2</v>
      </c>
      <c r="BO135" s="392"/>
    </row>
    <row r="136" spans="1:67" ht="15" hidden="1" customHeight="1" outlineLevel="1">
      <c r="A136" s="386" t="s">
        <v>125</v>
      </c>
      <c r="B136" s="386" t="s">
        <v>126</v>
      </c>
      <c r="C136" s="375">
        <v>-1205000</v>
      </c>
      <c r="D136" s="4"/>
      <c r="E136" s="388">
        <v>-197789.94</v>
      </c>
      <c r="F136" s="4"/>
      <c r="G136" s="375"/>
      <c r="H136" s="375">
        <v>-20654.95</v>
      </c>
      <c r="I136" s="4"/>
      <c r="J136" s="375"/>
      <c r="K136" s="375">
        <v>-20430.810000000001</v>
      </c>
      <c r="L136" s="4"/>
      <c r="M136" s="375"/>
      <c r="N136" s="375">
        <v>-151897.82</v>
      </c>
      <c r="O136" s="4"/>
      <c r="P136" s="375">
        <f t="shared" si="108"/>
        <v>0</v>
      </c>
      <c r="Q136" s="375">
        <f t="shared" si="108"/>
        <v>-192983.58000000002</v>
      </c>
      <c r="R136" s="4"/>
      <c r="S136" s="375">
        <v>-20137.64</v>
      </c>
      <c r="T136" s="375">
        <v>-20137.64</v>
      </c>
      <c r="U136" s="4"/>
      <c r="V136" s="375">
        <v>-19950.57</v>
      </c>
      <c r="W136" s="375">
        <v>-19950.57</v>
      </c>
      <c r="X136" s="4"/>
      <c r="Y136" s="375">
        <v>-151707.35</v>
      </c>
      <c r="Z136" s="375">
        <v>-151707.35</v>
      </c>
      <c r="AA136" s="4"/>
      <c r="AB136" s="375">
        <f t="shared" si="90"/>
        <v>-191795.56</v>
      </c>
      <c r="AC136" s="375">
        <f t="shared" ref="AC136:AC137" si="115">+T136+W136+Z136</f>
        <v>-191795.56</v>
      </c>
      <c r="AD136" s="402"/>
      <c r="AE136" s="375">
        <f t="shared" ref="AE136:AE137" si="116">+Q136+AB136</f>
        <v>-384779.14</v>
      </c>
      <c r="AF136" s="375">
        <f t="shared" ref="AF136:AF137" si="117">+AC136+Q136</f>
        <v>-384779.14</v>
      </c>
      <c r="AG136" s="4"/>
      <c r="AH136" s="375">
        <v>-19947.05</v>
      </c>
      <c r="AI136" s="375">
        <v>-19947.05</v>
      </c>
      <c r="AJ136" s="4"/>
      <c r="AK136" s="375">
        <v>-19209.53</v>
      </c>
      <c r="AL136" s="375">
        <v>-19209.53</v>
      </c>
      <c r="AM136" s="4"/>
      <c r="AN136" s="375">
        <v>-373810.41</v>
      </c>
      <c r="AO136" s="375">
        <v>-373810.41</v>
      </c>
      <c r="AP136" s="4"/>
      <c r="AQ136" s="375">
        <f t="shared" ref="AQ136:AR137" si="118">AN136+AK136+AH136</f>
        <v>-412966.98999999993</v>
      </c>
      <c r="AR136" s="375">
        <f t="shared" si="118"/>
        <v>-412966.98999999993</v>
      </c>
      <c r="AS136" s="4"/>
      <c r="AT136" s="375">
        <f t="shared" ref="AT136:AT137" si="119">+AF136+AR136</f>
        <v>-797746.12999999989</v>
      </c>
      <c r="AU136" s="4"/>
      <c r="AV136" s="375"/>
      <c r="AW136" s="375">
        <v>-19209.490000000002</v>
      </c>
      <c r="AX136" s="4"/>
      <c r="AY136" s="375"/>
      <c r="AZ136" s="375">
        <v>-19209.490000000002</v>
      </c>
      <c r="BA136" s="4"/>
      <c r="BB136" s="375"/>
      <c r="BC136" s="375">
        <v>-214128.99</v>
      </c>
      <c r="BD136" s="4"/>
      <c r="BE136" s="375">
        <f t="shared" ref="BE136:BF137" si="120">BB136+AY136+AV136</f>
        <v>0</v>
      </c>
      <c r="BF136" s="375">
        <f t="shared" si="120"/>
        <v>-252547.96999999997</v>
      </c>
      <c r="BG136" s="402"/>
      <c r="BH136" s="375">
        <f t="shared" ref="BH136:BH137" si="121">Q136+AB136+AQ136+BE136</f>
        <v>-797746.12999999989</v>
      </c>
      <c r="BI136" s="388">
        <f t="shared" ref="BI136:BI137" si="122">Q136+AC136+AR136+BF136</f>
        <v>-1050294.0999999999</v>
      </c>
      <c r="BJ136" s="4"/>
      <c r="BK136" s="386" t="s">
        <v>125</v>
      </c>
      <c r="BL136" s="386" t="s">
        <v>126</v>
      </c>
      <c r="BM136" s="375">
        <v>-1440000</v>
      </c>
      <c r="BN136" s="282"/>
    </row>
    <row r="137" spans="1:67" ht="15" hidden="1" customHeight="1" outlineLevel="1">
      <c r="A137" s="386" t="s">
        <v>125</v>
      </c>
      <c r="B137" s="386" t="s">
        <v>127</v>
      </c>
      <c r="C137" s="375"/>
      <c r="D137" s="4"/>
      <c r="E137" s="375">
        <v>-85613.98</v>
      </c>
      <c r="F137" s="4"/>
      <c r="G137" s="375">
        <v>-16704</v>
      </c>
      <c r="H137" s="375">
        <v>-3994.34</v>
      </c>
      <c r="I137" s="4"/>
      <c r="J137" s="375">
        <v>-16704</v>
      </c>
      <c r="K137" s="375">
        <v>-3994.45</v>
      </c>
      <c r="L137" s="4"/>
      <c r="M137" s="375">
        <v>-16704</v>
      </c>
      <c r="N137" s="375">
        <v>-76068.210000000006</v>
      </c>
      <c r="O137" s="4"/>
      <c r="P137" s="375">
        <f t="shared" si="108"/>
        <v>-50112</v>
      </c>
      <c r="Q137" s="375">
        <f t="shared" si="108"/>
        <v>-84057</v>
      </c>
      <c r="R137" s="4"/>
      <c r="S137" s="375">
        <v>-3994.33</v>
      </c>
      <c r="T137" s="375">
        <v>-3994.33</v>
      </c>
      <c r="U137" s="4"/>
      <c r="V137" s="375">
        <v>-3930.89</v>
      </c>
      <c r="W137" s="375">
        <v>-3930.89</v>
      </c>
      <c r="X137" s="4"/>
      <c r="Y137" s="375">
        <v>-76004.7</v>
      </c>
      <c r="Z137" s="375">
        <v>-76004.7</v>
      </c>
      <c r="AA137" s="4"/>
      <c r="AB137" s="375">
        <f t="shared" si="90"/>
        <v>-83929.919999999998</v>
      </c>
      <c r="AC137" s="375">
        <f t="shared" si="115"/>
        <v>-83929.919999999998</v>
      </c>
      <c r="AD137" s="402"/>
      <c r="AE137" s="375">
        <f t="shared" si="116"/>
        <v>-167986.91999999998</v>
      </c>
      <c r="AF137" s="375">
        <f t="shared" si="117"/>
        <v>-167986.91999999998</v>
      </c>
      <c r="AG137" s="4"/>
      <c r="AH137" s="375">
        <v>-3930.74</v>
      </c>
      <c r="AI137" s="375">
        <v>-3930.74</v>
      </c>
      <c r="AJ137" s="4"/>
      <c r="AK137" s="375">
        <v>-4672.8100000000004</v>
      </c>
      <c r="AL137" s="375">
        <v>-4672.8100000000004</v>
      </c>
      <c r="AM137" s="4"/>
      <c r="AN137" s="375">
        <v>-200374.87</v>
      </c>
      <c r="AO137" s="375">
        <v>-200374.87</v>
      </c>
      <c r="AP137" s="4"/>
      <c r="AQ137" s="375">
        <f t="shared" si="118"/>
        <v>-208978.41999999998</v>
      </c>
      <c r="AR137" s="375">
        <f t="shared" si="118"/>
        <v>-208978.41999999998</v>
      </c>
      <c r="AS137" s="4"/>
      <c r="AT137" s="375">
        <f t="shared" si="119"/>
        <v>-376965.33999999997</v>
      </c>
      <c r="AU137" s="4"/>
      <c r="AV137" s="375">
        <v>-92127.679999999993</v>
      </c>
      <c r="AW137" s="375">
        <v>-4672.67</v>
      </c>
      <c r="AX137" s="4"/>
      <c r="AY137" s="375">
        <v>-92127.679999999993</v>
      </c>
      <c r="AZ137" s="375">
        <v>-4672.67</v>
      </c>
      <c r="BA137" s="4"/>
      <c r="BB137" s="375">
        <v>-16704</v>
      </c>
      <c r="BC137" s="375">
        <v>-116062.62</v>
      </c>
      <c r="BD137" s="4"/>
      <c r="BE137" s="375">
        <f t="shared" si="120"/>
        <v>-200959.35999999999</v>
      </c>
      <c r="BF137" s="375">
        <f t="shared" si="120"/>
        <v>-125407.95999999999</v>
      </c>
      <c r="BG137" s="402"/>
      <c r="BH137" s="375">
        <f t="shared" si="121"/>
        <v>-577924.69999999995</v>
      </c>
      <c r="BI137" s="388">
        <f t="shared" si="122"/>
        <v>-502373.29999999993</v>
      </c>
      <c r="BJ137" s="4"/>
      <c r="BK137" s="386" t="s">
        <v>125</v>
      </c>
      <c r="BL137" s="386" t="s">
        <v>127</v>
      </c>
      <c r="BM137" s="375">
        <v>0</v>
      </c>
      <c r="BN137" s="282"/>
    </row>
    <row r="138" spans="1:67" ht="15" customHeight="1" collapsed="1">
      <c r="A138" s="386" t="s">
        <v>125</v>
      </c>
      <c r="B138" s="386"/>
      <c r="C138" s="389">
        <f>SUM(C136:C137)</f>
        <v>-1205000</v>
      </c>
      <c r="D138" s="4"/>
      <c r="E138" s="389">
        <f>SUM(E136:E137)</f>
        <v>-283403.92</v>
      </c>
      <c r="F138" s="4"/>
      <c r="G138" s="389">
        <f>SUM(G136:G137)</f>
        <v>-16704</v>
      </c>
      <c r="H138" s="389">
        <f>SUM(H136:H137)</f>
        <v>-24649.29</v>
      </c>
      <c r="I138" s="4"/>
      <c r="J138" s="389">
        <f>SUM(J136:J137)</f>
        <v>-16704</v>
      </c>
      <c r="K138" s="389">
        <f>SUM(K136:K137)</f>
        <v>-24425.260000000002</v>
      </c>
      <c r="L138" s="4"/>
      <c r="M138" s="389">
        <f>SUM(M136:M137)</f>
        <v>-16704</v>
      </c>
      <c r="N138" s="389">
        <f>SUM(N136:N137)</f>
        <v>-227966.03000000003</v>
      </c>
      <c r="O138" s="4"/>
      <c r="P138" s="389">
        <f t="shared" si="108"/>
        <v>-50112</v>
      </c>
      <c r="Q138" s="389">
        <f>+H138+K138+N138</f>
        <v>-277040.58</v>
      </c>
      <c r="R138" s="4"/>
      <c r="S138" s="389">
        <f>SUM(S136:S137)</f>
        <v>-24131.97</v>
      </c>
      <c r="T138" s="389">
        <f>SUM(T136:T137)</f>
        <v>-24131.97</v>
      </c>
      <c r="U138" s="4"/>
      <c r="V138" s="389">
        <f>SUM(V136:V137)</f>
        <v>-23881.46</v>
      </c>
      <c r="W138" s="389">
        <f>SUM(W136:W137)</f>
        <v>-23881.46</v>
      </c>
      <c r="X138" s="4"/>
      <c r="Y138" s="389">
        <f>SUM(Y136:Y137)</f>
        <v>-227712.05</v>
      </c>
      <c r="Z138" s="389">
        <f>SUM(Z136:Z137)</f>
        <v>-227712.05</v>
      </c>
      <c r="AA138" s="4"/>
      <c r="AB138" s="389">
        <f>SUM(AB136:AB137)</f>
        <v>-275725.48</v>
      </c>
      <c r="AC138" s="389">
        <f>SUM(AC136:AC137)</f>
        <v>-275725.48</v>
      </c>
      <c r="AD138" s="402"/>
      <c r="AE138" s="389">
        <f>SUM(AE136:AE137)</f>
        <v>-552766.06000000006</v>
      </c>
      <c r="AF138" s="389">
        <f>SUM(AF136:AF137)</f>
        <v>-552766.06000000006</v>
      </c>
      <c r="AG138" s="4"/>
      <c r="AH138" s="389">
        <f>SUM(AH136:AH137)</f>
        <v>-23877.79</v>
      </c>
      <c r="AI138" s="389">
        <f>SUM(AI136:AI137)</f>
        <v>-23877.79</v>
      </c>
      <c r="AJ138" s="4"/>
      <c r="AK138" s="389">
        <f>SUM(AK136:AK137)</f>
        <v>-23882.34</v>
      </c>
      <c r="AL138" s="389">
        <f>SUM(AL136:AL137)</f>
        <v>-23882.34</v>
      </c>
      <c r="AM138" s="4"/>
      <c r="AN138" s="389">
        <f>SUM(AN136:AN137)</f>
        <v>-574185.28</v>
      </c>
      <c r="AO138" s="389">
        <f>SUM(AO136:AO137)</f>
        <v>-574185.28</v>
      </c>
      <c r="AP138" s="4"/>
      <c r="AQ138" s="389">
        <f>SUM(AQ136:AQ137)</f>
        <v>-621945.40999999992</v>
      </c>
      <c r="AR138" s="389">
        <f>SUM(AR136:AR137)</f>
        <v>-621945.40999999992</v>
      </c>
      <c r="AS138" s="4"/>
      <c r="AT138" s="389">
        <f>SUM(AT136:AT137)</f>
        <v>-1174711.4699999997</v>
      </c>
      <c r="AU138" s="4"/>
      <c r="AV138" s="389">
        <f>SUM(AV136:AV137)</f>
        <v>-92127.679999999993</v>
      </c>
      <c r="AW138" s="389">
        <f>SUM(AW136:AW137)</f>
        <v>-23882.160000000003</v>
      </c>
      <c r="AX138" s="4"/>
      <c r="AY138" s="389">
        <f>SUM(AY136:AY137)</f>
        <v>-92127.679999999993</v>
      </c>
      <c r="AZ138" s="389">
        <f>SUM(AZ136:AZ137)</f>
        <v>-23882.160000000003</v>
      </c>
      <c r="BA138" s="4"/>
      <c r="BB138" s="389">
        <f>SUM(BB136:BB137)</f>
        <v>-16704</v>
      </c>
      <c r="BC138" s="389">
        <f>SUM(BC136:BC137)</f>
        <v>-330191.61</v>
      </c>
      <c r="BD138" s="4"/>
      <c r="BE138" s="389">
        <f>SUM(BE136:BE137)</f>
        <v>-200959.35999999999</v>
      </c>
      <c r="BF138" s="389">
        <f>SUM(BF136:BF137)</f>
        <v>-377955.92999999993</v>
      </c>
      <c r="BG138" s="402"/>
      <c r="BH138" s="389">
        <f>SUM(BH136:BH137)</f>
        <v>-1375670.8299999998</v>
      </c>
      <c r="BI138" s="389">
        <f>SUM(BI136:BI137)</f>
        <v>-1552667.4</v>
      </c>
      <c r="BJ138" s="4"/>
      <c r="BK138" s="386" t="s">
        <v>125</v>
      </c>
      <c r="BL138" s="386"/>
      <c r="BM138" s="389">
        <v>-1440000</v>
      </c>
      <c r="BN138" s="282"/>
      <c r="BO138" s="393"/>
    </row>
    <row r="139" spans="1:67" ht="15" customHeight="1">
      <c r="A139" s="8" t="s">
        <v>128</v>
      </c>
      <c r="B139" s="8" t="s">
        <v>129</v>
      </c>
      <c r="C139" s="9">
        <f>C135+C138</f>
        <v>-64907195.759999998</v>
      </c>
      <c r="D139" s="13"/>
      <c r="E139" s="9">
        <f>E135+E138</f>
        <v>201053.77000000322</v>
      </c>
      <c r="F139" s="13"/>
      <c r="G139" s="9">
        <f>G135+G138</f>
        <v>-4853382.996666668</v>
      </c>
      <c r="H139" s="9">
        <f>H135+H138</f>
        <v>384825.3700000004</v>
      </c>
      <c r="I139" s="13"/>
      <c r="J139" s="9">
        <f>J135+J138</f>
        <v>-7890791.966666664</v>
      </c>
      <c r="K139" s="9">
        <f>K135+K138</f>
        <v>-3898619.419999999</v>
      </c>
      <c r="L139" s="13"/>
      <c r="M139" s="9">
        <f>M135+M138</f>
        <v>780429.66333333519</v>
      </c>
      <c r="N139" s="9">
        <f>N135+N138</f>
        <v>3060594.74</v>
      </c>
      <c r="O139" s="13"/>
      <c r="P139" s="9">
        <f t="shared" si="108"/>
        <v>-11963745.299999995</v>
      </c>
      <c r="Q139" s="9">
        <f>+H139+K139+N139</f>
        <v>-453199.30999999819</v>
      </c>
      <c r="R139" s="4"/>
      <c r="S139" s="9">
        <f>S135+S138</f>
        <v>-581075.31999999913</v>
      </c>
      <c r="T139" s="9">
        <f>T135+T138</f>
        <v>-581075.31999999913</v>
      </c>
      <c r="U139" s="4"/>
      <c r="V139" s="9">
        <f>V135+V138</f>
        <v>-2963574.0599999996</v>
      </c>
      <c r="W139" s="9">
        <f>W135+W138</f>
        <v>-2954046.4399999985</v>
      </c>
      <c r="X139" s="4"/>
      <c r="Y139" s="9">
        <f>Y135+Y138</f>
        <v>4454785.5</v>
      </c>
      <c r="Z139" s="9">
        <f>Z135+Z138</f>
        <v>4445257.8800000008</v>
      </c>
      <c r="AA139" s="4"/>
      <c r="AB139" s="9">
        <f>AB135+AB138</f>
        <v>910136.12000000244</v>
      </c>
      <c r="AC139" s="9">
        <f>AC135+AC138</f>
        <v>910136.12000000244</v>
      </c>
      <c r="AD139" s="402"/>
      <c r="AE139" s="9">
        <f>AE135+AE138</f>
        <v>456936.81000000262</v>
      </c>
      <c r="AF139" s="9">
        <f>AF135+AF138</f>
        <v>456936.81000000262</v>
      </c>
      <c r="AG139" s="4"/>
      <c r="AH139" s="9">
        <f>AH135+AH138</f>
        <v>-6827614.9199999999</v>
      </c>
      <c r="AI139" s="9">
        <f>AI135+AI138</f>
        <v>-6827614.9199999999</v>
      </c>
      <c r="AJ139" s="4"/>
      <c r="AK139" s="9">
        <f>AK135+AK138</f>
        <v>-3599566.9200000004</v>
      </c>
      <c r="AL139" s="9">
        <f>AL135+AL138</f>
        <v>-3599566.9200000004</v>
      </c>
      <c r="AM139" s="4"/>
      <c r="AN139" s="9">
        <f>AN135+AN138</f>
        <v>8529485.9499999993</v>
      </c>
      <c r="AO139" s="9">
        <f>AO135+AO138</f>
        <v>8529485.9499999993</v>
      </c>
      <c r="AP139" s="4"/>
      <c r="AQ139" s="9">
        <f>AQ135+AQ138</f>
        <v>-1897695.8900000041</v>
      </c>
      <c r="AR139" s="9">
        <f>AR135+AR138</f>
        <v>-1897695.8900000041</v>
      </c>
      <c r="AS139" s="4"/>
      <c r="AT139" s="9">
        <f>AT135+AT138</f>
        <v>-1440759.0800000187</v>
      </c>
      <c r="AU139" s="4"/>
      <c r="AV139" s="9">
        <f>AV135+AV138</f>
        <v>-6452727.0827452336</v>
      </c>
      <c r="AW139" s="9">
        <f>AW135+AW138</f>
        <v>-11954712.789999997</v>
      </c>
      <c r="AX139" s="4"/>
      <c r="AY139" s="9">
        <f>AY135+AY138</f>
        <v>1152096.6027776892</v>
      </c>
      <c r="AZ139" s="9">
        <f>AZ135+AZ138</f>
        <v>-5262309.53</v>
      </c>
      <c r="BA139" s="4"/>
      <c r="BB139" s="9">
        <f>BB135+BB138</f>
        <v>16433807.694293052</v>
      </c>
      <c r="BC139" s="9">
        <f>BC135+BC138</f>
        <v>20005434.959999997</v>
      </c>
      <c r="BD139" s="4"/>
      <c r="BE139" s="9">
        <f>BE135+BE138</f>
        <v>11133177.214325516</v>
      </c>
      <c r="BF139" s="9">
        <f>BF135+BF138</f>
        <v>2788412.6399999969</v>
      </c>
      <c r="BG139" s="402"/>
      <c r="BH139" s="9">
        <f>BH135+BH138</f>
        <v>9692418.1343254875</v>
      </c>
      <c r="BI139" s="9">
        <f>BI135+BI138</f>
        <v>1347653.5599999884</v>
      </c>
      <c r="BJ139" s="4"/>
      <c r="BK139" s="8" t="s">
        <v>128</v>
      </c>
      <c r="BL139" s="8" t="s">
        <v>129</v>
      </c>
      <c r="BM139" s="9">
        <f>BM135+BM138</f>
        <v>21341870.490000099</v>
      </c>
      <c r="BN139" s="282"/>
    </row>
    <row r="140" spans="1:67" ht="15" hidden="1" customHeight="1" outlineLevel="1">
      <c r="A140" s="386" t="s">
        <v>130</v>
      </c>
      <c r="B140" s="386" t="s">
        <v>131</v>
      </c>
      <c r="C140" s="375"/>
      <c r="D140" s="4"/>
      <c r="E140" s="375">
        <v>0</v>
      </c>
      <c r="F140" s="4"/>
      <c r="G140" s="375">
        <v>-166666.67000000001</v>
      </c>
      <c r="H140" s="375">
        <v>-8103.47</v>
      </c>
      <c r="I140" s="4"/>
      <c r="J140" s="375">
        <v>-166666.67000000001</v>
      </c>
      <c r="K140" s="375">
        <v>-10040.58</v>
      </c>
      <c r="L140" s="4"/>
      <c r="M140" s="375">
        <v>-166666.67000000001</v>
      </c>
      <c r="N140" s="375">
        <v>-98573.82</v>
      </c>
      <c r="O140" s="4"/>
      <c r="P140" s="375">
        <f t="shared" si="108"/>
        <v>-500000.01</v>
      </c>
      <c r="Q140" s="375">
        <f t="shared" si="108"/>
        <v>-116717.87000000001</v>
      </c>
      <c r="R140" s="4"/>
      <c r="S140" s="375">
        <v>-17442.330000000002</v>
      </c>
      <c r="T140" s="375">
        <v>-17442.330000000002</v>
      </c>
      <c r="U140" s="4"/>
      <c r="V140" s="375">
        <v>-8783.24</v>
      </c>
      <c r="W140" s="375">
        <v>-1193.1400000000001</v>
      </c>
      <c r="X140" s="4"/>
      <c r="Y140" s="375">
        <v>-12162.9</v>
      </c>
      <c r="Z140" s="375">
        <v>-12162.9</v>
      </c>
      <c r="AA140" s="4"/>
      <c r="AB140" s="375">
        <f t="shared" ref="AB140:AB145" si="123">+T140+V140+Y140</f>
        <v>-38388.47</v>
      </c>
      <c r="AC140" s="375">
        <f t="shared" ref="AC140:AC145" si="124">+T140+W140+Z140</f>
        <v>-30798.370000000003</v>
      </c>
      <c r="AD140" s="402"/>
      <c r="AE140" s="375">
        <f t="shared" ref="AE140:AE145" si="125">+Q140+AB140</f>
        <v>-155106.34000000003</v>
      </c>
      <c r="AF140" s="375">
        <f t="shared" ref="AF140:AF145" si="126">+AC140+Q140</f>
        <v>-147516.24000000002</v>
      </c>
      <c r="AG140" s="4"/>
      <c r="AH140" s="375">
        <v>-7787.59</v>
      </c>
      <c r="AI140" s="375">
        <v>-7787.59</v>
      </c>
      <c r="AJ140" s="4"/>
      <c r="AK140" s="375">
        <v>-6973.78</v>
      </c>
      <c r="AL140" s="375">
        <v>-6973.78</v>
      </c>
      <c r="AM140" s="4"/>
      <c r="AN140" s="375">
        <v>-5780.64</v>
      </c>
      <c r="AO140" s="375">
        <v>-5780.64</v>
      </c>
      <c r="AP140" s="4"/>
      <c r="AQ140" s="375">
        <f t="shared" ref="AQ140:AR145" si="127">AN140+AK140+AH140</f>
        <v>-20542.010000000002</v>
      </c>
      <c r="AR140" s="375">
        <f t="shared" si="127"/>
        <v>-20542.010000000002</v>
      </c>
      <c r="AS140" s="4"/>
      <c r="AT140" s="375">
        <f t="shared" ref="AT140:AT145" si="128">+AF140+AR140</f>
        <v>-168058.25000000003</v>
      </c>
      <c r="AU140" s="4"/>
      <c r="AV140" s="375">
        <v>-49668.29</v>
      </c>
      <c r="AW140" s="375">
        <v>-3711.06</v>
      </c>
      <c r="AX140" s="4"/>
      <c r="AY140" s="375">
        <v>-49668.29</v>
      </c>
      <c r="AZ140" s="375">
        <v>-1979.3</v>
      </c>
      <c r="BA140" s="4"/>
      <c r="BB140" s="375">
        <v>-166666.67000000001</v>
      </c>
      <c r="BC140" s="375">
        <v>-10659.14</v>
      </c>
      <c r="BD140" s="4"/>
      <c r="BE140" s="375">
        <f t="shared" ref="BE140:BF145" si="129">BB140+AY140+AV140</f>
        <v>-266003.25</v>
      </c>
      <c r="BF140" s="375">
        <f>BC140+AZ140+AW140</f>
        <v>-16349.499999999998</v>
      </c>
      <c r="BG140" s="402"/>
      <c r="BH140" s="375">
        <f t="shared" ref="BH140:BH145" si="130">Q140+AB140+AQ140+BE140</f>
        <v>-441651.60000000003</v>
      </c>
      <c r="BI140" s="388">
        <f t="shared" ref="BI140:BI145" si="131">Q140+AC140+AR140+BF140</f>
        <v>-184407.75000000003</v>
      </c>
      <c r="BJ140" s="4"/>
      <c r="BK140" s="386" t="s">
        <v>130</v>
      </c>
      <c r="BL140" s="386" t="s">
        <v>131</v>
      </c>
      <c r="BM140" s="375">
        <v>0</v>
      </c>
      <c r="BN140" s="282"/>
    </row>
    <row r="141" spans="1:67" ht="15" hidden="1" customHeight="1" outlineLevel="1">
      <c r="A141" s="386" t="s">
        <v>130</v>
      </c>
      <c r="B141" s="386" t="s">
        <v>132</v>
      </c>
      <c r="C141" s="375"/>
      <c r="D141" s="4"/>
      <c r="E141" s="375">
        <v>0</v>
      </c>
      <c r="F141" s="4"/>
      <c r="G141" s="375"/>
      <c r="H141" s="375"/>
      <c r="I141" s="4"/>
      <c r="J141" s="375"/>
      <c r="K141" s="375"/>
      <c r="L141" s="4"/>
      <c r="M141" s="375"/>
      <c r="N141" s="375"/>
      <c r="O141" s="4"/>
      <c r="P141" s="375">
        <f t="shared" si="108"/>
        <v>0</v>
      </c>
      <c r="Q141" s="375">
        <f t="shared" si="108"/>
        <v>0</v>
      </c>
      <c r="R141" s="4"/>
      <c r="S141" s="375"/>
      <c r="T141" s="375"/>
      <c r="U141" s="4"/>
      <c r="V141" s="375"/>
      <c r="W141" s="375"/>
      <c r="X141" s="4"/>
      <c r="Y141" s="375"/>
      <c r="Z141" s="375"/>
      <c r="AA141" s="4"/>
      <c r="AB141" s="375">
        <f t="shared" si="123"/>
        <v>0</v>
      </c>
      <c r="AC141" s="375">
        <f t="shared" si="124"/>
        <v>0</v>
      </c>
      <c r="AD141" s="402"/>
      <c r="AE141" s="375">
        <f t="shared" si="125"/>
        <v>0</v>
      </c>
      <c r="AF141" s="375">
        <f t="shared" si="126"/>
        <v>0</v>
      </c>
      <c r="AG141" s="4"/>
      <c r="AH141" s="375"/>
      <c r="AI141" s="375"/>
      <c r="AJ141" s="4"/>
      <c r="AK141" s="375"/>
      <c r="AL141" s="375"/>
      <c r="AM141" s="4"/>
      <c r="AN141" s="375"/>
      <c r="AO141" s="375"/>
      <c r="AP141" s="4"/>
      <c r="AQ141" s="375">
        <f t="shared" si="127"/>
        <v>0</v>
      </c>
      <c r="AR141" s="375">
        <f t="shared" si="127"/>
        <v>0</v>
      </c>
      <c r="AS141" s="4"/>
      <c r="AT141" s="375">
        <f t="shared" si="128"/>
        <v>0</v>
      </c>
      <c r="AU141" s="4"/>
      <c r="AV141" s="375"/>
      <c r="AW141" s="375"/>
      <c r="AX141" s="4"/>
      <c r="AY141" s="375"/>
      <c r="AZ141" s="375"/>
      <c r="BA141" s="4"/>
      <c r="BB141" s="375"/>
      <c r="BC141" s="375"/>
      <c r="BD141" s="4"/>
      <c r="BE141" s="375">
        <f t="shared" si="129"/>
        <v>0</v>
      </c>
      <c r="BF141" s="375">
        <f t="shared" si="129"/>
        <v>0</v>
      </c>
      <c r="BG141" s="402"/>
      <c r="BH141" s="375">
        <f t="shared" si="130"/>
        <v>0</v>
      </c>
      <c r="BI141" s="388">
        <f t="shared" si="131"/>
        <v>0</v>
      </c>
      <c r="BJ141" s="4"/>
      <c r="BK141" s="386" t="s">
        <v>130</v>
      </c>
      <c r="BL141" s="386" t="s">
        <v>132</v>
      </c>
      <c r="BM141" s="375">
        <v>0</v>
      </c>
      <c r="BN141" s="282"/>
    </row>
    <row r="142" spans="1:67" ht="15" hidden="1" customHeight="1" outlineLevel="1">
      <c r="A142" s="386" t="s">
        <v>130</v>
      </c>
      <c r="B142" s="386" t="s">
        <v>133</v>
      </c>
      <c r="C142" s="375"/>
      <c r="D142" s="4"/>
      <c r="E142" s="375">
        <v>0</v>
      </c>
      <c r="F142" s="4"/>
      <c r="G142" s="375"/>
      <c r="H142" s="375"/>
      <c r="I142" s="4"/>
      <c r="J142" s="375"/>
      <c r="K142" s="375"/>
      <c r="L142" s="4"/>
      <c r="M142" s="375"/>
      <c r="N142" s="375"/>
      <c r="O142" s="4"/>
      <c r="P142" s="375">
        <f t="shared" si="108"/>
        <v>0</v>
      </c>
      <c r="Q142" s="375">
        <f t="shared" si="108"/>
        <v>0</v>
      </c>
      <c r="R142" s="4"/>
      <c r="S142" s="375"/>
      <c r="T142" s="375"/>
      <c r="U142" s="4"/>
      <c r="V142" s="375"/>
      <c r="W142" s="375"/>
      <c r="X142" s="4"/>
      <c r="Y142" s="375"/>
      <c r="Z142" s="375"/>
      <c r="AA142" s="4"/>
      <c r="AB142" s="375">
        <f t="shared" si="123"/>
        <v>0</v>
      </c>
      <c r="AC142" s="375">
        <f t="shared" si="124"/>
        <v>0</v>
      </c>
      <c r="AD142" s="402"/>
      <c r="AE142" s="375">
        <f t="shared" si="125"/>
        <v>0</v>
      </c>
      <c r="AF142" s="375">
        <f t="shared" si="126"/>
        <v>0</v>
      </c>
      <c r="AG142" s="4"/>
      <c r="AH142" s="375"/>
      <c r="AI142" s="375"/>
      <c r="AJ142" s="4"/>
      <c r="AK142" s="375"/>
      <c r="AL142" s="375"/>
      <c r="AM142" s="4"/>
      <c r="AN142" s="375"/>
      <c r="AO142" s="375"/>
      <c r="AP142" s="4"/>
      <c r="AQ142" s="375">
        <f t="shared" si="127"/>
        <v>0</v>
      </c>
      <c r="AR142" s="375">
        <f t="shared" si="127"/>
        <v>0</v>
      </c>
      <c r="AS142" s="4"/>
      <c r="AT142" s="375">
        <f t="shared" si="128"/>
        <v>0</v>
      </c>
      <c r="AU142" s="4"/>
      <c r="AV142" s="375"/>
      <c r="AW142" s="375"/>
      <c r="AX142" s="4"/>
      <c r="AY142" s="375"/>
      <c r="AZ142" s="375"/>
      <c r="BA142" s="4"/>
      <c r="BB142" s="375"/>
      <c r="BC142" s="375"/>
      <c r="BD142" s="4"/>
      <c r="BE142" s="375">
        <f t="shared" si="129"/>
        <v>0</v>
      </c>
      <c r="BF142" s="375">
        <f t="shared" si="129"/>
        <v>0</v>
      </c>
      <c r="BG142" s="402"/>
      <c r="BH142" s="375">
        <f t="shared" si="130"/>
        <v>0</v>
      </c>
      <c r="BI142" s="388">
        <f t="shared" si="131"/>
        <v>0</v>
      </c>
      <c r="BJ142" s="4"/>
      <c r="BK142" s="386" t="s">
        <v>130</v>
      </c>
      <c r="BL142" s="386" t="s">
        <v>133</v>
      </c>
      <c r="BM142" s="375">
        <v>0</v>
      </c>
      <c r="BN142" s="282"/>
    </row>
    <row r="143" spans="1:67" ht="15" hidden="1" customHeight="1" outlineLevel="1">
      <c r="A143" s="386" t="s">
        <v>130</v>
      </c>
      <c r="B143" s="386" t="s">
        <v>134</v>
      </c>
      <c r="C143" s="375"/>
      <c r="D143" s="4"/>
      <c r="E143" s="375">
        <v>0</v>
      </c>
      <c r="F143" s="4"/>
      <c r="G143" s="375"/>
      <c r="H143" s="375"/>
      <c r="I143" s="4"/>
      <c r="J143" s="375"/>
      <c r="K143" s="375"/>
      <c r="L143" s="4"/>
      <c r="M143" s="375"/>
      <c r="N143" s="375"/>
      <c r="O143" s="4"/>
      <c r="P143" s="375">
        <f t="shared" si="108"/>
        <v>0</v>
      </c>
      <c r="Q143" s="375">
        <f t="shared" si="108"/>
        <v>0</v>
      </c>
      <c r="R143" s="4"/>
      <c r="S143" s="375"/>
      <c r="T143" s="375"/>
      <c r="U143" s="4"/>
      <c r="V143" s="375"/>
      <c r="W143" s="375"/>
      <c r="X143" s="4"/>
      <c r="Y143" s="375"/>
      <c r="Z143" s="375"/>
      <c r="AA143" s="4"/>
      <c r="AB143" s="375">
        <f t="shared" si="123"/>
        <v>0</v>
      </c>
      <c r="AC143" s="375">
        <f t="shared" si="124"/>
        <v>0</v>
      </c>
      <c r="AD143" s="402"/>
      <c r="AE143" s="375">
        <f t="shared" si="125"/>
        <v>0</v>
      </c>
      <c r="AF143" s="375">
        <f t="shared" si="126"/>
        <v>0</v>
      </c>
      <c r="AG143" s="4"/>
      <c r="AH143" s="375"/>
      <c r="AI143" s="375"/>
      <c r="AJ143" s="4"/>
      <c r="AK143" s="375"/>
      <c r="AL143" s="375"/>
      <c r="AM143" s="4"/>
      <c r="AN143" s="375"/>
      <c r="AO143" s="375"/>
      <c r="AP143" s="4"/>
      <c r="AQ143" s="375">
        <f t="shared" si="127"/>
        <v>0</v>
      </c>
      <c r="AR143" s="375">
        <f t="shared" si="127"/>
        <v>0</v>
      </c>
      <c r="AS143" s="4"/>
      <c r="AT143" s="375">
        <f t="shared" si="128"/>
        <v>0</v>
      </c>
      <c r="AU143" s="4"/>
      <c r="AV143" s="375"/>
      <c r="AW143" s="375"/>
      <c r="AX143" s="4"/>
      <c r="AY143" s="375"/>
      <c r="AZ143" s="375"/>
      <c r="BA143" s="4"/>
      <c r="BB143" s="375"/>
      <c r="BC143" s="375"/>
      <c r="BD143" s="4"/>
      <c r="BE143" s="375">
        <f t="shared" si="129"/>
        <v>0</v>
      </c>
      <c r="BF143" s="375">
        <f t="shared" si="129"/>
        <v>0</v>
      </c>
      <c r="BG143" s="402"/>
      <c r="BH143" s="375">
        <f t="shared" si="130"/>
        <v>0</v>
      </c>
      <c r="BI143" s="388">
        <f t="shared" si="131"/>
        <v>0</v>
      </c>
      <c r="BJ143" s="4"/>
      <c r="BK143" s="386" t="s">
        <v>130</v>
      </c>
      <c r="BL143" s="386" t="s">
        <v>134</v>
      </c>
      <c r="BM143" s="375">
        <v>0</v>
      </c>
      <c r="BN143" s="282"/>
    </row>
    <row r="144" spans="1:67" ht="15" hidden="1" customHeight="1" outlineLevel="1">
      <c r="A144" s="386" t="s">
        <v>130</v>
      </c>
      <c r="B144" s="386" t="s">
        <v>174</v>
      </c>
      <c r="C144" s="375"/>
      <c r="D144" s="4"/>
      <c r="E144" s="375">
        <v>0</v>
      </c>
      <c r="F144" s="4"/>
      <c r="G144" s="375"/>
      <c r="H144" s="375">
        <v>-52.48</v>
      </c>
      <c r="I144" s="4"/>
      <c r="J144" s="375"/>
      <c r="K144" s="375">
        <v>-49.84</v>
      </c>
      <c r="L144" s="4"/>
      <c r="M144" s="375"/>
      <c r="N144" s="375">
        <v>-106394.67</v>
      </c>
      <c r="O144" s="4"/>
      <c r="P144" s="375">
        <f t="shared" si="108"/>
        <v>0</v>
      </c>
      <c r="Q144" s="375">
        <f t="shared" si="108"/>
        <v>-106496.99</v>
      </c>
      <c r="R144" s="4"/>
      <c r="S144" s="375">
        <v>-46.78</v>
      </c>
      <c r="T144" s="375">
        <v>-46.78</v>
      </c>
      <c r="U144" s="4"/>
      <c r="V144" s="375"/>
      <c r="W144" s="375">
        <v>-82.83</v>
      </c>
      <c r="X144" s="4"/>
      <c r="Y144" s="375"/>
      <c r="Z144" s="375">
        <v>-106370.97</v>
      </c>
      <c r="AA144" s="4"/>
      <c r="AB144" s="375">
        <f t="shared" si="123"/>
        <v>-46.78</v>
      </c>
      <c r="AC144" s="375">
        <f t="shared" si="124"/>
        <v>-106500.58</v>
      </c>
      <c r="AD144" s="402"/>
      <c r="AE144" s="375">
        <f t="shared" si="125"/>
        <v>-106543.77</v>
      </c>
      <c r="AF144" s="375">
        <f t="shared" si="126"/>
        <v>-212997.57</v>
      </c>
      <c r="AG144" s="4"/>
      <c r="AH144" s="375">
        <v>-203.41</v>
      </c>
      <c r="AI144" s="375">
        <v>-203.41</v>
      </c>
      <c r="AJ144" s="4"/>
      <c r="AK144" s="375">
        <v>-866049.74</v>
      </c>
      <c r="AL144" s="375">
        <v>-866049.74</v>
      </c>
      <c r="AM144" s="4"/>
      <c r="AN144" s="375">
        <v>111361.38</v>
      </c>
      <c r="AO144" s="375">
        <v>111361.38</v>
      </c>
      <c r="AP144" s="4"/>
      <c r="AQ144" s="375">
        <f t="shared" si="127"/>
        <v>-754891.77</v>
      </c>
      <c r="AR144" s="375">
        <f t="shared" si="127"/>
        <v>-754891.77</v>
      </c>
      <c r="AS144" s="4"/>
      <c r="AT144" s="375">
        <f t="shared" si="128"/>
        <v>-967889.34000000008</v>
      </c>
      <c r="AU144" s="4"/>
      <c r="AV144" s="375"/>
      <c r="AW144" s="375">
        <v>-433002.37</v>
      </c>
      <c r="AX144" s="4"/>
      <c r="AY144" s="375"/>
      <c r="AZ144" s="375">
        <v>-433069.38</v>
      </c>
      <c r="BA144" s="4"/>
      <c r="BB144" s="375"/>
      <c r="BC144" s="375">
        <v>-62333</v>
      </c>
      <c r="BD144" s="4"/>
      <c r="BE144" s="375">
        <f t="shared" si="129"/>
        <v>0</v>
      </c>
      <c r="BF144" s="375">
        <f t="shared" si="129"/>
        <v>-928404.75</v>
      </c>
      <c r="BG144" s="402"/>
      <c r="BH144" s="375">
        <f t="shared" si="130"/>
        <v>-861435.54</v>
      </c>
      <c r="BI144" s="388">
        <f t="shared" si="131"/>
        <v>-1896294.09</v>
      </c>
      <c r="BJ144" s="4"/>
      <c r="BK144" s="386" t="s">
        <v>130</v>
      </c>
      <c r="BL144" s="386" t="s">
        <v>253</v>
      </c>
      <c r="BM144" s="375">
        <v>0</v>
      </c>
      <c r="BN144" s="282"/>
    </row>
    <row r="145" spans="1:66" ht="15" hidden="1" customHeight="1" outlineLevel="1">
      <c r="A145" s="386" t="s">
        <v>130</v>
      </c>
      <c r="B145" s="386" t="s">
        <v>135</v>
      </c>
      <c r="C145" s="375">
        <v>-1826000</v>
      </c>
      <c r="D145" s="4"/>
      <c r="E145" s="375">
        <v>-1336913</v>
      </c>
      <c r="F145" s="4"/>
      <c r="G145" s="375"/>
      <c r="H145" s="375">
        <v>-3853.04</v>
      </c>
      <c r="I145" s="4"/>
      <c r="J145" s="375"/>
      <c r="K145" s="375">
        <v>-5123.83</v>
      </c>
      <c r="L145" s="4"/>
      <c r="M145" s="375"/>
      <c r="N145" s="375">
        <v>-2657.29</v>
      </c>
      <c r="O145" s="4"/>
      <c r="P145" s="375">
        <f t="shared" si="108"/>
        <v>0</v>
      </c>
      <c r="Q145" s="375">
        <f t="shared" si="108"/>
        <v>-11634.16</v>
      </c>
      <c r="R145" s="4"/>
      <c r="S145" s="375">
        <f>-15092.81</f>
        <v>-15092.81</v>
      </c>
      <c r="T145" s="375">
        <f>-15092.81</f>
        <v>-15092.81</v>
      </c>
      <c r="U145" s="4"/>
      <c r="V145" s="375"/>
      <c r="W145" s="375">
        <v>-7507.27</v>
      </c>
      <c r="X145" s="4"/>
      <c r="Y145" s="375">
        <v>-125114.48</v>
      </c>
      <c r="Z145" s="375">
        <v>-18743.509999999998</v>
      </c>
      <c r="AA145" s="4"/>
      <c r="AB145" s="375">
        <f t="shared" si="123"/>
        <v>-140207.29</v>
      </c>
      <c r="AC145" s="375">
        <f t="shared" si="124"/>
        <v>-41343.589999999997</v>
      </c>
      <c r="AD145" s="402"/>
      <c r="AE145" s="375">
        <f t="shared" si="125"/>
        <v>-151841.45000000001</v>
      </c>
      <c r="AF145" s="375">
        <f t="shared" si="126"/>
        <v>-52977.75</v>
      </c>
      <c r="AG145" s="4"/>
      <c r="AH145" s="375">
        <v>-3777.84</v>
      </c>
      <c r="AI145" s="375">
        <v>-3777.84</v>
      </c>
      <c r="AJ145" s="4"/>
      <c r="AK145" s="375">
        <v>-3215.36</v>
      </c>
      <c r="AL145" s="375">
        <v>-3215.36</v>
      </c>
      <c r="AM145" s="4"/>
      <c r="AN145" s="375">
        <v>-3047.73</v>
      </c>
      <c r="AO145" s="375">
        <v>-3047.73</v>
      </c>
      <c r="AP145" s="4"/>
      <c r="AQ145" s="375">
        <f t="shared" si="127"/>
        <v>-10040.93</v>
      </c>
      <c r="AR145" s="375">
        <f t="shared" si="127"/>
        <v>-10040.93</v>
      </c>
      <c r="AS145" s="4"/>
      <c r="AT145" s="375">
        <f t="shared" si="128"/>
        <v>-63018.68</v>
      </c>
      <c r="AU145" s="4"/>
      <c r="AV145" s="375">
        <v>-475449.92</v>
      </c>
      <c r="AW145" s="375">
        <v>-2417.94</v>
      </c>
      <c r="AX145" s="4"/>
      <c r="AY145" s="375">
        <v>-475449.92</v>
      </c>
      <c r="AZ145" s="375">
        <v>-3658.25</v>
      </c>
      <c r="BA145" s="4"/>
      <c r="BB145" s="375"/>
      <c r="BC145" s="375">
        <v>-3542.67</v>
      </c>
      <c r="BD145" s="4"/>
      <c r="BE145" s="375">
        <f t="shared" si="129"/>
        <v>-950899.84</v>
      </c>
      <c r="BF145" s="375">
        <f t="shared" si="129"/>
        <v>-9618.86</v>
      </c>
      <c r="BG145" s="402"/>
      <c r="BH145" s="375">
        <f t="shared" si="130"/>
        <v>-1112782.22</v>
      </c>
      <c r="BI145" s="388">
        <f t="shared" si="131"/>
        <v>-72637.540000000008</v>
      </c>
      <c r="BJ145" s="4"/>
      <c r="BK145" s="386" t="s">
        <v>130</v>
      </c>
      <c r="BL145" s="386" t="s">
        <v>135</v>
      </c>
      <c r="BM145" s="375">
        <v>-2799999.9999999995</v>
      </c>
      <c r="BN145" s="282"/>
    </row>
    <row r="146" spans="1:66" ht="15" customHeight="1" collapsed="1">
      <c r="A146" s="386" t="s">
        <v>130</v>
      </c>
      <c r="B146" s="386"/>
      <c r="C146" s="389">
        <f>SUM(C140:C145)</f>
        <v>-1826000</v>
      </c>
      <c r="D146" s="4"/>
      <c r="E146" s="389">
        <f>SUM(E140:E145)</f>
        <v>-1336913</v>
      </c>
      <c r="F146" s="4"/>
      <c r="G146" s="389">
        <f>SUM(G140:G145)</f>
        <v>-166666.67000000001</v>
      </c>
      <c r="H146" s="389">
        <f>SUM(H140:H145)</f>
        <v>-12008.99</v>
      </c>
      <c r="I146" s="4"/>
      <c r="J146" s="389">
        <f>SUM(J140:J145)</f>
        <v>-166666.67000000001</v>
      </c>
      <c r="K146" s="389">
        <f>SUM(K140:K145)</f>
        <v>-15214.25</v>
      </c>
      <c r="L146" s="4"/>
      <c r="M146" s="389">
        <f>SUM(M140:M145)</f>
        <v>-166666.67000000001</v>
      </c>
      <c r="N146" s="389">
        <f>SUM(N140:N145)</f>
        <v>-207625.78</v>
      </c>
      <c r="O146" s="4"/>
      <c r="P146" s="389">
        <f t="shared" si="108"/>
        <v>-500000.01</v>
      </c>
      <c r="Q146" s="389">
        <f t="shared" si="108"/>
        <v>-234849.02</v>
      </c>
      <c r="R146" s="4"/>
      <c r="S146" s="389">
        <f>SUM(S140:S145)</f>
        <v>-32581.919999999998</v>
      </c>
      <c r="T146" s="389">
        <f>SUM(T140:T145)</f>
        <v>-32581.919999999998</v>
      </c>
      <c r="U146" s="4"/>
      <c r="V146" s="389">
        <f>SUM(V140:V145)</f>
        <v>-8783.24</v>
      </c>
      <c r="W146" s="389">
        <f>SUM(W140:W145)</f>
        <v>-8783.24</v>
      </c>
      <c r="X146" s="4"/>
      <c r="Y146" s="389">
        <f>SUM(Y140:Y145)</f>
        <v>-137277.38</v>
      </c>
      <c r="Z146" s="389">
        <f>SUM(Z140:Z145)</f>
        <v>-137277.38</v>
      </c>
      <c r="AA146" s="4"/>
      <c r="AB146" s="389">
        <f>SUM(AB140:AB145)</f>
        <v>-178642.54</v>
      </c>
      <c r="AC146" s="389">
        <f>SUM(AC140:AC145)</f>
        <v>-178642.54</v>
      </c>
      <c r="AD146" s="402"/>
      <c r="AE146" s="389">
        <f>SUM(AE140:AE145)</f>
        <v>-413491.56000000006</v>
      </c>
      <c r="AF146" s="389">
        <f>SUM(AF140:AF145)</f>
        <v>-413491.56000000006</v>
      </c>
      <c r="AG146" s="4"/>
      <c r="AH146" s="389">
        <f>SUM(AH140:AH145)</f>
        <v>-11768.84</v>
      </c>
      <c r="AI146" s="389">
        <f>SUM(AI140:AI145)</f>
        <v>-11768.84</v>
      </c>
      <c r="AJ146" s="4"/>
      <c r="AK146" s="389">
        <f>SUM(AK140:AK145)</f>
        <v>-876238.88</v>
      </c>
      <c r="AL146" s="389">
        <f>SUM(AL140:AL145)</f>
        <v>-876238.88</v>
      </c>
      <c r="AM146" s="4"/>
      <c r="AN146" s="389">
        <f>SUM(AN140:AN145)</f>
        <v>102533.01000000001</v>
      </c>
      <c r="AO146" s="389">
        <f>SUM(AO140:AO145)</f>
        <v>102533.01000000001</v>
      </c>
      <c r="AP146" s="4"/>
      <c r="AQ146" s="389">
        <f>SUM(AQ140:AQ145)</f>
        <v>-785474.71000000008</v>
      </c>
      <c r="AR146" s="389">
        <f>SUM(AR140:AR145)</f>
        <v>-785474.71000000008</v>
      </c>
      <c r="AS146" s="4"/>
      <c r="AT146" s="389">
        <f>SUM(AT140:AT145)</f>
        <v>-1198966.27</v>
      </c>
      <c r="AU146" s="4"/>
      <c r="AV146" s="389">
        <f>SUM(AV140:AV145)</f>
        <v>-525118.21</v>
      </c>
      <c r="AW146" s="389">
        <f>SUM(AW140:AW145)</f>
        <v>-439131.37</v>
      </c>
      <c r="AX146" s="4"/>
      <c r="AY146" s="389">
        <f>SUM(AY140:AY145)</f>
        <v>-525118.21</v>
      </c>
      <c r="AZ146" s="389">
        <f>SUM(AZ140:AZ145)</f>
        <v>-438706.93</v>
      </c>
      <c r="BA146" s="4"/>
      <c r="BB146" s="389">
        <f>SUM(BB140:BB145)</f>
        <v>-166666.67000000001</v>
      </c>
      <c r="BC146" s="389">
        <f>SUM(BC140:BC145)</f>
        <v>-76534.81</v>
      </c>
      <c r="BD146" s="4"/>
      <c r="BE146" s="389">
        <f>SUM(BE140:BE145)</f>
        <v>-1216903.0899999999</v>
      </c>
      <c r="BF146" s="389">
        <f>SUM(BF140:BF145)</f>
        <v>-954373.11</v>
      </c>
      <c r="BG146" s="402"/>
      <c r="BH146" s="389">
        <f>SUM(BH140:BH145)</f>
        <v>-2415869.3600000003</v>
      </c>
      <c r="BI146" s="389">
        <f>SUM(BI140:BI145)</f>
        <v>-2153339.38</v>
      </c>
      <c r="BJ146" s="4"/>
      <c r="BK146" s="386" t="s">
        <v>130</v>
      </c>
      <c r="BL146" s="386"/>
      <c r="BM146" s="389">
        <v>-2799999.9999999995</v>
      </c>
      <c r="BN146" s="282"/>
    </row>
    <row r="147" spans="1:66" ht="15" hidden="1" customHeight="1" outlineLevel="1">
      <c r="A147" s="386" t="s">
        <v>136</v>
      </c>
      <c r="B147" s="386" t="s">
        <v>136</v>
      </c>
      <c r="C147" s="375">
        <v>52000</v>
      </c>
      <c r="D147" s="4"/>
      <c r="E147" s="375">
        <v>30347.83</v>
      </c>
      <c r="F147" s="4"/>
      <c r="G147" s="375"/>
      <c r="H147" s="375">
        <v>15967.36</v>
      </c>
      <c r="I147" s="4"/>
      <c r="J147" s="375"/>
      <c r="K147" s="375">
        <v>11111.25</v>
      </c>
      <c r="L147" s="4"/>
      <c r="M147" s="375"/>
      <c r="N147" s="375">
        <v>8342.4599999999991</v>
      </c>
      <c r="O147" s="4"/>
      <c r="P147" s="375">
        <f t="shared" si="108"/>
        <v>0</v>
      </c>
      <c r="Q147" s="375">
        <f t="shared" si="108"/>
        <v>35421.07</v>
      </c>
      <c r="R147" s="4"/>
      <c r="S147" s="375">
        <v>4931.51</v>
      </c>
      <c r="T147" s="375">
        <v>4931.51</v>
      </c>
      <c r="U147" s="4"/>
      <c r="V147" s="375">
        <v>8609.11</v>
      </c>
      <c r="W147" s="375">
        <v>8609.11</v>
      </c>
      <c r="X147" s="4"/>
      <c r="Y147" s="375">
        <v>5198.62</v>
      </c>
      <c r="Z147" s="375">
        <v>5198.62</v>
      </c>
      <c r="AA147" s="4"/>
      <c r="AB147" s="375">
        <f t="shared" ref="AB147:AB150" si="132">+T147+V147+Y147</f>
        <v>18739.240000000002</v>
      </c>
      <c r="AC147" s="375">
        <f t="shared" ref="AC147" si="133">+T147+W147+Z147</f>
        <v>18739.240000000002</v>
      </c>
      <c r="AD147" s="402"/>
      <c r="AE147" s="375">
        <f t="shared" ref="AE147:AE150" si="134">+Q147+AB147</f>
        <v>54160.31</v>
      </c>
      <c r="AF147" s="375">
        <f>+AC147+Q147</f>
        <v>54160.31</v>
      </c>
      <c r="AG147" s="4"/>
      <c r="AH147" s="375">
        <v>4726.03</v>
      </c>
      <c r="AI147" s="375">
        <v>4726.03</v>
      </c>
      <c r="AJ147" s="4"/>
      <c r="AK147" s="375">
        <v>9212.59</v>
      </c>
      <c r="AL147" s="375">
        <v>9212.59</v>
      </c>
      <c r="AM147" s="4"/>
      <c r="AN147" s="375">
        <v>4883.66</v>
      </c>
      <c r="AO147" s="375">
        <v>4883.66</v>
      </c>
      <c r="AP147" s="4"/>
      <c r="AQ147" s="375">
        <f t="shared" ref="AQ147:AR147" si="135">AN147+AK147+AH147</f>
        <v>18822.28</v>
      </c>
      <c r="AR147" s="375">
        <f t="shared" si="135"/>
        <v>18822.28</v>
      </c>
      <c r="AS147" s="4"/>
      <c r="AT147" s="375">
        <f>+AF147+AR147</f>
        <v>72982.59</v>
      </c>
      <c r="AU147" s="4"/>
      <c r="AV147" s="375"/>
      <c r="AW147" s="375"/>
      <c r="AX147" s="4"/>
      <c r="AY147" s="375"/>
      <c r="AZ147" s="375"/>
      <c r="BA147" s="4"/>
      <c r="BB147" s="375"/>
      <c r="BC147" s="375">
        <v>3705.21</v>
      </c>
      <c r="BD147" s="4"/>
      <c r="BE147" s="375">
        <f t="shared" ref="BE147:BF147" si="136">BB147+AY147+AV147</f>
        <v>0</v>
      </c>
      <c r="BF147" s="375">
        <f t="shared" si="136"/>
        <v>3705.21</v>
      </c>
      <c r="BG147" s="402"/>
      <c r="BH147" s="375">
        <f t="shared" ref="BH147" si="137">Q147+AB147+AQ147+BE147</f>
        <v>72982.59</v>
      </c>
      <c r="BI147" s="388">
        <f t="shared" ref="BI147" si="138">Q147+AC147+AR147+BF147</f>
        <v>76687.8</v>
      </c>
      <c r="BJ147" s="4"/>
      <c r="BK147" s="386" t="s">
        <v>136</v>
      </c>
      <c r="BL147" s="386" t="s">
        <v>136</v>
      </c>
      <c r="BM147" s="375">
        <v>0</v>
      </c>
      <c r="BN147" s="282"/>
    </row>
    <row r="148" spans="1:66" ht="15" hidden="1" customHeight="1" outlineLevel="1">
      <c r="A148" s="386" t="s">
        <v>136</v>
      </c>
      <c r="B148" s="386"/>
      <c r="C148" s="389">
        <f>SUM(C147)</f>
        <v>52000</v>
      </c>
      <c r="D148" s="4"/>
      <c r="E148" s="389">
        <f>SUM(E147)</f>
        <v>30347.83</v>
      </c>
      <c r="F148" s="4"/>
      <c r="G148" s="389">
        <f>SUM(G147)</f>
        <v>0</v>
      </c>
      <c r="H148" s="389">
        <f>SUM(H147)</f>
        <v>15967.36</v>
      </c>
      <c r="I148" s="4"/>
      <c r="J148" s="389">
        <f>SUM(J147)</f>
        <v>0</v>
      </c>
      <c r="K148" s="389">
        <f>SUM(K147)</f>
        <v>11111.25</v>
      </c>
      <c r="L148" s="4"/>
      <c r="M148" s="389">
        <f>SUM(M147)</f>
        <v>0</v>
      </c>
      <c r="N148" s="389">
        <f>SUM(N147)</f>
        <v>8342.4599999999991</v>
      </c>
      <c r="O148" s="4"/>
      <c r="P148" s="389">
        <f t="shared" si="108"/>
        <v>0</v>
      </c>
      <c r="Q148" s="389">
        <f t="shared" si="108"/>
        <v>35421.07</v>
      </c>
      <c r="R148" s="4"/>
      <c r="S148" s="389">
        <f>SUM(S147)</f>
        <v>4931.51</v>
      </c>
      <c r="T148" s="389">
        <f>SUM(T147)</f>
        <v>4931.51</v>
      </c>
      <c r="U148" s="4"/>
      <c r="V148" s="389">
        <f>SUM(V147)</f>
        <v>8609.11</v>
      </c>
      <c r="W148" s="389">
        <f>SUM(W147)</f>
        <v>8609.11</v>
      </c>
      <c r="X148" s="4"/>
      <c r="Y148" s="389">
        <f>SUM(Y147)</f>
        <v>5198.62</v>
      </c>
      <c r="Z148" s="389">
        <f>SUM(Z147)</f>
        <v>5198.62</v>
      </c>
      <c r="AA148" s="4"/>
      <c r="AB148" s="375">
        <f t="shared" si="132"/>
        <v>18739.240000000002</v>
      </c>
      <c r="AC148" s="389">
        <f>SUM(AC147)</f>
        <v>18739.240000000002</v>
      </c>
      <c r="AD148" s="402"/>
      <c r="AE148" s="375">
        <f t="shared" si="134"/>
        <v>54160.31</v>
      </c>
      <c r="AF148" s="389">
        <f>SUM(AF147)</f>
        <v>54160.31</v>
      </c>
      <c r="AG148" s="4"/>
      <c r="AH148" s="389">
        <f>SUM(AH147)</f>
        <v>4726.03</v>
      </c>
      <c r="AI148" s="389">
        <f>SUM(AI147)</f>
        <v>4726.03</v>
      </c>
      <c r="AJ148" s="4"/>
      <c r="AK148" s="389">
        <f>SUM(AK147)</f>
        <v>9212.59</v>
      </c>
      <c r="AL148" s="389">
        <f>SUM(AL147)</f>
        <v>9212.59</v>
      </c>
      <c r="AM148" s="4"/>
      <c r="AN148" s="389">
        <f>SUM(AN147)</f>
        <v>4883.66</v>
      </c>
      <c r="AO148" s="389">
        <f>SUM(AO147)</f>
        <v>4883.66</v>
      </c>
      <c r="AP148" s="4"/>
      <c r="AQ148" s="389">
        <f>SUM(AQ147)</f>
        <v>18822.28</v>
      </c>
      <c r="AR148" s="389">
        <f>SUM(AR147)</f>
        <v>18822.28</v>
      </c>
      <c r="AS148" s="4"/>
      <c r="AT148" s="389">
        <f>SUM(AT147)</f>
        <v>72982.59</v>
      </c>
      <c r="AU148" s="4"/>
      <c r="AV148" s="389">
        <f>SUM(AV147)</f>
        <v>0</v>
      </c>
      <c r="AW148" s="389">
        <f>SUM(AW147)</f>
        <v>0</v>
      </c>
      <c r="AX148" s="4"/>
      <c r="AY148" s="389">
        <f>SUM(AY147)</f>
        <v>0</v>
      </c>
      <c r="AZ148" s="389">
        <f>SUM(AZ147)</f>
        <v>0</v>
      </c>
      <c r="BA148" s="4"/>
      <c r="BB148" s="389">
        <f>SUM(BB147)</f>
        <v>0</v>
      </c>
      <c r="BC148" s="389">
        <f>SUM(BC147)</f>
        <v>3705.21</v>
      </c>
      <c r="BD148" s="4"/>
      <c r="BE148" s="389">
        <f>SUM(BE147)</f>
        <v>0</v>
      </c>
      <c r="BF148" s="389">
        <f>SUM(BF147)</f>
        <v>3705.21</v>
      </c>
      <c r="BG148" s="402"/>
      <c r="BH148" s="389">
        <f>SUM(BH147)</f>
        <v>72982.59</v>
      </c>
      <c r="BI148" s="389">
        <f>SUM(BI147)</f>
        <v>76687.8</v>
      </c>
      <c r="BJ148" s="4"/>
      <c r="BK148" s="386" t="s">
        <v>136</v>
      </c>
      <c r="BL148" s="386"/>
      <c r="BM148" s="389">
        <v>0</v>
      </c>
      <c r="BN148" s="282"/>
    </row>
    <row r="149" spans="1:66" ht="15" hidden="1" customHeight="1" outlineLevel="1">
      <c r="A149" s="386" t="s">
        <v>137</v>
      </c>
      <c r="B149" s="386" t="s">
        <v>137</v>
      </c>
      <c r="C149" s="375"/>
      <c r="D149" s="4"/>
      <c r="E149" s="375"/>
      <c r="F149" s="4"/>
      <c r="G149" s="375"/>
      <c r="H149" s="375"/>
      <c r="I149" s="4"/>
      <c r="J149" s="375"/>
      <c r="K149" s="375"/>
      <c r="L149" s="4"/>
      <c r="M149" s="375"/>
      <c r="N149" s="375"/>
      <c r="O149" s="4"/>
      <c r="P149" s="375">
        <f t="shared" si="108"/>
        <v>0</v>
      </c>
      <c r="Q149" s="375">
        <f t="shared" si="108"/>
        <v>0</v>
      </c>
      <c r="R149" s="4"/>
      <c r="S149" s="375"/>
      <c r="T149" s="375"/>
      <c r="U149" s="4"/>
      <c r="V149" s="375"/>
      <c r="W149" s="375"/>
      <c r="X149" s="4"/>
      <c r="Y149" s="375"/>
      <c r="Z149" s="375"/>
      <c r="AA149" s="4"/>
      <c r="AB149" s="375">
        <f t="shared" si="132"/>
        <v>0</v>
      </c>
      <c r="AC149" s="375">
        <f t="shared" ref="AC149:AC150" si="139">+T149+W149+Z149</f>
        <v>0</v>
      </c>
      <c r="AD149" s="402"/>
      <c r="AE149" s="375">
        <f t="shared" si="134"/>
        <v>0</v>
      </c>
      <c r="AF149" s="375">
        <f t="shared" ref="AF149:AF150" si="140">+AC149+Q149</f>
        <v>0</v>
      </c>
      <c r="AG149" s="4"/>
      <c r="AH149" s="375"/>
      <c r="AI149" s="375"/>
      <c r="AJ149" s="4"/>
      <c r="AK149" s="375"/>
      <c r="AL149" s="375"/>
      <c r="AM149" s="4"/>
      <c r="AN149" s="375"/>
      <c r="AO149" s="375"/>
      <c r="AP149" s="4"/>
      <c r="AQ149" s="375">
        <f t="shared" ref="AQ149:AR150" si="141">AN149+AK149+AH149</f>
        <v>0</v>
      </c>
      <c r="AR149" s="375">
        <f t="shared" si="141"/>
        <v>0</v>
      </c>
      <c r="AS149" s="4"/>
      <c r="AT149" s="375">
        <f t="shared" ref="AT149:AT150" si="142">+AF149+AR149</f>
        <v>0</v>
      </c>
      <c r="AU149" s="4"/>
      <c r="AV149" s="375"/>
      <c r="AW149" s="375"/>
      <c r="AX149" s="4"/>
      <c r="AY149" s="375"/>
      <c r="AZ149" s="375"/>
      <c r="BA149" s="4"/>
      <c r="BB149" s="375"/>
      <c r="BC149" s="375"/>
      <c r="BD149" s="4"/>
      <c r="BE149" s="375">
        <f t="shared" ref="BE149:BF150" si="143">BB149+AY149+AV149</f>
        <v>0</v>
      </c>
      <c r="BF149" s="375">
        <f t="shared" si="143"/>
        <v>0</v>
      </c>
      <c r="BG149" s="402"/>
      <c r="BH149" s="375">
        <f t="shared" ref="BH149" si="144">Q149+AB149+AQ149+BE149</f>
        <v>0</v>
      </c>
      <c r="BI149" s="388">
        <f t="shared" ref="BI149" si="145">Q149+AC149+AR149+BF149</f>
        <v>0</v>
      </c>
      <c r="BJ149" s="4"/>
      <c r="BK149" s="386" t="s">
        <v>137</v>
      </c>
      <c r="BL149" s="386" t="s">
        <v>137</v>
      </c>
      <c r="BM149" s="375">
        <v>0</v>
      </c>
      <c r="BN149" s="282"/>
    </row>
    <row r="150" spans="1:66" ht="15" hidden="1" customHeight="1" outlineLevel="1">
      <c r="A150" s="386" t="s">
        <v>137</v>
      </c>
      <c r="B150" s="386"/>
      <c r="C150" s="389">
        <f>SUM(C149)</f>
        <v>0</v>
      </c>
      <c r="D150" s="4"/>
      <c r="E150" s="389">
        <f>SUM(E149)</f>
        <v>0</v>
      </c>
      <c r="F150" s="4"/>
      <c r="G150" s="389">
        <f>SUM(G149)</f>
        <v>0</v>
      </c>
      <c r="H150" s="389">
        <f>SUM(H149)</f>
        <v>0</v>
      </c>
      <c r="I150" s="4"/>
      <c r="J150" s="389">
        <f>SUM(J149)</f>
        <v>0</v>
      </c>
      <c r="K150" s="389">
        <f>SUM(K149)</f>
        <v>0</v>
      </c>
      <c r="L150" s="4"/>
      <c r="M150" s="389">
        <f>SUM(M149)</f>
        <v>0</v>
      </c>
      <c r="N150" s="389">
        <f>SUM(N149)</f>
        <v>0</v>
      </c>
      <c r="O150" s="4"/>
      <c r="P150" s="389">
        <f t="shared" si="108"/>
        <v>0</v>
      </c>
      <c r="Q150" s="389">
        <f t="shared" si="108"/>
        <v>0</v>
      </c>
      <c r="R150" s="4"/>
      <c r="S150" s="389">
        <f>SUM(S149)</f>
        <v>0</v>
      </c>
      <c r="T150" s="389">
        <f>SUM(T149)</f>
        <v>0</v>
      </c>
      <c r="U150" s="4"/>
      <c r="V150" s="389">
        <f>SUM(V149)</f>
        <v>0</v>
      </c>
      <c r="W150" s="389">
        <f>SUM(W149)</f>
        <v>0</v>
      </c>
      <c r="X150" s="4"/>
      <c r="Y150" s="389">
        <f>SUM(Y149)</f>
        <v>0</v>
      </c>
      <c r="Z150" s="389">
        <f>SUM(Z149)</f>
        <v>0</v>
      </c>
      <c r="AA150" s="4"/>
      <c r="AB150" s="375">
        <f t="shared" si="132"/>
        <v>0</v>
      </c>
      <c r="AC150" s="375">
        <f t="shared" si="139"/>
        <v>0</v>
      </c>
      <c r="AD150" s="402"/>
      <c r="AE150" s="375">
        <f t="shared" si="134"/>
        <v>0</v>
      </c>
      <c r="AF150" s="375">
        <f t="shared" si="140"/>
        <v>0</v>
      </c>
      <c r="AG150" s="4"/>
      <c r="AH150" s="389">
        <f>SUM(AH149)</f>
        <v>0</v>
      </c>
      <c r="AI150" s="389">
        <f>SUM(AI149)</f>
        <v>0</v>
      </c>
      <c r="AJ150" s="4"/>
      <c r="AK150" s="389"/>
      <c r="AL150" s="389"/>
      <c r="AM150" s="4"/>
      <c r="AN150" s="389">
        <f>SUM(AN149)</f>
        <v>0</v>
      </c>
      <c r="AO150" s="389">
        <f>SUM(AO149)</f>
        <v>0</v>
      </c>
      <c r="AP150" s="4"/>
      <c r="AQ150" s="375">
        <f t="shared" si="141"/>
        <v>0</v>
      </c>
      <c r="AR150" s="375">
        <f t="shared" si="141"/>
        <v>0</v>
      </c>
      <c r="AS150" s="4"/>
      <c r="AT150" s="375">
        <f t="shared" si="142"/>
        <v>0</v>
      </c>
      <c r="AU150" s="4"/>
      <c r="AV150" s="389">
        <f>SUM(AV149)</f>
        <v>0</v>
      </c>
      <c r="AW150" s="389">
        <f>SUM(AW149)</f>
        <v>0</v>
      </c>
      <c r="AX150" s="4"/>
      <c r="AY150" s="389">
        <f>SUM(AY149)</f>
        <v>0</v>
      </c>
      <c r="AZ150" s="389">
        <f>SUM(AZ149)</f>
        <v>0</v>
      </c>
      <c r="BA150" s="4"/>
      <c r="BB150" s="389">
        <f>SUM(BB149)</f>
        <v>0</v>
      </c>
      <c r="BC150" s="389">
        <f>SUM(BC149)</f>
        <v>0</v>
      </c>
      <c r="BD150" s="4"/>
      <c r="BE150" s="375">
        <f t="shared" si="143"/>
        <v>0</v>
      </c>
      <c r="BF150" s="375">
        <f t="shared" si="143"/>
        <v>0</v>
      </c>
      <c r="BG150" s="402"/>
      <c r="BH150" s="389">
        <f>SUM(BH149)</f>
        <v>0</v>
      </c>
      <c r="BI150" s="389">
        <f>SUM(BI149)</f>
        <v>0</v>
      </c>
      <c r="BJ150" s="4"/>
      <c r="BK150" s="386" t="s">
        <v>137</v>
      </c>
      <c r="BL150" s="386"/>
      <c r="BM150" s="389">
        <v>0</v>
      </c>
      <c r="BN150" s="282"/>
    </row>
    <row r="151" spans="1:66" ht="15" customHeight="1" collapsed="1">
      <c r="A151" s="8" t="s">
        <v>138</v>
      </c>
      <c r="B151" s="8" t="s">
        <v>139</v>
      </c>
      <c r="C151" s="9">
        <f>C139+C146+C148+C150</f>
        <v>-66681195.759999998</v>
      </c>
      <c r="D151" s="10"/>
      <c r="E151" s="9">
        <f>E139+E146+E148+E150</f>
        <v>-1105511.3999999966</v>
      </c>
      <c r="F151" s="10"/>
      <c r="G151" s="9">
        <f>G139+G146+G148+G150</f>
        <v>-5020049.6666666679</v>
      </c>
      <c r="H151" s="9">
        <f>H139+H146+H148+H150</f>
        <v>388783.7400000004</v>
      </c>
      <c r="I151" s="10"/>
      <c r="J151" s="9">
        <f>J139+J146+J148+J150</f>
        <v>-8057458.6366666639</v>
      </c>
      <c r="K151" s="9">
        <f>K139+K146+K148+K150</f>
        <v>-3902722.419999999</v>
      </c>
      <c r="L151" s="10"/>
      <c r="M151" s="9">
        <f>M139+M146+M148+M150</f>
        <v>613762.99333333515</v>
      </c>
      <c r="N151" s="9">
        <f>N139+N146+N148+N150</f>
        <v>2861311.4200000004</v>
      </c>
      <c r="O151" s="10"/>
      <c r="P151" s="9">
        <f t="shared" si="108"/>
        <v>-12463745.309999995</v>
      </c>
      <c r="Q151" s="9">
        <f t="shared" si="108"/>
        <v>-652627.25999999838</v>
      </c>
      <c r="R151" s="4"/>
      <c r="S151" s="9">
        <f>S139+S146+S148+S150</f>
        <v>-608725.72999999917</v>
      </c>
      <c r="T151" s="9">
        <f>T139+T146+T148+T150</f>
        <v>-608725.72999999917</v>
      </c>
      <c r="U151" s="4"/>
      <c r="V151" s="9">
        <f>V139+V146+V148+V150</f>
        <v>-2963748.19</v>
      </c>
      <c r="W151" s="9">
        <f>W139+W146+W148+W150</f>
        <v>-2954220.5699999989</v>
      </c>
      <c r="X151" s="4"/>
      <c r="Y151" s="9">
        <f>Y139+Y146+Y148+Y150</f>
        <v>4322706.74</v>
      </c>
      <c r="Z151" s="9">
        <f>Z139+Z146+Z148+Z150</f>
        <v>4313179.120000001</v>
      </c>
      <c r="AA151" s="4"/>
      <c r="AB151" s="9">
        <f>AB139+AB146+AB148+AB150</f>
        <v>750232.82000000239</v>
      </c>
      <c r="AC151" s="9">
        <f>AC139+AC146+AC148+AC150</f>
        <v>750232.82000000239</v>
      </c>
      <c r="AD151" s="402"/>
      <c r="AE151" s="9">
        <f>AE139+AE146+AE148+AE150</f>
        <v>97605.560000002559</v>
      </c>
      <c r="AF151" s="9">
        <f>AF139+AF146+AF148+AF150</f>
        <v>97605.560000002559</v>
      </c>
      <c r="AG151" s="4"/>
      <c r="AH151" s="9">
        <f>AH139+AH146+AH148+AH150</f>
        <v>-6834657.7299999995</v>
      </c>
      <c r="AI151" s="9">
        <f>AI139+AI146+AI148+AI150</f>
        <v>-6834657.7299999995</v>
      </c>
      <c r="AJ151" s="4"/>
      <c r="AK151" s="9">
        <f>AK139+AK146+AK148+AK150</f>
        <v>-4466593.2100000009</v>
      </c>
      <c r="AL151" s="9">
        <f>AL139+AL146+AL148+AL150</f>
        <v>-4466593.2100000009</v>
      </c>
      <c r="AM151" s="4"/>
      <c r="AN151" s="9">
        <f>AN139+AN146+AN148+AN150</f>
        <v>8636902.6199999992</v>
      </c>
      <c r="AO151" s="9">
        <f>AO139+AO146+AO148+AO150</f>
        <v>8636902.6199999992</v>
      </c>
      <c r="AP151" s="4"/>
      <c r="AQ151" s="9">
        <f>AQ139+AQ146+AQ148+AQ150</f>
        <v>-2664348.3200000045</v>
      </c>
      <c r="AR151" s="9">
        <f>AR139+AR146+AR148+AR150</f>
        <v>-2664348.3200000045</v>
      </c>
      <c r="AS151" s="4"/>
      <c r="AT151" s="9">
        <f>AT139+AT146+AT148+AT150</f>
        <v>-2566742.7600000189</v>
      </c>
      <c r="AU151" s="4"/>
      <c r="AV151" s="9">
        <f>AV139+AV146+AV148+AV150</f>
        <v>-6977845.2927452335</v>
      </c>
      <c r="AW151" s="9">
        <f>AW139+AW146+AW148+AW150</f>
        <v>-12393844.159999996</v>
      </c>
      <c r="AX151" s="4"/>
      <c r="AY151" s="9">
        <f>AY139+AY146+AY148+AY150</f>
        <v>626978.39277768927</v>
      </c>
      <c r="AZ151" s="9">
        <f>AZ139+AZ146+AZ148+AZ150</f>
        <v>-5701016.46</v>
      </c>
      <c r="BA151" s="4"/>
      <c r="BB151" s="9">
        <f>BB139+BB146+BB148+BB150</f>
        <v>16267141.024293052</v>
      </c>
      <c r="BC151" s="9">
        <f>BC139+BC146+BC148+BC150</f>
        <v>19932605.359999999</v>
      </c>
      <c r="BD151" s="4"/>
      <c r="BE151" s="9">
        <f>BE139+BE146+BE148+BE150</f>
        <v>9916274.1243255157</v>
      </c>
      <c r="BF151" s="9">
        <f>BF139+BF146+BF148+BF150</f>
        <v>1837744.739999997</v>
      </c>
      <c r="BG151" s="402"/>
      <c r="BH151" s="9">
        <f>BH139+BH146+BH148+BH150</f>
        <v>7349531.3643254871</v>
      </c>
      <c r="BI151" s="9">
        <f>BI139+BI146+BI148+BI150</f>
        <v>-728998.02000001143</v>
      </c>
      <c r="BJ151" s="4"/>
      <c r="BK151" s="8" t="s">
        <v>138</v>
      </c>
      <c r="BL151" s="8" t="s">
        <v>139</v>
      </c>
      <c r="BM151" s="9">
        <f>BM139+BM146+BM148+BM150</f>
        <v>18541870.490000099</v>
      </c>
      <c r="BN151" s="282"/>
    </row>
    <row r="152" spans="1:66" ht="15" hidden="1" customHeight="1" outlineLevel="1">
      <c r="A152" s="386" t="s">
        <v>140</v>
      </c>
      <c r="B152" s="386" t="s">
        <v>141</v>
      </c>
      <c r="C152" s="375"/>
      <c r="D152" s="4"/>
      <c r="E152" s="375"/>
      <c r="F152" s="4"/>
      <c r="G152" s="375"/>
      <c r="H152" s="375"/>
      <c r="I152" s="4"/>
      <c r="J152" s="375"/>
      <c r="K152" s="375"/>
      <c r="L152" s="4"/>
      <c r="M152" s="375"/>
      <c r="N152" s="375"/>
      <c r="O152" s="4"/>
      <c r="P152" s="375">
        <f t="shared" si="108"/>
        <v>0</v>
      </c>
      <c r="Q152" s="375">
        <f t="shared" si="108"/>
        <v>0</v>
      </c>
      <c r="R152" s="4"/>
      <c r="S152" s="375"/>
      <c r="T152" s="375"/>
      <c r="U152" s="4"/>
      <c r="V152" s="375"/>
      <c r="W152" s="375"/>
      <c r="X152" s="4"/>
      <c r="Y152" s="375"/>
      <c r="Z152" s="375"/>
      <c r="AA152" s="4"/>
      <c r="AB152" s="375">
        <f t="shared" ref="AB152:AB160" si="146">+T152+V152+Y152</f>
        <v>0</v>
      </c>
      <c r="AC152" s="375">
        <f t="shared" ref="AC152:AC169" si="147">+T152+W152+Z152</f>
        <v>0</v>
      </c>
      <c r="AD152" s="402"/>
      <c r="AE152" s="375">
        <f t="shared" ref="AE152:AE161" si="148">+Q152+AB152</f>
        <v>0</v>
      </c>
      <c r="AF152" s="375">
        <f t="shared" ref="AF152:AF161" si="149">+AC152+Q152</f>
        <v>0</v>
      </c>
      <c r="AG152" s="4"/>
      <c r="AH152" s="375"/>
      <c r="AI152" s="375"/>
      <c r="AJ152" s="4"/>
      <c r="AK152" s="375"/>
      <c r="AL152" s="375"/>
      <c r="AM152" s="4"/>
      <c r="AN152" s="375"/>
      <c r="AO152" s="375"/>
      <c r="AP152" s="4"/>
      <c r="AQ152" s="375">
        <f t="shared" ref="AQ152:AR161" si="150">AN152+AK152+AH152</f>
        <v>0</v>
      </c>
      <c r="AR152" s="375">
        <f t="shared" si="150"/>
        <v>0</v>
      </c>
      <c r="AS152" s="4"/>
      <c r="AT152" s="375">
        <f t="shared" ref="AT152:AT161" si="151">+AF152+AR152</f>
        <v>0</v>
      </c>
      <c r="AU152" s="4"/>
      <c r="AV152" s="375"/>
      <c r="AW152" s="375"/>
      <c r="AX152" s="4"/>
      <c r="AY152" s="375"/>
      <c r="AZ152" s="375"/>
      <c r="BA152" s="4"/>
      <c r="BB152" s="375"/>
      <c r="BC152" s="375"/>
      <c r="BD152" s="4"/>
      <c r="BE152" s="375">
        <f t="shared" ref="BE152:BF161" si="152">BB152+AY152+AV152</f>
        <v>0</v>
      </c>
      <c r="BF152" s="375">
        <f t="shared" si="152"/>
        <v>0</v>
      </c>
      <c r="BG152" s="402"/>
      <c r="BH152" s="375">
        <f t="shared" ref="BH152:BH161" si="153">Q152+AB152+AQ152+BE152</f>
        <v>0</v>
      </c>
      <c r="BI152" s="388">
        <f t="shared" ref="BI152:BI161" si="154">Q152+AC152+AR152+BF152</f>
        <v>0</v>
      </c>
      <c r="BJ152" s="4"/>
      <c r="BK152" s="386" t="s">
        <v>140</v>
      </c>
      <c r="BL152" s="386" t="s">
        <v>141</v>
      </c>
      <c r="BM152" s="375">
        <v>0</v>
      </c>
      <c r="BN152" s="282"/>
    </row>
    <row r="153" spans="1:66" ht="15" hidden="1" customHeight="1" outlineLevel="1">
      <c r="A153" s="386" t="s">
        <v>140</v>
      </c>
      <c r="B153" s="386" t="s">
        <v>142</v>
      </c>
      <c r="C153" s="375"/>
      <c r="D153" s="4"/>
      <c r="E153" s="375"/>
      <c r="F153" s="4"/>
      <c r="G153" s="375"/>
      <c r="H153" s="375"/>
      <c r="I153" s="4"/>
      <c r="J153" s="375"/>
      <c r="K153" s="375"/>
      <c r="L153" s="4"/>
      <c r="M153" s="375"/>
      <c r="N153" s="375"/>
      <c r="O153" s="4"/>
      <c r="P153" s="375">
        <f t="shared" si="108"/>
        <v>0</v>
      </c>
      <c r="Q153" s="375">
        <f t="shared" si="108"/>
        <v>0</v>
      </c>
      <c r="R153" s="4"/>
      <c r="S153" s="375"/>
      <c r="T153" s="375"/>
      <c r="U153" s="4"/>
      <c r="V153" s="375"/>
      <c r="W153" s="375"/>
      <c r="X153" s="4"/>
      <c r="Y153" s="375"/>
      <c r="Z153" s="375"/>
      <c r="AA153" s="4"/>
      <c r="AB153" s="375">
        <f t="shared" si="146"/>
        <v>0</v>
      </c>
      <c r="AC153" s="375">
        <f t="shared" si="147"/>
        <v>0</v>
      </c>
      <c r="AD153" s="402"/>
      <c r="AE153" s="375">
        <f t="shared" si="148"/>
        <v>0</v>
      </c>
      <c r="AF153" s="375">
        <f t="shared" si="149"/>
        <v>0</v>
      </c>
      <c r="AG153" s="4"/>
      <c r="AH153" s="375"/>
      <c r="AI153" s="375"/>
      <c r="AJ153" s="4"/>
      <c r="AK153" s="375"/>
      <c r="AL153" s="375"/>
      <c r="AM153" s="4"/>
      <c r="AN153" s="375"/>
      <c r="AO153" s="375"/>
      <c r="AP153" s="4"/>
      <c r="AQ153" s="375">
        <f t="shared" si="150"/>
        <v>0</v>
      </c>
      <c r="AR153" s="375">
        <f t="shared" si="150"/>
        <v>0</v>
      </c>
      <c r="AS153" s="4"/>
      <c r="AT153" s="375">
        <f t="shared" si="151"/>
        <v>0</v>
      </c>
      <c r="AU153" s="4"/>
      <c r="AV153" s="375"/>
      <c r="AW153" s="375"/>
      <c r="AX153" s="4"/>
      <c r="AY153" s="375"/>
      <c r="AZ153" s="375"/>
      <c r="BA153" s="4"/>
      <c r="BB153" s="375"/>
      <c r="BC153" s="375"/>
      <c r="BD153" s="4"/>
      <c r="BE153" s="375">
        <f t="shared" si="152"/>
        <v>0</v>
      </c>
      <c r="BF153" s="375">
        <f t="shared" si="152"/>
        <v>0</v>
      </c>
      <c r="BG153" s="402"/>
      <c r="BH153" s="375">
        <f t="shared" si="153"/>
        <v>0</v>
      </c>
      <c r="BI153" s="388">
        <f t="shared" si="154"/>
        <v>0</v>
      </c>
      <c r="BJ153" s="4"/>
      <c r="BK153" s="386" t="s">
        <v>140</v>
      </c>
      <c r="BL153" s="386" t="s">
        <v>142</v>
      </c>
      <c r="BM153" s="375">
        <v>0</v>
      </c>
      <c r="BN153" s="282"/>
    </row>
    <row r="154" spans="1:66" ht="15" hidden="1" customHeight="1" outlineLevel="1">
      <c r="A154" s="386" t="s">
        <v>140</v>
      </c>
      <c r="B154" s="386" t="s">
        <v>143</v>
      </c>
      <c r="C154" s="375"/>
      <c r="D154" s="4"/>
      <c r="E154" s="375"/>
      <c r="F154" s="4"/>
      <c r="G154" s="375"/>
      <c r="H154" s="375"/>
      <c r="I154" s="4"/>
      <c r="J154" s="375"/>
      <c r="K154" s="375"/>
      <c r="L154" s="4"/>
      <c r="M154" s="375"/>
      <c r="N154" s="375"/>
      <c r="O154" s="4"/>
      <c r="P154" s="375">
        <f t="shared" si="108"/>
        <v>0</v>
      </c>
      <c r="Q154" s="375">
        <f t="shared" si="108"/>
        <v>0</v>
      </c>
      <c r="R154" s="4"/>
      <c r="S154" s="375"/>
      <c r="T154" s="375"/>
      <c r="U154" s="4"/>
      <c r="V154" s="375"/>
      <c r="W154" s="375"/>
      <c r="X154" s="4"/>
      <c r="Y154" s="375"/>
      <c r="Z154" s="375"/>
      <c r="AA154" s="4"/>
      <c r="AB154" s="375">
        <f t="shared" si="146"/>
        <v>0</v>
      </c>
      <c r="AC154" s="375">
        <f t="shared" si="147"/>
        <v>0</v>
      </c>
      <c r="AD154" s="402"/>
      <c r="AE154" s="375">
        <f t="shared" si="148"/>
        <v>0</v>
      </c>
      <c r="AF154" s="375">
        <f t="shared" si="149"/>
        <v>0</v>
      </c>
      <c r="AG154" s="4"/>
      <c r="AH154" s="375"/>
      <c r="AI154" s="375"/>
      <c r="AJ154" s="4"/>
      <c r="AK154" s="375"/>
      <c r="AL154" s="375"/>
      <c r="AM154" s="4"/>
      <c r="AN154" s="375"/>
      <c r="AO154" s="375"/>
      <c r="AP154" s="4"/>
      <c r="AQ154" s="375">
        <f t="shared" si="150"/>
        <v>0</v>
      </c>
      <c r="AR154" s="375">
        <f t="shared" si="150"/>
        <v>0</v>
      </c>
      <c r="AS154" s="4"/>
      <c r="AT154" s="375">
        <f t="shared" si="151"/>
        <v>0</v>
      </c>
      <c r="AU154" s="4"/>
      <c r="AV154" s="375"/>
      <c r="AW154" s="375"/>
      <c r="AX154" s="4"/>
      <c r="AY154" s="375"/>
      <c r="AZ154" s="375"/>
      <c r="BA154" s="4"/>
      <c r="BB154" s="375"/>
      <c r="BC154" s="375"/>
      <c r="BD154" s="4"/>
      <c r="BE154" s="375">
        <f t="shared" si="152"/>
        <v>0</v>
      </c>
      <c r="BF154" s="375">
        <f t="shared" si="152"/>
        <v>0</v>
      </c>
      <c r="BG154" s="402"/>
      <c r="BH154" s="375">
        <f t="shared" si="153"/>
        <v>0</v>
      </c>
      <c r="BI154" s="388">
        <f t="shared" si="154"/>
        <v>0</v>
      </c>
      <c r="BJ154" s="4"/>
      <c r="BK154" s="386" t="s">
        <v>140</v>
      </c>
      <c r="BL154" s="386" t="s">
        <v>143</v>
      </c>
      <c r="BM154" s="375">
        <v>0</v>
      </c>
      <c r="BN154" s="282"/>
    </row>
    <row r="155" spans="1:66" ht="15" hidden="1" customHeight="1" outlineLevel="1">
      <c r="A155" s="386" t="s">
        <v>140</v>
      </c>
      <c r="B155" s="386" t="s">
        <v>144</v>
      </c>
      <c r="C155" s="375"/>
      <c r="D155" s="4"/>
      <c r="E155" s="375"/>
      <c r="F155" s="4"/>
      <c r="G155" s="375"/>
      <c r="H155" s="375"/>
      <c r="I155" s="4"/>
      <c r="J155" s="375"/>
      <c r="K155" s="375"/>
      <c r="L155" s="4"/>
      <c r="M155" s="375"/>
      <c r="N155" s="375"/>
      <c r="O155" s="4"/>
      <c r="P155" s="375">
        <f t="shared" si="108"/>
        <v>0</v>
      </c>
      <c r="Q155" s="375">
        <f t="shared" si="108"/>
        <v>0</v>
      </c>
      <c r="R155" s="4"/>
      <c r="S155" s="375"/>
      <c r="T155" s="375"/>
      <c r="U155" s="4"/>
      <c r="V155" s="375"/>
      <c r="W155" s="375"/>
      <c r="X155" s="4"/>
      <c r="Y155" s="375"/>
      <c r="Z155" s="375"/>
      <c r="AA155" s="4"/>
      <c r="AB155" s="375">
        <f t="shared" si="146"/>
        <v>0</v>
      </c>
      <c r="AC155" s="375">
        <f t="shared" si="147"/>
        <v>0</v>
      </c>
      <c r="AD155" s="402"/>
      <c r="AE155" s="375">
        <f t="shared" si="148"/>
        <v>0</v>
      </c>
      <c r="AF155" s="375">
        <f t="shared" si="149"/>
        <v>0</v>
      </c>
      <c r="AG155" s="4"/>
      <c r="AH155" s="375"/>
      <c r="AI155" s="375"/>
      <c r="AJ155" s="4"/>
      <c r="AK155" s="375"/>
      <c r="AL155" s="375"/>
      <c r="AM155" s="4"/>
      <c r="AN155" s="375"/>
      <c r="AO155" s="375"/>
      <c r="AP155" s="4"/>
      <c r="AQ155" s="375">
        <f t="shared" si="150"/>
        <v>0</v>
      </c>
      <c r="AR155" s="375">
        <f t="shared" si="150"/>
        <v>0</v>
      </c>
      <c r="AS155" s="4"/>
      <c r="AT155" s="375">
        <f t="shared" si="151"/>
        <v>0</v>
      </c>
      <c r="AU155" s="4"/>
      <c r="AV155" s="375"/>
      <c r="AW155" s="375"/>
      <c r="AX155" s="4"/>
      <c r="AY155" s="375"/>
      <c r="AZ155" s="375"/>
      <c r="BA155" s="4"/>
      <c r="BB155" s="375"/>
      <c r="BC155" s="375"/>
      <c r="BD155" s="4"/>
      <c r="BE155" s="375">
        <f t="shared" si="152"/>
        <v>0</v>
      </c>
      <c r="BF155" s="375">
        <f t="shared" si="152"/>
        <v>0</v>
      </c>
      <c r="BG155" s="402"/>
      <c r="BH155" s="375">
        <f t="shared" si="153"/>
        <v>0</v>
      </c>
      <c r="BI155" s="388">
        <f t="shared" si="154"/>
        <v>0</v>
      </c>
      <c r="BJ155" s="4"/>
      <c r="BK155" s="386" t="s">
        <v>140</v>
      </c>
      <c r="BL155" s="386" t="s">
        <v>144</v>
      </c>
      <c r="BM155" s="375">
        <v>0</v>
      </c>
      <c r="BN155" s="282"/>
    </row>
    <row r="156" spans="1:66" ht="15" hidden="1" customHeight="1" outlineLevel="1">
      <c r="A156" s="386" t="s">
        <v>140</v>
      </c>
      <c r="B156" s="386" t="s">
        <v>145</v>
      </c>
      <c r="C156" s="375"/>
      <c r="D156" s="4"/>
      <c r="E156" s="375"/>
      <c r="F156" s="4"/>
      <c r="G156" s="375"/>
      <c r="H156" s="375"/>
      <c r="I156" s="4"/>
      <c r="J156" s="375"/>
      <c r="K156" s="375"/>
      <c r="L156" s="4"/>
      <c r="M156" s="375"/>
      <c r="N156" s="375"/>
      <c r="O156" s="4"/>
      <c r="P156" s="375">
        <f t="shared" si="108"/>
        <v>0</v>
      </c>
      <c r="Q156" s="375">
        <f t="shared" si="108"/>
        <v>0</v>
      </c>
      <c r="R156" s="4"/>
      <c r="S156" s="375"/>
      <c r="T156" s="375"/>
      <c r="U156" s="4"/>
      <c r="V156" s="375"/>
      <c r="W156" s="375"/>
      <c r="X156" s="4"/>
      <c r="Y156" s="375"/>
      <c r="Z156" s="375"/>
      <c r="AA156" s="4"/>
      <c r="AB156" s="375">
        <f t="shared" si="146"/>
        <v>0</v>
      </c>
      <c r="AC156" s="375">
        <f t="shared" si="147"/>
        <v>0</v>
      </c>
      <c r="AD156" s="402"/>
      <c r="AE156" s="375">
        <f t="shared" si="148"/>
        <v>0</v>
      </c>
      <c r="AF156" s="375">
        <f t="shared" si="149"/>
        <v>0</v>
      </c>
      <c r="AG156" s="4"/>
      <c r="AH156" s="375"/>
      <c r="AI156" s="375"/>
      <c r="AJ156" s="4"/>
      <c r="AK156" s="375"/>
      <c r="AL156" s="375"/>
      <c r="AM156" s="4"/>
      <c r="AN156" s="375"/>
      <c r="AO156" s="375"/>
      <c r="AP156" s="4"/>
      <c r="AQ156" s="375">
        <f t="shared" si="150"/>
        <v>0</v>
      </c>
      <c r="AR156" s="375">
        <f t="shared" si="150"/>
        <v>0</v>
      </c>
      <c r="AS156" s="4"/>
      <c r="AT156" s="375">
        <f t="shared" si="151"/>
        <v>0</v>
      </c>
      <c r="AU156" s="4"/>
      <c r="AV156" s="375"/>
      <c r="AW156" s="375"/>
      <c r="AX156" s="4"/>
      <c r="AY156" s="375"/>
      <c r="AZ156" s="375"/>
      <c r="BA156" s="4"/>
      <c r="BB156" s="375"/>
      <c r="BC156" s="375"/>
      <c r="BD156" s="4"/>
      <c r="BE156" s="375">
        <f t="shared" si="152"/>
        <v>0</v>
      </c>
      <c r="BF156" s="375">
        <f t="shared" si="152"/>
        <v>0</v>
      </c>
      <c r="BG156" s="402"/>
      <c r="BH156" s="375">
        <f t="shared" si="153"/>
        <v>0</v>
      </c>
      <c r="BI156" s="388">
        <f t="shared" si="154"/>
        <v>0</v>
      </c>
      <c r="BJ156" s="4"/>
      <c r="BK156" s="386" t="s">
        <v>140</v>
      </c>
      <c r="BL156" s="386" t="s">
        <v>145</v>
      </c>
      <c r="BM156" s="375">
        <v>0</v>
      </c>
      <c r="BN156" s="282"/>
    </row>
    <row r="157" spans="1:66" ht="15" hidden="1" customHeight="1" outlineLevel="1">
      <c r="A157" s="386" t="s">
        <v>140</v>
      </c>
      <c r="B157" s="386" t="s">
        <v>146</v>
      </c>
      <c r="C157" s="375"/>
      <c r="D157" s="4"/>
      <c r="E157" s="375"/>
      <c r="F157" s="4"/>
      <c r="G157" s="375"/>
      <c r="H157" s="375"/>
      <c r="I157" s="4"/>
      <c r="J157" s="375"/>
      <c r="K157" s="375"/>
      <c r="L157" s="4"/>
      <c r="M157" s="375"/>
      <c r="N157" s="375"/>
      <c r="O157" s="4"/>
      <c r="P157" s="375">
        <f t="shared" si="108"/>
        <v>0</v>
      </c>
      <c r="Q157" s="375">
        <f t="shared" si="108"/>
        <v>0</v>
      </c>
      <c r="R157" s="4"/>
      <c r="S157" s="375"/>
      <c r="T157" s="375"/>
      <c r="U157" s="4"/>
      <c r="V157" s="375"/>
      <c r="W157" s="375"/>
      <c r="X157" s="4"/>
      <c r="Y157" s="375"/>
      <c r="Z157" s="375"/>
      <c r="AA157" s="4"/>
      <c r="AB157" s="375">
        <f t="shared" si="146"/>
        <v>0</v>
      </c>
      <c r="AC157" s="375">
        <f t="shared" si="147"/>
        <v>0</v>
      </c>
      <c r="AD157" s="402"/>
      <c r="AE157" s="375">
        <f t="shared" si="148"/>
        <v>0</v>
      </c>
      <c r="AF157" s="375">
        <f t="shared" si="149"/>
        <v>0</v>
      </c>
      <c r="AG157" s="4"/>
      <c r="AH157" s="375"/>
      <c r="AI157" s="375"/>
      <c r="AJ157" s="4"/>
      <c r="AK157" s="375"/>
      <c r="AL157" s="375"/>
      <c r="AM157" s="4"/>
      <c r="AN157" s="375"/>
      <c r="AO157" s="375"/>
      <c r="AP157" s="4"/>
      <c r="AQ157" s="375">
        <f t="shared" si="150"/>
        <v>0</v>
      </c>
      <c r="AR157" s="375">
        <f t="shared" si="150"/>
        <v>0</v>
      </c>
      <c r="AS157" s="4"/>
      <c r="AT157" s="375">
        <f t="shared" si="151"/>
        <v>0</v>
      </c>
      <c r="AU157" s="4"/>
      <c r="AV157" s="375"/>
      <c r="AW157" s="375"/>
      <c r="AX157" s="4"/>
      <c r="AY157" s="375"/>
      <c r="AZ157" s="375"/>
      <c r="BA157" s="4"/>
      <c r="BB157" s="375"/>
      <c r="BC157" s="375"/>
      <c r="BD157" s="4"/>
      <c r="BE157" s="375">
        <f t="shared" si="152"/>
        <v>0</v>
      </c>
      <c r="BF157" s="375">
        <f t="shared" si="152"/>
        <v>0</v>
      </c>
      <c r="BG157" s="402"/>
      <c r="BH157" s="375">
        <f t="shared" si="153"/>
        <v>0</v>
      </c>
      <c r="BI157" s="388">
        <f t="shared" si="154"/>
        <v>0</v>
      </c>
      <c r="BJ157" s="4"/>
      <c r="BK157" s="386" t="s">
        <v>140</v>
      </c>
      <c r="BL157" s="386" t="s">
        <v>146</v>
      </c>
      <c r="BM157" s="375">
        <v>0</v>
      </c>
      <c r="BN157" s="282"/>
    </row>
    <row r="158" spans="1:66" ht="15" hidden="1" customHeight="1" outlineLevel="1">
      <c r="A158" s="386" t="s">
        <v>140</v>
      </c>
      <c r="B158" s="386" t="s">
        <v>147</v>
      </c>
      <c r="C158" s="375"/>
      <c r="D158" s="4"/>
      <c r="E158" s="375"/>
      <c r="F158" s="4"/>
      <c r="G158" s="375"/>
      <c r="H158" s="375"/>
      <c r="I158" s="4"/>
      <c r="J158" s="375"/>
      <c r="K158" s="375"/>
      <c r="L158" s="4"/>
      <c r="M158" s="375"/>
      <c r="N158" s="375"/>
      <c r="O158" s="4"/>
      <c r="P158" s="375">
        <f t="shared" si="108"/>
        <v>0</v>
      </c>
      <c r="Q158" s="375">
        <f t="shared" si="108"/>
        <v>0</v>
      </c>
      <c r="R158" s="4"/>
      <c r="S158" s="375"/>
      <c r="T158" s="375"/>
      <c r="U158" s="4"/>
      <c r="V158" s="375"/>
      <c r="W158" s="375"/>
      <c r="X158" s="4"/>
      <c r="Y158" s="375"/>
      <c r="Z158" s="375"/>
      <c r="AA158" s="4"/>
      <c r="AB158" s="375">
        <f t="shared" si="146"/>
        <v>0</v>
      </c>
      <c r="AC158" s="375">
        <f t="shared" si="147"/>
        <v>0</v>
      </c>
      <c r="AD158" s="402"/>
      <c r="AE158" s="375">
        <f t="shared" si="148"/>
        <v>0</v>
      </c>
      <c r="AF158" s="375">
        <f t="shared" si="149"/>
        <v>0</v>
      </c>
      <c r="AG158" s="4"/>
      <c r="AH158" s="375"/>
      <c r="AI158" s="375"/>
      <c r="AJ158" s="4"/>
      <c r="AK158" s="375"/>
      <c r="AL158" s="375"/>
      <c r="AM158" s="4"/>
      <c r="AN158" s="375"/>
      <c r="AO158" s="375"/>
      <c r="AP158" s="4"/>
      <c r="AQ158" s="375">
        <f t="shared" si="150"/>
        <v>0</v>
      </c>
      <c r="AR158" s="375">
        <f t="shared" si="150"/>
        <v>0</v>
      </c>
      <c r="AS158" s="4"/>
      <c r="AT158" s="375">
        <f t="shared" si="151"/>
        <v>0</v>
      </c>
      <c r="AU158" s="4"/>
      <c r="AV158" s="375"/>
      <c r="AW158" s="375"/>
      <c r="AX158" s="4"/>
      <c r="AY158" s="375"/>
      <c r="AZ158" s="375"/>
      <c r="BA158" s="4"/>
      <c r="BB158" s="375"/>
      <c r="BC158" s="375"/>
      <c r="BD158" s="4"/>
      <c r="BE158" s="375">
        <f t="shared" si="152"/>
        <v>0</v>
      </c>
      <c r="BF158" s="375">
        <f t="shared" si="152"/>
        <v>0</v>
      </c>
      <c r="BG158" s="402"/>
      <c r="BH158" s="375">
        <f t="shared" si="153"/>
        <v>0</v>
      </c>
      <c r="BI158" s="388">
        <f t="shared" si="154"/>
        <v>0</v>
      </c>
      <c r="BJ158" s="4"/>
      <c r="BK158" s="386" t="s">
        <v>140</v>
      </c>
      <c r="BL158" s="386" t="s">
        <v>147</v>
      </c>
      <c r="BM158" s="375">
        <v>0</v>
      </c>
      <c r="BN158" s="282"/>
    </row>
    <row r="159" spans="1:66" ht="15" hidden="1" customHeight="1" outlineLevel="1">
      <c r="A159" s="386" t="s">
        <v>140</v>
      </c>
      <c r="B159" s="386" t="s">
        <v>148</v>
      </c>
      <c r="C159" s="375"/>
      <c r="D159" s="4"/>
      <c r="E159" s="375"/>
      <c r="F159" s="4"/>
      <c r="G159" s="375"/>
      <c r="H159" s="375"/>
      <c r="I159" s="4"/>
      <c r="J159" s="375"/>
      <c r="K159" s="375"/>
      <c r="L159" s="4"/>
      <c r="M159" s="375"/>
      <c r="N159" s="375"/>
      <c r="O159" s="4"/>
      <c r="P159" s="375">
        <f t="shared" si="108"/>
        <v>0</v>
      </c>
      <c r="Q159" s="375">
        <f t="shared" si="108"/>
        <v>0</v>
      </c>
      <c r="R159" s="4"/>
      <c r="S159" s="375"/>
      <c r="T159" s="375"/>
      <c r="U159" s="4"/>
      <c r="V159" s="375"/>
      <c r="W159" s="375"/>
      <c r="X159" s="4"/>
      <c r="Y159" s="375"/>
      <c r="Z159" s="375"/>
      <c r="AA159" s="4"/>
      <c r="AB159" s="375">
        <f t="shared" si="146"/>
        <v>0</v>
      </c>
      <c r="AC159" s="375">
        <f t="shared" si="147"/>
        <v>0</v>
      </c>
      <c r="AD159" s="402"/>
      <c r="AE159" s="375">
        <f t="shared" si="148"/>
        <v>0</v>
      </c>
      <c r="AF159" s="375">
        <f t="shared" si="149"/>
        <v>0</v>
      </c>
      <c r="AG159" s="4"/>
      <c r="AH159" s="375"/>
      <c r="AI159" s="375"/>
      <c r="AJ159" s="4"/>
      <c r="AK159" s="375"/>
      <c r="AL159" s="375"/>
      <c r="AM159" s="4"/>
      <c r="AN159" s="375"/>
      <c r="AO159" s="375"/>
      <c r="AP159" s="4"/>
      <c r="AQ159" s="375">
        <f t="shared" si="150"/>
        <v>0</v>
      </c>
      <c r="AR159" s="375">
        <f t="shared" si="150"/>
        <v>0</v>
      </c>
      <c r="AS159" s="4"/>
      <c r="AT159" s="375">
        <f t="shared" si="151"/>
        <v>0</v>
      </c>
      <c r="AU159" s="4"/>
      <c r="AV159" s="375"/>
      <c r="AW159" s="375"/>
      <c r="AX159" s="4"/>
      <c r="AY159" s="375"/>
      <c r="AZ159" s="375"/>
      <c r="BA159" s="4"/>
      <c r="BB159" s="375"/>
      <c r="BC159" s="375"/>
      <c r="BD159" s="4"/>
      <c r="BE159" s="375">
        <f t="shared" si="152"/>
        <v>0</v>
      </c>
      <c r="BF159" s="375">
        <f t="shared" si="152"/>
        <v>0</v>
      </c>
      <c r="BG159" s="402"/>
      <c r="BH159" s="375">
        <f t="shared" si="153"/>
        <v>0</v>
      </c>
      <c r="BI159" s="388">
        <f t="shared" si="154"/>
        <v>0</v>
      </c>
      <c r="BJ159" s="4"/>
      <c r="BK159" s="386" t="s">
        <v>140</v>
      </c>
      <c r="BL159" s="386" t="s">
        <v>148</v>
      </c>
      <c r="BM159" s="375">
        <v>0</v>
      </c>
      <c r="BN159" s="282"/>
    </row>
    <row r="160" spans="1:66" ht="15" hidden="1" customHeight="1" outlineLevel="1">
      <c r="A160" s="386" t="s">
        <v>140</v>
      </c>
      <c r="B160" s="386" t="s">
        <v>149</v>
      </c>
      <c r="C160" s="375"/>
      <c r="D160" s="4"/>
      <c r="E160" s="375"/>
      <c r="F160" s="4"/>
      <c r="G160" s="375"/>
      <c r="H160" s="375"/>
      <c r="I160" s="4"/>
      <c r="J160" s="375"/>
      <c r="K160" s="375"/>
      <c r="L160" s="4"/>
      <c r="M160" s="375"/>
      <c r="N160" s="375"/>
      <c r="O160" s="4"/>
      <c r="P160" s="375">
        <f t="shared" si="108"/>
        <v>0</v>
      </c>
      <c r="Q160" s="375">
        <f t="shared" si="108"/>
        <v>0</v>
      </c>
      <c r="R160" s="4"/>
      <c r="S160" s="375"/>
      <c r="T160" s="375"/>
      <c r="U160" s="4"/>
      <c r="V160" s="375"/>
      <c r="W160" s="375"/>
      <c r="X160" s="4"/>
      <c r="Y160" s="375"/>
      <c r="Z160" s="375"/>
      <c r="AA160" s="4"/>
      <c r="AB160" s="375">
        <f t="shared" si="146"/>
        <v>0</v>
      </c>
      <c r="AC160" s="375">
        <f t="shared" si="147"/>
        <v>0</v>
      </c>
      <c r="AD160" s="402"/>
      <c r="AE160" s="375">
        <f t="shared" si="148"/>
        <v>0</v>
      </c>
      <c r="AF160" s="375">
        <f t="shared" si="149"/>
        <v>0</v>
      </c>
      <c r="AG160" s="4"/>
      <c r="AH160" s="375"/>
      <c r="AI160" s="375"/>
      <c r="AJ160" s="4"/>
      <c r="AK160" s="375"/>
      <c r="AL160" s="375"/>
      <c r="AM160" s="4"/>
      <c r="AN160" s="375"/>
      <c r="AO160" s="375"/>
      <c r="AP160" s="4"/>
      <c r="AQ160" s="375">
        <f t="shared" si="150"/>
        <v>0</v>
      </c>
      <c r="AR160" s="375">
        <f t="shared" si="150"/>
        <v>0</v>
      </c>
      <c r="AS160" s="4"/>
      <c r="AT160" s="375">
        <f t="shared" si="151"/>
        <v>0</v>
      </c>
      <c r="AU160" s="4"/>
      <c r="AV160" s="375"/>
      <c r="AW160" s="375"/>
      <c r="AX160" s="4"/>
      <c r="AY160" s="375"/>
      <c r="AZ160" s="375"/>
      <c r="BA160" s="4"/>
      <c r="BB160" s="375"/>
      <c r="BC160" s="375"/>
      <c r="BD160" s="4"/>
      <c r="BE160" s="375">
        <f t="shared" si="152"/>
        <v>0</v>
      </c>
      <c r="BF160" s="375">
        <f t="shared" si="152"/>
        <v>0</v>
      </c>
      <c r="BG160" s="402"/>
      <c r="BH160" s="375">
        <f t="shared" si="153"/>
        <v>0</v>
      </c>
      <c r="BI160" s="388">
        <f t="shared" si="154"/>
        <v>0</v>
      </c>
      <c r="BJ160" s="4"/>
      <c r="BK160" s="386" t="s">
        <v>140</v>
      </c>
      <c r="BL160" s="386" t="s">
        <v>149</v>
      </c>
      <c r="BM160" s="375">
        <v>0</v>
      </c>
      <c r="BN160" s="282"/>
    </row>
    <row r="161" spans="1:66" ht="15" hidden="1" customHeight="1" outlineLevel="1">
      <c r="A161" s="386" t="s">
        <v>140</v>
      </c>
      <c r="B161" s="386" t="s">
        <v>150</v>
      </c>
      <c r="C161" s="375">
        <v>2094000</v>
      </c>
      <c r="D161" s="4"/>
      <c r="E161" s="375">
        <v>-2416174.36</v>
      </c>
      <c r="F161" s="4"/>
      <c r="G161" s="375">
        <v>-833333.33333333337</v>
      </c>
      <c r="H161" s="375"/>
      <c r="I161" s="4"/>
      <c r="J161" s="375">
        <v>-833333.33333333337</v>
      </c>
      <c r="K161" s="375"/>
      <c r="L161" s="4"/>
      <c r="M161" s="375">
        <v>-833333.33333333337</v>
      </c>
      <c r="N161" s="375">
        <v>1110633</v>
      </c>
      <c r="O161" s="4"/>
      <c r="P161" s="375">
        <f t="shared" si="108"/>
        <v>-2500000</v>
      </c>
      <c r="Q161" s="375">
        <f t="shared" si="108"/>
        <v>1110633</v>
      </c>
      <c r="R161" s="4"/>
      <c r="S161" s="375"/>
      <c r="T161" s="375"/>
      <c r="U161" s="4"/>
      <c r="V161" s="375"/>
      <c r="W161" s="375"/>
      <c r="X161" s="4"/>
      <c r="Y161" s="375">
        <v>212144</v>
      </c>
      <c r="Z161" s="375">
        <v>212144</v>
      </c>
      <c r="AA161" s="4"/>
      <c r="AB161" s="375">
        <f>+T161+V161+Y161</f>
        <v>212144</v>
      </c>
      <c r="AC161" s="375">
        <f t="shared" si="147"/>
        <v>212144</v>
      </c>
      <c r="AD161" s="402"/>
      <c r="AE161" s="375">
        <f t="shared" si="148"/>
        <v>1322777</v>
      </c>
      <c r="AF161" s="375">
        <f t="shared" si="149"/>
        <v>1322777</v>
      </c>
      <c r="AG161" s="4"/>
      <c r="AH161" s="375"/>
      <c r="AI161" s="375"/>
      <c r="AJ161" s="4"/>
      <c r="AK161" s="375"/>
      <c r="AL161" s="375"/>
      <c r="AM161" s="4"/>
      <c r="AN161" s="375">
        <v>3246953</v>
      </c>
      <c r="AO161" s="375">
        <v>3246953</v>
      </c>
      <c r="AP161" s="4"/>
      <c r="AQ161" s="375">
        <f t="shared" si="150"/>
        <v>3246953</v>
      </c>
      <c r="AR161" s="375">
        <f t="shared" si="150"/>
        <v>3246953</v>
      </c>
      <c r="AS161" s="4"/>
      <c r="AT161" s="375">
        <f t="shared" si="151"/>
        <v>4569730</v>
      </c>
      <c r="AU161" s="4"/>
      <c r="AV161" s="375">
        <v>-1333333.33</v>
      </c>
      <c r="AW161" s="375"/>
      <c r="AX161" s="4"/>
      <c r="AY161" s="375">
        <v>-1333333.33</v>
      </c>
      <c r="AZ161" s="375"/>
      <c r="BA161" s="4"/>
      <c r="BB161" s="375">
        <v>-1257004.2083333335</v>
      </c>
      <c r="BC161" s="375">
        <f>-56891920.27-250000</f>
        <v>-57141920.270000003</v>
      </c>
      <c r="BD161" s="4"/>
      <c r="BE161" s="375">
        <f t="shared" si="152"/>
        <v>-3923670.8683333336</v>
      </c>
      <c r="BF161" s="375">
        <f t="shared" si="152"/>
        <v>-57141920.270000003</v>
      </c>
      <c r="BG161" s="402"/>
      <c r="BH161" s="375">
        <f t="shared" si="153"/>
        <v>646059.13166666636</v>
      </c>
      <c r="BI161" s="388">
        <f t="shared" si="154"/>
        <v>-52572190.270000003</v>
      </c>
      <c r="BJ161" s="4"/>
      <c r="BK161" s="386" t="s">
        <v>140</v>
      </c>
      <c r="BL161" s="386" t="s">
        <v>150</v>
      </c>
      <c r="BM161" s="375">
        <v>-16190042</v>
      </c>
      <c r="BN161" s="282"/>
    </row>
    <row r="162" spans="1:66" ht="15" customHeight="1" collapsed="1">
      <c r="A162" s="386" t="s">
        <v>140</v>
      </c>
      <c r="B162" s="386"/>
      <c r="C162" s="389">
        <f>SUM(C152:C161)</f>
        <v>2094000</v>
      </c>
      <c r="D162" s="4"/>
      <c r="E162" s="389">
        <f>SUM(E152:E161)</f>
        <v>-2416174.36</v>
      </c>
      <c r="F162" s="4"/>
      <c r="G162" s="389">
        <f>SUM(G152:G161)</f>
        <v>-833333.33333333337</v>
      </c>
      <c r="H162" s="389">
        <f>SUM(H152:H161)</f>
        <v>0</v>
      </c>
      <c r="I162" s="4"/>
      <c r="J162" s="389">
        <f>SUM(J152:J161)</f>
        <v>-833333.33333333337</v>
      </c>
      <c r="K162" s="389">
        <f>SUM(K152:K161)</f>
        <v>0</v>
      </c>
      <c r="L162" s="4"/>
      <c r="M162" s="389">
        <f>SUM(M152:M161)</f>
        <v>-833333.33333333337</v>
      </c>
      <c r="N162" s="389">
        <f>SUM(N152:N161)</f>
        <v>1110633</v>
      </c>
      <c r="O162" s="4"/>
      <c r="P162" s="389">
        <f>+G162+J162+M162</f>
        <v>-2500000</v>
      </c>
      <c r="Q162" s="389">
        <f>+H162+K162+N162</f>
        <v>1110633</v>
      </c>
      <c r="R162" s="4"/>
      <c r="S162" s="389">
        <f>SUM(S152:S161)</f>
        <v>0</v>
      </c>
      <c r="T162" s="389">
        <f>SUM(T152:T161)</f>
        <v>0</v>
      </c>
      <c r="U162" s="4"/>
      <c r="V162" s="389">
        <f>SUM(V152:V161)</f>
        <v>0</v>
      </c>
      <c r="W162" s="389">
        <f>SUM(W152:W161)</f>
        <v>0</v>
      </c>
      <c r="X162" s="4"/>
      <c r="Y162" s="389">
        <f>SUM(Y152:Y161)</f>
        <v>212144</v>
      </c>
      <c r="Z162" s="389">
        <f>SUM(Z152:Z161)</f>
        <v>212144</v>
      </c>
      <c r="AA162" s="4"/>
      <c r="AB162" s="389">
        <f>SUM(AB152:AB161)</f>
        <v>212144</v>
      </c>
      <c r="AC162" s="389">
        <f>SUM(AC152:AC161)</f>
        <v>212144</v>
      </c>
      <c r="AD162" s="402"/>
      <c r="AE162" s="389">
        <f>SUM(AE152:AE161)</f>
        <v>1322777</v>
      </c>
      <c r="AF162" s="389">
        <f>SUM(AF152:AF161)</f>
        <v>1322777</v>
      </c>
      <c r="AG162" s="4"/>
      <c r="AH162" s="389">
        <f>SUM(AH152:AH161)</f>
        <v>0</v>
      </c>
      <c r="AI162" s="389">
        <f>SUM(AI152:AI161)</f>
        <v>0</v>
      </c>
      <c r="AJ162" s="4"/>
      <c r="AK162" s="389">
        <f>SUM(AK152:AK161)</f>
        <v>0</v>
      </c>
      <c r="AL162" s="389">
        <f>SUM(AL152:AL161)</f>
        <v>0</v>
      </c>
      <c r="AM162" s="4"/>
      <c r="AN162" s="389">
        <f>SUM(AN152:AN161)</f>
        <v>3246953</v>
      </c>
      <c r="AO162" s="389">
        <f>SUM(AO152:AO161)</f>
        <v>3246953</v>
      </c>
      <c r="AP162" s="4"/>
      <c r="AQ162" s="389">
        <f>SUM(AQ152:AQ161)</f>
        <v>3246953</v>
      </c>
      <c r="AR162" s="389">
        <f>SUM(AR152:AR161)</f>
        <v>3246953</v>
      </c>
      <c r="AS162" s="4"/>
      <c r="AT162" s="389">
        <f>SUM(AT152:AT161)</f>
        <v>4569730</v>
      </c>
      <c r="AU162" s="4"/>
      <c r="AV162" s="389">
        <f>SUM(AV152:AV161)</f>
        <v>-1333333.33</v>
      </c>
      <c r="AW162" s="389">
        <f>SUM(AW152:AW161)</f>
        <v>0</v>
      </c>
      <c r="AX162" s="4"/>
      <c r="AY162" s="389">
        <f>SUM(AY152:AY161)</f>
        <v>-1333333.33</v>
      </c>
      <c r="AZ162" s="389">
        <f>SUM(AZ152:AZ161)</f>
        <v>0</v>
      </c>
      <c r="BA162" s="4"/>
      <c r="BB162" s="389">
        <f>SUM(BB152:BB161)</f>
        <v>-1257004.2083333335</v>
      </c>
      <c r="BC162" s="389">
        <f>SUM(BC152:BC161)</f>
        <v>-57141920.270000003</v>
      </c>
      <c r="BD162" s="4"/>
      <c r="BE162" s="389">
        <f>SUM(BE152:BE161)</f>
        <v>-3923670.8683333336</v>
      </c>
      <c r="BF162" s="389">
        <f>SUM(BF152:BF161)</f>
        <v>-57141920.270000003</v>
      </c>
      <c r="BG162" s="402"/>
      <c r="BH162" s="389">
        <f>SUM(BH152:BH161)</f>
        <v>646059.13166666636</v>
      </c>
      <c r="BI162" s="389">
        <f>SUM(BI152:BI161)</f>
        <v>-52572190.270000003</v>
      </c>
      <c r="BJ162" s="4"/>
      <c r="BK162" s="386" t="s">
        <v>140</v>
      </c>
      <c r="BL162" s="386"/>
      <c r="BM162" s="389">
        <f>SUM(BM152:BM161)</f>
        <v>-16190042</v>
      </c>
      <c r="BN162" s="282"/>
    </row>
    <row r="163" spans="1:66" ht="15" hidden="1" customHeight="1" outlineLevel="1">
      <c r="A163" s="386" t="s">
        <v>151</v>
      </c>
      <c r="B163" s="386" t="s">
        <v>151</v>
      </c>
      <c r="C163" s="389">
        <v>1900000</v>
      </c>
      <c r="D163" s="4"/>
      <c r="E163" s="389">
        <v>1900000</v>
      </c>
      <c r="F163" s="4"/>
      <c r="G163" s="389"/>
      <c r="H163" s="389"/>
      <c r="I163" s="4"/>
      <c r="J163" s="389"/>
      <c r="K163" s="389"/>
      <c r="L163" s="4"/>
      <c r="M163" s="389"/>
      <c r="N163" s="389"/>
      <c r="O163" s="4"/>
      <c r="P163" s="389">
        <f t="shared" si="108"/>
        <v>0</v>
      </c>
      <c r="Q163" s="389">
        <f t="shared" si="108"/>
        <v>0</v>
      </c>
      <c r="R163" s="4"/>
      <c r="S163" s="389"/>
      <c r="T163" s="389"/>
      <c r="U163" s="4"/>
      <c r="V163" s="389"/>
      <c r="W163" s="389"/>
      <c r="X163" s="4"/>
      <c r="Y163" s="389"/>
      <c r="Z163" s="389"/>
      <c r="AA163" s="4"/>
      <c r="AB163" s="375">
        <f t="shared" ref="AB163:AB168" si="155">+T163+V163+Y163</f>
        <v>0</v>
      </c>
      <c r="AC163" s="375">
        <f t="shared" si="147"/>
        <v>0</v>
      </c>
      <c r="AD163" s="402"/>
      <c r="AE163" s="375">
        <f t="shared" ref="AE163:AE175" si="156">+Q163+AB163</f>
        <v>0</v>
      </c>
      <c r="AF163" s="375">
        <f t="shared" ref="AF163:AF169" si="157">+AC163+Q163</f>
        <v>0</v>
      </c>
      <c r="AG163" s="4"/>
      <c r="AH163" s="389"/>
      <c r="AI163" s="389"/>
      <c r="AJ163" s="4"/>
      <c r="AK163" s="389"/>
      <c r="AL163" s="389"/>
      <c r="AM163" s="4"/>
      <c r="AN163" s="389"/>
      <c r="AO163" s="389"/>
      <c r="AP163" s="4"/>
      <c r="AQ163" s="375">
        <f t="shared" ref="AQ163:AR163" si="158">AN163+AK163+AH163</f>
        <v>0</v>
      </c>
      <c r="AR163" s="375">
        <f t="shared" si="158"/>
        <v>0</v>
      </c>
      <c r="AS163" s="4"/>
      <c r="AT163" s="375">
        <f t="shared" ref="AT163:AT169" si="159">+AF163+AR163</f>
        <v>0</v>
      </c>
      <c r="AU163" s="4"/>
      <c r="AV163" s="389"/>
      <c r="AW163" s="389"/>
      <c r="AX163" s="4"/>
      <c r="AY163" s="389"/>
      <c r="AZ163" s="389"/>
      <c r="BA163" s="4"/>
      <c r="BB163" s="389"/>
      <c r="BC163" s="389"/>
      <c r="BD163" s="4"/>
      <c r="BE163" s="375">
        <f t="shared" ref="BE163:BF163" si="160">BB163+AY163+AV163</f>
        <v>0</v>
      </c>
      <c r="BF163" s="375">
        <f t="shared" si="160"/>
        <v>0</v>
      </c>
      <c r="BG163" s="402"/>
      <c r="BH163" s="375">
        <f t="shared" ref="BH163" si="161">Q163+AB163+AQ163+BE163</f>
        <v>0</v>
      </c>
      <c r="BI163" s="388">
        <f t="shared" ref="BI163" si="162">Q163+AC163+AR163+BF163</f>
        <v>0</v>
      </c>
      <c r="BJ163" s="4"/>
      <c r="BK163" s="386" t="s">
        <v>151</v>
      </c>
      <c r="BL163" s="386" t="s">
        <v>151</v>
      </c>
      <c r="BM163" s="375">
        <v>0</v>
      </c>
      <c r="BN163" s="282"/>
    </row>
    <row r="164" spans="1:66" ht="15" customHeight="1" collapsed="1">
      <c r="A164" s="386" t="s">
        <v>151</v>
      </c>
      <c r="B164" s="386"/>
      <c r="C164" s="389">
        <f>SUM(C163)</f>
        <v>1900000</v>
      </c>
      <c r="D164" s="4"/>
      <c r="E164" s="389">
        <f>SUM(E163)</f>
        <v>1900000</v>
      </c>
      <c r="F164" s="4"/>
      <c r="G164" s="389">
        <f>SUM(G163)</f>
        <v>0</v>
      </c>
      <c r="H164" s="389">
        <f>SUM(H163)</f>
        <v>0</v>
      </c>
      <c r="I164" s="4"/>
      <c r="J164" s="389">
        <f>SUM(J163)</f>
        <v>0</v>
      </c>
      <c r="K164" s="389">
        <f>SUM(K163)</f>
        <v>0</v>
      </c>
      <c r="L164" s="4"/>
      <c r="M164" s="389">
        <f>SUM(M163)</f>
        <v>0</v>
      </c>
      <c r="N164" s="389">
        <f>SUM(N163)</f>
        <v>0</v>
      </c>
      <c r="O164" s="4"/>
      <c r="P164" s="389">
        <f t="shared" si="108"/>
        <v>0</v>
      </c>
      <c r="Q164" s="389">
        <f t="shared" si="108"/>
        <v>0</v>
      </c>
      <c r="R164" s="4"/>
      <c r="S164" s="389">
        <f>SUM(S163)</f>
        <v>0</v>
      </c>
      <c r="T164" s="389">
        <f>SUM(T163)</f>
        <v>0</v>
      </c>
      <c r="U164" s="4"/>
      <c r="V164" s="389">
        <f>SUM(V163)</f>
        <v>0</v>
      </c>
      <c r="W164" s="389">
        <f>SUM(W163)</f>
        <v>0</v>
      </c>
      <c r="X164" s="4"/>
      <c r="Y164" s="389">
        <f>SUM(Y163)</f>
        <v>0</v>
      </c>
      <c r="Z164" s="389">
        <f>SUM(Z163)</f>
        <v>0</v>
      </c>
      <c r="AA164" s="4"/>
      <c r="AB164" s="375">
        <f t="shared" si="155"/>
        <v>0</v>
      </c>
      <c r="AC164" s="375">
        <f t="shared" si="147"/>
        <v>0</v>
      </c>
      <c r="AD164" s="402"/>
      <c r="AE164" s="375">
        <f t="shared" si="156"/>
        <v>0</v>
      </c>
      <c r="AF164" s="375">
        <f t="shared" si="157"/>
        <v>0</v>
      </c>
      <c r="AG164" s="4"/>
      <c r="AH164" s="389">
        <f>SUM(AH163)</f>
        <v>0</v>
      </c>
      <c r="AI164" s="389">
        <f>SUM(AI163)</f>
        <v>0</v>
      </c>
      <c r="AJ164" s="4"/>
      <c r="AK164" s="389">
        <f>SUM(AK163)</f>
        <v>0</v>
      </c>
      <c r="AL164" s="389">
        <f>SUM(AL163)</f>
        <v>0</v>
      </c>
      <c r="AM164" s="4"/>
      <c r="AN164" s="389">
        <f>SUM(AN163)</f>
        <v>0</v>
      </c>
      <c r="AO164" s="389">
        <f>SUM(AO163)</f>
        <v>0</v>
      </c>
      <c r="AP164" s="4"/>
      <c r="AQ164" s="389">
        <f>SUM(AQ163)</f>
        <v>0</v>
      </c>
      <c r="AR164" s="389">
        <f>SUM(AR163)</f>
        <v>0</v>
      </c>
      <c r="AS164" s="4"/>
      <c r="AT164" s="375">
        <f t="shared" si="159"/>
        <v>0</v>
      </c>
      <c r="AU164" s="4"/>
      <c r="AV164" s="389">
        <f>SUM(AV163)</f>
        <v>0</v>
      </c>
      <c r="AW164" s="389">
        <f>SUM(AW163)</f>
        <v>0</v>
      </c>
      <c r="AX164" s="4"/>
      <c r="AY164" s="389">
        <f>SUM(AY163)</f>
        <v>0</v>
      </c>
      <c r="AZ164" s="389">
        <f>SUM(AZ163)</f>
        <v>0</v>
      </c>
      <c r="BA164" s="4"/>
      <c r="BB164" s="389">
        <f>SUM(BB163)</f>
        <v>0</v>
      </c>
      <c r="BC164" s="389">
        <f>SUM(BC163)</f>
        <v>0</v>
      </c>
      <c r="BD164" s="4"/>
      <c r="BE164" s="389">
        <f>SUM(BE163)</f>
        <v>0</v>
      </c>
      <c r="BF164" s="389">
        <f>SUM(BF163)</f>
        <v>0</v>
      </c>
      <c r="BG164" s="402"/>
      <c r="BH164" s="389">
        <f>SUM(BH163)</f>
        <v>0</v>
      </c>
      <c r="BI164" s="389">
        <f>SUM(BI163)</f>
        <v>0</v>
      </c>
      <c r="BJ164" s="4"/>
      <c r="BK164" s="386" t="s">
        <v>151</v>
      </c>
      <c r="BL164" s="386"/>
      <c r="BM164" s="389">
        <v>0</v>
      </c>
      <c r="BN164" s="282"/>
    </row>
    <row r="165" spans="1:66" ht="15" hidden="1" customHeight="1" outlineLevel="1">
      <c r="A165" s="386" t="s">
        <v>152</v>
      </c>
      <c r="B165" s="386" t="s">
        <v>152</v>
      </c>
      <c r="C165" s="375"/>
      <c r="D165" s="4"/>
      <c r="E165" s="375"/>
      <c r="F165" s="4"/>
      <c r="G165" s="375"/>
      <c r="H165" s="375"/>
      <c r="I165" s="4"/>
      <c r="J165" s="375"/>
      <c r="K165" s="375"/>
      <c r="L165" s="4"/>
      <c r="M165" s="375"/>
      <c r="N165" s="375"/>
      <c r="O165" s="4"/>
      <c r="P165" s="375">
        <f t="shared" si="108"/>
        <v>0</v>
      </c>
      <c r="Q165" s="375">
        <f t="shared" si="108"/>
        <v>0</v>
      </c>
      <c r="R165" s="4"/>
      <c r="S165" s="375"/>
      <c r="T165" s="375"/>
      <c r="U165" s="4"/>
      <c r="V165" s="375"/>
      <c r="W165" s="375"/>
      <c r="X165" s="4"/>
      <c r="Y165" s="375"/>
      <c r="Z165" s="375"/>
      <c r="AA165" s="4"/>
      <c r="AB165" s="375">
        <f t="shared" si="155"/>
        <v>0</v>
      </c>
      <c r="AC165" s="375">
        <f t="shared" si="147"/>
        <v>0</v>
      </c>
      <c r="AD165" s="402"/>
      <c r="AE165" s="375">
        <f>+Q165+AB165</f>
        <v>0</v>
      </c>
      <c r="AF165" s="375">
        <f t="shared" si="157"/>
        <v>0</v>
      </c>
      <c r="AG165" s="4"/>
      <c r="AH165" s="375"/>
      <c r="AI165" s="375"/>
      <c r="AJ165" s="4"/>
      <c r="AK165" s="375"/>
      <c r="AL165" s="375"/>
      <c r="AM165" s="4"/>
      <c r="AN165" s="375"/>
      <c r="AO165" s="375"/>
      <c r="AP165" s="4"/>
      <c r="AQ165" s="375">
        <f t="shared" ref="AQ165:AR169" si="163">AN165+AK165+AH165</f>
        <v>0</v>
      </c>
      <c r="AR165" s="375">
        <f t="shared" si="163"/>
        <v>0</v>
      </c>
      <c r="AS165" s="4"/>
      <c r="AT165" s="375">
        <f t="shared" si="159"/>
        <v>0</v>
      </c>
      <c r="AU165" s="4"/>
      <c r="AV165" s="375"/>
      <c r="AW165" s="375"/>
      <c r="AX165" s="4"/>
      <c r="AY165" s="375"/>
      <c r="AZ165" s="375"/>
      <c r="BA165" s="4"/>
      <c r="BB165" s="375"/>
      <c r="BC165" s="375"/>
      <c r="BD165" s="4"/>
      <c r="BE165" s="375">
        <f t="shared" ref="BE165:BF169" si="164">BB165+AY165+AV165</f>
        <v>0</v>
      </c>
      <c r="BF165" s="375">
        <f t="shared" si="164"/>
        <v>0</v>
      </c>
      <c r="BG165" s="402"/>
      <c r="BH165" s="375">
        <f t="shared" ref="BH165" si="165">Q165+AB165+AQ165+BE165</f>
        <v>0</v>
      </c>
      <c r="BI165" s="388">
        <f t="shared" ref="BI165" si="166">Q165+AC165+AR165+BF165</f>
        <v>0</v>
      </c>
      <c r="BJ165" s="4"/>
      <c r="BK165" s="386" t="s">
        <v>152</v>
      </c>
      <c r="BL165" s="386" t="s">
        <v>152</v>
      </c>
      <c r="BM165" s="375">
        <v>0</v>
      </c>
      <c r="BN165" s="282"/>
    </row>
    <row r="166" spans="1:66" ht="15" hidden="1" customHeight="1" outlineLevel="1">
      <c r="A166" s="386" t="s">
        <v>152</v>
      </c>
      <c r="B166" s="386"/>
      <c r="C166" s="389">
        <f>SUM(C165)</f>
        <v>0</v>
      </c>
      <c r="D166" s="4"/>
      <c r="E166" s="389">
        <f>SUM(E165)</f>
        <v>0</v>
      </c>
      <c r="F166" s="4"/>
      <c r="G166" s="389">
        <f>SUM(G165)</f>
        <v>0</v>
      </c>
      <c r="H166" s="389">
        <f>SUM(H165)</f>
        <v>0</v>
      </c>
      <c r="I166" s="4"/>
      <c r="J166" s="389">
        <f>SUM(J165)</f>
        <v>0</v>
      </c>
      <c r="K166" s="389">
        <f>SUM(K165)</f>
        <v>0</v>
      </c>
      <c r="L166" s="4"/>
      <c r="M166" s="389">
        <f>SUM(M165)</f>
        <v>0</v>
      </c>
      <c r="N166" s="389">
        <f>SUM(N165)</f>
        <v>0</v>
      </c>
      <c r="O166" s="4"/>
      <c r="P166" s="389">
        <f t="shared" si="108"/>
        <v>0</v>
      </c>
      <c r="Q166" s="389">
        <f t="shared" si="108"/>
        <v>0</v>
      </c>
      <c r="R166" s="4"/>
      <c r="S166" s="389">
        <f>SUM(S165)</f>
        <v>0</v>
      </c>
      <c r="T166" s="389">
        <f>SUM(T165)</f>
        <v>0</v>
      </c>
      <c r="U166" s="4"/>
      <c r="V166" s="389">
        <f>SUM(V165)</f>
        <v>0</v>
      </c>
      <c r="W166" s="389">
        <f>SUM(W165)</f>
        <v>0</v>
      </c>
      <c r="X166" s="4"/>
      <c r="Y166" s="389">
        <f>SUM(Y165)</f>
        <v>0</v>
      </c>
      <c r="Z166" s="389">
        <f>SUM(Z165)</f>
        <v>0</v>
      </c>
      <c r="AA166" s="4"/>
      <c r="AB166" s="375">
        <f t="shared" si="155"/>
        <v>0</v>
      </c>
      <c r="AC166" s="375">
        <f t="shared" si="147"/>
        <v>0</v>
      </c>
      <c r="AD166" s="402"/>
      <c r="AE166" s="375">
        <f t="shared" si="156"/>
        <v>0</v>
      </c>
      <c r="AF166" s="375">
        <f t="shared" si="157"/>
        <v>0</v>
      </c>
      <c r="AG166" s="4"/>
      <c r="AH166" s="389">
        <f>SUM(AH165)</f>
        <v>0</v>
      </c>
      <c r="AI166" s="389">
        <f>SUM(AI165)</f>
        <v>0</v>
      </c>
      <c r="AJ166" s="4"/>
      <c r="AK166" s="389">
        <f>SUM(AK165)</f>
        <v>0</v>
      </c>
      <c r="AL166" s="389">
        <f>SUM(AL165)</f>
        <v>0</v>
      </c>
      <c r="AM166" s="4"/>
      <c r="AN166" s="389">
        <f>SUM(AN165)</f>
        <v>0</v>
      </c>
      <c r="AO166" s="389">
        <f>SUM(AO165)</f>
        <v>0</v>
      </c>
      <c r="AP166" s="4"/>
      <c r="AQ166" s="375">
        <f t="shared" si="163"/>
        <v>0</v>
      </c>
      <c r="AR166" s="375">
        <f t="shared" si="163"/>
        <v>0</v>
      </c>
      <c r="AS166" s="4"/>
      <c r="AT166" s="375">
        <f t="shared" si="159"/>
        <v>0</v>
      </c>
      <c r="AU166" s="4"/>
      <c r="AV166" s="389">
        <f>SUM(AV165)</f>
        <v>0</v>
      </c>
      <c r="AW166" s="389">
        <f>SUM(AW165)</f>
        <v>0</v>
      </c>
      <c r="AX166" s="4"/>
      <c r="AY166" s="389">
        <f>SUM(AY165)</f>
        <v>0</v>
      </c>
      <c r="AZ166" s="389">
        <f>SUM(AZ165)</f>
        <v>0</v>
      </c>
      <c r="BA166" s="4"/>
      <c r="BB166" s="389">
        <f>SUM(BB165)</f>
        <v>0</v>
      </c>
      <c r="BC166" s="389">
        <f>SUM(BC165)</f>
        <v>0</v>
      </c>
      <c r="BD166" s="4"/>
      <c r="BE166" s="375">
        <f t="shared" si="164"/>
        <v>0</v>
      </c>
      <c r="BF166" s="375">
        <f t="shared" si="164"/>
        <v>0</v>
      </c>
      <c r="BG166" s="402"/>
      <c r="BH166" s="375">
        <f t="shared" ref="BH166:BH168" si="167">W166+AH166+AN166+AQ166+AV166+BB166</f>
        <v>0</v>
      </c>
      <c r="BI166" s="388">
        <f t="shared" ref="BI166:BI168" si="168">AZ166+AI166+W166+BC166</f>
        <v>0</v>
      </c>
      <c r="BJ166" s="4"/>
      <c r="BK166" s="386" t="s">
        <v>152</v>
      </c>
      <c r="BL166" s="386"/>
      <c r="BM166" s="389">
        <v>0</v>
      </c>
      <c r="BN166" s="282"/>
    </row>
    <row r="167" spans="1:66" ht="15" hidden="1" customHeight="1" outlineLevel="1">
      <c r="A167" s="386" t="s">
        <v>153</v>
      </c>
      <c r="B167" s="386" t="s">
        <v>153</v>
      </c>
      <c r="C167" s="389"/>
      <c r="D167" s="4"/>
      <c r="E167" s="389"/>
      <c r="F167" s="4"/>
      <c r="G167" s="389"/>
      <c r="H167" s="389"/>
      <c r="I167" s="4"/>
      <c r="J167" s="389"/>
      <c r="K167" s="389"/>
      <c r="L167" s="4"/>
      <c r="M167" s="389"/>
      <c r="N167" s="389"/>
      <c r="O167" s="4"/>
      <c r="P167" s="389">
        <f t="shared" si="108"/>
        <v>0</v>
      </c>
      <c r="Q167" s="389">
        <f t="shared" si="108"/>
        <v>0</v>
      </c>
      <c r="R167" s="4"/>
      <c r="S167" s="389"/>
      <c r="T167" s="389"/>
      <c r="U167" s="4"/>
      <c r="V167" s="389"/>
      <c r="W167" s="389"/>
      <c r="X167" s="4"/>
      <c r="Y167" s="389"/>
      <c r="Z167" s="389"/>
      <c r="AA167" s="4"/>
      <c r="AB167" s="375">
        <f t="shared" si="155"/>
        <v>0</v>
      </c>
      <c r="AC167" s="375">
        <f t="shared" si="147"/>
        <v>0</v>
      </c>
      <c r="AD167" s="402"/>
      <c r="AE167" s="375">
        <f t="shared" si="156"/>
        <v>0</v>
      </c>
      <c r="AF167" s="375">
        <f t="shared" si="157"/>
        <v>0</v>
      </c>
      <c r="AG167" s="4"/>
      <c r="AH167" s="389"/>
      <c r="AI167" s="389"/>
      <c r="AJ167" s="4"/>
      <c r="AK167" s="389"/>
      <c r="AL167" s="389"/>
      <c r="AM167" s="4"/>
      <c r="AN167" s="389"/>
      <c r="AO167" s="389"/>
      <c r="AP167" s="4"/>
      <c r="AQ167" s="375">
        <f t="shared" si="163"/>
        <v>0</v>
      </c>
      <c r="AR167" s="375">
        <f t="shared" si="163"/>
        <v>0</v>
      </c>
      <c r="AS167" s="4"/>
      <c r="AT167" s="375">
        <f t="shared" si="159"/>
        <v>0</v>
      </c>
      <c r="AU167" s="4"/>
      <c r="AV167" s="389"/>
      <c r="AW167" s="389"/>
      <c r="AX167" s="4"/>
      <c r="AY167" s="389"/>
      <c r="AZ167" s="389"/>
      <c r="BA167" s="4"/>
      <c r="BB167" s="389"/>
      <c r="BC167" s="389"/>
      <c r="BD167" s="4"/>
      <c r="BE167" s="375">
        <f t="shared" si="164"/>
        <v>0</v>
      </c>
      <c r="BF167" s="375">
        <f t="shared" si="164"/>
        <v>0</v>
      </c>
      <c r="BG167" s="402"/>
      <c r="BH167" s="375">
        <f t="shared" ref="BH167" si="169">Q167+AB167+AQ167+BE167</f>
        <v>0</v>
      </c>
      <c r="BI167" s="388">
        <f t="shared" ref="BI167" si="170">Q167+AC167+AR167+BF167</f>
        <v>0</v>
      </c>
      <c r="BJ167" s="4"/>
      <c r="BK167" s="386" t="s">
        <v>153</v>
      </c>
      <c r="BL167" s="386" t="s">
        <v>153</v>
      </c>
      <c r="BM167" s="375">
        <v>0</v>
      </c>
      <c r="BN167" s="282"/>
    </row>
    <row r="168" spans="1:66" ht="15" hidden="1" customHeight="1" outlineLevel="1">
      <c r="A168" s="386" t="s">
        <v>153</v>
      </c>
      <c r="B168" s="386"/>
      <c r="C168" s="389">
        <f>SUM(C167)</f>
        <v>0</v>
      </c>
      <c r="D168" s="4"/>
      <c r="E168" s="389">
        <f>SUM(E167)</f>
        <v>0</v>
      </c>
      <c r="F168" s="4"/>
      <c r="G168" s="389">
        <f>SUM(G167)</f>
        <v>0</v>
      </c>
      <c r="H168" s="389">
        <f>SUM(H167)</f>
        <v>0</v>
      </c>
      <c r="I168" s="4"/>
      <c r="J168" s="389">
        <f>SUM(J167)</f>
        <v>0</v>
      </c>
      <c r="K168" s="389">
        <f>SUM(K167)</f>
        <v>0</v>
      </c>
      <c r="L168" s="4"/>
      <c r="M168" s="389">
        <f>SUM(M167)</f>
        <v>0</v>
      </c>
      <c r="N168" s="389">
        <f>SUM(N167)</f>
        <v>0</v>
      </c>
      <c r="O168" s="4"/>
      <c r="P168" s="389">
        <f t="shared" si="108"/>
        <v>0</v>
      </c>
      <c r="Q168" s="389">
        <f t="shared" si="108"/>
        <v>0</v>
      </c>
      <c r="R168" s="4"/>
      <c r="S168" s="389">
        <f>SUM(S167)</f>
        <v>0</v>
      </c>
      <c r="T168" s="389">
        <f>SUM(T167)</f>
        <v>0</v>
      </c>
      <c r="U168" s="4"/>
      <c r="V168" s="389">
        <f>SUM(V167)</f>
        <v>0</v>
      </c>
      <c r="W168" s="389">
        <f>SUM(W167)</f>
        <v>0</v>
      </c>
      <c r="X168" s="4"/>
      <c r="Y168" s="389">
        <f>SUM(Y167)</f>
        <v>0</v>
      </c>
      <c r="Z168" s="389">
        <f>SUM(Z167)</f>
        <v>0</v>
      </c>
      <c r="AA168" s="4"/>
      <c r="AB168" s="375">
        <f t="shared" si="155"/>
        <v>0</v>
      </c>
      <c r="AC168" s="375">
        <f t="shared" si="147"/>
        <v>0</v>
      </c>
      <c r="AD168" s="402"/>
      <c r="AE168" s="375">
        <f t="shared" si="156"/>
        <v>0</v>
      </c>
      <c r="AF168" s="375">
        <f t="shared" si="157"/>
        <v>0</v>
      </c>
      <c r="AG168" s="4"/>
      <c r="AH168" s="389">
        <f>SUM(AH167)</f>
        <v>0</v>
      </c>
      <c r="AI168" s="389">
        <f>SUM(AI167)</f>
        <v>0</v>
      </c>
      <c r="AJ168" s="4"/>
      <c r="AK168" s="389">
        <f>SUM(AK167)</f>
        <v>0</v>
      </c>
      <c r="AL168" s="389">
        <f>SUM(AL167)</f>
        <v>0</v>
      </c>
      <c r="AM168" s="4"/>
      <c r="AN168" s="389">
        <f>SUM(AN167)</f>
        <v>0</v>
      </c>
      <c r="AO168" s="389">
        <f>SUM(AO167)</f>
        <v>0</v>
      </c>
      <c r="AP168" s="4"/>
      <c r="AQ168" s="375">
        <f t="shared" si="163"/>
        <v>0</v>
      </c>
      <c r="AR168" s="375">
        <f t="shared" si="163"/>
        <v>0</v>
      </c>
      <c r="AS168" s="4"/>
      <c r="AT168" s="375">
        <f t="shared" si="159"/>
        <v>0</v>
      </c>
      <c r="AU168" s="4"/>
      <c r="AV168" s="389">
        <f>SUM(AV167)</f>
        <v>0</v>
      </c>
      <c r="AW168" s="389">
        <f>SUM(AW167)</f>
        <v>0</v>
      </c>
      <c r="AX168" s="4"/>
      <c r="AY168" s="389">
        <f>SUM(AY167)</f>
        <v>0</v>
      </c>
      <c r="AZ168" s="389">
        <f>SUM(AZ167)</f>
        <v>0</v>
      </c>
      <c r="BA168" s="4"/>
      <c r="BB168" s="389">
        <f>SUM(BB167)</f>
        <v>0</v>
      </c>
      <c r="BC168" s="389">
        <f>SUM(BC167)</f>
        <v>0</v>
      </c>
      <c r="BD168" s="4"/>
      <c r="BE168" s="375">
        <f t="shared" si="164"/>
        <v>0</v>
      </c>
      <c r="BF168" s="375">
        <f t="shared" si="164"/>
        <v>0</v>
      </c>
      <c r="BG168" s="402"/>
      <c r="BH168" s="375">
        <f t="shared" si="167"/>
        <v>0</v>
      </c>
      <c r="BI168" s="388">
        <f t="shared" si="168"/>
        <v>0</v>
      </c>
      <c r="BJ168" s="4"/>
      <c r="BK168" s="386" t="s">
        <v>153</v>
      </c>
      <c r="BL168" s="386"/>
      <c r="BM168" s="389">
        <v>0</v>
      </c>
      <c r="BN168" s="282"/>
    </row>
    <row r="169" spans="1:66" ht="15" hidden="1" customHeight="1" outlineLevel="1">
      <c r="A169" s="386" t="s">
        <v>154</v>
      </c>
      <c r="B169" s="386" t="s">
        <v>155</v>
      </c>
      <c r="C169" s="375">
        <v>4450000</v>
      </c>
      <c r="D169" s="4"/>
      <c r="E169" s="375">
        <v>2759799.87</v>
      </c>
      <c r="F169" s="4"/>
      <c r="G169" s="375"/>
      <c r="H169" s="375">
        <v>-1026341</v>
      </c>
      <c r="I169" s="4"/>
      <c r="J169" s="375"/>
      <c r="K169" s="375">
        <v>402419.67</v>
      </c>
      <c r="L169" s="4"/>
      <c r="M169" s="375"/>
      <c r="N169" s="375">
        <v>-2284566.5499999998</v>
      </c>
      <c r="O169" s="4"/>
      <c r="P169" s="375">
        <f t="shared" si="108"/>
        <v>0</v>
      </c>
      <c r="Q169" s="375">
        <f t="shared" si="108"/>
        <v>-2908487.88</v>
      </c>
      <c r="R169" s="4"/>
      <c r="S169" s="375">
        <v>1891607.96</v>
      </c>
      <c r="T169" s="375">
        <v>1891607.96</v>
      </c>
      <c r="U169" s="4"/>
      <c r="V169" s="375">
        <v>1229941.24</v>
      </c>
      <c r="W169" s="375">
        <v>1229941.24</v>
      </c>
      <c r="X169" s="4"/>
      <c r="Y169" s="375">
        <v>-2403542</v>
      </c>
      <c r="Z169" s="375">
        <f>-2403242-300</f>
        <v>-2403542</v>
      </c>
      <c r="AA169" s="4"/>
      <c r="AB169" s="375">
        <f>+T169+V169+Y169</f>
        <v>718007.20000000019</v>
      </c>
      <c r="AC169" s="375">
        <f t="shared" si="147"/>
        <v>718007.20000000019</v>
      </c>
      <c r="AD169" s="402"/>
      <c r="AE169" s="375">
        <f t="shared" si="156"/>
        <v>-2190480.6799999997</v>
      </c>
      <c r="AF169" s="375">
        <f t="shared" si="157"/>
        <v>-2190480.6799999997</v>
      </c>
      <c r="AG169" s="4"/>
      <c r="AH169" s="375">
        <v>233023.42</v>
      </c>
      <c r="AI169" s="375">
        <v>233023.42</v>
      </c>
      <c r="AJ169" s="4"/>
      <c r="AK169" s="375">
        <v>-508729.18</v>
      </c>
      <c r="AL169" s="375">
        <v>-510667.26</v>
      </c>
      <c r="AM169" s="4"/>
      <c r="AN169" s="375">
        <v>-1335746.6299999999</v>
      </c>
      <c r="AO169" s="375">
        <v>-1333811.3999999999</v>
      </c>
      <c r="AP169" s="4"/>
      <c r="AQ169" s="375">
        <f t="shared" si="163"/>
        <v>-1611452.39</v>
      </c>
      <c r="AR169" s="375">
        <f t="shared" si="163"/>
        <v>-1611455.24</v>
      </c>
      <c r="AS169" s="4"/>
      <c r="AT169" s="375">
        <f t="shared" si="159"/>
        <v>-3801935.92</v>
      </c>
      <c r="AU169" s="4"/>
      <c r="AV169" s="375">
        <v>80992.08</v>
      </c>
      <c r="AW169" s="375">
        <v>-184492.08</v>
      </c>
      <c r="AX169" s="4"/>
      <c r="AY169" s="375">
        <v>80992.08</v>
      </c>
      <c r="AZ169" s="375">
        <v>-1416111.24</v>
      </c>
      <c r="BA169" s="4"/>
      <c r="BB169" s="375"/>
      <c r="BC169" s="375">
        <v>-35270.660000000003</v>
      </c>
      <c r="BD169" s="4"/>
      <c r="BE169" s="375">
        <f t="shared" si="164"/>
        <v>161984.16</v>
      </c>
      <c r="BF169" s="375">
        <f t="shared" si="164"/>
        <v>-1635873.98</v>
      </c>
      <c r="BG169" s="402"/>
      <c r="BH169" s="375">
        <f t="shared" ref="BH169" si="171">Q169+AB169+AQ169+BE169</f>
        <v>-3639948.9099999992</v>
      </c>
      <c r="BI169" s="388">
        <f t="shared" ref="BI169" si="172">Q169+AC169+AR169+BF169</f>
        <v>-5437809.9000000004</v>
      </c>
      <c r="BJ169" s="4"/>
      <c r="BK169" s="386" t="s">
        <v>154</v>
      </c>
      <c r="BL169" s="386" t="s">
        <v>155</v>
      </c>
      <c r="BM169" s="375">
        <v>-1000000</v>
      </c>
      <c r="BN169" s="282"/>
    </row>
    <row r="170" spans="1:66" ht="15" customHeight="1" collapsed="1">
      <c r="A170" s="386" t="s">
        <v>154</v>
      </c>
      <c r="B170" s="386"/>
      <c r="C170" s="389">
        <f>SUM(C169)</f>
        <v>4450000</v>
      </c>
      <c r="D170" s="4"/>
      <c r="E170" s="389">
        <f>SUM(E169)</f>
        <v>2759799.87</v>
      </c>
      <c r="F170" s="4"/>
      <c r="G170" s="389">
        <f>SUM(G169)</f>
        <v>0</v>
      </c>
      <c r="H170" s="389">
        <f>SUM(H169)</f>
        <v>-1026341</v>
      </c>
      <c r="I170" s="4"/>
      <c r="J170" s="389">
        <f>SUM(J169)</f>
        <v>0</v>
      </c>
      <c r="K170" s="389">
        <f>SUM(K169)</f>
        <v>402419.67</v>
      </c>
      <c r="L170" s="4"/>
      <c r="M170" s="389">
        <f>SUM(M169)</f>
        <v>0</v>
      </c>
      <c r="N170" s="389">
        <f>SUM(N169)</f>
        <v>-2284566.5499999998</v>
      </c>
      <c r="O170" s="4"/>
      <c r="P170" s="389">
        <f t="shared" si="108"/>
        <v>0</v>
      </c>
      <c r="Q170" s="389">
        <f t="shared" si="108"/>
        <v>-2908487.88</v>
      </c>
      <c r="R170" s="4"/>
      <c r="S170" s="389">
        <f>SUM(S169)</f>
        <v>1891607.96</v>
      </c>
      <c r="T170" s="389">
        <f>SUM(T169)</f>
        <v>1891607.96</v>
      </c>
      <c r="U170" s="4"/>
      <c r="V170" s="389">
        <f>SUM(V169)</f>
        <v>1229941.24</v>
      </c>
      <c r="W170" s="389">
        <f>SUM(W169)</f>
        <v>1229941.24</v>
      </c>
      <c r="X170" s="4"/>
      <c r="Y170" s="389">
        <f>SUM(Y169)</f>
        <v>-2403542</v>
      </c>
      <c r="Z170" s="389">
        <f>SUM(Z169)</f>
        <v>-2403542</v>
      </c>
      <c r="AA170" s="4"/>
      <c r="AB170" s="375">
        <f>+T170+V170+Y170</f>
        <v>718007.20000000019</v>
      </c>
      <c r="AC170" s="389">
        <f>SUM(AC169)</f>
        <v>718007.20000000019</v>
      </c>
      <c r="AD170" s="402"/>
      <c r="AE170" s="389">
        <f>SUM(AE169)</f>
        <v>-2190480.6799999997</v>
      </c>
      <c r="AF170" s="389">
        <f>SUM(AF169)</f>
        <v>-2190480.6799999997</v>
      </c>
      <c r="AG170" s="4"/>
      <c r="AH170" s="389">
        <f>SUM(AH169)</f>
        <v>233023.42</v>
      </c>
      <c r="AI170" s="389">
        <f>SUM(AI169)</f>
        <v>233023.42</v>
      </c>
      <c r="AJ170" s="4"/>
      <c r="AK170" s="389">
        <f>SUM(AK169)</f>
        <v>-508729.18</v>
      </c>
      <c r="AL170" s="389">
        <f>SUM(AL169)</f>
        <v>-510667.26</v>
      </c>
      <c r="AM170" s="4"/>
      <c r="AN170" s="389">
        <f>SUM(AN169)</f>
        <v>-1335746.6299999999</v>
      </c>
      <c r="AO170" s="389">
        <f>SUM(AO169)</f>
        <v>-1333811.3999999999</v>
      </c>
      <c r="AP170" s="4"/>
      <c r="AQ170" s="389">
        <f>SUM(AQ169)</f>
        <v>-1611452.39</v>
      </c>
      <c r="AR170" s="389">
        <f>SUM(AR169)</f>
        <v>-1611455.24</v>
      </c>
      <c r="AS170" s="4"/>
      <c r="AT170" s="389">
        <f>SUM(AT169)</f>
        <v>-3801935.92</v>
      </c>
      <c r="AU170" s="4"/>
      <c r="AV170" s="389">
        <f>SUM(AV169)</f>
        <v>80992.08</v>
      </c>
      <c r="AW170" s="389">
        <f>SUM(AW169)</f>
        <v>-184492.08</v>
      </c>
      <c r="AX170" s="4"/>
      <c r="AY170" s="389">
        <f>SUM(AY169)</f>
        <v>80992.08</v>
      </c>
      <c r="AZ170" s="389">
        <f>SUM(AZ169)</f>
        <v>-1416111.24</v>
      </c>
      <c r="BA170" s="4"/>
      <c r="BB170" s="389">
        <f>SUM(BB169)</f>
        <v>0</v>
      </c>
      <c r="BC170" s="389">
        <f>SUM(BC169)</f>
        <v>-35270.660000000003</v>
      </c>
      <c r="BD170" s="4"/>
      <c r="BE170" s="389">
        <f>SUM(BE169)</f>
        <v>161984.16</v>
      </c>
      <c r="BF170" s="389">
        <f>SUM(BF169)</f>
        <v>-1635873.98</v>
      </c>
      <c r="BG170" s="402"/>
      <c r="BH170" s="389">
        <f>SUM(BH169)</f>
        <v>-3639948.9099999992</v>
      </c>
      <c r="BI170" s="389">
        <f>SUM(BI169)</f>
        <v>-5437809.9000000004</v>
      </c>
      <c r="BJ170" s="4"/>
      <c r="BK170" s="386" t="s">
        <v>154</v>
      </c>
      <c r="BL170" s="386"/>
      <c r="BM170" s="389">
        <f>SUM(BM169)</f>
        <v>-1000000</v>
      </c>
      <c r="BN170" s="282"/>
    </row>
    <row r="171" spans="1:66" ht="15" customHeight="1">
      <c r="A171" s="8" t="s">
        <v>156</v>
      </c>
      <c r="B171" s="8" t="s">
        <v>157</v>
      </c>
      <c r="C171" s="9">
        <f>C151+C162+C164+C166+C168+C170</f>
        <v>-58237195.759999998</v>
      </c>
      <c r="D171" s="10"/>
      <c r="E171" s="9">
        <f>E151+E162+E164+E166+E168+E170</f>
        <v>1138114.1100000036</v>
      </c>
      <c r="F171" s="10"/>
      <c r="G171" s="9">
        <f>G151+G162+G164+G166+G168+G170</f>
        <v>-5853383.0000000009</v>
      </c>
      <c r="H171" s="9">
        <f>H151+H162+H164+H166+H168+H170</f>
        <v>-637557.25999999954</v>
      </c>
      <c r="I171" s="10"/>
      <c r="J171" s="9">
        <f>J151+J162+J164+J166+J168+J170</f>
        <v>-8890791.9699999969</v>
      </c>
      <c r="K171" s="9">
        <f>K151+K162+K164+K166+K168+K170</f>
        <v>-3500302.7499999991</v>
      </c>
      <c r="L171" s="10"/>
      <c r="M171" s="9">
        <f>M151+M162+M164+M166+M168+M170</f>
        <v>-219570.33999999822</v>
      </c>
      <c r="N171" s="9">
        <f>N151+N162+N164+N166+N168+N170</f>
        <v>1687377.8700000006</v>
      </c>
      <c r="O171" s="10"/>
      <c r="P171" s="9">
        <f t="shared" si="108"/>
        <v>-14963745.309999997</v>
      </c>
      <c r="Q171" s="9">
        <f t="shared" si="108"/>
        <v>-2450482.1399999983</v>
      </c>
      <c r="R171" s="4"/>
      <c r="S171" s="9">
        <f>S151+S162+S164+S166+S168+S170</f>
        <v>1282882.2300000009</v>
      </c>
      <c r="T171" s="9">
        <f>T151+T162+T164+T166+T168+T170</f>
        <v>1282882.2300000009</v>
      </c>
      <c r="U171" s="4"/>
      <c r="V171" s="9">
        <f>V151+V162+V164+V166+V168+V170</f>
        <v>-1733806.95</v>
      </c>
      <c r="W171" s="9">
        <f>W151+W162+W164+W166+W168+W170</f>
        <v>-1724279.3299999989</v>
      </c>
      <c r="X171" s="4"/>
      <c r="Y171" s="9">
        <f>Y151+Y162+Y164+Y166+Y168+Y170</f>
        <v>2131308.7400000002</v>
      </c>
      <c r="Z171" s="9">
        <f>Z151+Z162+Z164+Z166+Z168+Z170</f>
        <v>2121781.120000001</v>
      </c>
      <c r="AA171" s="4"/>
      <c r="AB171" s="9">
        <f>AB151+AB162+AB164+AB166+AB168+AB170</f>
        <v>1680384.0200000026</v>
      </c>
      <c r="AC171" s="9">
        <f>AC151+AC162+AC164+AC166+AC168+AC170</f>
        <v>1680384.0200000026</v>
      </c>
      <c r="AD171" s="402"/>
      <c r="AE171" s="9">
        <f>AE151+AE162+AE164+AE166+AE168+AE170</f>
        <v>-770098.11999999708</v>
      </c>
      <c r="AF171" s="9">
        <f>AF151+AF162+AF164+AF166+AF168+AF170</f>
        <v>-770098.11999999708</v>
      </c>
      <c r="AG171" s="4"/>
      <c r="AH171" s="9">
        <f>AH151+AH162+AH164+AH166+AH168+AH170</f>
        <v>-6601634.3099999996</v>
      </c>
      <c r="AI171" s="9">
        <f>AI151+AI162+AI164+AI166+AI168+AI170</f>
        <v>-6601634.3099999996</v>
      </c>
      <c r="AJ171" s="4"/>
      <c r="AK171" s="9">
        <f>AK151+AK162+AK164+AK166+AK168+AK170</f>
        <v>-4975322.3900000006</v>
      </c>
      <c r="AL171" s="9">
        <f>AL151+AL162+AL164+AL166+AL168+AL170</f>
        <v>-4977260.4700000007</v>
      </c>
      <c r="AM171" s="4"/>
      <c r="AN171" s="9">
        <f>AN151+AN162+AN164+AN166+AN168+AN170</f>
        <v>10548108.989999998</v>
      </c>
      <c r="AO171" s="9">
        <f>AO151+AO162+AO164+AO166+AO168+AO170</f>
        <v>10550044.219999999</v>
      </c>
      <c r="AP171" s="4"/>
      <c r="AQ171" s="9">
        <f>AQ151+AQ162+AQ164+AQ166+AQ168+AQ170</f>
        <v>-1028847.7100000044</v>
      </c>
      <c r="AR171" s="9">
        <f>AR151+AR162+AR164+AR166+AR168+AR170</f>
        <v>-1028850.5600000045</v>
      </c>
      <c r="AS171" s="4"/>
      <c r="AT171" s="9">
        <f>AT151+AT162+AT164+AT166+AT168+AT170</f>
        <v>-1798948.6800000188</v>
      </c>
      <c r="AU171" s="4"/>
      <c r="AV171" s="9">
        <f>AV151+AV162+AV164+AV166+AV168+AV170</f>
        <v>-8230186.5427452335</v>
      </c>
      <c r="AW171" s="9">
        <f>AW151+AW162+AW164+AW166+AW168+AW170</f>
        <v>-12578336.239999996</v>
      </c>
      <c r="AX171" s="4"/>
      <c r="AY171" s="9">
        <f>AY151+AY162+AY164+AY166+AY168+AY170</f>
        <v>-625362.85722231085</v>
      </c>
      <c r="AZ171" s="9">
        <f>AZ151+AZ162+AZ164+AZ166+AZ168+AZ170</f>
        <v>-7117127.7000000002</v>
      </c>
      <c r="BA171" s="4"/>
      <c r="BB171" s="9">
        <f>BB151+BB162+BB164+BB166+BB168+BB170</f>
        <v>15010136.815959718</v>
      </c>
      <c r="BC171" s="9">
        <f>BC151+BC162+BC164+BC166+BC168+BC170</f>
        <v>-37244585.57</v>
      </c>
      <c r="BD171" s="4"/>
      <c r="BE171" s="9">
        <f>BE151+BE162+BE164+BE166+BE168+BE170</f>
        <v>6154587.4159921817</v>
      </c>
      <c r="BF171" s="9">
        <f>BF151+BF162+BF164+BF166+BF168+BF170</f>
        <v>-56940049.510000005</v>
      </c>
      <c r="BG171" s="402"/>
      <c r="BH171" s="9">
        <f>BH151+BH162+BH164+BH166+BH168+BH170</f>
        <v>4355641.5859921547</v>
      </c>
      <c r="BI171" s="9">
        <f>BI151+BI162+BI164+BI166+BI168+BI170</f>
        <v>-58738998.190000013</v>
      </c>
      <c r="BJ171" s="4"/>
      <c r="BK171" s="8" t="s">
        <v>156</v>
      </c>
      <c r="BL171" s="8" t="s">
        <v>157</v>
      </c>
      <c r="BM171" s="9">
        <f>BM151+BM162+BM164+BM166+BM168+BM170</f>
        <v>1351828.4900000989</v>
      </c>
      <c r="BN171" s="282"/>
    </row>
    <row r="172" spans="1:66" ht="15" hidden="1" customHeight="1" outlineLevel="1">
      <c r="A172" s="386" t="s">
        <v>158</v>
      </c>
      <c r="B172" s="386" t="s">
        <v>159</v>
      </c>
      <c r="C172" s="375">
        <v>0</v>
      </c>
      <c r="D172" s="4"/>
      <c r="E172" s="375">
        <v>0</v>
      </c>
      <c r="F172" s="4"/>
      <c r="G172" s="375">
        <v>0</v>
      </c>
      <c r="H172" s="375"/>
      <c r="I172" s="4"/>
      <c r="J172" s="375">
        <v>0</v>
      </c>
      <c r="K172" s="375"/>
      <c r="L172" s="4"/>
      <c r="M172" s="375">
        <v>0</v>
      </c>
      <c r="N172" s="375"/>
      <c r="O172" s="4"/>
      <c r="P172" s="375">
        <f t="shared" si="108"/>
        <v>0</v>
      </c>
      <c r="Q172" s="375">
        <f t="shared" si="108"/>
        <v>0</v>
      </c>
      <c r="R172" s="4"/>
      <c r="S172" s="375"/>
      <c r="T172" s="375"/>
      <c r="U172" s="4"/>
      <c r="V172" s="375"/>
      <c r="W172" s="375"/>
      <c r="X172" s="4"/>
      <c r="Y172" s="375">
        <v>0</v>
      </c>
      <c r="Z172" s="375"/>
      <c r="AA172" s="4"/>
      <c r="AB172" s="375">
        <f t="shared" ref="AB172:AB175" si="173">+T172+V172+Y172</f>
        <v>0</v>
      </c>
      <c r="AC172" s="375">
        <f t="shared" ref="AC172:AC175" si="174">+T172+W172+Z172</f>
        <v>0</v>
      </c>
      <c r="AD172" s="402"/>
      <c r="AE172" s="375">
        <f t="shared" si="156"/>
        <v>0</v>
      </c>
      <c r="AF172" s="375">
        <f t="shared" ref="AF172:AF175" si="175">+AC172+Q172</f>
        <v>0</v>
      </c>
      <c r="AG172" s="4"/>
      <c r="AH172" s="375"/>
      <c r="AI172" s="375"/>
      <c r="AJ172" s="4"/>
      <c r="AK172" s="375"/>
      <c r="AL172" s="375"/>
      <c r="AM172" s="4"/>
      <c r="AN172" s="375"/>
      <c r="AO172" s="375"/>
      <c r="AP172" s="4"/>
      <c r="AQ172" s="375">
        <f t="shared" ref="AQ172:AR175" si="176">AN172+AK172+AH172</f>
        <v>0</v>
      </c>
      <c r="AR172" s="375">
        <f t="shared" si="176"/>
        <v>0</v>
      </c>
      <c r="AS172" s="4"/>
      <c r="AT172" s="375">
        <f t="shared" ref="AT172:AT175" si="177">+AF172+AR172</f>
        <v>0</v>
      </c>
      <c r="AU172" s="4"/>
      <c r="AV172" s="375"/>
      <c r="AW172" s="375"/>
      <c r="AX172" s="4"/>
      <c r="AY172" s="375"/>
      <c r="AZ172" s="375"/>
      <c r="BA172" s="4"/>
      <c r="BB172" s="375">
        <v>-1753050.04</v>
      </c>
      <c r="BC172" s="375"/>
      <c r="BD172" s="4"/>
      <c r="BE172" s="375">
        <f t="shared" ref="BE172:BF175" si="178">BB172+AY172+AV172</f>
        <v>-1753050.04</v>
      </c>
      <c r="BF172" s="375">
        <f t="shared" si="178"/>
        <v>0</v>
      </c>
      <c r="BG172" s="402"/>
      <c r="BH172" s="375">
        <f t="shared" ref="BH172:BH175" si="179">Q172+AB172+AQ172+BE172</f>
        <v>-1753050.04</v>
      </c>
      <c r="BI172" s="388">
        <f t="shared" ref="BI172:BI175" si="180">Q172+AC172+AR172+BF172</f>
        <v>0</v>
      </c>
      <c r="BJ172" s="4"/>
      <c r="BK172" s="386" t="s">
        <v>158</v>
      </c>
      <c r="BL172" s="386" t="s">
        <v>159</v>
      </c>
      <c r="BM172" s="375">
        <v>-648006.79725000402</v>
      </c>
      <c r="BN172" s="282"/>
    </row>
    <row r="173" spans="1:66" ht="15" hidden="1" customHeight="1" outlineLevel="1">
      <c r="A173" s="386" t="s">
        <v>158</v>
      </c>
      <c r="B173" s="386" t="s">
        <v>160</v>
      </c>
      <c r="C173" s="375"/>
      <c r="D173" s="4"/>
      <c r="E173" s="375"/>
      <c r="F173" s="4"/>
      <c r="G173" s="375">
        <v>-19012.292300000001</v>
      </c>
      <c r="H173" s="375"/>
      <c r="I173" s="4"/>
      <c r="J173" s="375">
        <v>-23080.206675000001</v>
      </c>
      <c r="K173" s="375"/>
      <c r="L173" s="4"/>
      <c r="M173" s="375">
        <v>-47678.314550000003</v>
      </c>
      <c r="N173" s="375"/>
      <c r="O173" s="4"/>
      <c r="P173" s="375">
        <f t="shared" si="108"/>
        <v>-89770.813525000005</v>
      </c>
      <c r="Q173" s="375">
        <f t="shared" si="108"/>
        <v>0</v>
      </c>
      <c r="R173" s="4"/>
      <c r="S173" s="375"/>
      <c r="T173" s="375"/>
      <c r="U173" s="4"/>
      <c r="V173" s="375"/>
      <c r="W173" s="375"/>
      <c r="X173" s="4"/>
      <c r="Y173" s="375"/>
      <c r="Z173" s="375"/>
      <c r="AA173" s="4"/>
      <c r="AB173" s="375">
        <f t="shared" si="173"/>
        <v>0</v>
      </c>
      <c r="AC173" s="375">
        <f t="shared" si="174"/>
        <v>0</v>
      </c>
      <c r="AD173" s="402"/>
      <c r="AE173" s="375">
        <f t="shared" si="156"/>
        <v>0</v>
      </c>
      <c r="AF173" s="375">
        <f t="shared" si="175"/>
        <v>0</v>
      </c>
      <c r="AG173" s="4"/>
      <c r="AH173" s="375"/>
      <c r="AI173" s="375"/>
      <c r="AJ173" s="4"/>
      <c r="AK173" s="375"/>
      <c r="AL173" s="375"/>
      <c r="AM173" s="4"/>
      <c r="AN173" s="375"/>
      <c r="AO173" s="375"/>
      <c r="AP173" s="4"/>
      <c r="AQ173" s="375">
        <f t="shared" si="176"/>
        <v>0</v>
      </c>
      <c r="AR173" s="375">
        <f t="shared" si="176"/>
        <v>0</v>
      </c>
      <c r="AS173" s="4"/>
      <c r="AT173" s="375">
        <f t="shared" si="177"/>
        <v>0</v>
      </c>
      <c r="AU173" s="4"/>
      <c r="AV173" s="375"/>
      <c r="AW173" s="375"/>
      <c r="AX173" s="4"/>
      <c r="AY173" s="375"/>
      <c r="AZ173" s="375"/>
      <c r="BA173" s="4"/>
      <c r="BB173" s="375">
        <v>-73230.569266666673</v>
      </c>
      <c r="BC173" s="375"/>
      <c r="BD173" s="4"/>
      <c r="BE173" s="375">
        <f t="shared" si="178"/>
        <v>-73230.569266666673</v>
      </c>
      <c r="BF173" s="375">
        <f t="shared" si="178"/>
        <v>0</v>
      </c>
      <c r="BG173" s="402"/>
      <c r="BH173" s="375">
        <f t="shared" si="179"/>
        <v>-73230.569266666673</v>
      </c>
      <c r="BI173" s="388">
        <f t="shared" si="180"/>
        <v>0</v>
      </c>
      <c r="BJ173" s="4"/>
      <c r="BK173" s="386" t="s">
        <v>158</v>
      </c>
      <c r="BL173" s="386" t="s">
        <v>160</v>
      </c>
      <c r="BM173" s="375">
        <v>0</v>
      </c>
      <c r="BN173" s="282"/>
    </row>
    <row r="174" spans="1:66" ht="15" hidden="1" customHeight="1" outlineLevel="1">
      <c r="A174" s="386" t="s">
        <v>158</v>
      </c>
      <c r="B174" s="386" t="s">
        <v>161</v>
      </c>
      <c r="C174" s="18">
        <v>-2070116.75</v>
      </c>
      <c r="D174" s="4"/>
      <c r="E174" s="375"/>
      <c r="F174" s="4"/>
      <c r="I174" s="4"/>
      <c r="J174" s="375"/>
      <c r="K174" s="375"/>
      <c r="L174" s="4"/>
      <c r="M174" s="375"/>
      <c r="N174" s="375">
        <v>1184852</v>
      </c>
      <c r="O174" s="4"/>
      <c r="P174" s="375">
        <f t="shared" si="108"/>
        <v>0</v>
      </c>
      <c r="Q174" s="375">
        <f t="shared" si="108"/>
        <v>1184852</v>
      </c>
      <c r="R174" s="4"/>
      <c r="S174" s="375"/>
      <c r="T174" s="375"/>
      <c r="U174" s="4"/>
      <c r="V174" s="375"/>
      <c r="W174" s="375"/>
      <c r="X174" s="4"/>
      <c r="Y174" s="375">
        <v>-182662</v>
      </c>
      <c r="Z174" s="375">
        <v>-182662</v>
      </c>
      <c r="AA174" s="4"/>
      <c r="AB174" s="375">
        <f t="shared" si="173"/>
        <v>-182662</v>
      </c>
      <c r="AC174" s="375">
        <f t="shared" si="174"/>
        <v>-182662</v>
      </c>
      <c r="AD174" s="402"/>
      <c r="AE174" s="375">
        <f t="shared" si="156"/>
        <v>1002190</v>
      </c>
      <c r="AF174" s="375">
        <f t="shared" si="175"/>
        <v>1002190</v>
      </c>
      <c r="AG174" s="4"/>
      <c r="AH174" s="375"/>
      <c r="AI174" s="375"/>
      <c r="AJ174" s="4"/>
      <c r="AK174" s="375"/>
      <c r="AL174" s="375"/>
      <c r="AM174" s="4"/>
      <c r="AN174" s="375">
        <v>167711</v>
      </c>
      <c r="AO174" s="375">
        <v>167711</v>
      </c>
      <c r="AP174" s="4"/>
      <c r="AQ174" s="375">
        <f t="shared" si="176"/>
        <v>167711</v>
      </c>
      <c r="AR174" s="375">
        <f t="shared" si="176"/>
        <v>167711</v>
      </c>
      <c r="AS174" s="4"/>
      <c r="AT174" s="375">
        <f t="shared" si="177"/>
        <v>1169901</v>
      </c>
      <c r="AU174" s="4"/>
      <c r="AV174" s="375"/>
      <c r="AW174" s="375"/>
      <c r="AX174" s="4"/>
      <c r="AY174" s="375"/>
      <c r="AZ174" s="375"/>
      <c r="BA174" s="4"/>
      <c r="BB174" s="375"/>
      <c r="BC174" s="375">
        <f>435571</f>
        <v>435571</v>
      </c>
      <c r="BD174" s="4"/>
      <c r="BE174" s="375">
        <f t="shared" si="178"/>
        <v>0</v>
      </c>
      <c r="BF174" s="375">
        <f>BC174+AZ174+AW174</f>
        <v>435571</v>
      </c>
      <c r="BG174" s="402"/>
      <c r="BH174" s="375">
        <f t="shared" si="179"/>
        <v>1169901</v>
      </c>
      <c r="BI174" s="388">
        <f>Q174+AC174+AR174+BF174</f>
        <v>1605472</v>
      </c>
      <c r="BJ174" s="4"/>
      <c r="BK174" s="386" t="s">
        <v>158</v>
      </c>
      <c r="BL174" s="386" t="s">
        <v>161</v>
      </c>
      <c r="BM174" s="375">
        <v>0</v>
      </c>
      <c r="BN174" s="282"/>
    </row>
    <row r="175" spans="1:66" ht="15" hidden="1" customHeight="1" outlineLevel="1">
      <c r="A175" s="386" t="s">
        <v>158</v>
      </c>
      <c r="B175" s="386" t="s">
        <v>162</v>
      </c>
      <c r="C175" s="375"/>
      <c r="D175" s="4"/>
      <c r="E175" s="375"/>
      <c r="F175" s="4"/>
      <c r="G175" s="375"/>
      <c r="H175" s="375"/>
      <c r="I175" s="4"/>
      <c r="J175" s="375"/>
      <c r="K175" s="375"/>
      <c r="L175" s="4"/>
      <c r="M175" s="375"/>
      <c r="N175" s="375"/>
      <c r="O175" s="4"/>
      <c r="P175" s="375">
        <f t="shared" si="108"/>
        <v>0</v>
      </c>
      <c r="Q175" s="375">
        <f t="shared" si="108"/>
        <v>0</v>
      </c>
      <c r="R175" s="4"/>
      <c r="S175" s="375"/>
      <c r="T175" s="375"/>
      <c r="U175" s="4"/>
      <c r="V175" s="375"/>
      <c r="W175" s="375"/>
      <c r="X175" s="4"/>
      <c r="Y175" s="375"/>
      <c r="Z175" s="375"/>
      <c r="AA175" s="4"/>
      <c r="AB175" s="375">
        <f t="shared" si="173"/>
        <v>0</v>
      </c>
      <c r="AC175" s="375">
        <f t="shared" si="174"/>
        <v>0</v>
      </c>
      <c r="AD175" s="402"/>
      <c r="AE175" s="375">
        <f t="shared" si="156"/>
        <v>0</v>
      </c>
      <c r="AF175" s="375">
        <f t="shared" si="175"/>
        <v>0</v>
      </c>
      <c r="AG175" s="4"/>
      <c r="AH175" s="375"/>
      <c r="AI175" s="375"/>
      <c r="AJ175" s="4"/>
      <c r="AK175" s="375"/>
      <c r="AL175" s="375"/>
      <c r="AM175" s="4"/>
      <c r="AN175" s="375"/>
      <c r="AO175" s="375"/>
      <c r="AP175" s="4"/>
      <c r="AQ175" s="375">
        <f t="shared" si="176"/>
        <v>0</v>
      </c>
      <c r="AR175" s="375">
        <f t="shared" si="176"/>
        <v>0</v>
      </c>
      <c r="AS175" s="4"/>
      <c r="AT175" s="375">
        <f t="shared" si="177"/>
        <v>0</v>
      </c>
      <c r="AU175" s="4"/>
      <c r="AV175" s="375"/>
      <c r="AW175" s="375"/>
      <c r="AX175" s="4"/>
      <c r="AY175" s="375"/>
      <c r="AZ175" s="375"/>
      <c r="BA175" s="4"/>
      <c r="BB175" s="375"/>
      <c r="BC175" s="375"/>
      <c r="BD175" s="4"/>
      <c r="BE175" s="375">
        <f t="shared" si="178"/>
        <v>0</v>
      </c>
      <c r="BF175" s="375">
        <f t="shared" si="178"/>
        <v>0</v>
      </c>
      <c r="BG175" s="402"/>
      <c r="BH175" s="375">
        <f t="shared" si="179"/>
        <v>0</v>
      </c>
      <c r="BI175" s="388">
        <f t="shared" si="180"/>
        <v>0</v>
      </c>
      <c r="BJ175" s="4"/>
      <c r="BK175" s="386" t="s">
        <v>158</v>
      </c>
      <c r="BL175" s="386" t="s">
        <v>162</v>
      </c>
      <c r="BM175" s="375">
        <v>0</v>
      </c>
      <c r="BN175" s="282"/>
    </row>
    <row r="176" spans="1:66" ht="15" customHeight="1" collapsed="1">
      <c r="A176" s="386" t="s">
        <v>158</v>
      </c>
      <c r="B176" s="386"/>
      <c r="C176" s="389">
        <f>SUM(C172:C175)</f>
        <v>-2070116.75</v>
      </c>
      <c r="D176" s="4"/>
      <c r="E176" s="389">
        <f>SUM(E172:E175)</f>
        <v>0</v>
      </c>
      <c r="F176" s="4"/>
      <c r="G176" s="389">
        <f>SUM(G172:G175)</f>
        <v>-19012.292300000001</v>
      </c>
      <c r="H176" s="389">
        <f>SUM(H172:H175)</f>
        <v>0</v>
      </c>
      <c r="I176" s="4"/>
      <c r="J176" s="389">
        <f>SUM(J172:J175)</f>
        <v>-23080.206675000001</v>
      </c>
      <c r="K176" s="389">
        <f>SUM(K172:K175)</f>
        <v>0</v>
      </c>
      <c r="L176" s="4"/>
      <c r="M176" s="389">
        <f>SUM(M172:M175)</f>
        <v>-47678.314550000003</v>
      </c>
      <c r="N176" s="389">
        <f>SUM(N172:N175)</f>
        <v>1184852</v>
      </c>
      <c r="O176" s="4"/>
      <c r="P176" s="389">
        <f t="shared" si="108"/>
        <v>-89770.813525000005</v>
      </c>
      <c r="Q176" s="389">
        <f t="shared" si="108"/>
        <v>1184852</v>
      </c>
      <c r="R176" s="11"/>
      <c r="S176" s="389">
        <f>SUM(S172:S175)</f>
        <v>0</v>
      </c>
      <c r="T176" s="389">
        <f>SUM(T172:T175)</f>
        <v>0</v>
      </c>
      <c r="U176" s="11"/>
      <c r="V176" s="389">
        <f>SUM(V172:V175)</f>
        <v>0</v>
      </c>
      <c r="W176" s="389">
        <f>SUM(W172:W175)</f>
        <v>0</v>
      </c>
      <c r="X176" s="11"/>
      <c r="Y176" s="389">
        <f>SUM(Y172:Y175)</f>
        <v>-182662</v>
      </c>
      <c r="Z176" s="389">
        <f>SUM(Z172:Z175)</f>
        <v>-182662</v>
      </c>
      <c r="AA176" s="11"/>
      <c r="AB176" s="389">
        <f>SUM(AB172:AB175)</f>
        <v>-182662</v>
      </c>
      <c r="AC176" s="389">
        <f>SUM(AC172:AC175)</f>
        <v>-182662</v>
      </c>
      <c r="AD176" s="405"/>
      <c r="AE176" s="389">
        <f>SUM(AE172:AE175)</f>
        <v>1002190</v>
      </c>
      <c r="AF176" s="389">
        <f>SUM(AF172:AF175)</f>
        <v>1002190</v>
      </c>
      <c r="AG176" s="11"/>
      <c r="AH176" s="389">
        <f>SUM(AH172:AH175)</f>
        <v>0</v>
      </c>
      <c r="AI176" s="389">
        <f>SUM(AI172:AI175)</f>
        <v>0</v>
      </c>
      <c r="AJ176" s="11"/>
      <c r="AK176" s="389">
        <f>SUM(AK172:AK175)</f>
        <v>0</v>
      </c>
      <c r="AL176" s="389">
        <f>SUM(AL172:AL175)</f>
        <v>0</v>
      </c>
      <c r="AM176" s="11"/>
      <c r="AN176" s="389">
        <f>SUM(AN172:AN175)</f>
        <v>167711</v>
      </c>
      <c r="AO176" s="389">
        <f>SUM(AO172:AO175)</f>
        <v>167711</v>
      </c>
      <c r="AP176" s="11"/>
      <c r="AQ176" s="389">
        <f>SUM(AQ172:AQ175)</f>
        <v>167711</v>
      </c>
      <c r="AR176" s="389">
        <f>SUM(AR172:AR175)</f>
        <v>167711</v>
      </c>
      <c r="AS176" s="11"/>
      <c r="AT176" s="389">
        <f>SUM(AT172:AT175)</f>
        <v>1169901</v>
      </c>
      <c r="AU176" s="11"/>
      <c r="AV176" s="389">
        <f>SUM(AV172:AV175)</f>
        <v>0</v>
      </c>
      <c r="AW176" s="389">
        <f>SUM(AW172:AW175)</f>
        <v>0</v>
      </c>
      <c r="AX176" s="11"/>
      <c r="AY176" s="389">
        <f>SUM(AY172:AY175)</f>
        <v>0</v>
      </c>
      <c r="AZ176" s="389">
        <f>SUM(AZ172:AZ175)</f>
        <v>0</v>
      </c>
      <c r="BA176" s="11"/>
      <c r="BB176" s="389">
        <f>SUM(BB172:BB175)</f>
        <v>-1826280.6092666667</v>
      </c>
      <c r="BC176" s="389">
        <f>SUM(BC172:BC175)</f>
        <v>435571</v>
      </c>
      <c r="BD176" s="11"/>
      <c r="BE176" s="389">
        <f>SUM(BE172:BE175)</f>
        <v>-1826280.6092666667</v>
      </c>
      <c r="BF176" s="389">
        <f>SUM(BF172:BF175)</f>
        <v>435571</v>
      </c>
      <c r="BG176" s="405"/>
      <c r="BH176" s="389">
        <f>SUM(BH172:BH175)</f>
        <v>-656379.6092666667</v>
      </c>
      <c r="BI176" s="389">
        <f>SUM(BI172:BI175)</f>
        <v>1605472</v>
      </c>
      <c r="BJ176" s="11"/>
      <c r="BK176" s="386" t="s">
        <v>158</v>
      </c>
      <c r="BL176" s="386"/>
      <c r="BM176" s="389">
        <f>SUM(BM172:BM175)</f>
        <v>-648006.79725000402</v>
      </c>
      <c r="BN176" s="286"/>
    </row>
    <row r="177" spans="1:66" ht="15" customHeight="1">
      <c r="A177" s="8" t="s">
        <v>163</v>
      </c>
      <c r="B177" s="8" t="s">
        <v>164</v>
      </c>
      <c r="C177" s="9">
        <f>C171+C176</f>
        <v>-60307312.509999998</v>
      </c>
      <c r="D177" s="11">
        <f>+C177/C8</f>
        <v>-0.49407113248382917</v>
      </c>
      <c r="E177" s="9">
        <f>E171+E176</f>
        <v>1138114.1100000036</v>
      </c>
      <c r="F177" s="10"/>
      <c r="G177" s="9">
        <f>G171+G176</f>
        <v>-5872395.2923000008</v>
      </c>
      <c r="H177" s="9">
        <f>H171+H176</f>
        <v>-637557.25999999954</v>
      </c>
      <c r="I177" s="10"/>
      <c r="J177" s="9">
        <f>J171+J176</f>
        <v>-8913872.1766749974</v>
      </c>
      <c r="K177" s="9">
        <f>K171+K176</f>
        <v>-3500302.7499999991</v>
      </c>
      <c r="L177" s="10"/>
      <c r="M177" s="9">
        <f>M171+M176</f>
        <v>-267248.65454999823</v>
      </c>
      <c r="N177" s="9">
        <f>N171+N176</f>
        <v>2872229.8700000006</v>
      </c>
      <c r="O177" s="10"/>
      <c r="P177" s="9">
        <f>+G177+J177+M177</f>
        <v>-15053516.123524997</v>
      </c>
      <c r="Q177" s="9">
        <f>+H177+K177+N177</f>
        <v>-1265630.1399999983</v>
      </c>
      <c r="R177" s="11">
        <f>+Q177/Q8</f>
        <v>-3.4800578640540342E-2</v>
      </c>
      <c r="S177" s="9">
        <f>S171+S176</f>
        <v>1282882.2300000009</v>
      </c>
      <c r="T177" s="9">
        <f>T171+T176</f>
        <v>1282882.2300000009</v>
      </c>
      <c r="U177" s="11">
        <f>+T177/T8</f>
        <v>0.12304509410899031</v>
      </c>
      <c r="V177" s="9">
        <f>V171+V176</f>
        <v>-1733806.95</v>
      </c>
      <c r="W177" s="9">
        <f>W171+W176</f>
        <v>-1724279.3299999989</v>
      </c>
      <c r="X177" s="11">
        <f>+W177/W8</f>
        <v>-0.15298971926751798</v>
      </c>
      <c r="Y177" s="9">
        <f>Y171+Y176</f>
        <v>1948646.7400000002</v>
      </c>
      <c r="Z177" s="9">
        <f>Z171+Z176</f>
        <v>1939119.120000001</v>
      </c>
      <c r="AA177" s="11">
        <f>+Z177/Z8</f>
        <v>0.12599319846936732</v>
      </c>
      <c r="AB177" s="9">
        <f>AB171+AB176</f>
        <v>1497722.0200000026</v>
      </c>
      <c r="AC177" s="9">
        <f>AC171+AC176</f>
        <v>1497722.0200000026</v>
      </c>
      <c r="AD177" s="405">
        <f>+AC177/AC8</f>
        <v>4.0383650242818425E-2</v>
      </c>
      <c r="AE177" s="9">
        <f>AE171+AE176</f>
        <v>232091.88000000292</v>
      </c>
      <c r="AF177" s="9">
        <f>AF171+AF176</f>
        <v>232091.88000000292</v>
      </c>
      <c r="AG177" s="20">
        <f>+AF177/AF8</f>
        <v>3.1596293302102946E-3</v>
      </c>
      <c r="AH177" s="9">
        <f>AH171+AH176</f>
        <v>-6601634.3099999996</v>
      </c>
      <c r="AI177" s="9">
        <f>AI171+AI176</f>
        <v>-6601634.3099999996</v>
      </c>
      <c r="AJ177" s="20">
        <f>+AI177/AI8</f>
        <v>-1.1087893117081844</v>
      </c>
      <c r="AK177" s="9">
        <f>AK171+AK176</f>
        <v>-4975322.3900000006</v>
      </c>
      <c r="AL177" s="9">
        <f>AL171+AL176</f>
        <v>-4977260.4700000007</v>
      </c>
      <c r="AM177" s="20">
        <f>+AL177/AL8</f>
        <v>-0.71440137403729109</v>
      </c>
      <c r="AN177" s="9">
        <f>AN171+AN176</f>
        <v>10715819.989999998</v>
      </c>
      <c r="AO177" s="9">
        <f>AO171+AO176</f>
        <v>10717755.219999999</v>
      </c>
      <c r="AP177" s="20">
        <f>+AO177/AO8</f>
        <v>0.7822212138732163</v>
      </c>
      <c r="AQ177" s="9">
        <f>AQ171+AQ176</f>
        <v>-861136.71000000439</v>
      </c>
      <c r="AR177" s="9">
        <f>AR171+AR176</f>
        <v>-861139.56000000448</v>
      </c>
      <c r="AS177" s="20">
        <f>+AR177/AR8</f>
        <v>-3.2346134311321884E-2</v>
      </c>
      <c r="AT177" s="9">
        <f>AT171+AT176</f>
        <v>-629047.68000001879</v>
      </c>
      <c r="AU177" s="20">
        <f>+AT177/AT8</f>
        <v>-6.2855705338072066E-3</v>
      </c>
      <c r="AV177" s="9">
        <f>AV171+AV176</f>
        <v>-8230186.5427452335</v>
      </c>
      <c r="AW177" s="9">
        <f>AW171+AW176</f>
        <v>-12578336.239999996</v>
      </c>
      <c r="AX177" s="20">
        <f>+AW177/AW8</f>
        <v>-3.8988773557467957</v>
      </c>
      <c r="AY177" s="9">
        <f>AY171+AY176</f>
        <v>-625362.85722231085</v>
      </c>
      <c r="AZ177" s="9">
        <f>AZ171+AZ176</f>
        <v>-7117127.7000000002</v>
      </c>
      <c r="BA177" s="20">
        <f>+AZ177/AZ8</f>
        <v>-1.4096756510990702</v>
      </c>
      <c r="BB177" s="9">
        <f>BB171+BB176</f>
        <v>13183856.206693051</v>
      </c>
      <c r="BC177" s="9">
        <f>BC171+BC176</f>
        <v>-36809014.57</v>
      </c>
      <c r="BD177" s="20">
        <f>+BC177/BC8</f>
        <v>-1.5917580573407226</v>
      </c>
      <c r="BE177" s="9">
        <f>BE171+BE176</f>
        <v>4328306.8067255151</v>
      </c>
      <c r="BF177" s="9">
        <f>BF171+BF176</f>
        <v>-56504478.510000005</v>
      </c>
      <c r="BG177" s="404">
        <f>+BF177/BF8</f>
        <v>-1.7995247433743127</v>
      </c>
      <c r="BH177" s="9">
        <f>BH171+BH176</f>
        <v>3699261.976725488</v>
      </c>
      <c r="BI177" s="9">
        <f>BI171+BI176</f>
        <v>-57133526.190000013</v>
      </c>
      <c r="BJ177" s="20">
        <f>+BI177/BI8</f>
        <v>-0.43454909837282424</v>
      </c>
      <c r="BK177" s="8" t="s">
        <v>163</v>
      </c>
      <c r="BL177" s="8" t="s">
        <v>164</v>
      </c>
      <c r="BM177" s="9">
        <f>BM171+BM176</f>
        <v>703821.69275009492</v>
      </c>
      <c r="BN177" s="287">
        <f>+BM177/BM8</f>
        <v>2.4675013845805623E-3</v>
      </c>
    </row>
    <row r="178" spans="1:66" ht="15" customHeight="1">
      <c r="A178" s="386"/>
      <c r="C178" s="392"/>
      <c r="E178" s="392"/>
      <c r="G178" s="392"/>
      <c r="H178" s="392"/>
      <c r="J178" s="392"/>
      <c r="K178" s="392"/>
      <c r="M178" s="392"/>
      <c r="N178" s="392"/>
      <c r="P178" s="392"/>
      <c r="Q178" s="392"/>
      <c r="R178" s="373"/>
      <c r="S178" s="392"/>
      <c r="T178" s="392"/>
      <c r="U178" s="373"/>
      <c r="V178" s="392"/>
      <c r="W178" s="392"/>
      <c r="X178" s="373"/>
      <c r="Y178" s="392"/>
      <c r="Z178" s="392"/>
      <c r="AA178" s="373"/>
      <c r="AB178" s="392"/>
      <c r="AC178" s="392"/>
      <c r="AD178" s="406"/>
      <c r="AE178" s="392"/>
      <c r="AF178" s="392"/>
      <c r="AG178" s="373"/>
      <c r="AH178" s="392"/>
      <c r="AI178" s="392"/>
      <c r="AJ178" s="373"/>
      <c r="AK178" s="392"/>
      <c r="AL178" s="392"/>
      <c r="AM178" s="373"/>
      <c r="AN178" s="392"/>
      <c r="AO178" s="392"/>
      <c r="AP178" s="373"/>
      <c r="AQ178" s="392"/>
      <c r="AR178" s="392"/>
      <c r="AS178" s="373"/>
      <c r="AT178" s="392"/>
      <c r="AU178" s="373"/>
      <c r="AV178" s="392"/>
      <c r="AW178" s="392"/>
      <c r="AX178" s="373"/>
      <c r="AY178" s="392"/>
      <c r="AZ178" s="392"/>
      <c r="BA178" s="373"/>
      <c r="BB178" s="392"/>
      <c r="BC178" s="392"/>
      <c r="BD178" s="373"/>
      <c r="BE178" s="392"/>
      <c r="BF178" s="392"/>
      <c r="BG178" s="406"/>
      <c r="BH178" s="392"/>
      <c r="BI178" s="392"/>
      <c r="BJ178" s="373"/>
      <c r="BK178" s="386" t="s">
        <v>249</v>
      </c>
      <c r="BM178" s="378"/>
      <c r="BN178" s="394"/>
    </row>
    <row r="179" spans="1:66" ht="15" customHeight="1" thickBot="1">
      <c r="A179" s="386"/>
      <c r="C179" s="392"/>
      <c r="E179" s="392"/>
      <c r="G179" s="392"/>
      <c r="H179" s="392"/>
      <c r="J179" s="392"/>
      <c r="K179" s="392"/>
      <c r="M179" s="392"/>
      <c r="N179" s="392"/>
      <c r="P179" s="392"/>
      <c r="Q179" s="392"/>
      <c r="R179" s="373"/>
      <c r="S179" s="392"/>
      <c r="T179" s="392"/>
      <c r="U179" s="373"/>
      <c r="V179" s="392"/>
      <c r="W179" s="392"/>
      <c r="X179" s="373"/>
      <c r="Y179" s="392"/>
      <c r="Z179" s="392"/>
      <c r="AA179" s="373"/>
      <c r="AB179" s="392"/>
      <c r="AC179" s="217" t="s">
        <v>269</v>
      </c>
      <c r="AE179" s="392"/>
      <c r="AF179" s="392"/>
      <c r="AG179" s="373"/>
      <c r="AH179" s="392"/>
      <c r="AI179" s="392"/>
      <c r="AJ179" s="373"/>
      <c r="AK179" s="392"/>
      <c r="AL179" s="392"/>
      <c r="AM179" s="373"/>
      <c r="AN179" s="392"/>
      <c r="AO179" s="392"/>
      <c r="AP179" s="373"/>
      <c r="AQ179" s="392"/>
      <c r="AR179" s="392"/>
      <c r="AS179" s="373"/>
      <c r="AV179" s="392"/>
      <c r="AW179" s="392"/>
      <c r="AX179" s="373"/>
      <c r="AY179" s="392"/>
      <c r="AZ179" s="392"/>
      <c r="BA179" s="373"/>
      <c r="BB179" s="392"/>
      <c r="BD179" s="373"/>
      <c r="BE179" s="392"/>
      <c r="BF179" s="392"/>
      <c r="BG179" s="406"/>
      <c r="BH179" s="392"/>
      <c r="BI179" s="395">
        <v>-15</v>
      </c>
      <c r="BJ179" s="373"/>
      <c r="BK179" s="386" t="s">
        <v>250</v>
      </c>
      <c r="BM179" s="378"/>
      <c r="BN179" s="394"/>
    </row>
    <row r="180" spans="1:66" ht="15" customHeight="1" thickTop="1">
      <c r="A180" s="386"/>
      <c r="S180" s="376"/>
      <c r="T180" s="392"/>
      <c r="V180" s="376"/>
      <c r="W180" s="392"/>
      <c r="Y180" s="376"/>
      <c r="Z180" s="392"/>
      <c r="AC180" s="397" t="s">
        <v>272</v>
      </c>
      <c r="AD180" s="407">
        <v>25</v>
      </c>
      <c r="AF180" s="396"/>
      <c r="BH180" s="397"/>
      <c r="BI180" s="398">
        <v>-25</v>
      </c>
      <c r="BJ180" s="399" t="s">
        <v>259</v>
      </c>
      <c r="BK180" s="386" t="s">
        <v>251</v>
      </c>
      <c r="BM180" s="378"/>
    </row>
    <row r="181" spans="1:66">
      <c r="C181" s="380"/>
      <c r="AC181" s="397" t="s">
        <v>273</v>
      </c>
      <c r="AD181" s="408">
        <v>8.5</v>
      </c>
      <c r="BH181" s="397"/>
      <c r="BI181" s="398">
        <v>-3.3</v>
      </c>
      <c r="BJ181" s="399" t="s">
        <v>256</v>
      </c>
    </row>
    <row r="182" spans="1:66">
      <c r="E182" s="376"/>
      <c r="AC182" s="397" t="s">
        <v>274</v>
      </c>
      <c r="AD182" s="407">
        <v>4.3</v>
      </c>
      <c r="BH182" s="397"/>
      <c r="BI182" s="398">
        <v>-17.5</v>
      </c>
      <c r="BJ182" s="399" t="s">
        <v>257</v>
      </c>
    </row>
    <row r="183" spans="1:66">
      <c r="AC183" s="397" t="s">
        <v>270</v>
      </c>
      <c r="AD183" s="407">
        <v>17.5</v>
      </c>
      <c r="BH183" s="397"/>
      <c r="BI183" s="398">
        <v>-0.85</v>
      </c>
      <c r="BJ183" s="399" t="s">
        <v>258</v>
      </c>
    </row>
    <row r="184" spans="1:66">
      <c r="AC184" s="397" t="s">
        <v>271</v>
      </c>
      <c r="AD184" s="407">
        <v>-4</v>
      </c>
      <c r="BI184" s="398">
        <v>6.9</v>
      </c>
      <c r="BJ184" s="374" t="s">
        <v>268</v>
      </c>
    </row>
    <row r="185" spans="1:66">
      <c r="AC185" s="397" t="s">
        <v>277</v>
      </c>
      <c r="AD185" s="407">
        <v>0.5</v>
      </c>
      <c r="BI185" s="392"/>
    </row>
    <row r="186" spans="1:66">
      <c r="BI186" s="380"/>
    </row>
    <row r="187" spans="1:66">
      <c r="AT187" s="392"/>
      <c r="AU187" s="400"/>
      <c r="BI187" s="396"/>
    </row>
  </sheetData>
  <mergeCells count="20">
    <mergeCell ref="AV4:AW4"/>
    <mergeCell ref="AY4:AZ4"/>
    <mergeCell ref="BB4:BC4"/>
    <mergeCell ref="BE4:BF4"/>
    <mergeCell ref="AB4:AC4"/>
    <mergeCell ref="AE4:AF4"/>
    <mergeCell ref="AH4:AI4"/>
    <mergeCell ref="AK4:AL4"/>
    <mergeCell ref="AN4:AO4"/>
    <mergeCell ref="AQ4:AR4"/>
    <mergeCell ref="S3:T3"/>
    <mergeCell ref="V3:W3"/>
    <mergeCell ref="Y3:Z3"/>
    <mergeCell ref="G4:H4"/>
    <mergeCell ref="J4:K4"/>
    <mergeCell ref="M4:N4"/>
    <mergeCell ref="P4:Q4"/>
    <mergeCell ref="S4:T4"/>
    <mergeCell ref="V4:W4"/>
    <mergeCell ref="Y4:Z4"/>
  </mergeCells>
  <printOptions horizontalCentered="1"/>
  <pageMargins left="0" right="0" top="0" bottom="0" header="0" footer="0"/>
  <pageSetup scale="81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B197"/>
  <sheetViews>
    <sheetView zoomScale="85" zoomScaleNormal="85" workbookViewId="0">
      <pane ySplit="3" topLeftCell="A175" activePane="bottomLeft" state="frozen"/>
      <selection pane="bottomLeft" activeCell="S193" sqref="S193"/>
    </sheetView>
  </sheetViews>
  <sheetFormatPr defaultColWidth="9.33203125" defaultRowHeight="14.4" outlineLevelRow="1" outlineLevelCol="1"/>
  <cols>
    <col min="1" max="1" width="56.21875" customWidth="1"/>
    <col min="2" max="3" width="24.109375" hidden="1" customWidth="1" outlineLevel="1"/>
    <col min="4" max="4" width="24.88671875" hidden="1" customWidth="1" outlineLevel="1"/>
    <col min="5" max="5" width="25.77734375" hidden="1" customWidth="1" collapsed="1"/>
    <col min="6" max="6" width="23.77734375" hidden="1" customWidth="1" outlineLevel="1"/>
    <col min="7" max="7" width="24.109375" hidden="1" customWidth="1" outlineLevel="1"/>
    <col min="8" max="8" width="22.77734375" hidden="1" customWidth="1" outlineLevel="1"/>
    <col min="9" max="9" width="25.109375" hidden="1" customWidth="1" collapsed="1"/>
    <col min="10" max="10" width="24.33203125" hidden="1" customWidth="1" outlineLevel="1"/>
    <col min="11" max="11" width="24.109375" hidden="1" customWidth="1" outlineLevel="1"/>
    <col min="12" max="12" width="22.77734375" hidden="1" customWidth="1" outlineLevel="1"/>
    <col min="13" max="13" width="24" hidden="1" customWidth="1" collapsed="1"/>
    <col min="14" max="15" width="22.77734375" hidden="1" customWidth="1" outlineLevel="1"/>
    <col min="16" max="16" width="24.21875" hidden="1" customWidth="1" outlineLevel="1"/>
    <col min="17" max="17" width="24.88671875" hidden="1" customWidth="1" collapsed="1"/>
    <col min="18" max="18" width="25.88671875" bestFit="1" customWidth="1" collapsed="1"/>
    <col min="19" max="19" width="27.33203125" bestFit="1" customWidth="1"/>
    <col min="20" max="20" width="14.88671875" customWidth="1"/>
    <col min="21" max="21" width="9.6640625" bestFit="1" customWidth="1"/>
    <col min="22" max="22" width="14.6640625" customWidth="1"/>
    <col min="23" max="23" width="9.6640625" bestFit="1" customWidth="1"/>
    <col min="24" max="24" width="12.88671875" customWidth="1"/>
    <col min="25" max="25" width="9.6640625" bestFit="1" customWidth="1"/>
    <col min="26" max="26" width="13.21875" customWidth="1"/>
    <col min="27" max="27" width="9.6640625" bestFit="1" customWidth="1"/>
    <col min="28" max="28" width="12.21875" bestFit="1" customWidth="1"/>
    <col min="253" max="253" width="52.21875" bestFit="1" customWidth="1"/>
    <col min="254" max="254" width="33.33203125" customWidth="1"/>
    <col min="255" max="255" width="24.109375" customWidth="1"/>
    <col min="256" max="256" width="22.77734375" customWidth="1"/>
    <col min="257" max="257" width="24.109375" customWidth="1"/>
    <col min="258" max="258" width="22.77734375" customWidth="1"/>
    <col min="259" max="259" width="24.109375" customWidth="1"/>
    <col min="260" max="262" width="22.77734375" customWidth="1"/>
    <col min="263" max="263" width="24.109375" customWidth="1"/>
    <col min="264" max="268" width="22.77734375" customWidth="1"/>
    <col min="269" max="269" width="24.88671875" customWidth="1"/>
    <col min="270" max="270" width="24.88671875" bestFit="1" customWidth="1"/>
    <col min="271" max="271" width="15.109375" bestFit="1" customWidth="1"/>
    <col min="272" max="272" width="15" bestFit="1" customWidth="1"/>
    <col min="273" max="273" width="11.88671875" bestFit="1" customWidth="1"/>
    <col min="509" max="509" width="52.21875" bestFit="1" customWidth="1"/>
    <col min="510" max="510" width="33.33203125" customWidth="1"/>
    <col min="511" max="511" width="24.109375" customWidth="1"/>
    <col min="512" max="512" width="22.77734375" customWidth="1"/>
    <col min="513" max="513" width="24.109375" customWidth="1"/>
    <col min="514" max="514" width="22.77734375" customWidth="1"/>
    <col min="515" max="515" width="24.109375" customWidth="1"/>
    <col min="516" max="518" width="22.77734375" customWidth="1"/>
    <col min="519" max="519" width="24.109375" customWidth="1"/>
    <col min="520" max="524" width="22.77734375" customWidth="1"/>
    <col min="525" max="525" width="24.88671875" customWidth="1"/>
    <col min="526" max="526" width="24.88671875" bestFit="1" customWidth="1"/>
    <col min="527" max="527" width="15.109375" bestFit="1" customWidth="1"/>
    <col min="528" max="528" width="15" bestFit="1" customWidth="1"/>
    <col min="529" max="529" width="11.88671875" bestFit="1" customWidth="1"/>
    <col min="765" max="765" width="52.21875" bestFit="1" customWidth="1"/>
    <col min="766" max="766" width="33.33203125" customWidth="1"/>
    <col min="767" max="767" width="24.109375" customWidth="1"/>
    <col min="768" max="768" width="22.77734375" customWidth="1"/>
    <col min="769" max="769" width="24.109375" customWidth="1"/>
    <col min="770" max="770" width="22.77734375" customWidth="1"/>
    <col min="771" max="771" width="24.109375" customWidth="1"/>
    <col min="772" max="774" width="22.77734375" customWidth="1"/>
    <col min="775" max="775" width="24.109375" customWidth="1"/>
    <col min="776" max="780" width="22.77734375" customWidth="1"/>
    <col min="781" max="781" width="24.88671875" customWidth="1"/>
    <col min="782" max="782" width="24.88671875" bestFit="1" customWidth="1"/>
    <col min="783" max="783" width="15.109375" bestFit="1" customWidth="1"/>
    <col min="784" max="784" width="15" bestFit="1" customWidth="1"/>
    <col min="785" max="785" width="11.88671875" bestFit="1" customWidth="1"/>
    <col min="1021" max="1021" width="52.21875" bestFit="1" customWidth="1"/>
    <col min="1022" max="1022" width="33.33203125" customWidth="1"/>
    <col min="1023" max="1023" width="24.109375" customWidth="1"/>
    <col min="1024" max="1024" width="22.77734375" customWidth="1"/>
    <col min="1025" max="1025" width="24.109375" customWidth="1"/>
    <col min="1026" max="1026" width="22.77734375" customWidth="1"/>
    <col min="1027" max="1027" width="24.109375" customWidth="1"/>
    <col min="1028" max="1030" width="22.77734375" customWidth="1"/>
    <col min="1031" max="1031" width="24.109375" customWidth="1"/>
    <col min="1032" max="1036" width="22.77734375" customWidth="1"/>
    <col min="1037" max="1037" width="24.88671875" customWidth="1"/>
    <col min="1038" max="1038" width="24.88671875" bestFit="1" customWidth="1"/>
    <col min="1039" max="1039" width="15.109375" bestFit="1" customWidth="1"/>
    <col min="1040" max="1040" width="15" bestFit="1" customWidth="1"/>
    <col min="1041" max="1041" width="11.88671875" bestFit="1" customWidth="1"/>
    <col min="1277" max="1277" width="52.21875" bestFit="1" customWidth="1"/>
    <col min="1278" max="1278" width="33.33203125" customWidth="1"/>
    <col min="1279" max="1279" width="24.109375" customWidth="1"/>
    <col min="1280" max="1280" width="22.77734375" customWidth="1"/>
    <col min="1281" max="1281" width="24.109375" customWidth="1"/>
    <col min="1282" max="1282" width="22.77734375" customWidth="1"/>
    <col min="1283" max="1283" width="24.109375" customWidth="1"/>
    <col min="1284" max="1286" width="22.77734375" customWidth="1"/>
    <col min="1287" max="1287" width="24.109375" customWidth="1"/>
    <col min="1288" max="1292" width="22.77734375" customWidth="1"/>
    <col min="1293" max="1293" width="24.88671875" customWidth="1"/>
    <col min="1294" max="1294" width="24.88671875" bestFit="1" customWidth="1"/>
    <col min="1295" max="1295" width="15.109375" bestFit="1" customWidth="1"/>
    <col min="1296" max="1296" width="15" bestFit="1" customWidth="1"/>
    <col min="1297" max="1297" width="11.88671875" bestFit="1" customWidth="1"/>
    <col min="1533" max="1533" width="52.21875" bestFit="1" customWidth="1"/>
    <col min="1534" max="1534" width="33.33203125" customWidth="1"/>
    <col min="1535" max="1535" width="24.109375" customWidth="1"/>
    <col min="1536" max="1536" width="22.77734375" customWidth="1"/>
    <col min="1537" max="1537" width="24.109375" customWidth="1"/>
    <col min="1538" max="1538" width="22.77734375" customWidth="1"/>
    <col min="1539" max="1539" width="24.109375" customWidth="1"/>
    <col min="1540" max="1542" width="22.77734375" customWidth="1"/>
    <col min="1543" max="1543" width="24.109375" customWidth="1"/>
    <col min="1544" max="1548" width="22.77734375" customWidth="1"/>
    <col min="1549" max="1549" width="24.88671875" customWidth="1"/>
    <col min="1550" max="1550" width="24.88671875" bestFit="1" customWidth="1"/>
    <col min="1551" max="1551" width="15.109375" bestFit="1" customWidth="1"/>
    <col min="1552" max="1552" width="15" bestFit="1" customWidth="1"/>
    <col min="1553" max="1553" width="11.88671875" bestFit="1" customWidth="1"/>
    <col min="1789" max="1789" width="52.21875" bestFit="1" customWidth="1"/>
    <col min="1790" max="1790" width="33.33203125" customWidth="1"/>
    <col min="1791" max="1791" width="24.109375" customWidth="1"/>
    <col min="1792" max="1792" width="22.77734375" customWidth="1"/>
    <col min="1793" max="1793" width="24.109375" customWidth="1"/>
    <col min="1794" max="1794" width="22.77734375" customWidth="1"/>
    <col min="1795" max="1795" width="24.109375" customWidth="1"/>
    <col min="1796" max="1798" width="22.77734375" customWidth="1"/>
    <col min="1799" max="1799" width="24.109375" customWidth="1"/>
    <col min="1800" max="1804" width="22.77734375" customWidth="1"/>
    <col min="1805" max="1805" width="24.88671875" customWidth="1"/>
    <col min="1806" max="1806" width="24.88671875" bestFit="1" customWidth="1"/>
    <col min="1807" max="1807" width="15.109375" bestFit="1" customWidth="1"/>
    <col min="1808" max="1808" width="15" bestFit="1" customWidth="1"/>
    <col min="1809" max="1809" width="11.88671875" bestFit="1" customWidth="1"/>
    <col min="2045" max="2045" width="52.21875" bestFit="1" customWidth="1"/>
    <col min="2046" max="2046" width="33.33203125" customWidth="1"/>
    <col min="2047" max="2047" width="24.109375" customWidth="1"/>
    <col min="2048" max="2048" width="22.77734375" customWidth="1"/>
    <col min="2049" max="2049" width="24.109375" customWidth="1"/>
    <col min="2050" max="2050" width="22.77734375" customWidth="1"/>
    <col min="2051" max="2051" width="24.109375" customWidth="1"/>
    <col min="2052" max="2054" width="22.77734375" customWidth="1"/>
    <col min="2055" max="2055" width="24.109375" customWidth="1"/>
    <col min="2056" max="2060" width="22.77734375" customWidth="1"/>
    <col min="2061" max="2061" width="24.88671875" customWidth="1"/>
    <col min="2062" max="2062" width="24.88671875" bestFit="1" customWidth="1"/>
    <col min="2063" max="2063" width="15.109375" bestFit="1" customWidth="1"/>
    <col min="2064" max="2064" width="15" bestFit="1" customWidth="1"/>
    <col min="2065" max="2065" width="11.88671875" bestFit="1" customWidth="1"/>
    <col min="2301" max="2301" width="52.21875" bestFit="1" customWidth="1"/>
    <col min="2302" max="2302" width="33.33203125" customWidth="1"/>
    <col min="2303" max="2303" width="24.109375" customWidth="1"/>
    <col min="2304" max="2304" width="22.77734375" customWidth="1"/>
    <col min="2305" max="2305" width="24.109375" customWidth="1"/>
    <col min="2306" max="2306" width="22.77734375" customWidth="1"/>
    <col min="2307" max="2307" width="24.109375" customWidth="1"/>
    <col min="2308" max="2310" width="22.77734375" customWidth="1"/>
    <col min="2311" max="2311" width="24.109375" customWidth="1"/>
    <col min="2312" max="2316" width="22.77734375" customWidth="1"/>
    <col min="2317" max="2317" width="24.88671875" customWidth="1"/>
    <col min="2318" max="2318" width="24.88671875" bestFit="1" customWidth="1"/>
    <col min="2319" max="2319" width="15.109375" bestFit="1" customWidth="1"/>
    <col min="2320" max="2320" width="15" bestFit="1" customWidth="1"/>
    <col min="2321" max="2321" width="11.88671875" bestFit="1" customWidth="1"/>
    <col min="2557" max="2557" width="52.21875" bestFit="1" customWidth="1"/>
    <col min="2558" max="2558" width="33.33203125" customWidth="1"/>
    <col min="2559" max="2559" width="24.109375" customWidth="1"/>
    <col min="2560" max="2560" width="22.77734375" customWidth="1"/>
    <col min="2561" max="2561" width="24.109375" customWidth="1"/>
    <col min="2562" max="2562" width="22.77734375" customWidth="1"/>
    <col min="2563" max="2563" width="24.109375" customWidth="1"/>
    <col min="2564" max="2566" width="22.77734375" customWidth="1"/>
    <col min="2567" max="2567" width="24.109375" customWidth="1"/>
    <col min="2568" max="2572" width="22.77734375" customWidth="1"/>
    <col min="2573" max="2573" width="24.88671875" customWidth="1"/>
    <col min="2574" max="2574" width="24.88671875" bestFit="1" customWidth="1"/>
    <col min="2575" max="2575" width="15.109375" bestFit="1" customWidth="1"/>
    <col min="2576" max="2576" width="15" bestFit="1" customWidth="1"/>
    <col min="2577" max="2577" width="11.88671875" bestFit="1" customWidth="1"/>
    <col min="2813" max="2813" width="52.21875" bestFit="1" customWidth="1"/>
    <col min="2814" max="2814" width="33.33203125" customWidth="1"/>
    <col min="2815" max="2815" width="24.109375" customWidth="1"/>
    <col min="2816" max="2816" width="22.77734375" customWidth="1"/>
    <col min="2817" max="2817" width="24.109375" customWidth="1"/>
    <col min="2818" max="2818" width="22.77734375" customWidth="1"/>
    <col min="2819" max="2819" width="24.109375" customWidth="1"/>
    <col min="2820" max="2822" width="22.77734375" customWidth="1"/>
    <col min="2823" max="2823" width="24.109375" customWidth="1"/>
    <col min="2824" max="2828" width="22.77734375" customWidth="1"/>
    <col min="2829" max="2829" width="24.88671875" customWidth="1"/>
    <col min="2830" max="2830" width="24.88671875" bestFit="1" customWidth="1"/>
    <col min="2831" max="2831" width="15.109375" bestFit="1" customWidth="1"/>
    <col min="2832" max="2832" width="15" bestFit="1" customWidth="1"/>
    <col min="2833" max="2833" width="11.88671875" bestFit="1" customWidth="1"/>
    <col min="3069" max="3069" width="52.21875" bestFit="1" customWidth="1"/>
    <col min="3070" max="3070" width="33.33203125" customWidth="1"/>
    <col min="3071" max="3071" width="24.109375" customWidth="1"/>
    <col min="3072" max="3072" width="22.77734375" customWidth="1"/>
    <col min="3073" max="3073" width="24.109375" customWidth="1"/>
    <col min="3074" max="3074" width="22.77734375" customWidth="1"/>
    <col min="3075" max="3075" width="24.109375" customWidth="1"/>
    <col min="3076" max="3078" width="22.77734375" customWidth="1"/>
    <col min="3079" max="3079" width="24.109375" customWidth="1"/>
    <col min="3080" max="3084" width="22.77734375" customWidth="1"/>
    <col min="3085" max="3085" width="24.88671875" customWidth="1"/>
    <col min="3086" max="3086" width="24.88671875" bestFit="1" customWidth="1"/>
    <col min="3087" max="3087" width="15.109375" bestFit="1" customWidth="1"/>
    <col min="3088" max="3088" width="15" bestFit="1" customWidth="1"/>
    <col min="3089" max="3089" width="11.88671875" bestFit="1" customWidth="1"/>
    <col min="3325" max="3325" width="52.21875" bestFit="1" customWidth="1"/>
    <col min="3326" max="3326" width="33.33203125" customWidth="1"/>
    <col min="3327" max="3327" width="24.109375" customWidth="1"/>
    <col min="3328" max="3328" width="22.77734375" customWidth="1"/>
    <col min="3329" max="3329" width="24.109375" customWidth="1"/>
    <col min="3330" max="3330" width="22.77734375" customWidth="1"/>
    <col min="3331" max="3331" width="24.109375" customWidth="1"/>
    <col min="3332" max="3334" width="22.77734375" customWidth="1"/>
    <col min="3335" max="3335" width="24.109375" customWidth="1"/>
    <col min="3336" max="3340" width="22.77734375" customWidth="1"/>
    <col min="3341" max="3341" width="24.88671875" customWidth="1"/>
    <col min="3342" max="3342" width="24.88671875" bestFit="1" customWidth="1"/>
    <col min="3343" max="3343" width="15.109375" bestFit="1" customWidth="1"/>
    <col min="3344" max="3344" width="15" bestFit="1" customWidth="1"/>
    <col min="3345" max="3345" width="11.88671875" bestFit="1" customWidth="1"/>
    <col min="3581" max="3581" width="52.21875" bestFit="1" customWidth="1"/>
    <col min="3582" max="3582" width="33.33203125" customWidth="1"/>
    <col min="3583" max="3583" width="24.109375" customWidth="1"/>
    <col min="3584" max="3584" width="22.77734375" customWidth="1"/>
    <col min="3585" max="3585" width="24.109375" customWidth="1"/>
    <col min="3586" max="3586" width="22.77734375" customWidth="1"/>
    <col min="3587" max="3587" width="24.109375" customWidth="1"/>
    <col min="3588" max="3590" width="22.77734375" customWidth="1"/>
    <col min="3591" max="3591" width="24.109375" customWidth="1"/>
    <col min="3592" max="3596" width="22.77734375" customWidth="1"/>
    <col min="3597" max="3597" width="24.88671875" customWidth="1"/>
    <col min="3598" max="3598" width="24.88671875" bestFit="1" customWidth="1"/>
    <col min="3599" max="3599" width="15.109375" bestFit="1" customWidth="1"/>
    <col min="3600" max="3600" width="15" bestFit="1" customWidth="1"/>
    <col min="3601" max="3601" width="11.88671875" bestFit="1" customWidth="1"/>
    <col min="3837" max="3837" width="52.21875" bestFit="1" customWidth="1"/>
    <col min="3838" max="3838" width="33.33203125" customWidth="1"/>
    <col min="3839" max="3839" width="24.109375" customWidth="1"/>
    <col min="3840" max="3840" width="22.77734375" customWidth="1"/>
    <col min="3841" max="3841" width="24.109375" customWidth="1"/>
    <col min="3842" max="3842" width="22.77734375" customWidth="1"/>
    <col min="3843" max="3843" width="24.109375" customWidth="1"/>
    <col min="3844" max="3846" width="22.77734375" customWidth="1"/>
    <col min="3847" max="3847" width="24.109375" customWidth="1"/>
    <col min="3848" max="3852" width="22.77734375" customWidth="1"/>
    <col min="3853" max="3853" width="24.88671875" customWidth="1"/>
    <col min="3854" max="3854" width="24.88671875" bestFit="1" customWidth="1"/>
    <col min="3855" max="3855" width="15.109375" bestFit="1" customWidth="1"/>
    <col min="3856" max="3856" width="15" bestFit="1" customWidth="1"/>
    <col min="3857" max="3857" width="11.88671875" bestFit="1" customWidth="1"/>
    <col min="4093" max="4093" width="52.21875" bestFit="1" customWidth="1"/>
    <col min="4094" max="4094" width="33.33203125" customWidth="1"/>
    <col min="4095" max="4095" width="24.109375" customWidth="1"/>
    <col min="4096" max="4096" width="22.77734375" customWidth="1"/>
    <col min="4097" max="4097" width="24.109375" customWidth="1"/>
    <col min="4098" max="4098" width="22.77734375" customWidth="1"/>
    <col min="4099" max="4099" width="24.109375" customWidth="1"/>
    <col min="4100" max="4102" width="22.77734375" customWidth="1"/>
    <col min="4103" max="4103" width="24.109375" customWidth="1"/>
    <col min="4104" max="4108" width="22.77734375" customWidth="1"/>
    <col min="4109" max="4109" width="24.88671875" customWidth="1"/>
    <col min="4110" max="4110" width="24.88671875" bestFit="1" customWidth="1"/>
    <col min="4111" max="4111" width="15.109375" bestFit="1" customWidth="1"/>
    <col min="4112" max="4112" width="15" bestFit="1" customWidth="1"/>
    <col min="4113" max="4113" width="11.88671875" bestFit="1" customWidth="1"/>
    <col min="4349" max="4349" width="52.21875" bestFit="1" customWidth="1"/>
    <col min="4350" max="4350" width="33.33203125" customWidth="1"/>
    <col min="4351" max="4351" width="24.109375" customWidth="1"/>
    <col min="4352" max="4352" width="22.77734375" customWidth="1"/>
    <col min="4353" max="4353" width="24.109375" customWidth="1"/>
    <col min="4354" max="4354" width="22.77734375" customWidth="1"/>
    <col min="4355" max="4355" width="24.109375" customWidth="1"/>
    <col min="4356" max="4358" width="22.77734375" customWidth="1"/>
    <col min="4359" max="4359" width="24.109375" customWidth="1"/>
    <col min="4360" max="4364" width="22.77734375" customWidth="1"/>
    <col min="4365" max="4365" width="24.88671875" customWidth="1"/>
    <col min="4366" max="4366" width="24.88671875" bestFit="1" customWidth="1"/>
    <col min="4367" max="4367" width="15.109375" bestFit="1" customWidth="1"/>
    <col min="4368" max="4368" width="15" bestFit="1" customWidth="1"/>
    <col min="4369" max="4369" width="11.88671875" bestFit="1" customWidth="1"/>
    <col min="4605" max="4605" width="52.21875" bestFit="1" customWidth="1"/>
    <col min="4606" max="4606" width="33.33203125" customWidth="1"/>
    <col min="4607" max="4607" width="24.109375" customWidth="1"/>
    <col min="4608" max="4608" width="22.77734375" customWidth="1"/>
    <col min="4609" max="4609" width="24.109375" customWidth="1"/>
    <col min="4610" max="4610" width="22.77734375" customWidth="1"/>
    <col min="4611" max="4611" width="24.109375" customWidth="1"/>
    <col min="4612" max="4614" width="22.77734375" customWidth="1"/>
    <col min="4615" max="4615" width="24.109375" customWidth="1"/>
    <col min="4616" max="4620" width="22.77734375" customWidth="1"/>
    <col min="4621" max="4621" width="24.88671875" customWidth="1"/>
    <col min="4622" max="4622" width="24.88671875" bestFit="1" customWidth="1"/>
    <col min="4623" max="4623" width="15.109375" bestFit="1" customWidth="1"/>
    <col min="4624" max="4624" width="15" bestFit="1" customWidth="1"/>
    <col min="4625" max="4625" width="11.88671875" bestFit="1" customWidth="1"/>
    <col min="4861" max="4861" width="52.21875" bestFit="1" customWidth="1"/>
    <col min="4862" max="4862" width="33.33203125" customWidth="1"/>
    <col min="4863" max="4863" width="24.109375" customWidth="1"/>
    <col min="4864" max="4864" width="22.77734375" customWidth="1"/>
    <col min="4865" max="4865" width="24.109375" customWidth="1"/>
    <col min="4866" max="4866" width="22.77734375" customWidth="1"/>
    <col min="4867" max="4867" width="24.109375" customWidth="1"/>
    <col min="4868" max="4870" width="22.77734375" customWidth="1"/>
    <col min="4871" max="4871" width="24.109375" customWidth="1"/>
    <col min="4872" max="4876" width="22.77734375" customWidth="1"/>
    <col min="4877" max="4877" width="24.88671875" customWidth="1"/>
    <col min="4878" max="4878" width="24.88671875" bestFit="1" customWidth="1"/>
    <col min="4879" max="4879" width="15.109375" bestFit="1" customWidth="1"/>
    <col min="4880" max="4880" width="15" bestFit="1" customWidth="1"/>
    <col min="4881" max="4881" width="11.88671875" bestFit="1" customWidth="1"/>
    <col min="5117" max="5117" width="52.21875" bestFit="1" customWidth="1"/>
    <col min="5118" max="5118" width="33.33203125" customWidth="1"/>
    <col min="5119" max="5119" width="24.109375" customWidth="1"/>
    <col min="5120" max="5120" width="22.77734375" customWidth="1"/>
    <col min="5121" max="5121" width="24.109375" customWidth="1"/>
    <col min="5122" max="5122" width="22.77734375" customWidth="1"/>
    <col min="5123" max="5123" width="24.109375" customWidth="1"/>
    <col min="5124" max="5126" width="22.77734375" customWidth="1"/>
    <col min="5127" max="5127" width="24.109375" customWidth="1"/>
    <col min="5128" max="5132" width="22.77734375" customWidth="1"/>
    <col min="5133" max="5133" width="24.88671875" customWidth="1"/>
    <col min="5134" max="5134" width="24.88671875" bestFit="1" customWidth="1"/>
    <col min="5135" max="5135" width="15.109375" bestFit="1" customWidth="1"/>
    <col min="5136" max="5136" width="15" bestFit="1" customWidth="1"/>
    <col min="5137" max="5137" width="11.88671875" bestFit="1" customWidth="1"/>
    <col min="5373" max="5373" width="52.21875" bestFit="1" customWidth="1"/>
    <col min="5374" max="5374" width="33.33203125" customWidth="1"/>
    <col min="5375" max="5375" width="24.109375" customWidth="1"/>
    <col min="5376" max="5376" width="22.77734375" customWidth="1"/>
    <col min="5377" max="5377" width="24.109375" customWidth="1"/>
    <col min="5378" max="5378" width="22.77734375" customWidth="1"/>
    <col min="5379" max="5379" width="24.109375" customWidth="1"/>
    <col min="5380" max="5382" width="22.77734375" customWidth="1"/>
    <col min="5383" max="5383" width="24.109375" customWidth="1"/>
    <col min="5384" max="5388" width="22.77734375" customWidth="1"/>
    <col min="5389" max="5389" width="24.88671875" customWidth="1"/>
    <col min="5390" max="5390" width="24.88671875" bestFit="1" customWidth="1"/>
    <col min="5391" max="5391" width="15.109375" bestFit="1" customWidth="1"/>
    <col min="5392" max="5392" width="15" bestFit="1" customWidth="1"/>
    <col min="5393" max="5393" width="11.88671875" bestFit="1" customWidth="1"/>
    <col min="5629" max="5629" width="52.21875" bestFit="1" customWidth="1"/>
    <col min="5630" max="5630" width="33.33203125" customWidth="1"/>
    <col min="5631" max="5631" width="24.109375" customWidth="1"/>
    <col min="5632" max="5632" width="22.77734375" customWidth="1"/>
    <col min="5633" max="5633" width="24.109375" customWidth="1"/>
    <col min="5634" max="5634" width="22.77734375" customWidth="1"/>
    <col min="5635" max="5635" width="24.109375" customWidth="1"/>
    <col min="5636" max="5638" width="22.77734375" customWidth="1"/>
    <col min="5639" max="5639" width="24.109375" customWidth="1"/>
    <col min="5640" max="5644" width="22.77734375" customWidth="1"/>
    <col min="5645" max="5645" width="24.88671875" customWidth="1"/>
    <col min="5646" max="5646" width="24.88671875" bestFit="1" customWidth="1"/>
    <col min="5647" max="5647" width="15.109375" bestFit="1" customWidth="1"/>
    <col min="5648" max="5648" width="15" bestFit="1" customWidth="1"/>
    <col min="5649" max="5649" width="11.88671875" bestFit="1" customWidth="1"/>
    <col min="5885" max="5885" width="52.21875" bestFit="1" customWidth="1"/>
    <col min="5886" max="5886" width="33.33203125" customWidth="1"/>
    <col min="5887" max="5887" width="24.109375" customWidth="1"/>
    <col min="5888" max="5888" width="22.77734375" customWidth="1"/>
    <col min="5889" max="5889" width="24.109375" customWidth="1"/>
    <col min="5890" max="5890" width="22.77734375" customWidth="1"/>
    <col min="5891" max="5891" width="24.109375" customWidth="1"/>
    <col min="5892" max="5894" width="22.77734375" customWidth="1"/>
    <col min="5895" max="5895" width="24.109375" customWidth="1"/>
    <col min="5896" max="5900" width="22.77734375" customWidth="1"/>
    <col min="5901" max="5901" width="24.88671875" customWidth="1"/>
    <col min="5902" max="5902" width="24.88671875" bestFit="1" customWidth="1"/>
    <col min="5903" max="5903" width="15.109375" bestFit="1" customWidth="1"/>
    <col min="5904" max="5904" width="15" bestFit="1" customWidth="1"/>
    <col min="5905" max="5905" width="11.88671875" bestFit="1" customWidth="1"/>
    <col min="6141" max="6141" width="52.21875" bestFit="1" customWidth="1"/>
    <col min="6142" max="6142" width="33.33203125" customWidth="1"/>
    <col min="6143" max="6143" width="24.109375" customWidth="1"/>
    <col min="6144" max="6144" width="22.77734375" customWidth="1"/>
    <col min="6145" max="6145" width="24.109375" customWidth="1"/>
    <col min="6146" max="6146" width="22.77734375" customWidth="1"/>
    <col min="6147" max="6147" width="24.109375" customWidth="1"/>
    <col min="6148" max="6150" width="22.77734375" customWidth="1"/>
    <col min="6151" max="6151" width="24.109375" customWidth="1"/>
    <col min="6152" max="6156" width="22.77734375" customWidth="1"/>
    <col min="6157" max="6157" width="24.88671875" customWidth="1"/>
    <col min="6158" max="6158" width="24.88671875" bestFit="1" customWidth="1"/>
    <col min="6159" max="6159" width="15.109375" bestFit="1" customWidth="1"/>
    <col min="6160" max="6160" width="15" bestFit="1" customWidth="1"/>
    <col min="6161" max="6161" width="11.88671875" bestFit="1" customWidth="1"/>
    <col min="6397" max="6397" width="52.21875" bestFit="1" customWidth="1"/>
    <col min="6398" max="6398" width="33.33203125" customWidth="1"/>
    <col min="6399" max="6399" width="24.109375" customWidth="1"/>
    <col min="6400" max="6400" width="22.77734375" customWidth="1"/>
    <col min="6401" max="6401" width="24.109375" customWidth="1"/>
    <col min="6402" max="6402" width="22.77734375" customWidth="1"/>
    <col min="6403" max="6403" width="24.109375" customWidth="1"/>
    <col min="6404" max="6406" width="22.77734375" customWidth="1"/>
    <col min="6407" max="6407" width="24.109375" customWidth="1"/>
    <col min="6408" max="6412" width="22.77734375" customWidth="1"/>
    <col min="6413" max="6413" width="24.88671875" customWidth="1"/>
    <col min="6414" max="6414" width="24.88671875" bestFit="1" customWidth="1"/>
    <col min="6415" max="6415" width="15.109375" bestFit="1" customWidth="1"/>
    <col min="6416" max="6416" width="15" bestFit="1" customWidth="1"/>
    <col min="6417" max="6417" width="11.88671875" bestFit="1" customWidth="1"/>
    <col min="6653" max="6653" width="52.21875" bestFit="1" customWidth="1"/>
    <col min="6654" max="6654" width="33.33203125" customWidth="1"/>
    <col min="6655" max="6655" width="24.109375" customWidth="1"/>
    <col min="6656" max="6656" width="22.77734375" customWidth="1"/>
    <col min="6657" max="6657" width="24.109375" customWidth="1"/>
    <col min="6658" max="6658" width="22.77734375" customWidth="1"/>
    <col min="6659" max="6659" width="24.109375" customWidth="1"/>
    <col min="6660" max="6662" width="22.77734375" customWidth="1"/>
    <col min="6663" max="6663" width="24.109375" customWidth="1"/>
    <col min="6664" max="6668" width="22.77734375" customWidth="1"/>
    <col min="6669" max="6669" width="24.88671875" customWidth="1"/>
    <col min="6670" max="6670" width="24.88671875" bestFit="1" customWidth="1"/>
    <col min="6671" max="6671" width="15.109375" bestFit="1" customWidth="1"/>
    <col min="6672" max="6672" width="15" bestFit="1" customWidth="1"/>
    <col min="6673" max="6673" width="11.88671875" bestFit="1" customWidth="1"/>
    <col min="6909" max="6909" width="52.21875" bestFit="1" customWidth="1"/>
    <col min="6910" max="6910" width="33.33203125" customWidth="1"/>
    <col min="6911" max="6911" width="24.109375" customWidth="1"/>
    <col min="6912" max="6912" width="22.77734375" customWidth="1"/>
    <col min="6913" max="6913" width="24.109375" customWidth="1"/>
    <col min="6914" max="6914" width="22.77734375" customWidth="1"/>
    <col min="6915" max="6915" width="24.109375" customWidth="1"/>
    <col min="6916" max="6918" width="22.77734375" customWidth="1"/>
    <col min="6919" max="6919" width="24.109375" customWidth="1"/>
    <col min="6920" max="6924" width="22.77734375" customWidth="1"/>
    <col min="6925" max="6925" width="24.88671875" customWidth="1"/>
    <col min="6926" max="6926" width="24.88671875" bestFit="1" customWidth="1"/>
    <col min="6927" max="6927" width="15.109375" bestFit="1" customWidth="1"/>
    <col min="6928" max="6928" width="15" bestFit="1" customWidth="1"/>
    <col min="6929" max="6929" width="11.88671875" bestFit="1" customWidth="1"/>
    <col min="7165" max="7165" width="52.21875" bestFit="1" customWidth="1"/>
    <col min="7166" max="7166" width="33.33203125" customWidth="1"/>
    <col min="7167" max="7167" width="24.109375" customWidth="1"/>
    <col min="7168" max="7168" width="22.77734375" customWidth="1"/>
    <col min="7169" max="7169" width="24.109375" customWidth="1"/>
    <col min="7170" max="7170" width="22.77734375" customWidth="1"/>
    <col min="7171" max="7171" width="24.109375" customWidth="1"/>
    <col min="7172" max="7174" width="22.77734375" customWidth="1"/>
    <col min="7175" max="7175" width="24.109375" customWidth="1"/>
    <col min="7176" max="7180" width="22.77734375" customWidth="1"/>
    <col min="7181" max="7181" width="24.88671875" customWidth="1"/>
    <col min="7182" max="7182" width="24.88671875" bestFit="1" customWidth="1"/>
    <col min="7183" max="7183" width="15.109375" bestFit="1" customWidth="1"/>
    <col min="7184" max="7184" width="15" bestFit="1" customWidth="1"/>
    <col min="7185" max="7185" width="11.88671875" bestFit="1" customWidth="1"/>
    <col min="7421" max="7421" width="52.21875" bestFit="1" customWidth="1"/>
    <col min="7422" max="7422" width="33.33203125" customWidth="1"/>
    <col min="7423" max="7423" width="24.109375" customWidth="1"/>
    <col min="7424" max="7424" width="22.77734375" customWidth="1"/>
    <col min="7425" max="7425" width="24.109375" customWidth="1"/>
    <col min="7426" max="7426" width="22.77734375" customWidth="1"/>
    <col min="7427" max="7427" width="24.109375" customWidth="1"/>
    <col min="7428" max="7430" width="22.77734375" customWidth="1"/>
    <col min="7431" max="7431" width="24.109375" customWidth="1"/>
    <col min="7432" max="7436" width="22.77734375" customWidth="1"/>
    <col min="7437" max="7437" width="24.88671875" customWidth="1"/>
    <col min="7438" max="7438" width="24.88671875" bestFit="1" customWidth="1"/>
    <col min="7439" max="7439" width="15.109375" bestFit="1" customWidth="1"/>
    <col min="7440" max="7440" width="15" bestFit="1" customWidth="1"/>
    <col min="7441" max="7441" width="11.88671875" bestFit="1" customWidth="1"/>
    <col min="7677" max="7677" width="52.21875" bestFit="1" customWidth="1"/>
    <col min="7678" max="7678" width="33.33203125" customWidth="1"/>
    <col min="7679" max="7679" width="24.109375" customWidth="1"/>
    <col min="7680" max="7680" width="22.77734375" customWidth="1"/>
    <col min="7681" max="7681" width="24.109375" customWidth="1"/>
    <col min="7682" max="7682" width="22.77734375" customWidth="1"/>
    <col min="7683" max="7683" width="24.109375" customWidth="1"/>
    <col min="7684" max="7686" width="22.77734375" customWidth="1"/>
    <col min="7687" max="7687" width="24.109375" customWidth="1"/>
    <col min="7688" max="7692" width="22.77734375" customWidth="1"/>
    <col min="7693" max="7693" width="24.88671875" customWidth="1"/>
    <col min="7694" max="7694" width="24.88671875" bestFit="1" customWidth="1"/>
    <col min="7695" max="7695" width="15.109375" bestFit="1" customWidth="1"/>
    <col min="7696" max="7696" width="15" bestFit="1" customWidth="1"/>
    <col min="7697" max="7697" width="11.88671875" bestFit="1" customWidth="1"/>
    <col min="7933" max="7933" width="52.21875" bestFit="1" customWidth="1"/>
    <col min="7934" max="7934" width="33.33203125" customWidth="1"/>
    <col min="7935" max="7935" width="24.109375" customWidth="1"/>
    <col min="7936" max="7936" width="22.77734375" customWidth="1"/>
    <col min="7937" max="7937" width="24.109375" customWidth="1"/>
    <col min="7938" max="7938" width="22.77734375" customWidth="1"/>
    <col min="7939" max="7939" width="24.109375" customWidth="1"/>
    <col min="7940" max="7942" width="22.77734375" customWidth="1"/>
    <col min="7943" max="7943" width="24.109375" customWidth="1"/>
    <col min="7944" max="7948" width="22.77734375" customWidth="1"/>
    <col min="7949" max="7949" width="24.88671875" customWidth="1"/>
    <col min="7950" max="7950" width="24.88671875" bestFit="1" customWidth="1"/>
    <col min="7951" max="7951" width="15.109375" bestFit="1" customWidth="1"/>
    <col min="7952" max="7952" width="15" bestFit="1" customWidth="1"/>
    <col min="7953" max="7953" width="11.88671875" bestFit="1" customWidth="1"/>
    <col min="8189" max="8189" width="52.21875" bestFit="1" customWidth="1"/>
    <col min="8190" max="8190" width="33.33203125" customWidth="1"/>
    <col min="8191" max="8191" width="24.109375" customWidth="1"/>
    <col min="8192" max="8192" width="22.77734375" customWidth="1"/>
    <col min="8193" max="8193" width="24.109375" customWidth="1"/>
    <col min="8194" max="8194" width="22.77734375" customWidth="1"/>
    <col min="8195" max="8195" width="24.109375" customWidth="1"/>
    <col min="8196" max="8198" width="22.77734375" customWidth="1"/>
    <col min="8199" max="8199" width="24.109375" customWidth="1"/>
    <col min="8200" max="8204" width="22.77734375" customWidth="1"/>
    <col min="8205" max="8205" width="24.88671875" customWidth="1"/>
    <col min="8206" max="8206" width="24.88671875" bestFit="1" customWidth="1"/>
    <col min="8207" max="8207" width="15.109375" bestFit="1" customWidth="1"/>
    <col min="8208" max="8208" width="15" bestFit="1" customWidth="1"/>
    <col min="8209" max="8209" width="11.88671875" bestFit="1" customWidth="1"/>
    <col min="8445" max="8445" width="52.21875" bestFit="1" customWidth="1"/>
    <col min="8446" max="8446" width="33.33203125" customWidth="1"/>
    <col min="8447" max="8447" width="24.109375" customWidth="1"/>
    <col min="8448" max="8448" width="22.77734375" customWidth="1"/>
    <col min="8449" max="8449" width="24.109375" customWidth="1"/>
    <col min="8450" max="8450" width="22.77734375" customWidth="1"/>
    <col min="8451" max="8451" width="24.109375" customWidth="1"/>
    <col min="8452" max="8454" width="22.77734375" customWidth="1"/>
    <col min="8455" max="8455" width="24.109375" customWidth="1"/>
    <col min="8456" max="8460" width="22.77734375" customWidth="1"/>
    <col min="8461" max="8461" width="24.88671875" customWidth="1"/>
    <col min="8462" max="8462" width="24.88671875" bestFit="1" customWidth="1"/>
    <col min="8463" max="8463" width="15.109375" bestFit="1" customWidth="1"/>
    <col min="8464" max="8464" width="15" bestFit="1" customWidth="1"/>
    <col min="8465" max="8465" width="11.88671875" bestFit="1" customWidth="1"/>
    <col min="8701" max="8701" width="52.21875" bestFit="1" customWidth="1"/>
    <col min="8702" max="8702" width="33.33203125" customWidth="1"/>
    <col min="8703" max="8703" width="24.109375" customWidth="1"/>
    <col min="8704" max="8704" width="22.77734375" customWidth="1"/>
    <col min="8705" max="8705" width="24.109375" customWidth="1"/>
    <col min="8706" max="8706" width="22.77734375" customWidth="1"/>
    <col min="8707" max="8707" width="24.109375" customWidth="1"/>
    <col min="8708" max="8710" width="22.77734375" customWidth="1"/>
    <col min="8711" max="8711" width="24.109375" customWidth="1"/>
    <col min="8712" max="8716" width="22.77734375" customWidth="1"/>
    <col min="8717" max="8717" width="24.88671875" customWidth="1"/>
    <col min="8718" max="8718" width="24.88671875" bestFit="1" customWidth="1"/>
    <col min="8719" max="8719" width="15.109375" bestFit="1" customWidth="1"/>
    <col min="8720" max="8720" width="15" bestFit="1" customWidth="1"/>
    <col min="8721" max="8721" width="11.88671875" bestFit="1" customWidth="1"/>
    <col min="8957" max="8957" width="52.21875" bestFit="1" customWidth="1"/>
    <col min="8958" max="8958" width="33.33203125" customWidth="1"/>
    <col min="8959" max="8959" width="24.109375" customWidth="1"/>
    <col min="8960" max="8960" width="22.77734375" customWidth="1"/>
    <col min="8961" max="8961" width="24.109375" customWidth="1"/>
    <col min="8962" max="8962" width="22.77734375" customWidth="1"/>
    <col min="8963" max="8963" width="24.109375" customWidth="1"/>
    <col min="8964" max="8966" width="22.77734375" customWidth="1"/>
    <col min="8967" max="8967" width="24.109375" customWidth="1"/>
    <col min="8968" max="8972" width="22.77734375" customWidth="1"/>
    <col min="8973" max="8973" width="24.88671875" customWidth="1"/>
    <col min="8974" max="8974" width="24.88671875" bestFit="1" customWidth="1"/>
    <col min="8975" max="8975" width="15.109375" bestFit="1" customWidth="1"/>
    <col min="8976" max="8976" width="15" bestFit="1" customWidth="1"/>
    <col min="8977" max="8977" width="11.88671875" bestFit="1" customWidth="1"/>
    <col min="9213" max="9213" width="52.21875" bestFit="1" customWidth="1"/>
    <col min="9214" max="9214" width="33.33203125" customWidth="1"/>
    <col min="9215" max="9215" width="24.109375" customWidth="1"/>
    <col min="9216" max="9216" width="22.77734375" customWidth="1"/>
    <col min="9217" max="9217" width="24.109375" customWidth="1"/>
    <col min="9218" max="9218" width="22.77734375" customWidth="1"/>
    <col min="9219" max="9219" width="24.109375" customWidth="1"/>
    <col min="9220" max="9222" width="22.77734375" customWidth="1"/>
    <col min="9223" max="9223" width="24.109375" customWidth="1"/>
    <col min="9224" max="9228" width="22.77734375" customWidth="1"/>
    <col min="9229" max="9229" width="24.88671875" customWidth="1"/>
    <col min="9230" max="9230" width="24.88671875" bestFit="1" customWidth="1"/>
    <col min="9231" max="9231" width="15.109375" bestFit="1" customWidth="1"/>
    <col min="9232" max="9232" width="15" bestFit="1" customWidth="1"/>
    <col min="9233" max="9233" width="11.88671875" bestFit="1" customWidth="1"/>
    <col min="9469" max="9469" width="52.21875" bestFit="1" customWidth="1"/>
    <col min="9470" max="9470" width="33.33203125" customWidth="1"/>
    <col min="9471" max="9471" width="24.109375" customWidth="1"/>
    <col min="9472" max="9472" width="22.77734375" customWidth="1"/>
    <col min="9473" max="9473" width="24.109375" customWidth="1"/>
    <col min="9474" max="9474" width="22.77734375" customWidth="1"/>
    <col min="9475" max="9475" width="24.109375" customWidth="1"/>
    <col min="9476" max="9478" width="22.77734375" customWidth="1"/>
    <col min="9479" max="9479" width="24.109375" customWidth="1"/>
    <col min="9480" max="9484" width="22.77734375" customWidth="1"/>
    <col min="9485" max="9485" width="24.88671875" customWidth="1"/>
    <col min="9486" max="9486" width="24.88671875" bestFit="1" customWidth="1"/>
    <col min="9487" max="9487" width="15.109375" bestFit="1" customWidth="1"/>
    <col min="9488" max="9488" width="15" bestFit="1" customWidth="1"/>
    <col min="9489" max="9489" width="11.88671875" bestFit="1" customWidth="1"/>
    <col min="9725" max="9725" width="52.21875" bestFit="1" customWidth="1"/>
    <col min="9726" max="9726" width="33.33203125" customWidth="1"/>
    <col min="9727" max="9727" width="24.109375" customWidth="1"/>
    <col min="9728" max="9728" width="22.77734375" customWidth="1"/>
    <col min="9729" max="9729" width="24.109375" customWidth="1"/>
    <col min="9730" max="9730" width="22.77734375" customWidth="1"/>
    <col min="9731" max="9731" width="24.109375" customWidth="1"/>
    <col min="9732" max="9734" width="22.77734375" customWidth="1"/>
    <col min="9735" max="9735" width="24.109375" customWidth="1"/>
    <col min="9736" max="9740" width="22.77734375" customWidth="1"/>
    <col min="9741" max="9741" width="24.88671875" customWidth="1"/>
    <col min="9742" max="9742" width="24.88671875" bestFit="1" customWidth="1"/>
    <col min="9743" max="9743" width="15.109375" bestFit="1" customWidth="1"/>
    <col min="9744" max="9744" width="15" bestFit="1" customWidth="1"/>
    <col min="9745" max="9745" width="11.88671875" bestFit="1" customWidth="1"/>
    <col min="9981" max="9981" width="52.21875" bestFit="1" customWidth="1"/>
    <col min="9982" max="9982" width="33.33203125" customWidth="1"/>
    <col min="9983" max="9983" width="24.109375" customWidth="1"/>
    <col min="9984" max="9984" width="22.77734375" customWidth="1"/>
    <col min="9985" max="9985" width="24.109375" customWidth="1"/>
    <col min="9986" max="9986" width="22.77734375" customWidth="1"/>
    <col min="9987" max="9987" width="24.109375" customWidth="1"/>
    <col min="9988" max="9990" width="22.77734375" customWidth="1"/>
    <col min="9991" max="9991" width="24.109375" customWidth="1"/>
    <col min="9992" max="9996" width="22.77734375" customWidth="1"/>
    <col min="9997" max="9997" width="24.88671875" customWidth="1"/>
    <col min="9998" max="9998" width="24.88671875" bestFit="1" customWidth="1"/>
    <col min="9999" max="9999" width="15.109375" bestFit="1" customWidth="1"/>
    <col min="10000" max="10000" width="15" bestFit="1" customWidth="1"/>
    <col min="10001" max="10001" width="11.88671875" bestFit="1" customWidth="1"/>
    <col min="10237" max="10237" width="52.21875" bestFit="1" customWidth="1"/>
    <col min="10238" max="10238" width="33.33203125" customWidth="1"/>
    <col min="10239" max="10239" width="24.109375" customWidth="1"/>
    <col min="10240" max="10240" width="22.77734375" customWidth="1"/>
    <col min="10241" max="10241" width="24.109375" customWidth="1"/>
    <col min="10242" max="10242" width="22.77734375" customWidth="1"/>
    <col min="10243" max="10243" width="24.109375" customWidth="1"/>
    <col min="10244" max="10246" width="22.77734375" customWidth="1"/>
    <col min="10247" max="10247" width="24.109375" customWidth="1"/>
    <col min="10248" max="10252" width="22.77734375" customWidth="1"/>
    <col min="10253" max="10253" width="24.88671875" customWidth="1"/>
    <col min="10254" max="10254" width="24.88671875" bestFit="1" customWidth="1"/>
    <col min="10255" max="10255" width="15.109375" bestFit="1" customWidth="1"/>
    <col min="10256" max="10256" width="15" bestFit="1" customWidth="1"/>
    <col min="10257" max="10257" width="11.88671875" bestFit="1" customWidth="1"/>
    <col min="10493" max="10493" width="52.21875" bestFit="1" customWidth="1"/>
    <col min="10494" max="10494" width="33.33203125" customWidth="1"/>
    <col min="10495" max="10495" width="24.109375" customWidth="1"/>
    <col min="10496" max="10496" width="22.77734375" customWidth="1"/>
    <col min="10497" max="10497" width="24.109375" customWidth="1"/>
    <col min="10498" max="10498" width="22.77734375" customWidth="1"/>
    <col min="10499" max="10499" width="24.109375" customWidth="1"/>
    <col min="10500" max="10502" width="22.77734375" customWidth="1"/>
    <col min="10503" max="10503" width="24.109375" customWidth="1"/>
    <col min="10504" max="10508" width="22.77734375" customWidth="1"/>
    <col min="10509" max="10509" width="24.88671875" customWidth="1"/>
    <col min="10510" max="10510" width="24.88671875" bestFit="1" customWidth="1"/>
    <col min="10511" max="10511" width="15.109375" bestFit="1" customWidth="1"/>
    <col min="10512" max="10512" width="15" bestFit="1" customWidth="1"/>
    <col min="10513" max="10513" width="11.88671875" bestFit="1" customWidth="1"/>
    <col min="10749" max="10749" width="52.21875" bestFit="1" customWidth="1"/>
    <col min="10750" max="10750" width="33.33203125" customWidth="1"/>
    <col min="10751" max="10751" width="24.109375" customWidth="1"/>
    <col min="10752" max="10752" width="22.77734375" customWidth="1"/>
    <col min="10753" max="10753" width="24.109375" customWidth="1"/>
    <col min="10754" max="10754" width="22.77734375" customWidth="1"/>
    <col min="10755" max="10755" width="24.109375" customWidth="1"/>
    <col min="10756" max="10758" width="22.77734375" customWidth="1"/>
    <col min="10759" max="10759" width="24.109375" customWidth="1"/>
    <col min="10760" max="10764" width="22.77734375" customWidth="1"/>
    <col min="10765" max="10765" width="24.88671875" customWidth="1"/>
    <col min="10766" max="10766" width="24.88671875" bestFit="1" customWidth="1"/>
    <col min="10767" max="10767" width="15.109375" bestFit="1" customWidth="1"/>
    <col min="10768" max="10768" width="15" bestFit="1" customWidth="1"/>
    <col min="10769" max="10769" width="11.88671875" bestFit="1" customWidth="1"/>
    <col min="11005" max="11005" width="52.21875" bestFit="1" customWidth="1"/>
    <col min="11006" max="11006" width="33.33203125" customWidth="1"/>
    <col min="11007" max="11007" width="24.109375" customWidth="1"/>
    <col min="11008" max="11008" width="22.77734375" customWidth="1"/>
    <col min="11009" max="11009" width="24.109375" customWidth="1"/>
    <col min="11010" max="11010" width="22.77734375" customWidth="1"/>
    <col min="11011" max="11011" width="24.109375" customWidth="1"/>
    <col min="11012" max="11014" width="22.77734375" customWidth="1"/>
    <col min="11015" max="11015" width="24.109375" customWidth="1"/>
    <col min="11016" max="11020" width="22.77734375" customWidth="1"/>
    <col min="11021" max="11021" width="24.88671875" customWidth="1"/>
    <col min="11022" max="11022" width="24.88671875" bestFit="1" customWidth="1"/>
    <col min="11023" max="11023" width="15.109375" bestFit="1" customWidth="1"/>
    <col min="11024" max="11024" width="15" bestFit="1" customWidth="1"/>
    <col min="11025" max="11025" width="11.88671875" bestFit="1" customWidth="1"/>
    <col min="11261" max="11261" width="52.21875" bestFit="1" customWidth="1"/>
    <col min="11262" max="11262" width="33.33203125" customWidth="1"/>
    <col min="11263" max="11263" width="24.109375" customWidth="1"/>
    <col min="11264" max="11264" width="22.77734375" customWidth="1"/>
    <col min="11265" max="11265" width="24.109375" customWidth="1"/>
    <col min="11266" max="11266" width="22.77734375" customWidth="1"/>
    <col min="11267" max="11267" width="24.109375" customWidth="1"/>
    <col min="11268" max="11270" width="22.77734375" customWidth="1"/>
    <col min="11271" max="11271" width="24.109375" customWidth="1"/>
    <col min="11272" max="11276" width="22.77734375" customWidth="1"/>
    <col min="11277" max="11277" width="24.88671875" customWidth="1"/>
    <col min="11278" max="11278" width="24.88671875" bestFit="1" customWidth="1"/>
    <col min="11279" max="11279" width="15.109375" bestFit="1" customWidth="1"/>
    <col min="11280" max="11280" width="15" bestFit="1" customWidth="1"/>
    <col min="11281" max="11281" width="11.88671875" bestFit="1" customWidth="1"/>
    <col min="11517" max="11517" width="52.21875" bestFit="1" customWidth="1"/>
    <col min="11518" max="11518" width="33.33203125" customWidth="1"/>
    <col min="11519" max="11519" width="24.109375" customWidth="1"/>
    <col min="11520" max="11520" width="22.77734375" customWidth="1"/>
    <col min="11521" max="11521" width="24.109375" customWidth="1"/>
    <col min="11522" max="11522" width="22.77734375" customWidth="1"/>
    <col min="11523" max="11523" width="24.109375" customWidth="1"/>
    <col min="11524" max="11526" width="22.77734375" customWidth="1"/>
    <col min="11527" max="11527" width="24.109375" customWidth="1"/>
    <col min="11528" max="11532" width="22.77734375" customWidth="1"/>
    <col min="11533" max="11533" width="24.88671875" customWidth="1"/>
    <col min="11534" max="11534" width="24.88671875" bestFit="1" customWidth="1"/>
    <col min="11535" max="11535" width="15.109375" bestFit="1" customWidth="1"/>
    <col min="11536" max="11536" width="15" bestFit="1" customWidth="1"/>
    <col min="11537" max="11537" width="11.88671875" bestFit="1" customWidth="1"/>
    <col min="11773" max="11773" width="52.21875" bestFit="1" customWidth="1"/>
    <col min="11774" max="11774" width="33.33203125" customWidth="1"/>
    <col min="11775" max="11775" width="24.109375" customWidth="1"/>
    <col min="11776" max="11776" width="22.77734375" customWidth="1"/>
    <col min="11777" max="11777" width="24.109375" customWidth="1"/>
    <col min="11778" max="11778" width="22.77734375" customWidth="1"/>
    <col min="11779" max="11779" width="24.109375" customWidth="1"/>
    <col min="11780" max="11782" width="22.77734375" customWidth="1"/>
    <col min="11783" max="11783" width="24.109375" customWidth="1"/>
    <col min="11784" max="11788" width="22.77734375" customWidth="1"/>
    <col min="11789" max="11789" width="24.88671875" customWidth="1"/>
    <col min="11790" max="11790" width="24.88671875" bestFit="1" customWidth="1"/>
    <col min="11791" max="11791" width="15.109375" bestFit="1" customWidth="1"/>
    <col min="11792" max="11792" width="15" bestFit="1" customWidth="1"/>
    <col min="11793" max="11793" width="11.88671875" bestFit="1" customWidth="1"/>
    <col min="12029" max="12029" width="52.21875" bestFit="1" customWidth="1"/>
    <col min="12030" max="12030" width="33.33203125" customWidth="1"/>
    <col min="12031" max="12031" width="24.109375" customWidth="1"/>
    <col min="12032" max="12032" width="22.77734375" customWidth="1"/>
    <col min="12033" max="12033" width="24.109375" customWidth="1"/>
    <col min="12034" max="12034" width="22.77734375" customWidth="1"/>
    <col min="12035" max="12035" width="24.109375" customWidth="1"/>
    <col min="12036" max="12038" width="22.77734375" customWidth="1"/>
    <col min="12039" max="12039" width="24.109375" customWidth="1"/>
    <col min="12040" max="12044" width="22.77734375" customWidth="1"/>
    <col min="12045" max="12045" width="24.88671875" customWidth="1"/>
    <col min="12046" max="12046" width="24.88671875" bestFit="1" customWidth="1"/>
    <col min="12047" max="12047" width="15.109375" bestFit="1" customWidth="1"/>
    <col min="12048" max="12048" width="15" bestFit="1" customWidth="1"/>
    <col min="12049" max="12049" width="11.88671875" bestFit="1" customWidth="1"/>
    <col min="12285" max="12285" width="52.21875" bestFit="1" customWidth="1"/>
    <col min="12286" max="12286" width="33.33203125" customWidth="1"/>
    <col min="12287" max="12287" width="24.109375" customWidth="1"/>
    <col min="12288" max="12288" width="22.77734375" customWidth="1"/>
    <col min="12289" max="12289" width="24.109375" customWidth="1"/>
    <col min="12290" max="12290" width="22.77734375" customWidth="1"/>
    <col min="12291" max="12291" width="24.109375" customWidth="1"/>
    <col min="12292" max="12294" width="22.77734375" customWidth="1"/>
    <col min="12295" max="12295" width="24.109375" customWidth="1"/>
    <col min="12296" max="12300" width="22.77734375" customWidth="1"/>
    <col min="12301" max="12301" width="24.88671875" customWidth="1"/>
    <col min="12302" max="12302" width="24.88671875" bestFit="1" customWidth="1"/>
    <col min="12303" max="12303" width="15.109375" bestFit="1" customWidth="1"/>
    <col min="12304" max="12304" width="15" bestFit="1" customWidth="1"/>
    <col min="12305" max="12305" width="11.88671875" bestFit="1" customWidth="1"/>
    <col min="12541" max="12541" width="52.21875" bestFit="1" customWidth="1"/>
    <col min="12542" max="12542" width="33.33203125" customWidth="1"/>
    <col min="12543" max="12543" width="24.109375" customWidth="1"/>
    <col min="12544" max="12544" width="22.77734375" customWidth="1"/>
    <col min="12545" max="12545" width="24.109375" customWidth="1"/>
    <col min="12546" max="12546" width="22.77734375" customWidth="1"/>
    <col min="12547" max="12547" width="24.109375" customWidth="1"/>
    <col min="12548" max="12550" width="22.77734375" customWidth="1"/>
    <col min="12551" max="12551" width="24.109375" customWidth="1"/>
    <col min="12552" max="12556" width="22.77734375" customWidth="1"/>
    <col min="12557" max="12557" width="24.88671875" customWidth="1"/>
    <col min="12558" max="12558" width="24.88671875" bestFit="1" customWidth="1"/>
    <col min="12559" max="12559" width="15.109375" bestFit="1" customWidth="1"/>
    <col min="12560" max="12560" width="15" bestFit="1" customWidth="1"/>
    <col min="12561" max="12561" width="11.88671875" bestFit="1" customWidth="1"/>
    <col min="12797" max="12797" width="52.21875" bestFit="1" customWidth="1"/>
    <col min="12798" max="12798" width="33.33203125" customWidth="1"/>
    <col min="12799" max="12799" width="24.109375" customWidth="1"/>
    <col min="12800" max="12800" width="22.77734375" customWidth="1"/>
    <col min="12801" max="12801" width="24.109375" customWidth="1"/>
    <col min="12802" max="12802" width="22.77734375" customWidth="1"/>
    <col min="12803" max="12803" width="24.109375" customWidth="1"/>
    <col min="12804" max="12806" width="22.77734375" customWidth="1"/>
    <col min="12807" max="12807" width="24.109375" customWidth="1"/>
    <col min="12808" max="12812" width="22.77734375" customWidth="1"/>
    <col min="12813" max="12813" width="24.88671875" customWidth="1"/>
    <col min="12814" max="12814" width="24.88671875" bestFit="1" customWidth="1"/>
    <col min="12815" max="12815" width="15.109375" bestFit="1" customWidth="1"/>
    <col min="12816" max="12816" width="15" bestFit="1" customWidth="1"/>
    <col min="12817" max="12817" width="11.88671875" bestFit="1" customWidth="1"/>
    <col min="13053" max="13053" width="52.21875" bestFit="1" customWidth="1"/>
    <col min="13054" max="13054" width="33.33203125" customWidth="1"/>
    <col min="13055" max="13055" width="24.109375" customWidth="1"/>
    <col min="13056" max="13056" width="22.77734375" customWidth="1"/>
    <col min="13057" max="13057" width="24.109375" customWidth="1"/>
    <col min="13058" max="13058" width="22.77734375" customWidth="1"/>
    <col min="13059" max="13059" width="24.109375" customWidth="1"/>
    <col min="13060" max="13062" width="22.77734375" customWidth="1"/>
    <col min="13063" max="13063" width="24.109375" customWidth="1"/>
    <col min="13064" max="13068" width="22.77734375" customWidth="1"/>
    <col min="13069" max="13069" width="24.88671875" customWidth="1"/>
    <col min="13070" max="13070" width="24.88671875" bestFit="1" customWidth="1"/>
    <col min="13071" max="13071" width="15.109375" bestFit="1" customWidth="1"/>
    <col min="13072" max="13072" width="15" bestFit="1" customWidth="1"/>
    <col min="13073" max="13073" width="11.88671875" bestFit="1" customWidth="1"/>
    <col min="13309" max="13309" width="52.21875" bestFit="1" customWidth="1"/>
    <col min="13310" max="13310" width="33.33203125" customWidth="1"/>
    <col min="13311" max="13311" width="24.109375" customWidth="1"/>
    <col min="13312" max="13312" width="22.77734375" customWidth="1"/>
    <col min="13313" max="13313" width="24.109375" customWidth="1"/>
    <col min="13314" max="13314" width="22.77734375" customWidth="1"/>
    <col min="13315" max="13315" width="24.109375" customWidth="1"/>
    <col min="13316" max="13318" width="22.77734375" customWidth="1"/>
    <col min="13319" max="13319" width="24.109375" customWidth="1"/>
    <col min="13320" max="13324" width="22.77734375" customWidth="1"/>
    <col min="13325" max="13325" width="24.88671875" customWidth="1"/>
    <col min="13326" max="13326" width="24.88671875" bestFit="1" customWidth="1"/>
    <col min="13327" max="13327" width="15.109375" bestFit="1" customWidth="1"/>
    <col min="13328" max="13328" width="15" bestFit="1" customWidth="1"/>
    <col min="13329" max="13329" width="11.88671875" bestFit="1" customWidth="1"/>
    <col min="13565" max="13565" width="52.21875" bestFit="1" customWidth="1"/>
    <col min="13566" max="13566" width="33.33203125" customWidth="1"/>
    <col min="13567" max="13567" width="24.109375" customWidth="1"/>
    <col min="13568" max="13568" width="22.77734375" customWidth="1"/>
    <col min="13569" max="13569" width="24.109375" customWidth="1"/>
    <col min="13570" max="13570" width="22.77734375" customWidth="1"/>
    <col min="13571" max="13571" width="24.109375" customWidth="1"/>
    <col min="13572" max="13574" width="22.77734375" customWidth="1"/>
    <col min="13575" max="13575" width="24.109375" customWidth="1"/>
    <col min="13576" max="13580" width="22.77734375" customWidth="1"/>
    <col min="13581" max="13581" width="24.88671875" customWidth="1"/>
    <col min="13582" max="13582" width="24.88671875" bestFit="1" customWidth="1"/>
    <col min="13583" max="13583" width="15.109375" bestFit="1" customWidth="1"/>
    <col min="13584" max="13584" width="15" bestFit="1" customWidth="1"/>
    <col min="13585" max="13585" width="11.88671875" bestFit="1" customWidth="1"/>
    <col min="13821" max="13821" width="52.21875" bestFit="1" customWidth="1"/>
    <col min="13822" max="13822" width="33.33203125" customWidth="1"/>
    <col min="13823" max="13823" width="24.109375" customWidth="1"/>
    <col min="13824" max="13824" width="22.77734375" customWidth="1"/>
    <col min="13825" max="13825" width="24.109375" customWidth="1"/>
    <col min="13826" max="13826" width="22.77734375" customWidth="1"/>
    <col min="13827" max="13827" width="24.109375" customWidth="1"/>
    <col min="13828" max="13830" width="22.77734375" customWidth="1"/>
    <col min="13831" max="13831" width="24.109375" customWidth="1"/>
    <col min="13832" max="13836" width="22.77734375" customWidth="1"/>
    <col min="13837" max="13837" width="24.88671875" customWidth="1"/>
    <col min="13838" max="13838" width="24.88671875" bestFit="1" customWidth="1"/>
    <col min="13839" max="13839" width="15.109375" bestFit="1" customWidth="1"/>
    <col min="13840" max="13840" width="15" bestFit="1" customWidth="1"/>
    <col min="13841" max="13841" width="11.88671875" bestFit="1" customWidth="1"/>
    <col min="14077" max="14077" width="52.21875" bestFit="1" customWidth="1"/>
    <col min="14078" max="14078" width="33.33203125" customWidth="1"/>
    <col min="14079" max="14079" width="24.109375" customWidth="1"/>
    <col min="14080" max="14080" width="22.77734375" customWidth="1"/>
    <col min="14081" max="14081" width="24.109375" customWidth="1"/>
    <col min="14082" max="14082" width="22.77734375" customWidth="1"/>
    <col min="14083" max="14083" width="24.109375" customWidth="1"/>
    <col min="14084" max="14086" width="22.77734375" customWidth="1"/>
    <col min="14087" max="14087" width="24.109375" customWidth="1"/>
    <col min="14088" max="14092" width="22.77734375" customWidth="1"/>
    <col min="14093" max="14093" width="24.88671875" customWidth="1"/>
    <col min="14094" max="14094" width="24.88671875" bestFit="1" customWidth="1"/>
    <col min="14095" max="14095" width="15.109375" bestFit="1" customWidth="1"/>
    <col min="14096" max="14096" width="15" bestFit="1" customWidth="1"/>
    <col min="14097" max="14097" width="11.88671875" bestFit="1" customWidth="1"/>
    <col min="14333" max="14333" width="52.21875" bestFit="1" customWidth="1"/>
    <col min="14334" max="14334" width="33.33203125" customWidth="1"/>
    <col min="14335" max="14335" width="24.109375" customWidth="1"/>
    <col min="14336" max="14336" width="22.77734375" customWidth="1"/>
    <col min="14337" max="14337" width="24.109375" customWidth="1"/>
    <col min="14338" max="14338" width="22.77734375" customWidth="1"/>
    <col min="14339" max="14339" width="24.109375" customWidth="1"/>
    <col min="14340" max="14342" width="22.77734375" customWidth="1"/>
    <col min="14343" max="14343" width="24.109375" customWidth="1"/>
    <col min="14344" max="14348" width="22.77734375" customWidth="1"/>
    <col min="14349" max="14349" width="24.88671875" customWidth="1"/>
    <col min="14350" max="14350" width="24.88671875" bestFit="1" customWidth="1"/>
    <col min="14351" max="14351" width="15.109375" bestFit="1" customWidth="1"/>
    <col min="14352" max="14352" width="15" bestFit="1" customWidth="1"/>
    <col min="14353" max="14353" width="11.88671875" bestFit="1" customWidth="1"/>
    <col min="14589" max="14589" width="52.21875" bestFit="1" customWidth="1"/>
    <col min="14590" max="14590" width="33.33203125" customWidth="1"/>
    <col min="14591" max="14591" width="24.109375" customWidth="1"/>
    <col min="14592" max="14592" width="22.77734375" customWidth="1"/>
    <col min="14593" max="14593" width="24.109375" customWidth="1"/>
    <col min="14594" max="14594" width="22.77734375" customWidth="1"/>
    <col min="14595" max="14595" width="24.109375" customWidth="1"/>
    <col min="14596" max="14598" width="22.77734375" customWidth="1"/>
    <col min="14599" max="14599" width="24.109375" customWidth="1"/>
    <col min="14600" max="14604" width="22.77734375" customWidth="1"/>
    <col min="14605" max="14605" width="24.88671875" customWidth="1"/>
    <col min="14606" max="14606" width="24.88671875" bestFit="1" customWidth="1"/>
    <col min="14607" max="14607" width="15.109375" bestFit="1" customWidth="1"/>
    <col min="14608" max="14608" width="15" bestFit="1" customWidth="1"/>
    <col min="14609" max="14609" width="11.88671875" bestFit="1" customWidth="1"/>
    <col min="14845" max="14845" width="52.21875" bestFit="1" customWidth="1"/>
    <col min="14846" max="14846" width="33.33203125" customWidth="1"/>
    <col min="14847" max="14847" width="24.109375" customWidth="1"/>
    <col min="14848" max="14848" width="22.77734375" customWidth="1"/>
    <col min="14849" max="14849" width="24.109375" customWidth="1"/>
    <col min="14850" max="14850" width="22.77734375" customWidth="1"/>
    <col min="14851" max="14851" width="24.109375" customWidth="1"/>
    <col min="14852" max="14854" width="22.77734375" customWidth="1"/>
    <col min="14855" max="14855" width="24.109375" customWidth="1"/>
    <col min="14856" max="14860" width="22.77734375" customWidth="1"/>
    <col min="14861" max="14861" width="24.88671875" customWidth="1"/>
    <col min="14862" max="14862" width="24.88671875" bestFit="1" customWidth="1"/>
    <col min="14863" max="14863" width="15.109375" bestFit="1" customWidth="1"/>
    <col min="14864" max="14864" width="15" bestFit="1" customWidth="1"/>
    <col min="14865" max="14865" width="11.88671875" bestFit="1" customWidth="1"/>
    <col min="15101" max="15101" width="52.21875" bestFit="1" customWidth="1"/>
    <col min="15102" max="15102" width="33.33203125" customWidth="1"/>
    <col min="15103" max="15103" width="24.109375" customWidth="1"/>
    <col min="15104" max="15104" width="22.77734375" customWidth="1"/>
    <col min="15105" max="15105" width="24.109375" customWidth="1"/>
    <col min="15106" max="15106" width="22.77734375" customWidth="1"/>
    <col min="15107" max="15107" width="24.109375" customWidth="1"/>
    <col min="15108" max="15110" width="22.77734375" customWidth="1"/>
    <col min="15111" max="15111" width="24.109375" customWidth="1"/>
    <col min="15112" max="15116" width="22.77734375" customWidth="1"/>
    <col min="15117" max="15117" width="24.88671875" customWidth="1"/>
    <col min="15118" max="15118" width="24.88671875" bestFit="1" customWidth="1"/>
    <col min="15119" max="15119" width="15.109375" bestFit="1" customWidth="1"/>
    <col min="15120" max="15120" width="15" bestFit="1" customWidth="1"/>
    <col min="15121" max="15121" width="11.88671875" bestFit="1" customWidth="1"/>
    <col min="15357" max="15357" width="52.21875" bestFit="1" customWidth="1"/>
    <col min="15358" max="15358" width="33.33203125" customWidth="1"/>
    <col min="15359" max="15359" width="24.109375" customWidth="1"/>
    <col min="15360" max="15360" width="22.77734375" customWidth="1"/>
    <col min="15361" max="15361" width="24.109375" customWidth="1"/>
    <col min="15362" max="15362" width="22.77734375" customWidth="1"/>
    <col min="15363" max="15363" width="24.109375" customWidth="1"/>
    <col min="15364" max="15366" width="22.77734375" customWidth="1"/>
    <col min="15367" max="15367" width="24.109375" customWidth="1"/>
    <col min="15368" max="15372" width="22.77734375" customWidth="1"/>
    <col min="15373" max="15373" width="24.88671875" customWidth="1"/>
    <col min="15374" max="15374" width="24.88671875" bestFit="1" customWidth="1"/>
    <col min="15375" max="15375" width="15.109375" bestFit="1" customWidth="1"/>
    <col min="15376" max="15376" width="15" bestFit="1" customWidth="1"/>
    <col min="15377" max="15377" width="11.88671875" bestFit="1" customWidth="1"/>
    <col min="15613" max="15613" width="52.21875" bestFit="1" customWidth="1"/>
    <col min="15614" max="15614" width="33.33203125" customWidth="1"/>
    <col min="15615" max="15615" width="24.109375" customWidth="1"/>
    <col min="15616" max="15616" width="22.77734375" customWidth="1"/>
    <col min="15617" max="15617" width="24.109375" customWidth="1"/>
    <col min="15618" max="15618" width="22.77734375" customWidth="1"/>
    <col min="15619" max="15619" width="24.109375" customWidth="1"/>
    <col min="15620" max="15622" width="22.77734375" customWidth="1"/>
    <col min="15623" max="15623" width="24.109375" customWidth="1"/>
    <col min="15624" max="15628" width="22.77734375" customWidth="1"/>
    <col min="15629" max="15629" width="24.88671875" customWidth="1"/>
    <col min="15630" max="15630" width="24.88671875" bestFit="1" customWidth="1"/>
    <col min="15631" max="15631" width="15.109375" bestFit="1" customWidth="1"/>
    <col min="15632" max="15632" width="15" bestFit="1" customWidth="1"/>
    <col min="15633" max="15633" width="11.88671875" bestFit="1" customWidth="1"/>
    <col min="15869" max="15869" width="52.21875" bestFit="1" customWidth="1"/>
    <col min="15870" max="15870" width="33.33203125" customWidth="1"/>
    <col min="15871" max="15871" width="24.109375" customWidth="1"/>
    <col min="15872" max="15872" width="22.77734375" customWidth="1"/>
    <col min="15873" max="15873" width="24.109375" customWidth="1"/>
    <col min="15874" max="15874" width="22.77734375" customWidth="1"/>
    <col min="15875" max="15875" width="24.109375" customWidth="1"/>
    <col min="15876" max="15878" width="22.77734375" customWidth="1"/>
    <col min="15879" max="15879" width="24.109375" customWidth="1"/>
    <col min="15880" max="15884" width="22.77734375" customWidth="1"/>
    <col min="15885" max="15885" width="24.88671875" customWidth="1"/>
    <col min="15886" max="15886" width="24.88671875" bestFit="1" customWidth="1"/>
    <col min="15887" max="15887" width="15.109375" bestFit="1" customWidth="1"/>
    <col min="15888" max="15888" width="15" bestFit="1" customWidth="1"/>
    <col min="15889" max="15889" width="11.88671875" bestFit="1" customWidth="1"/>
    <col min="16125" max="16125" width="52.21875" bestFit="1" customWidth="1"/>
    <col min="16126" max="16126" width="33.33203125" customWidth="1"/>
    <col min="16127" max="16127" width="24.109375" customWidth="1"/>
    <col min="16128" max="16128" width="22.77734375" customWidth="1"/>
    <col min="16129" max="16129" width="24.109375" customWidth="1"/>
    <col min="16130" max="16130" width="22.77734375" customWidth="1"/>
    <col min="16131" max="16131" width="24.109375" customWidth="1"/>
    <col min="16132" max="16134" width="22.77734375" customWidth="1"/>
    <col min="16135" max="16135" width="24.109375" customWidth="1"/>
    <col min="16136" max="16140" width="22.77734375" customWidth="1"/>
    <col min="16141" max="16141" width="24.88671875" customWidth="1"/>
    <col min="16142" max="16142" width="24.88671875" bestFit="1" customWidth="1"/>
    <col min="16143" max="16143" width="15.109375" bestFit="1" customWidth="1"/>
    <col min="16144" max="16144" width="15" bestFit="1" customWidth="1"/>
    <col min="16145" max="16145" width="11.88671875" bestFit="1" customWidth="1"/>
  </cols>
  <sheetData>
    <row r="1" spans="1:22">
      <c r="A1" s="22"/>
    </row>
    <row r="2" spans="1:22" s="24" customFormat="1" ht="21.6" thickBot="1">
      <c r="A2" s="23" t="s">
        <v>180</v>
      </c>
      <c r="R2" s="25" t="s">
        <v>181</v>
      </c>
    </row>
    <row r="3" spans="1:22" s="28" customFormat="1" ht="19.2" thickTop="1" thickBot="1">
      <c r="A3" s="26" t="s">
        <v>182</v>
      </c>
      <c r="B3" s="27">
        <v>44562</v>
      </c>
      <c r="C3" s="27">
        <v>44593</v>
      </c>
      <c r="D3" s="27">
        <v>44621</v>
      </c>
      <c r="E3" s="27" t="s">
        <v>183</v>
      </c>
      <c r="F3" s="27">
        <v>44652</v>
      </c>
      <c r="G3" s="27">
        <v>44682</v>
      </c>
      <c r="H3" s="27">
        <v>44713</v>
      </c>
      <c r="I3" s="27" t="s">
        <v>184</v>
      </c>
      <c r="J3" s="27">
        <v>44743</v>
      </c>
      <c r="K3" s="27">
        <v>44774</v>
      </c>
      <c r="L3" s="27">
        <v>44805</v>
      </c>
      <c r="M3" s="27" t="s">
        <v>185</v>
      </c>
      <c r="N3" s="27">
        <v>44835</v>
      </c>
      <c r="O3" s="27">
        <v>44866</v>
      </c>
      <c r="P3" s="27">
        <v>44896</v>
      </c>
      <c r="Q3" s="27" t="s">
        <v>186</v>
      </c>
      <c r="R3" s="27" t="s">
        <v>187</v>
      </c>
    </row>
    <row r="4" spans="1:22" s="28" customFormat="1" ht="21.6" hidden="1" thickTop="1">
      <c r="A4" s="29" t="s">
        <v>188</v>
      </c>
      <c r="B4" s="29">
        <f>'[38]Budget 2022'!E81</f>
        <v>24705224.993333321</v>
      </c>
      <c r="C4" s="29">
        <f>'[38]Budget 2022'!F81</f>
        <v>26455224.993333321</v>
      </c>
      <c r="D4" s="29">
        <f>'[38]Budget 2022'!G81</f>
        <v>28315224.993333321</v>
      </c>
      <c r="E4" s="30">
        <f>SUM(B4:D4)</f>
        <v>79475674.979999959</v>
      </c>
      <c r="F4" s="29">
        <f>'[38]Budget 2022'!I81</f>
        <v>27757279.32</v>
      </c>
      <c r="G4" s="29">
        <f>'[38]Budget 2022'!J81</f>
        <v>26987996.32</v>
      </c>
      <c r="H4" s="29">
        <f>'[38]Budget 2022'!K81</f>
        <v>27479040.32</v>
      </c>
      <c r="I4" s="30">
        <f>SUM(F4:H4)</f>
        <v>82224315.960000008</v>
      </c>
      <c r="J4" s="29">
        <f>'[38]Budget 2022'!M81</f>
        <v>19699999.986666668</v>
      </c>
      <c r="K4" s="29">
        <f>'[38]Budget 2022'!N81</f>
        <v>19699999.986666668</v>
      </c>
      <c r="L4" s="29">
        <f>'[38]Budget 2022'!O81</f>
        <v>19699999.986666668</v>
      </c>
      <c r="M4" s="30">
        <f>SUM(J4:L4)</f>
        <v>59099999.960000008</v>
      </c>
      <c r="N4" s="29">
        <f>'[38]Budget 2022'!Q81</f>
        <v>19070977.986666668</v>
      </c>
      <c r="O4" s="29">
        <f>'[38]Budget 2022'!R81</f>
        <v>18134365.986666668</v>
      </c>
      <c r="P4" s="29">
        <f>'[38]Budget 2022'!S81</f>
        <v>18134365.986666668</v>
      </c>
      <c r="Q4" s="30">
        <f>SUM(N4:P4)</f>
        <v>55339709.960000008</v>
      </c>
      <c r="R4" s="30">
        <f>Q4+M4+I4+E4</f>
        <v>276139700.86000001</v>
      </c>
    </row>
    <row r="5" spans="1:22" s="28" customFormat="1" ht="21" hidden="1">
      <c r="A5" s="29" t="s">
        <v>189</v>
      </c>
      <c r="B5" s="29">
        <f>'[38]Budget 2022'!E82</f>
        <v>1958966</v>
      </c>
      <c r="C5" s="29">
        <f>'[38]Budget 2022'!F82</f>
        <v>1958966</v>
      </c>
      <c r="D5" s="29">
        <f>'[38]Budget 2022'!G82</f>
        <v>1958966</v>
      </c>
      <c r="E5" s="30">
        <f>SUM(B5:D5)</f>
        <v>5876898</v>
      </c>
      <c r="F5" s="29">
        <f>'[38]Budget 2022'!I82</f>
        <v>1758966</v>
      </c>
      <c r="G5" s="29">
        <f>'[38]Budget 2022'!J82</f>
        <v>1758966</v>
      </c>
      <c r="H5" s="29">
        <f>'[38]Budget 2022'!K82</f>
        <v>1758966</v>
      </c>
      <c r="I5" s="30">
        <f>SUM(F5:H5)</f>
        <v>5276898</v>
      </c>
      <c r="J5" s="29">
        <f>'[38]Budget 2022'!M82</f>
        <v>864366</v>
      </c>
      <c r="K5" s="29">
        <f>'[38]Budget 2022'!N82</f>
        <v>864366</v>
      </c>
      <c r="L5" s="29">
        <f>'[38]Budget 2022'!O82</f>
        <v>864366</v>
      </c>
      <c r="M5" s="30">
        <f>SUM(J5:L5)</f>
        <v>2593098</v>
      </c>
      <c r="N5" s="29">
        <f>'[38]Budget 2022'!Q82</f>
        <v>450000</v>
      </c>
      <c r="O5" s="29">
        <f>'[38]Budget 2022'!R82</f>
        <v>450000</v>
      </c>
      <c r="P5" s="29">
        <f>'[38]Budget 2022'!S82</f>
        <v>450000</v>
      </c>
      <c r="Q5" s="30">
        <f>SUM(N5:P5)</f>
        <v>1350000</v>
      </c>
      <c r="R5" s="30">
        <f>Q5+M5+I5+E5</f>
        <v>15096894</v>
      </c>
    </row>
    <row r="6" spans="1:22" s="28" customFormat="1" ht="21" hidden="1">
      <c r="A6" s="29" t="s">
        <v>190</v>
      </c>
      <c r="B6" s="29">
        <f>SUM(B4:B5)</f>
        <v>26664190.993333321</v>
      </c>
      <c r="C6" s="29">
        <f>SUM(C4:C5)</f>
        <v>28414190.993333321</v>
      </c>
      <c r="D6" s="29">
        <f>SUM(D4:D5)</f>
        <v>30274190.993333321</v>
      </c>
      <c r="E6" s="30">
        <f>SUM(B6:D6)</f>
        <v>85352572.979999959</v>
      </c>
      <c r="F6" s="29">
        <f>SUM(F4:F5)</f>
        <v>29516245.32</v>
      </c>
      <c r="G6" s="29">
        <f>SUM(G4:G5)</f>
        <v>28746962.32</v>
      </c>
      <c r="H6" s="29">
        <f>SUM(H4:H5)</f>
        <v>29238006.32</v>
      </c>
      <c r="I6" s="30">
        <f>SUM(F6:H6)</f>
        <v>87501213.960000008</v>
      </c>
      <c r="J6" s="29">
        <f>SUM(J4:J5)</f>
        <v>20564365.986666668</v>
      </c>
      <c r="K6" s="29">
        <f>SUM(K4:K5)</f>
        <v>20564365.986666668</v>
      </c>
      <c r="L6" s="29">
        <f>SUM(L4:L5)</f>
        <v>20564365.986666668</v>
      </c>
      <c r="M6" s="30">
        <f>SUM(J6:L6)</f>
        <v>61693097.960000008</v>
      </c>
      <c r="N6" s="29">
        <f>SUM(N4:N5)</f>
        <v>19520977.986666668</v>
      </c>
      <c r="O6" s="29">
        <f>SUM(O4:O5)</f>
        <v>18584365.986666668</v>
      </c>
      <c r="P6" s="29">
        <f>SUM(P4:P5)</f>
        <v>18584365.986666668</v>
      </c>
      <c r="Q6" s="30">
        <f>SUM(N6:P6)</f>
        <v>56689709.960000008</v>
      </c>
      <c r="R6" s="30">
        <f t="shared" ref="R6:R12" si="0">Q6+M6+I6+E6</f>
        <v>291236594.86000001</v>
      </c>
    </row>
    <row r="7" spans="1:22" s="28" customFormat="1" ht="21" hidden="1">
      <c r="A7" s="29" t="s">
        <v>191</v>
      </c>
      <c r="B7" s="29">
        <f>'[38]Budget 2022'!V85+'[38]Budget 2022'!AM81+'[38]Budget 2022'!CL81+'[38]Budget 2022'!DC81+'[38]Budget 2022'!DT81+'[38]Budget 2022'!EK81</f>
        <v>-19356037.356666662</v>
      </c>
      <c r="C7" s="29">
        <f>'[38]Budget 2022'!W85+'[38]Budget 2022'!AN81+'[38]Budget 2022'!CM81+'[38]Budget 2022'!DD81+'[38]Budget 2022'!DU81+'[38]Budget 2022'!EL81</f>
        <v>-16131586.27666666</v>
      </c>
      <c r="D7" s="29">
        <f>'[38]Budget 2022'!X85+'[38]Budget 2022'!AO81+'[38]Budget 2022'!CN81+'[38]Budget 2022'!DE81+'[38]Budget 2022'!DV81+'[38]Budget 2022'!EM81</f>
        <v>-20138009.11666666</v>
      </c>
      <c r="E7" s="30">
        <f t="shared" ref="E7:E13" si="1">SUM(B7:D7)</f>
        <v>-55625632.749999985</v>
      </c>
      <c r="F7" s="29">
        <f>'[38]Budget 2022'!Z85+'[38]Budget 2022'!AQ85+'[38]Budget 2022'!CP85+'[38]Budget 2022'!DG85+'[38]Budget 2022'!DX85+'[38]Budget 2022'!EO85</f>
        <v>-19914128.266666658</v>
      </c>
      <c r="G7" s="29">
        <f>'[38]Budget 2022'!AA85+'[38]Budget 2022'!AR85+'[38]Budget 2022'!CQ85+'[38]Budget 2022'!DH85+'[38]Budget 2022'!DY85+'[38]Budget 2022'!EP85</f>
        <v>-16325155.236666659</v>
      </c>
      <c r="H7" s="29">
        <f>'[38]Budget 2022'!AB85+'[38]Budget 2022'!AS85+'[38]Budget 2022'!CR85+'[38]Budget 2022'!DI85+'[38]Budget 2022'!DZ85+'[38]Budget 2022'!EQ85</f>
        <v>-15357479.396666659</v>
      </c>
      <c r="I7" s="30">
        <f t="shared" ref="I7:I13" si="2">SUM(F7:H7)</f>
        <v>-51596762.899999976</v>
      </c>
      <c r="J7" s="29">
        <f>'[38]Budget 2022'!AD85+'[38]Budget 2022'!AU85+'[38]Budget 2022'!CT85+'[38]Budget 2022'!DK85+'[38]Budget 2022'!EB85+'[38]Budget 2022'!ES85</f>
        <v>-12488155.966666659</v>
      </c>
      <c r="K7" s="29">
        <f>'[38]Budget 2022'!AE85+'[38]Budget 2022'!AV85+'[38]Budget 2022'!CU85+'[38]Budget 2022'!DL85+'[38]Budget 2022'!EC85+'[38]Budget 2022'!ET85</f>
        <v>-9853435.9666666593</v>
      </c>
      <c r="L7" s="29">
        <f>'[38]Budget 2022'!AF85+'[38]Budget 2022'!AW85+'[38]Budget 2022'!CV85+'[38]Budget 2022'!DM85+'[38]Budget 2022'!ED85+'[38]Budget 2022'!EU85</f>
        <v>-9472666.7966666594</v>
      </c>
      <c r="M7" s="30">
        <f t="shared" ref="M7:M13" si="3">SUM(J7:L7)</f>
        <v>-31814258.729999978</v>
      </c>
      <c r="N7" s="29">
        <f>'[38]Budget 2022'!AH85+'[38]Budget 2022'!AY85+'[38]Budget 2022'!CX85+'[38]Budget 2022'!DO85+'[38]Budget 2022'!EF85+'[38]Budget 2022'!EW85</f>
        <v>-9377942.1966666598</v>
      </c>
      <c r="O7" s="29">
        <f>'[38]Budget 2022'!AI85+'[38]Budget 2022'!AZ85+'[38]Budget 2022'!CY85+'[38]Budget 2022'!DP85+'[38]Budget 2022'!EG85+'[38]Budget 2022'!EX85</f>
        <v>-8955050.0166666601</v>
      </c>
      <c r="P7" s="29">
        <f>'[38]Budget 2022'!AJ85+'[38]Budget 2022'!BA85+'[38]Budget 2022'!CZ85+'[38]Budget 2022'!DQ85+'[38]Budget 2022'!EH85+'[38]Budget 2022'!EY85</f>
        <v>-8989083.0166666601</v>
      </c>
      <c r="Q7" s="30">
        <f t="shared" ref="Q7:Q12" si="4">SUM(N7:P7)</f>
        <v>-27322075.229999982</v>
      </c>
      <c r="R7" s="30">
        <f t="shared" si="0"/>
        <v>-166358729.60999992</v>
      </c>
    </row>
    <row r="8" spans="1:22" s="28" customFormat="1" ht="21" hidden="1">
      <c r="A8" s="29" t="s">
        <v>192</v>
      </c>
      <c r="B8" s="29">
        <f>'[38]Budget 2022'!V86+'[38]Budget 2022'!AM86+'[38]Budget 2022'!CL86+'[38]Budget 2022'!DC86+'[38]Budget 2022'!DT86+'[38]Budget 2022'!EK86</f>
        <v>-463341.42000000004</v>
      </c>
      <c r="C8" s="29">
        <f>'[38]Budget 2022'!W86+'[38]Budget 2022'!AN86+'[38]Budget 2022'!CM86+'[38]Budget 2022'!DD86+'[38]Budget 2022'!DU86+'[38]Budget 2022'!EL86</f>
        <v>-463341.42000000004</v>
      </c>
      <c r="D8" s="29">
        <f>'[38]Budget 2022'!X86+'[38]Budget 2022'!AO86+'[38]Budget 2022'!CN86+'[38]Budget 2022'!DE86+'[38]Budget 2022'!DV86+'[38]Budget 2022'!EM86</f>
        <v>-510890.42000000004</v>
      </c>
      <c r="E8" s="30">
        <f t="shared" si="1"/>
        <v>-1437573.2600000002</v>
      </c>
      <c r="F8" s="29">
        <f>'[38]Budget 2022'!Z86+'[38]Budget 2022'!AQ86+'[38]Budget 2022'!CP86+'[38]Budget 2022'!DG86+'[38]Budget 2022'!DX86+'[38]Budget 2022'!EO86</f>
        <v>-327327.40000000002</v>
      </c>
      <c r="G8" s="29">
        <f>'[38]Budget 2022'!AA86+'[38]Budget 2022'!AR86+'[38]Budget 2022'!CQ86+'[38]Budget 2022'!DH86+'[38]Budget 2022'!DY86+'[38]Budget 2022'!EP86</f>
        <v>-327327.40000000002</v>
      </c>
      <c r="H8" s="29">
        <f>'[38]Budget 2022'!AB86+'[38]Budget 2022'!AS86+'[38]Budget 2022'!CR86+'[38]Budget 2022'!DI86+'[38]Budget 2022'!DZ86+'[38]Budget 2022'!EQ86</f>
        <v>-374876.4</v>
      </c>
      <c r="I8" s="30">
        <f t="shared" si="2"/>
        <v>-1029531.2000000001</v>
      </c>
      <c r="J8" s="29">
        <f>'[38]Budget 2022'!AD86+'[38]Budget 2022'!AU86+'[38]Budget 2022'!CT86+'[38]Budget 2022'!DK86+'[38]Budget 2022'!EB86+'[38]Budget 2022'!ES86</f>
        <v>-42924.490000000005</v>
      </c>
      <c r="K8" s="29">
        <f>'[38]Budget 2022'!AE86+'[38]Budget 2022'!AV86+'[38]Budget 2022'!CU86+'[38]Budget 2022'!DL86+'[38]Budget 2022'!EC86+'[38]Budget 2022'!ET86</f>
        <v>-42924.490000000005</v>
      </c>
      <c r="L8" s="29">
        <f>'[38]Budget 2022'!AF86+'[38]Budget 2022'!AW86+'[38]Budget 2022'!CV86+'[38]Budget 2022'!DM86+'[38]Budget 2022'!ED86+'[38]Budget 2022'!EU86</f>
        <v>-42924.490000000005</v>
      </c>
      <c r="M8" s="30">
        <f t="shared" si="3"/>
        <v>-128773.47000000002</v>
      </c>
      <c r="N8" s="29">
        <f>'[38]Budget 2022'!AH86+'[38]Budget 2022'!AY86+'[38]Budget 2022'!CX86+'[38]Budget 2022'!DO86+'[38]Budget 2022'!EF86+'[38]Budget 2022'!EW86</f>
        <v>-22347.040000000001</v>
      </c>
      <c r="O8" s="29">
        <f>'[38]Budget 2022'!AI86+'[38]Budget 2022'!AZ86+'[38]Budget 2022'!CY86+'[38]Budget 2022'!DP86+'[38]Budget 2022'!EG86+'[38]Budget 2022'!EX86</f>
        <v>-22347.040000000001</v>
      </c>
      <c r="P8" s="29">
        <f>'[38]Budget 2022'!AJ86+'[38]Budget 2022'!BA86+'[38]Budget 2022'!CZ86+'[38]Budget 2022'!DQ86+'[38]Budget 2022'!EH86+'[38]Budget 2022'!EY86</f>
        <v>-22347.040000000001</v>
      </c>
      <c r="Q8" s="30">
        <f t="shared" si="4"/>
        <v>-67041.119999999995</v>
      </c>
      <c r="R8" s="30">
        <f t="shared" si="0"/>
        <v>-2662919.0500000003</v>
      </c>
    </row>
    <row r="9" spans="1:22" s="28" customFormat="1" ht="21" hidden="1">
      <c r="A9" s="29" t="s">
        <v>193</v>
      </c>
      <c r="B9" s="29">
        <f>'[38]Budget 2022'!BD85+'[38]Budget 2022'!BU85</f>
        <v>-3820022.5900000008</v>
      </c>
      <c r="C9" s="29">
        <f>'[38]Budget 2022'!BE85+'[38]Budget 2022'!BV85</f>
        <v>-7442167.9299999997</v>
      </c>
      <c r="D9" s="29">
        <f>'[38]Budget 2022'!BF85+'[38]Budget 2022'!BW85</f>
        <v>-5962312.0499999998</v>
      </c>
      <c r="E9" s="30">
        <f t="shared" si="1"/>
        <v>-17224502.57</v>
      </c>
      <c r="F9" s="29">
        <f>'[38]Budget 2022'!BH85+'[38]Budget 2022'!BY85</f>
        <v>-5962312.0499999998</v>
      </c>
      <c r="G9" s="29">
        <f>'[38]Budget 2022'!BI85+'[38]Budget 2022'!BZ85</f>
        <v>-5962312.0499999998</v>
      </c>
      <c r="H9" s="29">
        <f>'[38]Budget 2022'!BJ85+'[38]Budget 2022'!CA85</f>
        <v>-5962312.0499999998</v>
      </c>
      <c r="I9" s="30">
        <f t="shared" si="2"/>
        <v>-17886936.149999999</v>
      </c>
      <c r="J9" s="29">
        <f>'[38]Budget 2022'!BL85+'[38]Budget 2022'!CC85</f>
        <v>-5718064.459999999</v>
      </c>
      <c r="K9" s="29">
        <f>'[38]Budget 2022'!BM85+'[38]Budget 2022'!CD85</f>
        <v>-5718064.459999999</v>
      </c>
      <c r="L9" s="29">
        <f>'[38]Budget 2022'!BN85+'[38]Budget 2022'!CE85</f>
        <v>-3912376.92</v>
      </c>
      <c r="M9" s="30">
        <f t="shared" si="3"/>
        <v>-15348505.839999998</v>
      </c>
      <c r="N9" s="29">
        <f>'[38]Budget 2022'!BP85+'[38]Budget 2022'!CG85</f>
        <v>-4003313.64</v>
      </c>
      <c r="O9" s="29">
        <f>'[38]Budget 2022'!BQ85+'[38]Budget 2022'!CH85</f>
        <v>-2475766.8300000005</v>
      </c>
      <c r="P9" s="29">
        <f>'[38]Budget 2022'!BR85+'[38]Budget 2022'!CI85</f>
        <v>-2475766.8300000005</v>
      </c>
      <c r="Q9" s="30">
        <f t="shared" si="4"/>
        <v>-8954847.3000000007</v>
      </c>
      <c r="R9" s="30">
        <f t="shared" si="0"/>
        <v>-59414791.859999999</v>
      </c>
    </row>
    <row r="10" spans="1:22" s="28" customFormat="1" ht="21" hidden="1">
      <c r="A10" s="29" t="s">
        <v>194</v>
      </c>
      <c r="B10" s="29">
        <f>'[38]Budget 2022'!BD86+'[38]Budget 2022'!BU86</f>
        <v>-410119.47</v>
      </c>
      <c r="C10" s="29">
        <f>'[38]Budget 2022'!BE86+'[38]Budget 2022'!BV86</f>
        <v>-410119.47</v>
      </c>
      <c r="D10" s="29">
        <f>'[38]Budget 2022'!BF86+'[38]Budget 2022'!BW86</f>
        <v>-410119.47</v>
      </c>
      <c r="E10" s="30">
        <f t="shared" si="1"/>
        <v>-1230358.4099999999</v>
      </c>
      <c r="F10" s="29">
        <f>'[38]Budget 2022'!BH86+'[38]Budget 2022'!BY86</f>
        <v>-368248.44999999995</v>
      </c>
      <c r="G10" s="29">
        <f>'[38]Budget 2022'!BI86+'[38]Budget 2022'!BZ86</f>
        <v>-368248.44999999995</v>
      </c>
      <c r="H10" s="29">
        <f>'[38]Budget 2022'!BJ86+'[38]Budget 2022'!CA86</f>
        <v>-368248.44999999995</v>
      </c>
      <c r="I10" s="30">
        <f t="shared" si="2"/>
        <v>-1104745.3499999999</v>
      </c>
      <c r="J10" s="29">
        <f>'[38]Budget 2022'!BL86+'[38]Budget 2022'!CC86</f>
        <v>-180959.4</v>
      </c>
      <c r="K10" s="29">
        <f>'[38]Budget 2022'!BM86+'[38]Budget 2022'!CD86</f>
        <v>-180959.4</v>
      </c>
      <c r="L10" s="29">
        <f>'[38]Budget 2022'!BN86+'[38]Budget 2022'!CE86</f>
        <v>-180959.4</v>
      </c>
      <c r="M10" s="30">
        <f t="shared" si="3"/>
        <v>-542878.19999999995</v>
      </c>
      <c r="N10" s="29">
        <f>'[38]Budget 2022'!BP86+'[38]Budget 2022'!CG86+'[38]Budget 2022'!EF86</f>
        <v>-94209.78</v>
      </c>
      <c r="O10" s="29">
        <f>'[38]Budget 2022'!BQ86+'[38]Budget 2022'!CH86+'[38]Budget 2022'!EG86</f>
        <v>-94209.78</v>
      </c>
      <c r="P10" s="29">
        <f>'[38]Budget 2022'!BR86+'[38]Budget 2022'!CI86+'[38]Budget 2022'!EH86</f>
        <v>-94209.78</v>
      </c>
      <c r="Q10" s="30">
        <f t="shared" si="4"/>
        <v>-282629.33999999997</v>
      </c>
      <c r="R10" s="30">
        <f t="shared" si="0"/>
        <v>-3160611.3</v>
      </c>
    </row>
    <row r="11" spans="1:22" s="28" customFormat="1" ht="21" hidden="1">
      <c r="A11" s="29" t="s">
        <v>195</v>
      </c>
      <c r="B11" s="29">
        <f>SUM(B7,B9)</f>
        <v>-23176059.946666662</v>
      </c>
      <c r="C11" s="29">
        <f t="shared" ref="C11:H12" si="5">SUM(C7,C9)</f>
        <v>-23573754.20666666</v>
      </c>
      <c r="D11" s="29">
        <f t="shared" si="5"/>
        <v>-26100321.16666666</v>
      </c>
      <c r="E11" s="30">
        <f t="shared" si="1"/>
        <v>-72850135.319999978</v>
      </c>
      <c r="F11" s="29">
        <f t="shared" si="5"/>
        <v>-25876440.316666659</v>
      </c>
      <c r="G11" s="29">
        <f t="shared" si="5"/>
        <v>-22287467.286666658</v>
      </c>
      <c r="H11" s="29">
        <f t="shared" si="5"/>
        <v>-21319791.446666658</v>
      </c>
      <c r="I11" s="30">
        <f t="shared" si="2"/>
        <v>-69483699.049999982</v>
      </c>
      <c r="J11" s="29">
        <f t="shared" ref="J11:L12" si="6">SUM(J7,J9)</f>
        <v>-18206220.426666658</v>
      </c>
      <c r="K11" s="29">
        <f t="shared" si="6"/>
        <v>-15571500.426666658</v>
      </c>
      <c r="L11" s="29">
        <f t="shared" si="6"/>
        <v>-13385043.716666659</v>
      </c>
      <c r="M11" s="30">
        <f t="shared" si="3"/>
        <v>-47162764.569999978</v>
      </c>
      <c r="N11" s="29">
        <f t="shared" ref="N11:P12" si="7">SUM(N7,N9)</f>
        <v>-13381255.83666666</v>
      </c>
      <c r="O11" s="29">
        <f t="shared" si="7"/>
        <v>-11430816.84666666</v>
      </c>
      <c r="P11" s="29">
        <f t="shared" si="7"/>
        <v>-11464849.84666666</v>
      </c>
      <c r="Q11" s="30">
        <f t="shared" si="4"/>
        <v>-36276922.529999986</v>
      </c>
      <c r="R11" s="30">
        <f t="shared" si="0"/>
        <v>-225773521.46999991</v>
      </c>
    </row>
    <row r="12" spans="1:22" s="28" customFormat="1" ht="21" hidden="1">
      <c r="A12" s="29" t="s">
        <v>196</v>
      </c>
      <c r="B12" s="29">
        <f>SUM(B8,B10)</f>
        <v>-873460.89</v>
      </c>
      <c r="C12" s="29">
        <f t="shared" si="5"/>
        <v>-873460.89</v>
      </c>
      <c r="D12" s="29">
        <f t="shared" si="5"/>
        <v>-921009.89</v>
      </c>
      <c r="E12" s="30">
        <f t="shared" si="1"/>
        <v>-2667931.67</v>
      </c>
      <c r="F12" s="29">
        <f t="shared" si="5"/>
        <v>-695575.85</v>
      </c>
      <c r="G12" s="29">
        <f t="shared" si="5"/>
        <v>-695575.85</v>
      </c>
      <c r="H12" s="29">
        <f t="shared" si="5"/>
        <v>-743124.85</v>
      </c>
      <c r="I12" s="30">
        <f t="shared" si="2"/>
        <v>-2134276.5499999998</v>
      </c>
      <c r="J12" s="29">
        <f t="shared" si="6"/>
        <v>-223883.89</v>
      </c>
      <c r="K12" s="29">
        <f t="shared" si="6"/>
        <v>-223883.89</v>
      </c>
      <c r="L12" s="29">
        <f t="shared" si="6"/>
        <v>-223883.89</v>
      </c>
      <c r="M12" s="30">
        <f t="shared" si="3"/>
        <v>-671651.67</v>
      </c>
      <c r="N12" s="29">
        <f t="shared" si="7"/>
        <v>-116556.82</v>
      </c>
      <c r="O12" s="29">
        <f t="shared" si="7"/>
        <v>-116556.82</v>
      </c>
      <c r="P12" s="29">
        <f t="shared" si="7"/>
        <v>-116556.82</v>
      </c>
      <c r="Q12" s="30">
        <f t="shared" si="4"/>
        <v>-349670.46</v>
      </c>
      <c r="R12" s="30">
        <f t="shared" si="0"/>
        <v>-5823530.3499999996</v>
      </c>
    </row>
    <row r="13" spans="1:22" s="35" customFormat="1" ht="31.8" thickTop="1">
      <c r="A13" s="31" t="s">
        <v>10</v>
      </c>
      <c r="B13" s="32">
        <f>SUM(B14,B17)</f>
        <v>26664190.993333321</v>
      </c>
      <c r="C13" s="32">
        <f>SUM(C14,C17)</f>
        <v>28414190.993333321</v>
      </c>
      <c r="D13" s="32">
        <f>SUM(D14,D17)</f>
        <v>30274190.993333321</v>
      </c>
      <c r="E13" s="32">
        <f t="shared" si="1"/>
        <v>85352572.979999959</v>
      </c>
      <c r="F13" s="32">
        <f>SUM(F14,F17)</f>
        <v>29516245.32</v>
      </c>
      <c r="G13" s="32">
        <f>SUM(G14,G17)</f>
        <v>28746962.32</v>
      </c>
      <c r="H13" s="32">
        <f>SUM(H14,H17)</f>
        <v>29238006.32</v>
      </c>
      <c r="I13" s="32">
        <f t="shared" si="2"/>
        <v>87501213.960000008</v>
      </c>
      <c r="J13" s="32">
        <f>SUM(J14,J17)</f>
        <v>20564365.986666668</v>
      </c>
      <c r="K13" s="32">
        <f>SUM(K14,K17)</f>
        <v>20564365.986666668</v>
      </c>
      <c r="L13" s="32">
        <f>SUM(L14,L17)</f>
        <v>20564365.986666668</v>
      </c>
      <c r="M13" s="32">
        <f t="shared" si="3"/>
        <v>61693097.960000008</v>
      </c>
      <c r="N13" s="32">
        <f>SUM(N14,N17)</f>
        <v>19520977.986666668</v>
      </c>
      <c r="O13" s="32">
        <f>SUM(O14,O17)</f>
        <v>18584365.986666668</v>
      </c>
      <c r="P13" s="32">
        <f>SUM(P14,P17)</f>
        <v>18584365.986666668</v>
      </c>
      <c r="Q13" s="32">
        <f>SUM(N13:P13)</f>
        <v>56689709.960000008</v>
      </c>
      <c r="R13" s="33">
        <f>SUM(R14,R17)</f>
        <v>291236594.85999995</v>
      </c>
      <c r="S13" s="34">
        <f>R13-'[38]Budget 2022'!U5</f>
        <v>0</v>
      </c>
      <c r="V13" s="34"/>
    </row>
    <row r="14" spans="1:22" ht="21" hidden="1" outlineLevel="1">
      <c r="A14" s="36" t="s">
        <v>197</v>
      </c>
      <c r="B14" s="37">
        <f>SUM(B15:B16)</f>
        <v>18421891.666666653</v>
      </c>
      <c r="C14" s="37">
        <f>SUM(C15:C16)</f>
        <v>20171891.666666653</v>
      </c>
      <c r="D14" s="37">
        <f>SUM(D15:D16)</f>
        <v>22031891.666666653</v>
      </c>
      <c r="E14" s="37">
        <f t="shared" ref="E14:E125" si="8">SUM(B14:D14)</f>
        <v>60625674.999999955</v>
      </c>
      <c r="F14" s="37">
        <f>SUM(F15:F16)</f>
        <v>21473945.993333332</v>
      </c>
      <c r="G14" s="37">
        <f>SUM(G15:G16)</f>
        <v>20704662.993333332</v>
      </c>
      <c r="H14" s="37">
        <f>SUM(H15:H16)</f>
        <v>21195706.993333332</v>
      </c>
      <c r="I14" s="37">
        <f t="shared" ref="I14:I125" si="9">SUM(F14:H14)</f>
        <v>63374315.979999997</v>
      </c>
      <c r="J14" s="37">
        <f>SUM(J15:J16)</f>
        <v>13416666.66</v>
      </c>
      <c r="K14" s="37">
        <f>SUM(K15:K16)</f>
        <v>13416666.66</v>
      </c>
      <c r="L14" s="37">
        <f>SUM(L15:L16)</f>
        <v>13416666.66</v>
      </c>
      <c r="M14" s="37">
        <f t="shared" ref="M14:M125" si="10">SUM(J14:L14)</f>
        <v>40249999.980000004</v>
      </c>
      <c r="N14" s="37">
        <f>SUM(N15:N16)</f>
        <v>12353278.66</v>
      </c>
      <c r="O14" s="37">
        <f>SUM(O15:O16)</f>
        <v>11416666.66</v>
      </c>
      <c r="P14" s="37">
        <f>SUM(P15:P16)</f>
        <v>11416666.66</v>
      </c>
      <c r="Q14" s="37">
        <f t="shared" ref="Q14:Q125" si="11">SUM(N14:P14)</f>
        <v>35186611.980000004</v>
      </c>
      <c r="R14" s="37">
        <f>SUM(R15:R16)</f>
        <v>199436602.93999997</v>
      </c>
    </row>
    <row r="15" spans="1:22" ht="18" hidden="1" outlineLevel="1">
      <c r="A15" s="38" t="s">
        <v>198</v>
      </c>
      <c r="B15" s="39">
        <f>'[38]Budget 2022'!E7</f>
        <v>8838558.3333333321</v>
      </c>
      <c r="C15" s="39">
        <f>'[38]Budget 2022'!F7</f>
        <v>10588558.333333332</v>
      </c>
      <c r="D15" s="39">
        <f>'[38]Budget 2022'!G7</f>
        <v>11448558.333333332</v>
      </c>
      <c r="E15" s="39">
        <f t="shared" si="8"/>
        <v>30875674.999999996</v>
      </c>
      <c r="F15" s="39">
        <f>'[38]Budget 2022'!I7</f>
        <v>11557279.333333332</v>
      </c>
      <c r="G15" s="39">
        <f>'[38]Budget 2022'!J7</f>
        <v>10787996.333333332</v>
      </c>
      <c r="H15" s="39">
        <f>'[38]Budget 2022'!K7</f>
        <v>11279040.333333332</v>
      </c>
      <c r="I15" s="39">
        <f t="shared" si="9"/>
        <v>33624316</v>
      </c>
      <c r="J15" s="39">
        <f>'[38]Budget 2022'!M7</f>
        <v>3500000</v>
      </c>
      <c r="K15" s="39">
        <f>'[38]Budget 2022'!N7</f>
        <v>3500000</v>
      </c>
      <c r="L15" s="39">
        <f>'[38]Budget 2022'!O7</f>
        <v>3500000</v>
      </c>
      <c r="M15" s="39">
        <f t="shared" si="10"/>
        <v>10500000</v>
      </c>
      <c r="N15" s="39">
        <f>'[38]Budget 2022'!Q7</f>
        <v>2436612</v>
      </c>
      <c r="O15" s="39">
        <f>'[38]Budget 2022'!R7</f>
        <v>1500000</v>
      </c>
      <c r="P15" s="39">
        <f>'[38]Budget 2022'!S7</f>
        <v>1500000</v>
      </c>
      <c r="Q15" s="39">
        <f t="shared" si="11"/>
        <v>5436612</v>
      </c>
      <c r="R15" s="39">
        <f>SUM(E15,I15,M15,Q15)</f>
        <v>80436603</v>
      </c>
    </row>
    <row r="16" spans="1:22" ht="18" hidden="1" outlineLevel="1">
      <c r="A16" s="38" t="s">
        <v>199</v>
      </c>
      <c r="B16" s="39">
        <f>'[38]Budget 2022'!E17</f>
        <v>9583333.3333333209</v>
      </c>
      <c r="C16" s="39">
        <f>'[38]Budget 2022'!F17</f>
        <v>9583333.3333333209</v>
      </c>
      <c r="D16" s="39">
        <f>'[38]Budget 2022'!G17</f>
        <v>10583333.333333321</v>
      </c>
      <c r="E16" s="39">
        <f t="shared" si="8"/>
        <v>29749999.999999963</v>
      </c>
      <c r="F16" s="39">
        <f>'[38]Budget 2022'!I17</f>
        <v>9916666.6600000001</v>
      </c>
      <c r="G16" s="39">
        <f>'[38]Budget 2022'!J17</f>
        <v>9916666.6600000001</v>
      </c>
      <c r="H16" s="39">
        <f>'[38]Budget 2022'!K17</f>
        <v>9916666.6600000001</v>
      </c>
      <c r="I16" s="39">
        <f t="shared" si="9"/>
        <v>29749999.98</v>
      </c>
      <c r="J16" s="39">
        <f>'[38]Budget 2022'!M17</f>
        <v>9916666.6600000001</v>
      </c>
      <c r="K16" s="39">
        <f>'[38]Budget 2022'!N17</f>
        <v>9916666.6600000001</v>
      </c>
      <c r="L16" s="39">
        <f>'[38]Budget 2022'!O17</f>
        <v>9916666.6600000001</v>
      </c>
      <c r="M16" s="39">
        <f t="shared" si="10"/>
        <v>29749999.98</v>
      </c>
      <c r="N16" s="39">
        <f>'[38]Budget 2022'!Q17</f>
        <v>9916666.6600000001</v>
      </c>
      <c r="O16" s="39">
        <f>'[38]Budget 2022'!R17</f>
        <v>9916666.6600000001</v>
      </c>
      <c r="P16" s="39">
        <f>'[38]Budget 2022'!S17</f>
        <v>9916666.6600000001</v>
      </c>
      <c r="Q16" s="39">
        <f t="shared" si="11"/>
        <v>29749999.98</v>
      </c>
      <c r="R16" s="39">
        <f>SUM(E16,I16,M16,Q16)</f>
        <v>118999999.93999997</v>
      </c>
    </row>
    <row r="17" spans="1:20" ht="21" hidden="1" outlineLevel="1">
      <c r="A17" s="36" t="s">
        <v>200</v>
      </c>
      <c r="B17" s="37">
        <f>SUM(B18:B25)</f>
        <v>8242299.3266666671</v>
      </c>
      <c r="C17" s="37">
        <f>SUM(C18:C25)</f>
        <v>8242299.3266666671</v>
      </c>
      <c r="D17" s="37">
        <f>SUM(D18:D25)</f>
        <v>8242299.3266666671</v>
      </c>
      <c r="E17" s="37">
        <f t="shared" si="8"/>
        <v>24726897.98</v>
      </c>
      <c r="F17" s="37">
        <f>SUM(F18:F25)</f>
        <v>8042299.3266666671</v>
      </c>
      <c r="G17" s="37">
        <f>SUM(G18:G25)</f>
        <v>8042299.3266666671</v>
      </c>
      <c r="H17" s="37">
        <f>SUM(H18:H25)</f>
        <v>8042299.3266666671</v>
      </c>
      <c r="I17" s="37">
        <f t="shared" si="9"/>
        <v>24126897.98</v>
      </c>
      <c r="J17" s="37">
        <f>SUM(J18:J25)</f>
        <v>7147699.3266666671</v>
      </c>
      <c r="K17" s="37">
        <f>SUM(K18:K25)</f>
        <v>7147699.3266666671</v>
      </c>
      <c r="L17" s="37">
        <f>SUM(L18:L25)</f>
        <v>7147699.3266666671</v>
      </c>
      <c r="M17" s="37">
        <f t="shared" si="10"/>
        <v>21443097.98</v>
      </c>
      <c r="N17" s="37">
        <f>SUM(N18:N25)</f>
        <v>7167699.3266666671</v>
      </c>
      <c r="O17" s="37">
        <f>SUM(O18:O25)</f>
        <v>7167699.3266666671</v>
      </c>
      <c r="P17" s="37">
        <f>SUM(P18:P25)</f>
        <v>7167699.3266666671</v>
      </c>
      <c r="Q17" s="37">
        <f t="shared" si="11"/>
        <v>21503097.98</v>
      </c>
      <c r="R17" s="37">
        <f>SUM(R18:R25)</f>
        <v>91799991.920000002</v>
      </c>
    </row>
    <row r="18" spans="1:20" ht="18" hidden="1" outlineLevel="1">
      <c r="A18" s="38" t="s">
        <v>201</v>
      </c>
      <c r="B18" s="39">
        <f>'[38]Budget 2022'!E25</f>
        <v>1958966</v>
      </c>
      <c r="C18" s="39">
        <f>'[38]Budget 2022'!F25</f>
        <v>1958966</v>
      </c>
      <c r="D18" s="39">
        <f>'[38]Budget 2022'!G25</f>
        <v>1958966</v>
      </c>
      <c r="E18" s="39">
        <f t="shared" si="8"/>
        <v>5876898</v>
      </c>
      <c r="F18" s="39">
        <f>'[38]Budget 2022'!I25</f>
        <v>1758966</v>
      </c>
      <c r="G18" s="39">
        <f>'[38]Budget 2022'!J25</f>
        <v>1758966</v>
      </c>
      <c r="H18" s="39">
        <f>'[38]Budget 2022'!K25</f>
        <v>1758966</v>
      </c>
      <c r="I18" s="39">
        <f t="shared" si="9"/>
        <v>5276898</v>
      </c>
      <c r="J18" s="39">
        <f>'[38]Budget 2022'!M25</f>
        <v>864366</v>
      </c>
      <c r="K18" s="39">
        <f>'[38]Budget 2022'!N25</f>
        <v>864366</v>
      </c>
      <c r="L18" s="39">
        <f>'[38]Budget 2022'!O25</f>
        <v>864366</v>
      </c>
      <c r="M18" s="39">
        <f t="shared" si="10"/>
        <v>2593098</v>
      </c>
      <c r="N18" s="39">
        <f>'[38]Budget 2022'!Q25</f>
        <v>450000</v>
      </c>
      <c r="O18" s="39">
        <f>'[38]Budget 2022'!R25</f>
        <v>450000</v>
      </c>
      <c r="P18" s="39">
        <f>'[38]Budget 2022'!S25</f>
        <v>450000</v>
      </c>
      <c r="Q18" s="39">
        <f t="shared" si="11"/>
        <v>1350000</v>
      </c>
      <c r="R18" s="39">
        <f>SUM(E18,I18,M18,Q18)</f>
        <v>15096894</v>
      </c>
    </row>
    <row r="19" spans="1:20" ht="18" hidden="1" outlineLevel="1">
      <c r="A19" s="38" t="s">
        <v>202</v>
      </c>
      <c r="B19" s="39">
        <f>'[38]Budget 2022'!E31</f>
        <v>2033333.3266666669</v>
      </c>
      <c r="C19" s="39">
        <f>'[38]Budget 2022'!F31</f>
        <v>2033333.3266666669</v>
      </c>
      <c r="D19" s="39">
        <f>'[38]Budget 2022'!G31</f>
        <v>2033333.3266666669</v>
      </c>
      <c r="E19" s="39">
        <f t="shared" si="8"/>
        <v>6099999.9800000004</v>
      </c>
      <c r="F19" s="39">
        <f>'[38]Budget 2022'!I31</f>
        <v>2033333.3266666669</v>
      </c>
      <c r="G19" s="39">
        <f>'[38]Budget 2022'!J31</f>
        <v>2033333.3266666669</v>
      </c>
      <c r="H19" s="39">
        <f>'[38]Budget 2022'!K31</f>
        <v>2033333.3266666669</v>
      </c>
      <c r="I19" s="39">
        <f t="shared" si="9"/>
        <v>6099999.9800000004</v>
      </c>
      <c r="J19" s="39">
        <f>'[38]Budget 2022'!M31</f>
        <v>2033333.3266666669</v>
      </c>
      <c r="K19" s="39">
        <f>'[38]Budget 2022'!N31</f>
        <v>2033333.3266666669</v>
      </c>
      <c r="L19" s="39">
        <f>'[38]Budget 2022'!O31</f>
        <v>2033333.3266666669</v>
      </c>
      <c r="M19" s="39">
        <f t="shared" si="10"/>
        <v>6099999.9800000004</v>
      </c>
      <c r="N19" s="39">
        <f>'[38]Budget 2022'!Q31</f>
        <v>2467699.3266666671</v>
      </c>
      <c r="O19" s="39">
        <f>'[38]Budget 2022'!R31</f>
        <v>2467699.3266666671</v>
      </c>
      <c r="P19" s="39">
        <f>'[38]Budget 2022'!S31</f>
        <v>2467699.3266666671</v>
      </c>
      <c r="Q19" s="39">
        <f t="shared" si="11"/>
        <v>7403097.9800000014</v>
      </c>
      <c r="R19" s="39">
        <f t="shared" ref="R19:R25" si="12">SUM(E19,I19,M19,Q19)</f>
        <v>25703097.920000002</v>
      </c>
    </row>
    <row r="20" spans="1:20" ht="18" hidden="1" outlineLevel="1">
      <c r="A20" s="38" t="s">
        <v>203</v>
      </c>
      <c r="B20" s="39">
        <f>'[38]Budget 2022'!E38</f>
        <v>0</v>
      </c>
      <c r="C20" s="39">
        <f>'[38]Budget 2022'!F38</f>
        <v>0</v>
      </c>
      <c r="D20" s="39">
        <f>'[38]Budget 2022'!G38</f>
        <v>0</v>
      </c>
      <c r="E20" s="39">
        <f t="shared" si="8"/>
        <v>0</v>
      </c>
      <c r="F20" s="39">
        <f>'[38]Budget 2022'!I38</f>
        <v>0</v>
      </c>
      <c r="G20" s="39">
        <f>'[38]Budget 2022'!J38</f>
        <v>0</v>
      </c>
      <c r="H20" s="39">
        <f>'[38]Budget 2022'!K38</f>
        <v>0</v>
      </c>
      <c r="I20" s="39">
        <f t="shared" si="9"/>
        <v>0</v>
      </c>
      <c r="J20" s="39">
        <f>'[38]Budget 2022'!M38</f>
        <v>0</v>
      </c>
      <c r="K20" s="39">
        <f>'[38]Budget 2022'!N38</f>
        <v>0</v>
      </c>
      <c r="L20" s="39">
        <f>'[38]Budget 2022'!O38</f>
        <v>0</v>
      </c>
      <c r="M20" s="39">
        <f t="shared" si="10"/>
        <v>0</v>
      </c>
      <c r="N20" s="39">
        <f>'[38]Budget 2022'!Q38</f>
        <v>0</v>
      </c>
      <c r="O20" s="39">
        <f>'[38]Budget 2022'!R38</f>
        <v>0</v>
      </c>
      <c r="P20" s="39">
        <f>'[38]Budget 2022'!S38</f>
        <v>0</v>
      </c>
      <c r="Q20" s="39">
        <f t="shared" si="11"/>
        <v>0</v>
      </c>
      <c r="R20" s="39">
        <f t="shared" si="12"/>
        <v>0</v>
      </c>
    </row>
    <row r="21" spans="1:20" ht="18" hidden="1" outlineLevel="1">
      <c r="A21" s="38" t="s">
        <v>204</v>
      </c>
      <c r="B21" s="39">
        <f>'[38]Budget 2022'!E49</f>
        <v>500000</v>
      </c>
      <c r="C21" s="39">
        <f>'[38]Budget 2022'!F49</f>
        <v>500000</v>
      </c>
      <c r="D21" s="39">
        <f>'[38]Budget 2022'!G49</f>
        <v>500000</v>
      </c>
      <c r="E21" s="39">
        <f t="shared" si="8"/>
        <v>1500000</v>
      </c>
      <c r="F21" s="39">
        <f>'[38]Budget 2022'!I49</f>
        <v>500000</v>
      </c>
      <c r="G21" s="39">
        <f>'[38]Budget 2022'!J49</f>
        <v>500000</v>
      </c>
      <c r="H21" s="39">
        <f>'[38]Budget 2022'!K49</f>
        <v>500000</v>
      </c>
      <c r="I21" s="39">
        <f t="shared" si="9"/>
        <v>1500000</v>
      </c>
      <c r="J21" s="39">
        <f>'[38]Budget 2022'!M49</f>
        <v>500000</v>
      </c>
      <c r="K21" s="39">
        <f>'[38]Budget 2022'!N49</f>
        <v>500000</v>
      </c>
      <c r="L21" s="39">
        <f>'[38]Budget 2022'!O49</f>
        <v>500000</v>
      </c>
      <c r="M21" s="39">
        <f t="shared" si="10"/>
        <v>1500000</v>
      </c>
      <c r="N21" s="39">
        <f>'[38]Budget 2022'!Q49</f>
        <v>500000</v>
      </c>
      <c r="O21" s="39">
        <f>'[38]Budget 2022'!R49</f>
        <v>500000</v>
      </c>
      <c r="P21" s="39">
        <f>'[38]Budget 2022'!S49</f>
        <v>500000</v>
      </c>
      <c r="Q21" s="39">
        <f t="shared" si="11"/>
        <v>1500000</v>
      </c>
      <c r="R21" s="39">
        <f t="shared" si="12"/>
        <v>6000000</v>
      </c>
    </row>
    <row r="22" spans="1:20" ht="18" hidden="1" outlineLevel="1">
      <c r="A22" s="38" t="s">
        <v>205</v>
      </c>
      <c r="B22" s="39">
        <f>'[38]Budget 2022'!E51</f>
        <v>0</v>
      </c>
      <c r="C22" s="39">
        <f>'[38]Budget 2022'!F51</f>
        <v>0</v>
      </c>
      <c r="D22" s="39">
        <f>'[38]Budget 2022'!G51</f>
        <v>0</v>
      </c>
      <c r="E22" s="39">
        <f t="shared" si="8"/>
        <v>0</v>
      </c>
      <c r="F22" s="39">
        <f>'[38]Budget 2022'!I51</f>
        <v>0</v>
      </c>
      <c r="G22" s="39">
        <f>'[38]Budget 2022'!J51</f>
        <v>0</v>
      </c>
      <c r="H22" s="39">
        <f>'[38]Budget 2022'!K51</f>
        <v>0</v>
      </c>
      <c r="I22" s="39">
        <f t="shared" si="9"/>
        <v>0</v>
      </c>
      <c r="J22" s="39">
        <f>'[38]Budget 2022'!M51</f>
        <v>0</v>
      </c>
      <c r="K22" s="39">
        <f>'[38]Budget 2022'!N51</f>
        <v>0</v>
      </c>
      <c r="L22" s="39">
        <f>'[38]Budget 2022'!O51</f>
        <v>0</v>
      </c>
      <c r="M22" s="39">
        <f t="shared" si="10"/>
        <v>0</v>
      </c>
      <c r="N22" s="39">
        <f>'[38]Budget 2022'!Q51</f>
        <v>0</v>
      </c>
      <c r="O22" s="39">
        <f>'[38]Budget 2022'!R51</f>
        <v>0</v>
      </c>
      <c r="P22" s="39">
        <f>'[38]Budget 2022'!S51</f>
        <v>0</v>
      </c>
      <c r="Q22" s="39">
        <f t="shared" si="11"/>
        <v>0</v>
      </c>
      <c r="R22" s="39">
        <f t="shared" si="12"/>
        <v>0</v>
      </c>
    </row>
    <row r="23" spans="1:20" ht="18" hidden="1" outlineLevel="1">
      <c r="A23" s="38" t="s">
        <v>206</v>
      </c>
      <c r="B23" s="39">
        <f>'[38]Budget 2022'!E62</f>
        <v>416666.67</v>
      </c>
      <c r="C23" s="39">
        <f>'[38]Budget 2022'!F62</f>
        <v>416666.67</v>
      </c>
      <c r="D23" s="39">
        <f>'[38]Budget 2022'!G62</f>
        <v>416666.67</v>
      </c>
      <c r="E23" s="39">
        <f t="shared" si="8"/>
        <v>1250000.01</v>
      </c>
      <c r="F23" s="39">
        <f>'[38]Budget 2022'!I62</f>
        <v>416666.67</v>
      </c>
      <c r="G23" s="39">
        <f>'[38]Budget 2022'!J62</f>
        <v>416666.67</v>
      </c>
      <c r="H23" s="39">
        <f>'[38]Budget 2022'!K62</f>
        <v>416666.67</v>
      </c>
      <c r="I23" s="39">
        <f t="shared" si="9"/>
        <v>1250000.01</v>
      </c>
      <c r="J23" s="39">
        <f>'[38]Budget 2022'!M62</f>
        <v>416666.67</v>
      </c>
      <c r="K23" s="39">
        <f>'[38]Budget 2022'!N62</f>
        <v>416666.67</v>
      </c>
      <c r="L23" s="39">
        <f>'[38]Budget 2022'!O62</f>
        <v>416666.67</v>
      </c>
      <c r="M23" s="39">
        <f t="shared" si="10"/>
        <v>1250000.01</v>
      </c>
      <c r="N23" s="39">
        <f>'[38]Budget 2022'!Q62</f>
        <v>416666.67</v>
      </c>
      <c r="O23" s="39">
        <f>'[38]Budget 2022'!R62</f>
        <v>416666.67</v>
      </c>
      <c r="P23" s="39">
        <f>'[38]Budget 2022'!S62</f>
        <v>416666.67</v>
      </c>
      <c r="Q23" s="39">
        <f t="shared" si="11"/>
        <v>1250000.01</v>
      </c>
      <c r="R23" s="39">
        <f t="shared" si="12"/>
        <v>5000000.04</v>
      </c>
    </row>
    <row r="24" spans="1:20" ht="18" hidden="1" outlineLevel="1">
      <c r="A24" s="38" t="s">
        <v>207</v>
      </c>
      <c r="B24" s="39">
        <f>'[38]Budget 2022'!E64</f>
        <v>0</v>
      </c>
      <c r="C24" s="39">
        <f>'[38]Budget 2022'!F64</f>
        <v>0</v>
      </c>
      <c r="D24" s="39">
        <f>'[38]Budget 2022'!G64</f>
        <v>0</v>
      </c>
      <c r="E24" s="39">
        <f t="shared" si="8"/>
        <v>0</v>
      </c>
      <c r="F24" s="39">
        <f>'[38]Budget 2022'!I64</f>
        <v>0</v>
      </c>
      <c r="G24" s="39">
        <f>'[38]Budget 2022'!J64</f>
        <v>0</v>
      </c>
      <c r="H24" s="39">
        <f>'[38]Budget 2022'!K64</f>
        <v>0</v>
      </c>
      <c r="I24" s="39">
        <f t="shared" si="9"/>
        <v>0</v>
      </c>
      <c r="J24" s="39">
        <f>'[38]Budget 2022'!M64</f>
        <v>0</v>
      </c>
      <c r="K24" s="39">
        <f>'[38]Budget 2022'!N64</f>
        <v>0</v>
      </c>
      <c r="L24" s="39">
        <f>'[38]Budget 2022'!O64</f>
        <v>0</v>
      </c>
      <c r="M24" s="39">
        <f t="shared" si="10"/>
        <v>0</v>
      </c>
      <c r="N24" s="39">
        <f>'[38]Budget 2022'!Q64</f>
        <v>0</v>
      </c>
      <c r="O24" s="39">
        <f>'[38]Budget 2022'!R64</f>
        <v>0</v>
      </c>
      <c r="P24" s="39">
        <f>'[38]Budget 2022'!S64</f>
        <v>0</v>
      </c>
      <c r="Q24" s="39">
        <f t="shared" si="11"/>
        <v>0</v>
      </c>
      <c r="R24" s="39">
        <f t="shared" si="12"/>
        <v>0</v>
      </c>
    </row>
    <row r="25" spans="1:20" ht="18" hidden="1" outlineLevel="1">
      <c r="A25" s="38" t="s">
        <v>208</v>
      </c>
      <c r="B25" s="39">
        <f>'[38]Budget 2022'!E75</f>
        <v>3333333.33</v>
      </c>
      <c r="C25" s="39">
        <f>'[38]Budget 2022'!F75</f>
        <v>3333333.33</v>
      </c>
      <c r="D25" s="39">
        <f>'[38]Budget 2022'!G75</f>
        <v>3333333.33</v>
      </c>
      <c r="E25" s="39">
        <f t="shared" si="8"/>
        <v>9999999.9900000002</v>
      </c>
      <c r="F25" s="39">
        <f>'[38]Budget 2022'!I75</f>
        <v>3333333.33</v>
      </c>
      <c r="G25" s="39">
        <f>'[38]Budget 2022'!J75</f>
        <v>3333333.33</v>
      </c>
      <c r="H25" s="39">
        <f>'[38]Budget 2022'!K75</f>
        <v>3333333.33</v>
      </c>
      <c r="I25" s="39">
        <f t="shared" si="9"/>
        <v>9999999.9900000002</v>
      </c>
      <c r="J25" s="39">
        <f>'[38]Budget 2022'!M75</f>
        <v>3333333.33</v>
      </c>
      <c r="K25" s="39">
        <f>'[38]Budget 2022'!N75</f>
        <v>3333333.33</v>
      </c>
      <c r="L25" s="39">
        <f>'[38]Budget 2022'!O75</f>
        <v>3333333.33</v>
      </c>
      <c r="M25" s="39">
        <f t="shared" si="10"/>
        <v>9999999.9900000002</v>
      </c>
      <c r="N25" s="39">
        <f>'[38]Budget 2022'!Q75</f>
        <v>3333333.33</v>
      </c>
      <c r="O25" s="39">
        <f>'[38]Budget 2022'!R75</f>
        <v>3333333.33</v>
      </c>
      <c r="P25" s="39">
        <f>'[38]Budget 2022'!S75</f>
        <v>3333333.33</v>
      </c>
      <c r="Q25" s="39">
        <f t="shared" si="11"/>
        <v>9999999.9900000002</v>
      </c>
      <c r="R25" s="39">
        <f t="shared" si="12"/>
        <v>39999999.960000001</v>
      </c>
    </row>
    <row r="26" spans="1:20" s="35" customFormat="1" ht="31.2" collapsed="1">
      <c r="A26" s="31" t="s">
        <v>209</v>
      </c>
      <c r="B26" s="32">
        <f>B27+B40</f>
        <v>16289778.326666661</v>
      </c>
      <c r="C26" s="32">
        <f t="shared" ref="C26:D26" si="13">C27+C40</f>
        <v>12544515.326666661</v>
      </c>
      <c r="D26" s="32">
        <f t="shared" si="13"/>
        <v>16959643.266666662</v>
      </c>
      <c r="E26" s="32">
        <f>SUM(B26:D26)</f>
        <v>45793936.919999987</v>
      </c>
      <c r="F26" s="32">
        <f>F27+F40</f>
        <v>16694246.326666661</v>
      </c>
      <c r="G26" s="32">
        <f t="shared" ref="G26:H26" si="14">G27+G40</f>
        <v>13115273.326666661</v>
      </c>
      <c r="H26" s="32">
        <f t="shared" si="14"/>
        <v>12115273.326666661</v>
      </c>
      <c r="I26" s="32">
        <f>SUM(F26:H26)</f>
        <v>41924792.979999982</v>
      </c>
      <c r="J26" s="32">
        <f>J27+J40</f>
        <v>9860553.3266666606</v>
      </c>
      <c r="K26" s="32">
        <f t="shared" ref="K26:L26" si="15">K27+K40</f>
        <v>7225833.3266666606</v>
      </c>
      <c r="L26" s="32">
        <f t="shared" si="15"/>
        <v>7225833.3266666606</v>
      </c>
      <c r="M26" s="32">
        <f>SUM(J26:L26)</f>
        <v>24312219.979999982</v>
      </c>
      <c r="N26" s="32">
        <f>N27+N40</f>
        <v>7225833.3266666606</v>
      </c>
      <c r="O26" s="32">
        <f t="shared" ref="O26:P26" si="16">O27+O40</f>
        <v>7225833.3266666606</v>
      </c>
      <c r="P26" s="32">
        <f t="shared" si="16"/>
        <v>7212317.3266666606</v>
      </c>
      <c r="Q26" s="32">
        <f>SUM(N26:P26)</f>
        <v>21663983.979999982</v>
      </c>
      <c r="R26" s="33">
        <f>R27+R40</f>
        <v>133694933.85999992</v>
      </c>
      <c r="S26" s="40"/>
      <c r="T26" s="40"/>
    </row>
    <row r="27" spans="1:20" s="35" customFormat="1" ht="31.2" hidden="1" outlineLevel="1">
      <c r="A27" s="31" t="s">
        <v>210</v>
      </c>
      <c r="B27" s="32">
        <f>B28+B31</f>
        <v>15969153.326666661</v>
      </c>
      <c r="C27" s="32">
        <f>C28+C31</f>
        <v>12205315.326666661</v>
      </c>
      <c r="D27" s="32">
        <f>D28+D31</f>
        <v>16746628.726666661</v>
      </c>
      <c r="E27" s="32">
        <f>SUM(B27:D27)</f>
        <v>44921097.37999998</v>
      </c>
      <c r="F27" s="32">
        <f>F28+F31</f>
        <v>16590273.326666661</v>
      </c>
      <c r="G27" s="32">
        <f>G28+G31</f>
        <v>13090273.326666661</v>
      </c>
      <c r="H27" s="32">
        <f>H28+H31</f>
        <v>12090273.326666661</v>
      </c>
      <c r="I27" s="32">
        <f>SUM(F27:H27)</f>
        <v>41770819.979999982</v>
      </c>
      <c r="J27" s="32">
        <f>J28+J31</f>
        <v>9835553.3266666606</v>
      </c>
      <c r="K27" s="32">
        <f>K28+K31</f>
        <v>7200833.3266666606</v>
      </c>
      <c r="L27" s="32">
        <f>L28+L31</f>
        <v>7200833.3266666606</v>
      </c>
      <c r="M27" s="32">
        <f>SUM(J27:L27)</f>
        <v>24237219.979999982</v>
      </c>
      <c r="N27" s="32">
        <f>N28+N31</f>
        <v>7200833.3266666606</v>
      </c>
      <c r="O27" s="32">
        <f>O28+O31</f>
        <v>7200833.3266666606</v>
      </c>
      <c r="P27" s="32">
        <f>P28+P31</f>
        <v>7200833.3266666606</v>
      </c>
      <c r="Q27" s="32">
        <f>SUM(N27:P27)</f>
        <v>21602499.979999982</v>
      </c>
      <c r="R27" s="33">
        <f>R28+R31</f>
        <v>132531637.31999992</v>
      </c>
      <c r="S27" s="34">
        <f>R27+'[38]Budget 2022'!AL5</f>
        <v>0</v>
      </c>
    </row>
    <row r="28" spans="1:20" ht="18" hidden="1" outlineLevel="1">
      <c r="A28" s="36" t="s">
        <v>197</v>
      </c>
      <c r="B28" s="41">
        <f>SUM(B29:B30)</f>
        <v>13261653.33</v>
      </c>
      <c r="C28" s="41">
        <f>SUM(C29:C30)</f>
        <v>9497815.3300000001</v>
      </c>
      <c r="D28" s="41">
        <f>SUM(D29:D30)</f>
        <v>14039128.73</v>
      </c>
      <c r="E28" s="41">
        <f t="shared" si="8"/>
        <v>36798597.390000001</v>
      </c>
      <c r="F28" s="41">
        <f>SUM(F29:F30)</f>
        <v>13982773.33</v>
      </c>
      <c r="G28" s="41">
        <f>SUM(G29:G30)</f>
        <v>10482773.33</v>
      </c>
      <c r="H28" s="41">
        <f>SUM(H29:H30)</f>
        <v>9482773.3300000001</v>
      </c>
      <c r="I28" s="41">
        <f t="shared" si="9"/>
        <v>33948319.990000002</v>
      </c>
      <c r="J28" s="41">
        <f>SUM(J29:J30)</f>
        <v>7348053.3300000001</v>
      </c>
      <c r="K28" s="41">
        <f>SUM(K29:K30)</f>
        <v>4713333.33</v>
      </c>
      <c r="L28" s="41">
        <f>SUM(L29:L30)</f>
        <v>4713333.33</v>
      </c>
      <c r="M28" s="41">
        <f t="shared" si="10"/>
        <v>16774719.99</v>
      </c>
      <c r="N28" s="41">
        <f>SUM(N29:N30)</f>
        <v>4713333.33</v>
      </c>
      <c r="O28" s="41">
        <f>SUM(O29:O30)</f>
        <v>4713333.33</v>
      </c>
      <c r="P28" s="41">
        <f>SUM(P29:P30)</f>
        <v>4713333.33</v>
      </c>
      <c r="Q28" s="41">
        <f t="shared" si="11"/>
        <v>14139999.99</v>
      </c>
      <c r="R28" s="41">
        <f>SUM(R29:R30)</f>
        <v>101661637.36</v>
      </c>
    </row>
    <row r="29" spans="1:20" ht="18" hidden="1" outlineLevel="1">
      <c r="A29" s="38" t="s">
        <v>198</v>
      </c>
      <c r="B29" s="39">
        <f>-'[38]Budget 2022'!V7</f>
        <v>8728320</v>
      </c>
      <c r="C29" s="39">
        <f>-'[38]Budget 2022'!W7</f>
        <v>4964482</v>
      </c>
      <c r="D29" s="39">
        <f>-'[38]Budget 2022'!X7</f>
        <v>10325795.4</v>
      </c>
      <c r="E29" s="39">
        <f t="shared" si="8"/>
        <v>24018597.399999999</v>
      </c>
      <c r="F29" s="39">
        <f>-'[38]Budget 2022'!Z7</f>
        <v>8769440</v>
      </c>
      <c r="G29" s="39">
        <f>-'[38]Budget 2022'!AA7</f>
        <v>5769440</v>
      </c>
      <c r="H29" s="39">
        <f>-'[38]Budget 2022'!AB7</f>
        <v>4769440</v>
      </c>
      <c r="I29" s="39">
        <f>SUM(F29:H29)</f>
        <v>19308320</v>
      </c>
      <c r="J29" s="39">
        <f>-'[38]Budget 2022'!AD7</f>
        <v>2134720</v>
      </c>
      <c r="K29" s="39">
        <f>-'[38]Budget 2022'!AE7</f>
        <v>0</v>
      </c>
      <c r="L29" s="39">
        <f>-'[38]Budget 2022'!AF7</f>
        <v>0</v>
      </c>
      <c r="M29" s="39">
        <f t="shared" si="10"/>
        <v>2134720</v>
      </c>
      <c r="N29" s="39">
        <f>-'[38]Budget 2022'!AH7</f>
        <v>0</v>
      </c>
      <c r="O29" s="39">
        <f>-'[38]Budget 2022'!AI7</f>
        <v>0</v>
      </c>
      <c r="P29" s="39">
        <f>-'[38]Budget 2022'!AJ7</f>
        <v>0</v>
      </c>
      <c r="Q29" s="39">
        <f t="shared" si="11"/>
        <v>0</v>
      </c>
      <c r="R29" s="39">
        <f>SUM(E29,I29,M29,Q29)</f>
        <v>45461637.399999999</v>
      </c>
    </row>
    <row r="30" spans="1:20" ht="18" hidden="1" outlineLevel="1">
      <c r="A30" s="38" t="s">
        <v>199</v>
      </c>
      <c r="B30" s="39">
        <f>-'[38]Budget 2022'!V17</f>
        <v>4533333.33</v>
      </c>
      <c r="C30" s="39">
        <f>-'[38]Budget 2022'!W17</f>
        <v>4533333.33</v>
      </c>
      <c r="D30" s="39">
        <f>-'[38]Budget 2022'!X17</f>
        <v>3713333.33</v>
      </c>
      <c r="E30" s="39">
        <f t="shared" si="8"/>
        <v>12779999.99</v>
      </c>
      <c r="F30" s="39">
        <f>-'[38]Budget 2022'!Z17</f>
        <v>5213333.33</v>
      </c>
      <c r="G30" s="39">
        <f>-'[38]Budget 2022'!AA17</f>
        <v>4713333.33</v>
      </c>
      <c r="H30" s="39">
        <f>-'[38]Budget 2022'!AB17</f>
        <v>4713333.33</v>
      </c>
      <c r="I30" s="39">
        <f t="shared" si="9"/>
        <v>14639999.99</v>
      </c>
      <c r="J30" s="39">
        <f>-'[38]Budget 2022'!AD17</f>
        <v>5213333.33</v>
      </c>
      <c r="K30" s="39">
        <f>-'[38]Budget 2022'!AE17</f>
        <v>4713333.33</v>
      </c>
      <c r="L30" s="39">
        <f>-'[38]Budget 2022'!AF17</f>
        <v>4713333.33</v>
      </c>
      <c r="M30" s="39">
        <f t="shared" si="10"/>
        <v>14639999.99</v>
      </c>
      <c r="N30" s="39">
        <f>-'[38]Budget 2022'!AH17</f>
        <v>4713333.33</v>
      </c>
      <c r="O30" s="39">
        <f>-'[38]Budget 2022'!AI17</f>
        <v>4713333.33</v>
      </c>
      <c r="P30" s="39">
        <f>-'[38]Budget 2022'!AJ17</f>
        <v>4713333.33</v>
      </c>
      <c r="Q30" s="39">
        <f t="shared" si="11"/>
        <v>14139999.99</v>
      </c>
      <c r="R30" s="39">
        <f>SUM(E30,I30,M30,Q30)</f>
        <v>56199999.960000001</v>
      </c>
    </row>
    <row r="31" spans="1:20" ht="18" hidden="1" outlineLevel="1">
      <c r="A31" s="36" t="s">
        <v>200</v>
      </c>
      <c r="B31" s="41">
        <f>SUM(B32:B39)</f>
        <v>2707499.9966666601</v>
      </c>
      <c r="C31" s="41">
        <f>SUM(C32:C39)</f>
        <v>2707499.9966666601</v>
      </c>
      <c r="D31" s="41">
        <f>SUM(D32:D39)</f>
        <v>2707499.9966666601</v>
      </c>
      <c r="E31" s="41">
        <f t="shared" si="8"/>
        <v>8122499.9899999797</v>
      </c>
      <c r="F31" s="41">
        <f>SUM(F32:F39)</f>
        <v>2607499.9966666601</v>
      </c>
      <c r="G31" s="41">
        <f>SUM(G32:G39)</f>
        <v>2607499.9966666601</v>
      </c>
      <c r="H31" s="41">
        <f>SUM(H32:H39)</f>
        <v>2607499.9966666601</v>
      </c>
      <c r="I31" s="41">
        <f t="shared" si="9"/>
        <v>7822499.9899999797</v>
      </c>
      <c r="J31" s="41">
        <f>SUM(J32:J39)</f>
        <v>2487499.9966666601</v>
      </c>
      <c r="K31" s="41">
        <f>SUM(K32:K39)</f>
        <v>2487499.9966666601</v>
      </c>
      <c r="L31" s="41">
        <f>SUM(L32:L39)</f>
        <v>2487499.9966666601</v>
      </c>
      <c r="M31" s="41">
        <f t="shared" si="10"/>
        <v>7462499.9899999797</v>
      </c>
      <c r="N31" s="41">
        <f>SUM(N32:N39)</f>
        <v>2487499.9966666601</v>
      </c>
      <c r="O31" s="41">
        <f>SUM(O32:O39)</f>
        <v>2487499.9966666601</v>
      </c>
      <c r="P31" s="41">
        <f>SUM(P32:P39)</f>
        <v>2487499.9966666601</v>
      </c>
      <c r="Q31" s="41">
        <f t="shared" si="11"/>
        <v>7462499.9899999797</v>
      </c>
      <c r="R31" s="41">
        <f>SUM(R32:R39)</f>
        <v>30869999.959999919</v>
      </c>
      <c r="S31" s="16"/>
    </row>
    <row r="32" spans="1:20" ht="18" hidden="1" outlineLevel="1">
      <c r="A32" s="38" t="s">
        <v>201</v>
      </c>
      <c r="B32" s="39">
        <f>-'[38]Budget 2022'!V25</f>
        <v>220000</v>
      </c>
      <c r="C32" s="39">
        <f>-'[38]Budget 2022'!W25</f>
        <v>220000</v>
      </c>
      <c r="D32" s="39">
        <f>-'[38]Budget 2022'!X25</f>
        <v>220000</v>
      </c>
      <c r="E32" s="39">
        <f t="shared" si="8"/>
        <v>660000</v>
      </c>
      <c r="F32" s="39">
        <f>-'[38]Budget 2022'!Z25</f>
        <v>120000</v>
      </c>
      <c r="G32" s="39">
        <f>-'[38]Budget 2022'!AA25</f>
        <v>120000</v>
      </c>
      <c r="H32" s="39">
        <f>-'[38]Budget 2022'!AB25</f>
        <v>120000</v>
      </c>
      <c r="I32" s="39">
        <f t="shared" si="9"/>
        <v>360000</v>
      </c>
      <c r="J32" s="39">
        <f>-'[38]Budget 2022'!AD25</f>
        <v>0</v>
      </c>
      <c r="K32" s="39">
        <f>-'[38]Budget 2022'!AE25</f>
        <v>0</v>
      </c>
      <c r="L32" s="39">
        <f>-'[38]Budget 2022'!AF25</f>
        <v>0</v>
      </c>
      <c r="M32" s="39">
        <f t="shared" si="10"/>
        <v>0</v>
      </c>
      <c r="N32" s="39">
        <f>-'[38]Budget 2022'!AH25</f>
        <v>0</v>
      </c>
      <c r="O32" s="39">
        <f>-'[38]Budget 2022'!AI25</f>
        <v>0</v>
      </c>
      <c r="P32" s="39">
        <f>-'[38]Budget 2022'!AJ25</f>
        <v>0</v>
      </c>
      <c r="Q32" s="39">
        <f t="shared" si="11"/>
        <v>0</v>
      </c>
      <c r="R32" s="39">
        <f t="shared" ref="R32:R39" si="17">SUM(E32,I32,M32,Q32)</f>
        <v>1020000</v>
      </c>
    </row>
    <row r="33" spans="1:19" ht="18" hidden="1" outlineLevel="1">
      <c r="A33" s="38" t="s">
        <v>202</v>
      </c>
      <c r="B33" s="39">
        <f>-'[38]Budget 2022'!V31</f>
        <v>0</v>
      </c>
      <c r="C33" s="39">
        <f>-'[38]Budget 2022'!W31</f>
        <v>0</v>
      </c>
      <c r="D33" s="39">
        <f>-'[38]Budget 2022'!X31</f>
        <v>0</v>
      </c>
      <c r="E33" s="39">
        <f t="shared" si="8"/>
        <v>0</v>
      </c>
      <c r="F33" s="39">
        <f>-'[38]Budget 2022'!Z31</f>
        <v>0</v>
      </c>
      <c r="G33" s="39">
        <f>-'[38]Budget 2022'!AA31</f>
        <v>0</v>
      </c>
      <c r="H33" s="39">
        <f>-'[38]Budget 2022'!AB31</f>
        <v>0</v>
      </c>
      <c r="I33" s="39">
        <f t="shared" si="9"/>
        <v>0</v>
      </c>
      <c r="J33" s="39">
        <f>-'[38]Budget 2022'!AD31</f>
        <v>0</v>
      </c>
      <c r="K33" s="39">
        <f>-'[38]Budget 2022'!AE31</f>
        <v>0</v>
      </c>
      <c r="L33" s="39">
        <f>-'[38]Budget 2022'!AF31</f>
        <v>0</v>
      </c>
      <c r="M33" s="39">
        <f t="shared" si="10"/>
        <v>0</v>
      </c>
      <c r="N33" s="39">
        <f>-'[38]Budget 2022'!AH31</f>
        <v>0</v>
      </c>
      <c r="O33" s="39">
        <f>-'[38]Budget 2022'!AI31</f>
        <v>0</v>
      </c>
      <c r="P33" s="39">
        <f>-'[38]Budget 2022'!AJ31</f>
        <v>0</v>
      </c>
      <c r="Q33" s="39">
        <f t="shared" si="11"/>
        <v>0</v>
      </c>
      <c r="R33" s="39">
        <f t="shared" si="17"/>
        <v>0</v>
      </c>
    </row>
    <row r="34" spans="1:19" ht="18" hidden="1" outlineLevel="1">
      <c r="A34" s="38" t="s">
        <v>203</v>
      </c>
      <c r="B34" s="39">
        <f>-'[38]Budget 2022'!V38</f>
        <v>0</v>
      </c>
      <c r="C34" s="39">
        <f>-'[38]Budget 2022'!W38</f>
        <v>0</v>
      </c>
      <c r="D34" s="39">
        <f>-'[38]Budget 2022'!X38</f>
        <v>0</v>
      </c>
      <c r="E34" s="39">
        <f t="shared" si="8"/>
        <v>0</v>
      </c>
      <c r="F34" s="39">
        <f>-'[38]Budget 2022'!Z38</f>
        <v>0</v>
      </c>
      <c r="G34" s="39">
        <f>-'[38]Budget 2022'!AA38</f>
        <v>0</v>
      </c>
      <c r="H34" s="39">
        <f>-'[38]Budget 2022'!AB38</f>
        <v>0</v>
      </c>
      <c r="I34" s="39">
        <f t="shared" si="9"/>
        <v>0</v>
      </c>
      <c r="J34" s="39">
        <f>-'[38]Budget 2022'!AD38</f>
        <v>0</v>
      </c>
      <c r="K34" s="39">
        <f>-'[38]Budget 2022'!AE38</f>
        <v>0</v>
      </c>
      <c r="L34" s="39">
        <f>-'[38]Budget 2022'!AF38</f>
        <v>0</v>
      </c>
      <c r="M34" s="39">
        <f t="shared" si="10"/>
        <v>0</v>
      </c>
      <c r="N34" s="39">
        <f>-'[38]Budget 2022'!AH38</f>
        <v>0</v>
      </c>
      <c r="O34" s="39">
        <f>-'[38]Budget 2022'!AI38</f>
        <v>0</v>
      </c>
      <c r="P34" s="39">
        <f>-'[38]Budget 2022'!AJ38</f>
        <v>0</v>
      </c>
      <c r="Q34" s="39">
        <f t="shared" si="11"/>
        <v>0</v>
      </c>
      <c r="R34" s="39">
        <f t="shared" si="17"/>
        <v>0</v>
      </c>
    </row>
    <row r="35" spans="1:19" ht="18" hidden="1" outlineLevel="1">
      <c r="A35" s="38" t="s">
        <v>204</v>
      </c>
      <c r="B35" s="39">
        <f>-'[38]Budget 2022'!V49</f>
        <v>112500</v>
      </c>
      <c r="C35" s="39">
        <f>-'[38]Budget 2022'!W49</f>
        <v>112500</v>
      </c>
      <c r="D35" s="39">
        <f>-'[38]Budget 2022'!X49</f>
        <v>112500</v>
      </c>
      <c r="E35" s="39">
        <f t="shared" si="8"/>
        <v>337500</v>
      </c>
      <c r="F35" s="39">
        <f>-'[38]Budget 2022'!Z49</f>
        <v>112500</v>
      </c>
      <c r="G35" s="39">
        <f>-'[38]Budget 2022'!AA49</f>
        <v>112500</v>
      </c>
      <c r="H35" s="39">
        <f>-'[38]Budget 2022'!AB49</f>
        <v>112500</v>
      </c>
      <c r="I35" s="39">
        <f t="shared" si="9"/>
        <v>337500</v>
      </c>
      <c r="J35" s="39">
        <f>-'[38]Budget 2022'!AD49</f>
        <v>112500</v>
      </c>
      <c r="K35" s="39">
        <f>-'[38]Budget 2022'!AE49</f>
        <v>112500</v>
      </c>
      <c r="L35" s="39">
        <f>-'[38]Budget 2022'!AF49</f>
        <v>112500</v>
      </c>
      <c r="M35" s="39">
        <f t="shared" si="10"/>
        <v>337500</v>
      </c>
      <c r="N35" s="39">
        <f>-'[38]Budget 2022'!AH49</f>
        <v>112500</v>
      </c>
      <c r="O35" s="39">
        <f>-'[38]Budget 2022'!AI49</f>
        <v>112500</v>
      </c>
      <c r="P35" s="39">
        <f>-'[38]Budget 2022'!AJ49</f>
        <v>112500</v>
      </c>
      <c r="Q35" s="39">
        <f t="shared" si="11"/>
        <v>337500</v>
      </c>
      <c r="R35" s="39">
        <f t="shared" si="17"/>
        <v>1350000</v>
      </c>
    </row>
    <row r="36" spans="1:19" ht="18" hidden="1" outlineLevel="1">
      <c r="A36" s="38" t="s">
        <v>205</v>
      </c>
      <c r="B36" s="39">
        <f>-'[38]Budget 2022'!V51</f>
        <v>0</v>
      </c>
      <c r="C36" s="39">
        <f>-'[38]Budget 2022'!W51</f>
        <v>0</v>
      </c>
      <c r="D36" s="39">
        <f>-'[38]Budget 2022'!X51</f>
        <v>0</v>
      </c>
      <c r="E36" s="39">
        <f t="shared" si="8"/>
        <v>0</v>
      </c>
      <c r="F36" s="39">
        <f>-'[38]Budget 2022'!Z51</f>
        <v>0</v>
      </c>
      <c r="G36" s="39">
        <f>-'[38]Budget 2022'!AA51</f>
        <v>0</v>
      </c>
      <c r="H36" s="39">
        <f>-'[38]Budget 2022'!AB51</f>
        <v>0</v>
      </c>
      <c r="I36" s="39">
        <f t="shared" si="9"/>
        <v>0</v>
      </c>
      <c r="J36" s="39">
        <f>-'[38]Budget 2022'!AD51</f>
        <v>0</v>
      </c>
      <c r="K36" s="39">
        <f>-'[38]Budget 2022'!AE51</f>
        <v>0</v>
      </c>
      <c r="L36" s="39">
        <f>-'[38]Budget 2022'!AF51</f>
        <v>0</v>
      </c>
      <c r="M36" s="39">
        <f t="shared" si="10"/>
        <v>0</v>
      </c>
      <c r="N36" s="39">
        <f>-'[38]Budget 2022'!AH51</f>
        <v>0</v>
      </c>
      <c r="O36" s="39">
        <f>-'[38]Budget 2022'!AI51</f>
        <v>0</v>
      </c>
      <c r="P36" s="39">
        <f>-'[38]Budget 2022'!AJ51</f>
        <v>0</v>
      </c>
      <c r="Q36" s="39">
        <f t="shared" si="11"/>
        <v>0</v>
      </c>
      <c r="R36" s="39">
        <f t="shared" si="17"/>
        <v>0</v>
      </c>
    </row>
    <row r="37" spans="1:19" ht="18" hidden="1" outlineLevel="1">
      <c r="A37" s="38" t="s">
        <v>206</v>
      </c>
      <c r="B37" s="39">
        <f>-'[38]Budget 2022'!V62</f>
        <v>83333.33</v>
      </c>
      <c r="C37" s="39">
        <f>-'[38]Budget 2022'!W62</f>
        <v>83333.33</v>
      </c>
      <c r="D37" s="39">
        <f>-'[38]Budget 2022'!X62</f>
        <v>83333.33</v>
      </c>
      <c r="E37" s="39">
        <f t="shared" si="8"/>
        <v>249999.99</v>
      </c>
      <c r="F37" s="39">
        <f>-'[38]Budget 2022'!Z62</f>
        <v>83333.33</v>
      </c>
      <c r="G37" s="39">
        <f>-'[38]Budget 2022'!AA62</f>
        <v>83333.33</v>
      </c>
      <c r="H37" s="39">
        <f>-'[38]Budget 2022'!AB62</f>
        <v>83333.33</v>
      </c>
      <c r="I37" s="39">
        <f t="shared" si="9"/>
        <v>249999.99</v>
      </c>
      <c r="J37" s="39">
        <f>-'[38]Budget 2022'!AD62</f>
        <v>83333.33</v>
      </c>
      <c r="K37" s="39">
        <f>-'[38]Budget 2022'!AE62</f>
        <v>83333.33</v>
      </c>
      <c r="L37" s="39">
        <f>-'[38]Budget 2022'!AF62</f>
        <v>83333.33</v>
      </c>
      <c r="M37" s="39">
        <f t="shared" si="10"/>
        <v>249999.99</v>
      </c>
      <c r="N37" s="39">
        <f>-'[38]Budget 2022'!AH62</f>
        <v>83333.33</v>
      </c>
      <c r="O37" s="39">
        <f>-'[38]Budget 2022'!AI62</f>
        <v>83333.33</v>
      </c>
      <c r="P37" s="39">
        <f>-'[38]Budget 2022'!AJ62</f>
        <v>83333.33</v>
      </c>
      <c r="Q37" s="39">
        <f t="shared" si="11"/>
        <v>249999.99</v>
      </c>
      <c r="R37" s="39">
        <f t="shared" si="17"/>
        <v>999999.96</v>
      </c>
    </row>
    <row r="38" spans="1:19" ht="18" hidden="1" outlineLevel="1">
      <c r="A38" s="38" t="s">
        <v>207</v>
      </c>
      <c r="B38" s="39">
        <f>-'[38]Budget 2022'!V64</f>
        <v>0</v>
      </c>
      <c r="C38" s="39">
        <f>-'[38]Budget 2022'!W64</f>
        <v>0</v>
      </c>
      <c r="D38" s="39">
        <f>-'[38]Budget 2022'!X64</f>
        <v>0</v>
      </c>
      <c r="E38" s="39">
        <f t="shared" si="8"/>
        <v>0</v>
      </c>
      <c r="F38" s="39">
        <f>-'[38]Budget 2022'!Z64</f>
        <v>0</v>
      </c>
      <c r="G38" s="39">
        <f>-'[38]Budget 2022'!AA64</f>
        <v>0</v>
      </c>
      <c r="H38" s="39">
        <f>-'[38]Budget 2022'!AB64</f>
        <v>0</v>
      </c>
      <c r="I38" s="39">
        <f t="shared" si="9"/>
        <v>0</v>
      </c>
      <c r="J38" s="39">
        <f>-'[38]Budget 2022'!AD64</f>
        <v>0</v>
      </c>
      <c r="K38" s="39">
        <f>-'[38]Budget 2022'!AE64</f>
        <v>0</v>
      </c>
      <c r="L38" s="39">
        <f>-'[38]Budget 2022'!AF64</f>
        <v>0</v>
      </c>
      <c r="M38" s="39">
        <f t="shared" si="10"/>
        <v>0</v>
      </c>
      <c r="N38" s="39">
        <f>-'[38]Budget 2022'!AH64</f>
        <v>0</v>
      </c>
      <c r="O38" s="39">
        <f>-'[38]Budget 2022'!AI64</f>
        <v>0</v>
      </c>
      <c r="P38" s="39">
        <f>-'[38]Budget 2022'!AJ64</f>
        <v>0</v>
      </c>
      <c r="Q38" s="39">
        <f t="shared" si="11"/>
        <v>0</v>
      </c>
      <c r="R38" s="39">
        <f t="shared" si="17"/>
        <v>0</v>
      </c>
    </row>
    <row r="39" spans="1:19" ht="18" hidden="1" outlineLevel="1">
      <c r="A39" s="38" t="s">
        <v>208</v>
      </c>
      <c r="B39" s="39">
        <f>-'[38]Budget 2022'!V75</f>
        <v>2291666.66666666</v>
      </c>
      <c r="C39" s="39">
        <f>-'[38]Budget 2022'!W75</f>
        <v>2291666.66666666</v>
      </c>
      <c r="D39" s="39">
        <f>-'[38]Budget 2022'!X75</f>
        <v>2291666.66666666</v>
      </c>
      <c r="E39" s="39">
        <f t="shared" si="8"/>
        <v>6874999.9999999795</v>
      </c>
      <c r="F39" s="39">
        <f>-'[38]Budget 2022'!Z75</f>
        <v>2291666.66666666</v>
      </c>
      <c r="G39" s="39">
        <f>-'[38]Budget 2022'!AA75</f>
        <v>2291666.66666666</v>
      </c>
      <c r="H39" s="39">
        <f>-'[38]Budget 2022'!AB75</f>
        <v>2291666.66666666</v>
      </c>
      <c r="I39" s="39">
        <f t="shared" si="9"/>
        <v>6874999.9999999795</v>
      </c>
      <c r="J39" s="39">
        <f>-'[38]Budget 2022'!AD75</f>
        <v>2291666.66666666</v>
      </c>
      <c r="K39" s="39">
        <f>-'[38]Budget 2022'!AE75</f>
        <v>2291666.66666666</v>
      </c>
      <c r="L39" s="39">
        <f>-'[38]Budget 2022'!AF75</f>
        <v>2291666.66666666</v>
      </c>
      <c r="M39" s="39">
        <f t="shared" si="10"/>
        <v>6874999.9999999795</v>
      </c>
      <c r="N39" s="39">
        <f>-'[38]Budget 2022'!AH75</f>
        <v>2291666.66666666</v>
      </c>
      <c r="O39" s="39">
        <f>-'[38]Budget 2022'!AI75</f>
        <v>2291666.66666666</v>
      </c>
      <c r="P39" s="39">
        <f>-'[38]Budget 2022'!AJ75</f>
        <v>2291666.66666666</v>
      </c>
      <c r="Q39" s="39">
        <f t="shared" si="11"/>
        <v>6874999.9999999795</v>
      </c>
      <c r="R39" s="39">
        <f t="shared" si="17"/>
        <v>27499999.999999918</v>
      </c>
    </row>
    <row r="40" spans="1:19" s="35" customFormat="1" ht="31.2" hidden="1" outlineLevel="1">
      <c r="A40" s="31" t="s">
        <v>211</v>
      </c>
      <c r="B40" s="32">
        <f>B41+B44</f>
        <v>320625</v>
      </c>
      <c r="C40" s="32">
        <f t="shared" ref="C40:D40" si="18">C41+C44</f>
        <v>339200</v>
      </c>
      <c r="D40" s="32">
        <f t="shared" si="18"/>
        <v>213014.53999999998</v>
      </c>
      <c r="E40" s="32">
        <f>SUM(B40:D40)</f>
        <v>872839.54</v>
      </c>
      <c r="F40" s="32">
        <f>F41+F44</f>
        <v>103973</v>
      </c>
      <c r="G40" s="32">
        <f t="shared" ref="G40:H40" si="19">G41+G44</f>
        <v>25000</v>
      </c>
      <c r="H40" s="32">
        <f t="shared" si="19"/>
        <v>25000</v>
      </c>
      <c r="I40" s="32">
        <f>SUM(F40:H40)</f>
        <v>153973</v>
      </c>
      <c r="J40" s="32">
        <f>J41+J44</f>
        <v>25000</v>
      </c>
      <c r="K40" s="32">
        <f t="shared" ref="K40:L40" si="20">K41+K44</f>
        <v>25000</v>
      </c>
      <c r="L40" s="32">
        <f t="shared" si="20"/>
        <v>25000</v>
      </c>
      <c r="M40" s="32">
        <f>SUM(J40:L40)</f>
        <v>75000</v>
      </c>
      <c r="N40" s="32">
        <f>N41+N44</f>
        <v>25000</v>
      </c>
      <c r="O40" s="32">
        <f t="shared" ref="O40:P40" si="21">O41+O44</f>
        <v>25000</v>
      </c>
      <c r="P40" s="32">
        <f t="shared" si="21"/>
        <v>11484</v>
      </c>
      <c r="Q40" s="32">
        <f>SUM(N40:P40)</f>
        <v>61484</v>
      </c>
      <c r="R40" s="33">
        <f>R41+R44</f>
        <v>1163296.54</v>
      </c>
      <c r="S40" s="34">
        <f>R40+'[38]Budget 2022'!BC5</f>
        <v>0</v>
      </c>
    </row>
    <row r="41" spans="1:19" ht="18" hidden="1" outlineLevel="1">
      <c r="A41" s="36" t="s">
        <v>197</v>
      </c>
      <c r="B41" s="41">
        <f>SUM(B42:B43)</f>
        <v>315625</v>
      </c>
      <c r="C41" s="41">
        <f>SUM(C42:C43)</f>
        <v>334200</v>
      </c>
      <c r="D41" s="41">
        <f>SUM(D42:D43)</f>
        <v>208014.53999999998</v>
      </c>
      <c r="E41" s="41">
        <f t="shared" si="8"/>
        <v>857839.54</v>
      </c>
      <c r="F41" s="41">
        <f>SUM(F42:F43)</f>
        <v>98973</v>
      </c>
      <c r="G41" s="41">
        <f>SUM(G42:G43)</f>
        <v>20000</v>
      </c>
      <c r="H41" s="41">
        <f>SUM(H42:H43)</f>
        <v>20000</v>
      </c>
      <c r="I41" s="41">
        <f t="shared" si="9"/>
        <v>138973</v>
      </c>
      <c r="J41" s="41">
        <f>SUM(J42:J43)</f>
        <v>20000</v>
      </c>
      <c r="K41" s="41">
        <f>SUM(K42:K43)</f>
        <v>20000</v>
      </c>
      <c r="L41" s="41">
        <f>SUM(L42:L43)</f>
        <v>20000</v>
      </c>
      <c r="M41" s="41">
        <f t="shared" si="10"/>
        <v>60000</v>
      </c>
      <c r="N41" s="41">
        <f>SUM(N42:N43)</f>
        <v>20000</v>
      </c>
      <c r="O41" s="41">
        <f>SUM(O42:O43)</f>
        <v>20000</v>
      </c>
      <c r="P41" s="41">
        <f>SUM(P42:P43)</f>
        <v>6484</v>
      </c>
      <c r="Q41" s="41">
        <f t="shared" si="11"/>
        <v>46484</v>
      </c>
      <c r="R41" s="42">
        <f>SUM(R42:R43)</f>
        <v>1103296.54</v>
      </c>
      <c r="S41" s="1"/>
    </row>
    <row r="42" spans="1:19" ht="18" hidden="1" outlineLevel="1">
      <c r="A42" s="38" t="s">
        <v>198</v>
      </c>
      <c r="B42" s="39">
        <f>-'[38]Budget 2022'!AM7</f>
        <v>315625</v>
      </c>
      <c r="C42" s="39">
        <f>-'[38]Budget 2022'!AN7</f>
        <v>334200</v>
      </c>
      <c r="D42" s="39">
        <f>-'[38]Budget 2022'!AO7</f>
        <v>208014.53999999998</v>
      </c>
      <c r="E42" s="39">
        <f t="shared" si="8"/>
        <v>857839.54</v>
      </c>
      <c r="F42" s="39">
        <f>-'[38]Budget 2022'!AQ7</f>
        <v>98973</v>
      </c>
      <c r="G42" s="39">
        <f>-'[38]Budget 2022'!AR7</f>
        <v>20000</v>
      </c>
      <c r="H42" s="39">
        <f>-'[38]Budget 2022'!AS7</f>
        <v>20000</v>
      </c>
      <c r="I42" s="39">
        <f t="shared" si="9"/>
        <v>138973</v>
      </c>
      <c r="J42" s="39">
        <f>-'[38]Budget 2022'!AU7</f>
        <v>20000</v>
      </c>
      <c r="K42" s="39">
        <f>-'[38]Budget 2022'!AV7</f>
        <v>20000</v>
      </c>
      <c r="L42" s="39">
        <f>-'[38]Budget 2022'!AW7</f>
        <v>20000</v>
      </c>
      <c r="M42" s="39">
        <f t="shared" si="10"/>
        <v>60000</v>
      </c>
      <c r="N42" s="39">
        <f>-'[38]Budget 2022'!AY7</f>
        <v>20000</v>
      </c>
      <c r="O42" s="39">
        <f>-'[38]Budget 2022'!AZ7</f>
        <v>20000</v>
      </c>
      <c r="P42" s="39">
        <f>-'[38]Budget 2022'!BA7</f>
        <v>6484</v>
      </c>
      <c r="Q42" s="39">
        <f t="shared" si="11"/>
        <v>46484</v>
      </c>
      <c r="R42" s="39">
        <f>SUM(E42,I42,M42,Q42)</f>
        <v>1103296.54</v>
      </c>
      <c r="S42" s="15"/>
    </row>
    <row r="43" spans="1:19" ht="18" hidden="1" outlineLevel="1">
      <c r="A43" s="38" t="s">
        <v>199</v>
      </c>
      <c r="B43" s="39">
        <f>-'[38]Budget 2022'!AM17</f>
        <v>0</v>
      </c>
      <c r="C43" s="39">
        <f>-'[38]Budget 2022'!AN17</f>
        <v>0</v>
      </c>
      <c r="D43" s="39">
        <f>-'[38]Budget 2022'!AO17</f>
        <v>0</v>
      </c>
      <c r="E43" s="39">
        <f t="shared" si="8"/>
        <v>0</v>
      </c>
      <c r="F43" s="39">
        <f>-'[38]Budget 2022'!AQ17</f>
        <v>0</v>
      </c>
      <c r="G43" s="39">
        <f>-'[38]Budget 2022'!AR17</f>
        <v>0</v>
      </c>
      <c r="H43" s="39">
        <f>-'[38]Budget 2022'!AS17</f>
        <v>0</v>
      </c>
      <c r="I43" s="39">
        <f t="shared" si="9"/>
        <v>0</v>
      </c>
      <c r="J43" s="39">
        <f>-'[38]Budget 2022'!AU17</f>
        <v>0</v>
      </c>
      <c r="K43" s="39">
        <f>-'[38]Budget 2022'!AV17</f>
        <v>0</v>
      </c>
      <c r="L43" s="39">
        <f>-'[38]Budget 2022'!AW17</f>
        <v>0</v>
      </c>
      <c r="M43" s="39">
        <f t="shared" si="10"/>
        <v>0</v>
      </c>
      <c r="N43" s="39">
        <f>-'[38]Budget 2022'!AY17</f>
        <v>0</v>
      </c>
      <c r="O43" s="39">
        <f>-'[38]Budget 2022'!AZ17</f>
        <v>0</v>
      </c>
      <c r="P43" s="39">
        <f>-'[38]Budget 2022'!BA17</f>
        <v>0</v>
      </c>
      <c r="Q43" s="39">
        <f t="shared" si="11"/>
        <v>0</v>
      </c>
      <c r="R43" s="39">
        <f>SUM(E43,I43,M43,Q43)</f>
        <v>0</v>
      </c>
      <c r="S43" s="15"/>
    </row>
    <row r="44" spans="1:19" ht="18" hidden="1" outlineLevel="1">
      <c r="A44" s="36" t="s">
        <v>200</v>
      </c>
      <c r="B44" s="41">
        <f>SUM(B45:B52)</f>
        <v>5000</v>
      </c>
      <c r="C44" s="41">
        <f t="shared" ref="C44:D44" si="22">SUM(C45:C52)</f>
        <v>5000</v>
      </c>
      <c r="D44" s="41">
        <f t="shared" si="22"/>
        <v>5000</v>
      </c>
      <c r="E44" s="41">
        <f t="shared" si="8"/>
        <v>15000</v>
      </c>
      <c r="F44" s="41">
        <f>SUM(F45:F52)</f>
        <v>5000</v>
      </c>
      <c r="G44" s="41">
        <f t="shared" ref="G44:H44" si="23">SUM(G45:G52)</f>
        <v>5000</v>
      </c>
      <c r="H44" s="41">
        <f t="shared" si="23"/>
        <v>5000</v>
      </c>
      <c r="I44" s="41">
        <f t="shared" si="9"/>
        <v>15000</v>
      </c>
      <c r="J44" s="41">
        <f>SUM(J45:J52)</f>
        <v>5000</v>
      </c>
      <c r="K44" s="41">
        <f t="shared" ref="K44:L44" si="24">SUM(K45:K52)</f>
        <v>5000</v>
      </c>
      <c r="L44" s="41">
        <f t="shared" si="24"/>
        <v>5000</v>
      </c>
      <c r="M44" s="41">
        <f t="shared" si="10"/>
        <v>15000</v>
      </c>
      <c r="N44" s="41">
        <f>SUM(N45:N52)</f>
        <v>5000</v>
      </c>
      <c r="O44" s="41">
        <f t="shared" ref="O44:P44" si="25">SUM(O45:O52)</f>
        <v>5000</v>
      </c>
      <c r="P44" s="41">
        <f t="shared" si="25"/>
        <v>5000</v>
      </c>
      <c r="Q44" s="41">
        <f t="shared" si="11"/>
        <v>15000</v>
      </c>
      <c r="R44" s="42">
        <f>SUM(R45:R52)</f>
        <v>60000</v>
      </c>
    </row>
    <row r="45" spans="1:19" ht="18" hidden="1" outlineLevel="1">
      <c r="A45" s="38" t="s">
        <v>201</v>
      </c>
      <c r="B45" s="39">
        <f>-'[38]Budget 2022'!AM25</f>
        <v>0</v>
      </c>
      <c r="C45" s="39">
        <f>-'[38]Budget 2022'!AN25</f>
        <v>0</v>
      </c>
      <c r="D45" s="39">
        <f>-'[38]Budget 2022'!AO25</f>
        <v>0</v>
      </c>
      <c r="E45" s="39">
        <f t="shared" si="8"/>
        <v>0</v>
      </c>
      <c r="F45" s="39">
        <f>-'[38]Budget 2022'!AQ25</f>
        <v>0</v>
      </c>
      <c r="G45" s="39">
        <f>-'[38]Budget 2022'!AR25</f>
        <v>0</v>
      </c>
      <c r="H45" s="39">
        <f>-'[38]Budget 2022'!AS25</f>
        <v>0</v>
      </c>
      <c r="I45" s="39">
        <f t="shared" si="9"/>
        <v>0</v>
      </c>
      <c r="J45" s="39">
        <f>-'[38]Budget 2022'!AU25</f>
        <v>0</v>
      </c>
      <c r="K45" s="39">
        <f>-'[38]Budget 2022'!AV25</f>
        <v>0</v>
      </c>
      <c r="L45" s="39">
        <f>-'[38]Budget 2022'!AW25</f>
        <v>0</v>
      </c>
      <c r="M45" s="39">
        <f t="shared" si="10"/>
        <v>0</v>
      </c>
      <c r="N45" s="39">
        <f>-'[38]Budget 2022'!AZ25</f>
        <v>0</v>
      </c>
      <c r="O45" s="39">
        <f>-'[38]Budget 2022'!BA25</f>
        <v>0</v>
      </c>
      <c r="P45" s="39">
        <f>-'[38]Budget 2022'!BB25</f>
        <v>0</v>
      </c>
      <c r="Q45" s="39">
        <f t="shared" si="11"/>
        <v>0</v>
      </c>
      <c r="R45" s="39">
        <f>SUM(E45,I45,M45,Q45)</f>
        <v>0</v>
      </c>
    </row>
    <row r="46" spans="1:19" ht="18" hidden="1" outlineLevel="1">
      <c r="A46" s="38" t="s">
        <v>202</v>
      </c>
      <c r="B46" s="39">
        <f>-'[38]Budget 2022'!AM31</f>
        <v>0</v>
      </c>
      <c r="C46" s="39">
        <f>-'[38]Budget 2022'!AN31</f>
        <v>0</v>
      </c>
      <c r="D46" s="39">
        <f>-'[38]Budget 2022'!AO31</f>
        <v>0</v>
      </c>
      <c r="E46" s="39">
        <f t="shared" si="8"/>
        <v>0</v>
      </c>
      <c r="F46" s="39">
        <f>-'[38]Budget 2022'!AQ31</f>
        <v>0</v>
      </c>
      <c r="G46" s="39">
        <f>-'[38]Budget 2022'!AR31</f>
        <v>0</v>
      </c>
      <c r="H46" s="39">
        <f>-'[38]Budget 2022'!AS31</f>
        <v>0</v>
      </c>
      <c r="I46" s="39">
        <f t="shared" si="9"/>
        <v>0</v>
      </c>
      <c r="J46" s="39">
        <f>-'[38]Budget 2022'!AU31</f>
        <v>0</v>
      </c>
      <c r="K46" s="39">
        <f>-'[38]Budget 2022'!AV31</f>
        <v>0</v>
      </c>
      <c r="L46" s="39">
        <f>-'[38]Budget 2022'!AW31</f>
        <v>0</v>
      </c>
      <c r="M46" s="39">
        <f t="shared" si="10"/>
        <v>0</v>
      </c>
      <c r="N46" s="39">
        <f>-'[38]Budget 2022'!AZ31</f>
        <v>0</v>
      </c>
      <c r="O46" s="39">
        <f>-'[38]Budget 2022'!BA31</f>
        <v>0</v>
      </c>
      <c r="P46" s="39">
        <f>-'[38]Budget 2022'!BB31</f>
        <v>0</v>
      </c>
      <c r="Q46" s="39">
        <f t="shared" si="11"/>
        <v>0</v>
      </c>
      <c r="R46" s="39">
        <f t="shared" ref="R46:R52" si="26">SUM(E46,I46,M46,Q46)</f>
        <v>0</v>
      </c>
    </row>
    <row r="47" spans="1:19" ht="18" hidden="1" outlineLevel="1">
      <c r="A47" s="38" t="s">
        <v>203</v>
      </c>
      <c r="B47" s="39">
        <f>-'[38]Budget 2022'!AM38</f>
        <v>0</v>
      </c>
      <c r="C47" s="39">
        <f>-'[38]Budget 2022'!AN38</f>
        <v>0</v>
      </c>
      <c r="D47" s="39">
        <f>-'[38]Budget 2022'!AO38</f>
        <v>0</v>
      </c>
      <c r="E47" s="39">
        <f t="shared" si="8"/>
        <v>0</v>
      </c>
      <c r="F47" s="39">
        <f>-'[38]Budget 2022'!AQ38</f>
        <v>0</v>
      </c>
      <c r="G47" s="39">
        <f>-'[38]Budget 2022'!AR38</f>
        <v>0</v>
      </c>
      <c r="H47" s="39">
        <f>-'[38]Budget 2022'!AS38</f>
        <v>0</v>
      </c>
      <c r="I47" s="39">
        <f t="shared" si="9"/>
        <v>0</v>
      </c>
      <c r="J47" s="39">
        <f>-'[38]Budget 2022'!AU38</f>
        <v>0</v>
      </c>
      <c r="K47" s="39">
        <f>-'[38]Budget 2022'!AV38</f>
        <v>0</v>
      </c>
      <c r="L47" s="39">
        <f>-'[38]Budget 2022'!AW38</f>
        <v>0</v>
      </c>
      <c r="M47" s="39">
        <f t="shared" si="10"/>
        <v>0</v>
      </c>
      <c r="N47" s="39">
        <f>-'[38]Budget 2022'!AZ38</f>
        <v>0</v>
      </c>
      <c r="O47" s="39">
        <f>-'[38]Budget 2022'!BA38</f>
        <v>0</v>
      </c>
      <c r="P47" s="39">
        <f>-'[38]Budget 2022'!BB38</f>
        <v>0</v>
      </c>
      <c r="Q47" s="39">
        <f t="shared" si="11"/>
        <v>0</v>
      </c>
      <c r="R47" s="39">
        <f t="shared" si="26"/>
        <v>0</v>
      </c>
    </row>
    <row r="48" spans="1:19" ht="18" hidden="1" outlineLevel="1">
      <c r="A48" s="38" t="s">
        <v>204</v>
      </c>
      <c r="B48" s="39">
        <f>-'[38]Budget 2022'!AM49</f>
        <v>0</v>
      </c>
      <c r="C48" s="39">
        <f>-'[38]Budget 2022'!AN49</f>
        <v>0</v>
      </c>
      <c r="D48" s="39">
        <f>-'[38]Budget 2022'!AO49</f>
        <v>0</v>
      </c>
      <c r="E48" s="39">
        <f t="shared" si="8"/>
        <v>0</v>
      </c>
      <c r="F48" s="39">
        <f>-'[38]Budget 2022'!AQ49</f>
        <v>0</v>
      </c>
      <c r="G48" s="39">
        <f>-'[38]Budget 2022'!AR49</f>
        <v>0</v>
      </c>
      <c r="H48" s="39">
        <f>-'[38]Budget 2022'!AS49</f>
        <v>0</v>
      </c>
      <c r="I48" s="39">
        <f t="shared" si="9"/>
        <v>0</v>
      </c>
      <c r="J48" s="39">
        <f>-'[38]Budget 2022'!AU49</f>
        <v>0</v>
      </c>
      <c r="K48" s="39">
        <f>-'[38]Budget 2022'!AV49</f>
        <v>0</v>
      </c>
      <c r="L48" s="39">
        <f>-'[38]Budget 2022'!AW49</f>
        <v>0</v>
      </c>
      <c r="M48" s="39">
        <f t="shared" si="10"/>
        <v>0</v>
      </c>
      <c r="N48" s="39">
        <f>-'[38]Budget 2022'!AZ49</f>
        <v>0</v>
      </c>
      <c r="O48" s="39">
        <f>-'[38]Budget 2022'!BA49</f>
        <v>0</v>
      </c>
      <c r="P48" s="39">
        <f>-'[38]Budget 2022'!BB49</f>
        <v>0</v>
      </c>
      <c r="Q48" s="39">
        <f t="shared" si="11"/>
        <v>0</v>
      </c>
      <c r="R48" s="39">
        <f t="shared" si="26"/>
        <v>0</v>
      </c>
    </row>
    <row r="49" spans="1:19" ht="18" hidden="1" outlineLevel="1">
      <c r="A49" s="38" t="s">
        <v>205</v>
      </c>
      <c r="B49" s="39">
        <f>-'[38]Budget 2022'!AM51</f>
        <v>0</v>
      </c>
      <c r="C49" s="39">
        <f>-'[38]Budget 2022'!AN51</f>
        <v>0</v>
      </c>
      <c r="D49" s="39">
        <f>-'[38]Budget 2022'!AO51</f>
        <v>0</v>
      </c>
      <c r="E49" s="39">
        <f t="shared" si="8"/>
        <v>0</v>
      </c>
      <c r="F49" s="39">
        <f>-'[38]Budget 2022'!AQ51</f>
        <v>0</v>
      </c>
      <c r="G49" s="39">
        <f>-'[38]Budget 2022'!AR51</f>
        <v>0</v>
      </c>
      <c r="H49" s="39">
        <f>-'[38]Budget 2022'!AS51</f>
        <v>0</v>
      </c>
      <c r="I49" s="39">
        <f t="shared" si="9"/>
        <v>0</v>
      </c>
      <c r="J49" s="39">
        <f>-'[38]Budget 2022'!AU51</f>
        <v>0</v>
      </c>
      <c r="K49" s="39">
        <f>-'[38]Budget 2022'!AV51</f>
        <v>0</v>
      </c>
      <c r="L49" s="39">
        <f>-'[38]Budget 2022'!AW51</f>
        <v>0</v>
      </c>
      <c r="M49" s="39">
        <f t="shared" si="10"/>
        <v>0</v>
      </c>
      <c r="N49" s="39">
        <f>-'[38]Budget 2022'!AZ51</f>
        <v>0</v>
      </c>
      <c r="O49" s="39">
        <f>-'[38]Budget 2022'!BA51</f>
        <v>0</v>
      </c>
      <c r="P49" s="39">
        <f>-'[38]Budget 2022'!BB51</f>
        <v>0</v>
      </c>
      <c r="Q49" s="39">
        <f t="shared" si="11"/>
        <v>0</v>
      </c>
      <c r="R49" s="39">
        <f t="shared" si="26"/>
        <v>0</v>
      </c>
    </row>
    <row r="50" spans="1:19" ht="18" hidden="1" outlineLevel="1">
      <c r="A50" s="38" t="s">
        <v>206</v>
      </c>
      <c r="B50" s="39">
        <f>-'[38]Budget 2022'!AM62</f>
        <v>5000</v>
      </c>
      <c r="C50" s="39">
        <f>-'[38]Budget 2022'!AN62</f>
        <v>5000</v>
      </c>
      <c r="D50" s="39">
        <f>-'[38]Budget 2022'!AO62</f>
        <v>5000</v>
      </c>
      <c r="E50" s="39">
        <f t="shared" si="8"/>
        <v>15000</v>
      </c>
      <c r="F50" s="39">
        <f>-'[38]Budget 2022'!AQ62</f>
        <v>5000</v>
      </c>
      <c r="G50" s="39">
        <f>-'[38]Budget 2022'!AR62</f>
        <v>5000</v>
      </c>
      <c r="H50" s="39">
        <f>-'[38]Budget 2022'!AS62</f>
        <v>5000</v>
      </c>
      <c r="I50" s="39">
        <f t="shared" si="9"/>
        <v>15000</v>
      </c>
      <c r="J50" s="39">
        <f>-'[38]Budget 2022'!AU62</f>
        <v>5000</v>
      </c>
      <c r="K50" s="39">
        <f>-'[38]Budget 2022'!AV62</f>
        <v>5000</v>
      </c>
      <c r="L50" s="39">
        <f>-'[38]Budget 2022'!AW62</f>
        <v>5000</v>
      </c>
      <c r="M50" s="39">
        <f t="shared" si="10"/>
        <v>15000</v>
      </c>
      <c r="N50" s="39">
        <f>-'[38]Budget 2022'!AY62</f>
        <v>5000</v>
      </c>
      <c r="O50" s="39">
        <f>-'[38]Budget 2022'!AZ62</f>
        <v>5000</v>
      </c>
      <c r="P50" s="39">
        <f>-'[38]Budget 2022'!BA62</f>
        <v>5000</v>
      </c>
      <c r="Q50" s="39">
        <f t="shared" si="11"/>
        <v>15000</v>
      </c>
      <c r="R50" s="39">
        <f t="shared" si="26"/>
        <v>60000</v>
      </c>
    </row>
    <row r="51" spans="1:19" ht="18" hidden="1" outlineLevel="1">
      <c r="A51" s="38" t="s">
        <v>207</v>
      </c>
      <c r="B51" s="39">
        <f>-'[38]Budget 2022'!AM64</f>
        <v>0</v>
      </c>
      <c r="C51" s="39">
        <f>-'[38]Budget 2022'!AN64</f>
        <v>0</v>
      </c>
      <c r="D51" s="39">
        <f>-'[38]Budget 2022'!AO64</f>
        <v>0</v>
      </c>
      <c r="E51" s="39">
        <f t="shared" si="8"/>
        <v>0</v>
      </c>
      <c r="F51" s="39">
        <f>-'[38]Budget 2022'!AQ64</f>
        <v>0</v>
      </c>
      <c r="G51" s="39">
        <f>-'[38]Budget 2022'!AR64</f>
        <v>0</v>
      </c>
      <c r="H51" s="39">
        <f>-'[38]Budget 2022'!AS64</f>
        <v>0</v>
      </c>
      <c r="I51" s="39">
        <f t="shared" si="9"/>
        <v>0</v>
      </c>
      <c r="J51" s="39">
        <f>-'[38]Budget 2022'!AU64</f>
        <v>0</v>
      </c>
      <c r="K51" s="39">
        <f>-'[38]Budget 2022'!AV64</f>
        <v>0</v>
      </c>
      <c r="L51" s="39">
        <f>-'[38]Budget 2022'!AW64</f>
        <v>0</v>
      </c>
      <c r="M51" s="39">
        <f t="shared" si="10"/>
        <v>0</v>
      </c>
      <c r="N51" s="39">
        <f>-'[38]Budget 2022'!AZ64</f>
        <v>0</v>
      </c>
      <c r="O51" s="39">
        <f>-'[38]Budget 2022'!BA64</f>
        <v>0</v>
      </c>
      <c r="P51" s="39">
        <f>-'[38]Budget 2022'!BB64</f>
        <v>0</v>
      </c>
      <c r="Q51" s="39">
        <f t="shared" si="11"/>
        <v>0</v>
      </c>
      <c r="R51" s="39">
        <f t="shared" si="26"/>
        <v>0</v>
      </c>
    </row>
    <row r="52" spans="1:19" ht="18" hidden="1" outlineLevel="1">
      <c r="A52" s="38" t="s">
        <v>208</v>
      </c>
      <c r="B52" s="39">
        <f>-'[38]Budget 2022'!AM75</f>
        <v>0</v>
      </c>
      <c r="C52" s="39">
        <f>-'[38]Budget 2022'!AN75</f>
        <v>0</v>
      </c>
      <c r="D52" s="39">
        <f>-'[38]Budget 2022'!AO75</f>
        <v>0</v>
      </c>
      <c r="E52" s="39">
        <f t="shared" si="8"/>
        <v>0</v>
      </c>
      <c r="F52" s="39">
        <f>-'[38]Budget 2022'!AQ75</f>
        <v>0</v>
      </c>
      <c r="G52" s="39">
        <f>-'[38]Budget 2022'!AR75</f>
        <v>0</v>
      </c>
      <c r="H52" s="39">
        <f>-'[38]Budget 2022'!AS75</f>
        <v>0</v>
      </c>
      <c r="I52" s="39">
        <f t="shared" si="9"/>
        <v>0</v>
      </c>
      <c r="J52" s="39">
        <f>-'[38]Budget 2022'!AU75</f>
        <v>0</v>
      </c>
      <c r="K52" s="39">
        <f>-'[38]Budget 2022'!AV75</f>
        <v>0</v>
      </c>
      <c r="L52" s="39">
        <f>-'[38]Budget 2022'!AW75</f>
        <v>0</v>
      </c>
      <c r="M52" s="39">
        <f t="shared" si="10"/>
        <v>0</v>
      </c>
      <c r="N52" s="39">
        <f>-'[38]Budget 2022'!AZ75</f>
        <v>0</v>
      </c>
      <c r="O52" s="39">
        <f>-'[38]Budget 2022'!BA75</f>
        <v>0</v>
      </c>
      <c r="P52" s="39">
        <f>-'[38]Budget 2022'!BB75</f>
        <v>0</v>
      </c>
      <c r="Q52" s="39">
        <f t="shared" si="11"/>
        <v>0</v>
      </c>
      <c r="R52" s="39">
        <f t="shared" si="26"/>
        <v>0</v>
      </c>
    </row>
    <row r="53" spans="1:19" s="35" customFormat="1" ht="31.2" collapsed="1">
      <c r="A53" s="31" t="s">
        <v>212</v>
      </c>
      <c r="B53" s="32">
        <f>SUM(B54,B67)</f>
        <v>4230142.0600000005</v>
      </c>
      <c r="C53" s="32">
        <f>SUM(C54,C67)</f>
        <v>7852287.3999999994</v>
      </c>
      <c r="D53" s="32">
        <f>SUM(D54,D67)</f>
        <v>6372431.5199999996</v>
      </c>
      <c r="E53" s="32">
        <f t="shared" si="8"/>
        <v>18454860.98</v>
      </c>
      <c r="F53" s="32">
        <f>SUM(F54,F67)</f>
        <v>6330560.5</v>
      </c>
      <c r="G53" s="32">
        <f>SUM(G54,G67)</f>
        <v>6330560.5</v>
      </c>
      <c r="H53" s="32">
        <f>SUM(H54,H67)</f>
        <v>6330560.5</v>
      </c>
      <c r="I53" s="32">
        <f t="shared" si="9"/>
        <v>18991681.5</v>
      </c>
      <c r="J53" s="32">
        <f>SUM(J54,J67)</f>
        <v>5899023.8599999994</v>
      </c>
      <c r="K53" s="32">
        <f>SUM(K54,K67)</f>
        <v>5899023.8599999994</v>
      </c>
      <c r="L53" s="32">
        <f>SUM(L54,L67)</f>
        <v>4093336.32</v>
      </c>
      <c r="M53" s="32">
        <f t="shared" si="10"/>
        <v>15891384.039999999</v>
      </c>
      <c r="N53" s="32">
        <f>SUM(N54,N67)</f>
        <v>4097523.42</v>
      </c>
      <c r="O53" s="32">
        <f>SUM(O54,O67)</f>
        <v>2569976.6100000003</v>
      </c>
      <c r="P53" s="32">
        <f>SUM(P54,P67)</f>
        <v>2569976.6100000003</v>
      </c>
      <c r="Q53" s="32">
        <f t="shared" si="11"/>
        <v>9237476.6400000006</v>
      </c>
      <c r="R53" s="33">
        <f>SUM(R54,R67)</f>
        <v>62575403.159999996</v>
      </c>
      <c r="S53" s="40"/>
    </row>
    <row r="54" spans="1:19" s="35" customFormat="1" ht="31.2" hidden="1" outlineLevel="1">
      <c r="A54" s="31" t="s">
        <v>213</v>
      </c>
      <c r="B54" s="32">
        <f>B55+B58</f>
        <v>4230142.0600000005</v>
      </c>
      <c r="C54" s="32">
        <f>C55+C58</f>
        <v>7852287.3999999994</v>
      </c>
      <c r="D54" s="32">
        <f>D55+D58</f>
        <v>6372431.5199999996</v>
      </c>
      <c r="E54" s="32">
        <f>SUM(B54:D54)</f>
        <v>18454860.98</v>
      </c>
      <c r="F54" s="32">
        <f>F55+F58</f>
        <v>6330560.5</v>
      </c>
      <c r="G54" s="32">
        <f>G55+G58</f>
        <v>6330560.5</v>
      </c>
      <c r="H54" s="32">
        <f>H55+H58</f>
        <v>6330560.5</v>
      </c>
      <c r="I54" s="32">
        <f>SUM(F54:H54)</f>
        <v>18991681.5</v>
      </c>
      <c r="J54" s="32">
        <f>J55+J58</f>
        <v>5899023.8599999994</v>
      </c>
      <c r="K54" s="32">
        <f>K55+K58</f>
        <v>5899023.8599999994</v>
      </c>
      <c r="L54" s="32">
        <f>L55+L58</f>
        <v>4093336.32</v>
      </c>
      <c r="M54" s="32">
        <f>SUM(J54:L54)</f>
        <v>15891384.039999999</v>
      </c>
      <c r="N54" s="32">
        <f>N55+N58</f>
        <v>4097523.42</v>
      </c>
      <c r="O54" s="32">
        <f>O55+O58</f>
        <v>2569976.6100000003</v>
      </c>
      <c r="P54" s="32">
        <f>P55+P58</f>
        <v>2569976.6100000003</v>
      </c>
      <c r="Q54" s="32">
        <f>SUM(N54:P54)</f>
        <v>9237476.6400000006</v>
      </c>
      <c r="R54" s="33">
        <f>R55+R58</f>
        <v>62575403.159999996</v>
      </c>
      <c r="S54" s="34">
        <f>R54+'[38]Budget 2022'!BT5</f>
        <v>0</v>
      </c>
    </row>
    <row r="55" spans="1:19" ht="18" hidden="1" outlineLevel="1">
      <c r="A55" s="43" t="s">
        <v>197</v>
      </c>
      <c r="B55" s="42">
        <f>SUM(B56:B57)</f>
        <v>2196483.6800000002</v>
      </c>
      <c r="C55" s="42">
        <f>SUM(C56:C57)</f>
        <v>5818629.0199999996</v>
      </c>
      <c r="D55" s="42">
        <f>SUM(D56:D57)</f>
        <v>4338773.1399999997</v>
      </c>
      <c r="E55" s="42">
        <f t="shared" si="8"/>
        <v>12353885.84</v>
      </c>
      <c r="F55" s="42">
        <f>SUM(F56:F57)</f>
        <v>4338773.1399999997</v>
      </c>
      <c r="G55" s="42">
        <f>SUM(G56:G57)</f>
        <v>4338773.1399999997</v>
      </c>
      <c r="H55" s="42">
        <f>SUM(H56:H57)</f>
        <v>4338773.1399999997</v>
      </c>
      <c r="I55" s="42">
        <f t="shared" si="9"/>
        <v>13016319.419999998</v>
      </c>
      <c r="J55" s="42">
        <f>SUM(J56:J57)</f>
        <v>4094525.55</v>
      </c>
      <c r="K55" s="42">
        <f>SUM(K56:K57)</f>
        <v>4094525.55</v>
      </c>
      <c r="L55" s="42">
        <f>SUM(L56:L57)</f>
        <v>2288838.0099999998</v>
      </c>
      <c r="M55" s="42">
        <f t="shared" si="10"/>
        <v>10477889.109999999</v>
      </c>
      <c r="N55" s="42">
        <f>SUM(N56:N57)</f>
        <v>2288838.0099999998</v>
      </c>
      <c r="O55" s="42">
        <f>SUM(O56:O57)</f>
        <v>761291.2</v>
      </c>
      <c r="P55" s="42">
        <f>SUM(P56:P57)</f>
        <v>761291.2</v>
      </c>
      <c r="Q55" s="42">
        <f t="shared" si="11"/>
        <v>3811420.41</v>
      </c>
      <c r="R55" s="42">
        <f>SUM(R56:R57)</f>
        <v>39659514.779999994</v>
      </c>
    </row>
    <row r="56" spans="1:19" ht="18" hidden="1" outlineLevel="1">
      <c r="A56" s="38" t="s">
        <v>198</v>
      </c>
      <c r="B56" s="39">
        <f>-'[38]Budget 2022'!BD7</f>
        <v>390796.14</v>
      </c>
      <c r="C56" s="39">
        <f>-'[38]Budget 2022'!BE7</f>
        <v>3251650.28</v>
      </c>
      <c r="D56" s="39">
        <f>-'[38]Budget 2022'!BF7</f>
        <v>1771794.4</v>
      </c>
      <c r="E56" s="39">
        <f t="shared" si="8"/>
        <v>5414240.8200000003</v>
      </c>
      <c r="F56" s="39">
        <f>-'[38]Budget 2022'!BH7</f>
        <v>1771794.4</v>
      </c>
      <c r="G56" s="39">
        <f>-'[38]Budget 2022'!BI7</f>
        <v>1771794.4</v>
      </c>
      <c r="H56" s="39">
        <f>-'[38]Budget 2022'!BJ7</f>
        <v>1771794.4</v>
      </c>
      <c r="I56" s="39">
        <f t="shared" si="9"/>
        <v>5315383.1999999993</v>
      </c>
      <c r="J56" s="39">
        <f>-'[38]Budget 2022'!BL7</f>
        <v>1527546.81</v>
      </c>
      <c r="K56" s="39">
        <f>-'[38]Budget 2022'!BM7</f>
        <v>1527546.81</v>
      </c>
      <c r="L56" s="39">
        <f>-'[38]Budget 2022'!BN7</f>
        <v>1527546.81</v>
      </c>
      <c r="M56" s="39">
        <f t="shared" si="10"/>
        <v>4582640.43</v>
      </c>
      <c r="N56" s="39">
        <f>-'[38]Budget 2022'!BP7</f>
        <v>1527546.81</v>
      </c>
      <c r="O56" s="39">
        <f>-'[38]Budget 2022'!BQ7</f>
        <v>0</v>
      </c>
      <c r="P56" s="39">
        <f>-'[38]Budget 2022'!BR7</f>
        <v>0</v>
      </c>
      <c r="Q56" s="39">
        <f t="shared" si="11"/>
        <v>1527546.81</v>
      </c>
      <c r="R56" s="39">
        <f>SUM(E56,I56,M56,Q56)</f>
        <v>16839811.259999998</v>
      </c>
    </row>
    <row r="57" spans="1:19" ht="18" hidden="1" outlineLevel="1">
      <c r="A57" s="38" t="s">
        <v>199</v>
      </c>
      <c r="B57" s="39">
        <f>-'[38]Budget 2022'!BD17</f>
        <v>1805687.54</v>
      </c>
      <c r="C57" s="39">
        <f>-'[38]Budget 2022'!BE17</f>
        <v>2566978.7399999998</v>
      </c>
      <c r="D57" s="39">
        <f>-'[38]Budget 2022'!BF17</f>
        <v>2566978.7399999998</v>
      </c>
      <c r="E57" s="39">
        <f t="shared" si="8"/>
        <v>6939645.0199999996</v>
      </c>
      <c r="F57" s="39">
        <f>-'[38]Budget 2022'!BH17</f>
        <v>2566978.7399999998</v>
      </c>
      <c r="G57" s="39">
        <f>-'[38]Budget 2022'!BI17</f>
        <v>2566978.7399999998</v>
      </c>
      <c r="H57" s="39">
        <f>-'[38]Budget 2022'!BJ17</f>
        <v>2566978.7399999998</v>
      </c>
      <c r="I57" s="39">
        <f t="shared" si="9"/>
        <v>7700936.2199999988</v>
      </c>
      <c r="J57" s="39">
        <f>-'[38]Budget 2022'!BL17</f>
        <v>2566978.7399999998</v>
      </c>
      <c r="K57" s="39">
        <f>-'[38]Budget 2022'!BM17</f>
        <v>2566978.7399999998</v>
      </c>
      <c r="L57" s="39">
        <f>-'[38]Budget 2022'!BN17</f>
        <v>761291.2</v>
      </c>
      <c r="M57" s="39">
        <f t="shared" si="10"/>
        <v>5895248.6799999997</v>
      </c>
      <c r="N57" s="39">
        <f>-'[38]Budget 2022'!BP17</f>
        <v>761291.2</v>
      </c>
      <c r="O57" s="39">
        <f>-'[38]Budget 2022'!BQ17</f>
        <v>761291.2</v>
      </c>
      <c r="P57" s="39">
        <f>-'[38]Budget 2022'!BR17</f>
        <v>761291.2</v>
      </c>
      <c r="Q57" s="39">
        <f t="shared" si="11"/>
        <v>2283873.5999999996</v>
      </c>
      <c r="R57" s="39">
        <f>SUM(E57,I57,M57,Q57)</f>
        <v>22819703.519999996</v>
      </c>
    </row>
    <row r="58" spans="1:19" ht="18" hidden="1" outlineLevel="1">
      <c r="A58" s="36" t="s">
        <v>200</v>
      </c>
      <c r="B58" s="41">
        <f>SUM(B59:B66)</f>
        <v>2033658.3800000001</v>
      </c>
      <c r="C58" s="41">
        <f t="shared" ref="C58:D58" si="27">SUM(C59:C66)</f>
        <v>2033658.3800000001</v>
      </c>
      <c r="D58" s="41">
        <f t="shared" si="27"/>
        <v>2033658.3800000001</v>
      </c>
      <c r="E58" s="41">
        <f t="shared" si="8"/>
        <v>6100975.1400000006</v>
      </c>
      <c r="F58" s="41">
        <f>SUM(F59:F66)</f>
        <v>1991787.36</v>
      </c>
      <c r="G58" s="41">
        <f t="shared" ref="G58:H58" si="28">SUM(G59:G66)</f>
        <v>1991787.36</v>
      </c>
      <c r="H58" s="41">
        <f t="shared" si="28"/>
        <v>1991787.36</v>
      </c>
      <c r="I58" s="41">
        <f t="shared" si="9"/>
        <v>5975362.0800000001</v>
      </c>
      <c r="J58" s="41">
        <f>SUM(J59:J66)</f>
        <v>1804498.31</v>
      </c>
      <c r="K58" s="41">
        <f t="shared" ref="K58:L58" si="29">SUM(K59:K66)</f>
        <v>1804498.31</v>
      </c>
      <c r="L58" s="41">
        <f t="shared" si="29"/>
        <v>1804498.31</v>
      </c>
      <c r="M58" s="41">
        <f t="shared" si="10"/>
        <v>5413494.9299999997</v>
      </c>
      <c r="N58" s="41">
        <f>SUM(N59:N66)</f>
        <v>1808685.4100000001</v>
      </c>
      <c r="O58" s="41">
        <f t="shared" ref="O58:P58" si="30">SUM(O59:O66)</f>
        <v>1808685.4100000001</v>
      </c>
      <c r="P58" s="41">
        <f t="shared" si="30"/>
        <v>1808685.4100000001</v>
      </c>
      <c r="Q58" s="41">
        <f t="shared" si="11"/>
        <v>5426056.2300000004</v>
      </c>
      <c r="R58" s="42">
        <f>SUM(R59:R66)</f>
        <v>22915888.379999999</v>
      </c>
    </row>
    <row r="59" spans="1:19" ht="18" hidden="1" outlineLevel="1">
      <c r="A59" s="38" t="s">
        <v>201</v>
      </c>
      <c r="B59" s="39">
        <f>-'[38]Budget 2022'!BD25</f>
        <v>410119.47</v>
      </c>
      <c r="C59" s="39">
        <f>-'[38]Budget 2022'!BE25</f>
        <v>410119.47</v>
      </c>
      <c r="D59" s="39">
        <f>-'[38]Budget 2022'!BF25</f>
        <v>410119.47</v>
      </c>
      <c r="E59" s="39">
        <f t="shared" si="8"/>
        <v>1230358.4099999999</v>
      </c>
      <c r="F59" s="39">
        <f>-'[38]Budget 2022'!BH25</f>
        <v>368248.44999999995</v>
      </c>
      <c r="G59" s="39">
        <f>-'[38]Budget 2022'!BI25</f>
        <v>368248.44999999995</v>
      </c>
      <c r="H59" s="39">
        <f>-'[38]Budget 2022'!BJ25</f>
        <v>368248.44999999995</v>
      </c>
      <c r="I59" s="39">
        <f t="shared" si="9"/>
        <v>1104745.3499999999</v>
      </c>
      <c r="J59" s="39">
        <f>-'[38]Budget 2022'!BL25</f>
        <v>180959.4</v>
      </c>
      <c r="K59" s="39">
        <f>-'[38]Budget 2022'!BM25</f>
        <v>180959.4</v>
      </c>
      <c r="L59" s="39">
        <f>-'[38]Budget 2022'!BN25</f>
        <v>180959.4</v>
      </c>
      <c r="M59" s="39">
        <f t="shared" si="10"/>
        <v>542878.19999999995</v>
      </c>
      <c r="N59" s="39">
        <f>-'[38]Budget 2022'!BP25</f>
        <v>94209.78</v>
      </c>
      <c r="O59" s="39">
        <f>-'[38]Budget 2022'!BQ25</f>
        <v>94209.78</v>
      </c>
      <c r="P59" s="39">
        <f>-'[38]Budget 2022'!BR25</f>
        <v>94209.78</v>
      </c>
      <c r="Q59" s="39">
        <f t="shared" si="11"/>
        <v>282629.33999999997</v>
      </c>
      <c r="R59" s="39">
        <f>SUM(E59,I59,M59,Q59)</f>
        <v>3160611.3</v>
      </c>
    </row>
    <row r="60" spans="1:19" ht="18" hidden="1" outlineLevel="1">
      <c r="A60" s="38" t="s">
        <v>202</v>
      </c>
      <c r="B60" s="39">
        <f>-'[38]Budget 2022'!BD31</f>
        <v>751226.09</v>
      </c>
      <c r="C60" s="39">
        <f>-'[38]Budget 2022'!BE31</f>
        <v>751226.09</v>
      </c>
      <c r="D60" s="39">
        <f>-'[38]Budget 2022'!BF31</f>
        <v>751226.09</v>
      </c>
      <c r="E60" s="39">
        <f t="shared" si="8"/>
        <v>2253678.27</v>
      </c>
      <c r="F60" s="39">
        <f>-'[38]Budget 2022'!BH31</f>
        <v>751226.09</v>
      </c>
      <c r="G60" s="39">
        <f>-'[38]Budget 2022'!BI31</f>
        <v>751226.09</v>
      </c>
      <c r="H60" s="39">
        <f>-'[38]Budget 2022'!BJ31</f>
        <v>751226.09</v>
      </c>
      <c r="I60" s="39">
        <f t="shared" si="9"/>
        <v>2253678.27</v>
      </c>
      <c r="J60" s="39">
        <f>-'[38]Budget 2022'!BL31</f>
        <v>751226.09</v>
      </c>
      <c r="K60" s="39">
        <f>-'[38]Budget 2022'!BM31</f>
        <v>751226.09</v>
      </c>
      <c r="L60" s="39">
        <f>-'[38]Budget 2022'!BN31</f>
        <v>751226.09</v>
      </c>
      <c r="M60" s="39">
        <f t="shared" si="10"/>
        <v>2253678.27</v>
      </c>
      <c r="N60" s="39">
        <f>-'[38]Budget 2022'!BP31</f>
        <v>842162.81</v>
      </c>
      <c r="O60" s="39">
        <f>-'[38]Budget 2022'!BQ31</f>
        <v>842162.81</v>
      </c>
      <c r="P60" s="39">
        <f>-'[38]Budget 2022'!BR31</f>
        <v>842162.81</v>
      </c>
      <c r="Q60" s="39">
        <f t="shared" si="11"/>
        <v>2526488.4300000002</v>
      </c>
      <c r="R60" s="39">
        <f t="shared" ref="R60:R66" si="31">SUM(E60,I60,M60,Q60)</f>
        <v>9287523.2400000002</v>
      </c>
    </row>
    <row r="61" spans="1:19" ht="18" hidden="1" outlineLevel="1">
      <c r="A61" s="38" t="s">
        <v>203</v>
      </c>
      <c r="B61" s="39">
        <f>-'[38]Budget 2022'!BD38</f>
        <v>0</v>
      </c>
      <c r="C61" s="39">
        <f>-'[38]Budget 2022'!BE38</f>
        <v>0</v>
      </c>
      <c r="D61" s="39">
        <f>-'[38]Budget 2022'!BF38</f>
        <v>0</v>
      </c>
      <c r="E61" s="39">
        <f t="shared" si="8"/>
        <v>0</v>
      </c>
      <c r="F61" s="39">
        <f>-'[38]Budget 2022'!BH38</f>
        <v>0</v>
      </c>
      <c r="G61" s="39">
        <f>-'[38]Budget 2022'!BI38</f>
        <v>0</v>
      </c>
      <c r="H61" s="39">
        <f>-'[38]Budget 2022'!BJ38</f>
        <v>0</v>
      </c>
      <c r="I61" s="39">
        <f t="shared" si="9"/>
        <v>0</v>
      </c>
      <c r="J61" s="39">
        <f>-'[38]Budget 2022'!BL38</f>
        <v>0</v>
      </c>
      <c r="K61" s="39">
        <f>-'[38]Budget 2022'!BM38</f>
        <v>0</v>
      </c>
      <c r="L61" s="39">
        <f>-'[38]Budget 2022'!BN38</f>
        <v>0</v>
      </c>
      <c r="M61" s="39">
        <f t="shared" si="10"/>
        <v>0</v>
      </c>
      <c r="N61" s="39">
        <f>-'[38]Budget 2022'!BP38</f>
        <v>0</v>
      </c>
      <c r="O61" s="39">
        <f>-'[38]Budget 2022'!BQ38</f>
        <v>0</v>
      </c>
      <c r="P61" s="39">
        <f>-'[38]Budget 2022'!BR38</f>
        <v>0</v>
      </c>
      <c r="Q61" s="39">
        <f t="shared" si="11"/>
        <v>0</v>
      </c>
      <c r="R61" s="39">
        <f t="shared" si="31"/>
        <v>0</v>
      </c>
    </row>
    <row r="62" spans="1:19" ht="18" hidden="1" outlineLevel="1">
      <c r="A62" s="38" t="s">
        <v>204</v>
      </c>
      <c r="B62" s="39">
        <f>-'[38]Budget 2022'!BD49</f>
        <v>87231.28</v>
      </c>
      <c r="C62" s="39">
        <f>-'[38]Budget 2022'!BE49</f>
        <v>87231.28</v>
      </c>
      <c r="D62" s="39">
        <f>-'[38]Budget 2022'!BF49</f>
        <v>87231.28</v>
      </c>
      <c r="E62" s="39">
        <f t="shared" si="8"/>
        <v>261693.84</v>
      </c>
      <c r="F62" s="39">
        <f>-'[38]Budget 2022'!BH49</f>
        <v>87231.28</v>
      </c>
      <c r="G62" s="39">
        <f>-'[38]Budget 2022'!BI49</f>
        <v>87231.28</v>
      </c>
      <c r="H62" s="39">
        <f>-'[38]Budget 2022'!BJ49</f>
        <v>87231.28</v>
      </c>
      <c r="I62" s="39">
        <f t="shared" si="9"/>
        <v>261693.84</v>
      </c>
      <c r="J62" s="39">
        <f>-'[38]Budget 2022'!BL49</f>
        <v>87231.28</v>
      </c>
      <c r="K62" s="39">
        <f>-'[38]Budget 2022'!BM49</f>
        <v>87231.28</v>
      </c>
      <c r="L62" s="39">
        <f>-'[38]Budget 2022'!BN49</f>
        <v>87231.28</v>
      </c>
      <c r="M62" s="39">
        <f t="shared" si="10"/>
        <v>261693.84</v>
      </c>
      <c r="N62" s="39">
        <f>-'[38]Budget 2022'!BP49</f>
        <v>87231.28</v>
      </c>
      <c r="O62" s="39">
        <f>-'[38]Budget 2022'!BQ49</f>
        <v>87231.28</v>
      </c>
      <c r="P62" s="39">
        <f>-'[38]Budget 2022'!BR49</f>
        <v>87231.28</v>
      </c>
      <c r="Q62" s="39">
        <f t="shared" si="11"/>
        <v>261693.84</v>
      </c>
      <c r="R62" s="39">
        <f t="shared" si="31"/>
        <v>1046775.36</v>
      </c>
    </row>
    <row r="63" spans="1:19" ht="18" hidden="1" outlineLevel="1">
      <c r="A63" s="38" t="s">
        <v>205</v>
      </c>
      <c r="B63" s="39">
        <f>-'[38]Budget 2022'!BD51</f>
        <v>0</v>
      </c>
      <c r="C63" s="39">
        <f>-'[38]Budget 2022'!BE51</f>
        <v>0</v>
      </c>
      <c r="D63" s="39">
        <f>-'[38]Budget 2022'!BF51</f>
        <v>0</v>
      </c>
      <c r="E63" s="39">
        <f t="shared" si="8"/>
        <v>0</v>
      </c>
      <c r="F63" s="39">
        <f>-'[38]Budget 2022'!BH51</f>
        <v>0</v>
      </c>
      <c r="G63" s="39">
        <f>-'[38]Budget 2022'!BI51</f>
        <v>0</v>
      </c>
      <c r="H63" s="39">
        <f>-'[38]Budget 2022'!BJ51</f>
        <v>0</v>
      </c>
      <c r="I63" s="39">
        <f t="shared" si="9"/>
        <v>0</v>
      </c>
      <c r="J63" s="39">
        <f>-'[38]Budget 2022'!BL51</f>
        <v>0</v>
      </c>
      <c r="K63" s="39">
        <f>-'[38]Budget 2022'!BM51</f>
        <v>0</v>
      </c>
      <c r="L63" s="39">
        <f>-'[38]Budget 2022'!BN51</f>
        <v>0</v>
      </c>
      <c r="M63" s="39">
        <f t="shared" si="10"/>
        <v>0</v>
      </c>
      <c r="N63" s="39">
        <f>-'[38]Budget 2022'!BP51</f>
        <v>0</v>
      </c>
      <c r="O63" s="39">
        <f>-'[38]Budget 2022'!BQ51</f>
        <v>0</v>
      </c>
      <c r="P63" s="39">
        <f>-'[38]Budget 2022'!BR51</f>
        <v>0</v>
      </c>
      <c r="Q63" s="39">
        <f t="shared" si="11"/>
        <v>0</v>
      </c>
      <c r="R63" s="39">
        <f t="shared" si="31"/>
        <v>0</v>
      </c>
    </row>
    <row r="64" spans="1:19" ht="18" hidden="1" outlineLevel="1">
      <c r="A64" s="38" t="s">
        <v>206</v>
      </c>
      <c r="B64" s="39">
        <f>-'[38]Budget 2022'!BD62</f>
        <v>87231.28</v>
      </c>
      <c r="C64" s="39">
        <f>-'[38]Budget 2022'!BE62</f>
        <v>87231.28</v>
      </c>
      <c r="D64" s="39">
        <f>-'[38]Budget 2022'!BF62</f>
        <v>87231.28</v>
      </c>
      <c r="E64" s="39">
        <f t="shared" si="8"/>
        <v>261693.84</v>
      </c>
      <c r="F64" s="39">
        <f>-'[38]Budget 2022'!BH62</f>
        <v>87231.28</v>
      </c>
      <c r="G64" s="39">
        <f>-'[38]Budget 2022'!BI62</f>
        <v>87231.28</v>
      </c>
      <c r="H64" s="39">
        <f>-'[38]Budget 2022'!BJ62</f>
        <v>87231.28</v>
      </c>
      <c r="I64" s="39">
        <f t="shared" si="9"/>
        <v>261693.84</v>
      </c>
      <c r="J64" s="39">
        <f>-'[38]Budget 2022'!BL62</f>
        <v>87231.28</v>
      </c>
      <c r="K64" s="39">
        <f>-'[38]Budget 2022'!BM62</f>
        <v>87231.28</v>
      </c>
      <c r="L64" s="39">
        <f>-'[38]Budget 2022'!BN62</f>
        <v>87231.28</v>
      </c>
      <c r="M64" s="39">
        <f t="shared" si="10"/>
        <v>261693.84</v>
      </c>
      <c r="N64" s="39">
        <f>-'[38]Budget 2022'!BP62</f>
        <v>87231.28</v>
      </c>
      <c r="O64" s="39">
        <f>-'[38]Budget 2022'!BQ62</f>
        <v>87231.28</v>
      </c>
      <c r="P64" s="39">
        <f>-'[38]Budget 2022'!BR62</f>
        <v>87231.28</v>
      </c>
      <c r="Q64" s="39">
        <f t="shared" si="11"/>
        <v>261693.84</v>
      </c>
      <c r="R64" s="39">
        <f t="shared" si="31"/>
        <v>1046775.36</v>
      </c>
    </row>
    <row r="65" spans="1:19" ht="18" hidden="1" outlineLevel="1">
      <c r="A65" s="38" t="s">
        <v>207</v>
      </c>
      <c r="B65" s="39">
        <f>-'[38]Budget 2022'!BD64</f>
        <v>0</v>
      </c>
      <c r="C65" s="39">
        <f>-'[38]Budget 2022'!BE64</f>
        <v>0</v>
      </c>
      <c r="D65" s="39">
        <f>-'[38]Budget 2022'!BF64</f>
        <v>0</v>
      </c>
      <c r="E65" s="39">
        <f t="shared" si="8"/>
        <v>0</v>
      </c>
      <c r="F65" s="39">
        <f>-'[38]Budget 2022'!BH64</f>
        <v>0</v>
      </c>
      <c r="G65" s="39">
        <f>-'[38]Budget 2022'!BI64</f>
        <v>0</v>
      </c>
      <c r="H65" s="39">
        <f>-'[38]Budget 2022'!BJ64</f>
        <v>0</v>
      </c>
      <c r="I65" s="39">
        <f t="shared" si="9"/>
        <v>0</v>
      </c>
      <c r="J65" s="39">
        <f>-'[38]Budget 2022'!BL64</f>
        <v>0</v>
      </c>
      <c r="K65" s="39">
        <f>-'[38]Budget 2022'!BM64</f>
        <v>0</v>
      </c>
      <c r="L65" s="39">
        <f>-'[38]Budget 2022'!BN64</f>
        <v>0</v>
      </c>
      <c r="M65" s="39">
        <f t="shared" si="10"/>
        <v>0</v>
      </c>
      <c r="N65" s="39">
        <f>-'[38]Budget 2022'!BP64</f>
        <v>0</v>
      </c>
      <c r="O65" s="39">
        <f>-'[38]Budget 2022'!BQ64</f>
        <v>0</v>
      </c>
      <c r="P65" s="39">
        <f>-'[38]Budget 2022'!BR64</f>
        <v>0</v>
      </c>
      <c r="Q65" s="39">
        <f t="shared" si="11"/>
        <v>0</v>
      </c>
      <c r="R65" s="39">
        <f t="shared" si="31"/>
        <v>0</v>
      </c>
    </row>
    <row r="66" spans="1:19" ht="18" hidden="1" outlineLevel="1">
      <c r="A66" s="38" t="s">
        <v>208</v>
      </c>
      <c r="B66" s="39">
        <f>-'[38]Budget 2022'!BD75</f>
        <v>697850.26</v>
      </c>
      <c r="C66" s="39">
        <f>-'[38]Budget 2022'!BE75</f>
        <v>697850.26</v>
      </c>
      <c r="D66" s="39">
        <f>-'[38]Budget 2022'!BF75</f>
        <v>697850.26</v>
      </c>
      <c r="E66" s="39">
        <f t="shared" si="8"/>
        <v>2093550.78</v>
      </c>
      <c r="F66" s="39">
        <f>-'[38]Budget 2022'!BH75</f>
        <v>697850.26</v>
      </c>
      <c r="G66" s="39">
        <f>-'[38]Budget 2022'!BI75</f>
        <v>697850.26</v>
      </c>
      <c r="H66" s="39">
        <f>-'[38]Budget 2022'!BJ75</f>
        <v>697850.26</v>
      </c>
      <c r="I66" s="39">
        <f t="shared" si="9"/>
        <v>2093550.78</v>
      </c>
      <c r="J66" s="39">
        <f>-'[38]Budget 2022'!BL75</f>
        <v>697850.26</v>
      </c>
      <c r="K66" s="39">
        <f>-'[38]Budget 2022'!BM75</f>
        <v>697850.26</v>
      </c>
      <c r="L66" s="39">
        <f>-'[38]Budget 2022'!BN75</f>
        <v>697850.26</v>
      </c>
      <c r="M66" s="39">
        <f t="shared" si="10"/>
        <v>2093550.78</v>
      </c>
      <c r="N66" s="39">
        <f>-'[38]Budget 2022'!BP75</f>
        <v>697850.26</v>
      </c>
      <c r="O66" s="39">
        <f>-'[38]Budget 2022'!BQ75</f>
        <v>697850.26</v>
      </c>
      <c r="P66" s="39">
        <f>-'[38]Budget 2022'!BR75</f>
        <v>697850.26</v>
      </c>
      <c r="Q66" s="39">
        <f t="shared" si="11"/>
        <v>2093550.78</v>
      </c>
      <c r="R66" s="39">
        <f t="shared" si="31"/>
        <v>8374203.1200000001</v>
      </c>
    </row>
    <row r="67" spans="1:19" s="35" customFormat="1" ht="31.2" hidden="1" outlineLevel="1">
      <c r="A67" s="31" t="s">
        <v>214</v>
      </c>
      <c r="B67" s="32">
        <f>B68+B71</f>
        <v>0</v>
      </c>
      <c r="C67" s="32">
        <f>C68+C71</f>
        <v>0</v>
      </c>
      <c r="D67" s="32">
        <f>D68+D71</f>
        <v>0</v>
      </c>
      <c r="E67" s="32">
        <f>SUM(B67:D67)</f>
        <v>0</v>
      </c>
      <c r="F67" s="32">
        <f>F68+F71</f>
        <v>0</v>
      </c>
      <c r="G67" s="32">
        <f>G68+G71</f>
        <v>0</v>
      </c>
      <c r="H67" s="32">
        <f>H68+H71</f>
        <v>0</v>
      </c>
      <c r="I67" s="32">
        <f>SUM(F67:H67)</f>
        <v>0</v>
      </c>
      <c r="J67" s="32">
        <f>J68+J71</f>
        <v>0</v>
      </c>
      <c r="K67" s="32">
        <f>K68+K71</f>
        <v>0</v>
      </c>
      <c r="L67" s="32">
        <f>L68+L71</f>
        <v>0</v>
      </c>
      <c r="M67" s="32">
        <f>SUM(J67:L67)</f>
        <v>0</v>
      </c>
      <c r="N67" s="32">
        <f>N68+N71</f>
        <v>0</v>
      </c>
      <c r="O67" s="32">
        <f>O68+O71</f>
        <v>0</v>
      </c>
      <c r="P67" s="32">
        <f>P68+P71</f>
        <v>0</v>
      </c>
      <c r="Q67" s="32">
        <f>SUM(N67:P67)</f>
        <v>0</v>
      </c>
      <c r="R67" s="33">
        <f>R68+R71</f>
        <v>0</v>
      </c>
      <c r="S67" s="34">
        <f>R67+'[38]Budget 2022'!CK5</f>
        <v>0</v>
      </c>
    </row>
    <row r="68" spans="1:19" ht="18" hidden="1" outlineLevel="1">
      <c r="A68" s="43" t="s">
        <v>197</v>
      </c>
      <c r="B68" s="42">
        <f>SUM(B69:B70)</f>
        <v>0</v>
      </c>
      <c r="C68" s="42">
        <f>SUM(C69:C70)</f>
        <v>0</v>
      </c>
      <c r="D68" s="42">
        <f>SUM(D69:D70)</f>
        <v>0</v>
      </c>
      <c r="E68" s="42">
        <f t="shared" ref="E68:E80" si="32">SUM(B68:D68)</f>
        <v>0</v>
      </c>
      <c r="F68" s="42">
        <f>SUM(F69:F70)</f>
        <v>0</v>
      </c>
      <c r="G68" s="42">
        <f>SUM(G69:G70)</f>
        <v>0</v>
      </c>
      <c r="H68" s="42">
        <f>SUM(H69:H70)</f>
        <v>0</v>
      </c>
      <c r="I68" s="42">
        <f t="shared" ref="I68:I80" si="33">SUM(F68:H68)</f>
        <v>0</v>
      </c>
      <c r="J68" s="42">
        <f>SUM(J69:J70)</f>
        <v>0</v>
      </c>
      <c r="K68" s="42">
        <f>SUM(K69:K70)</f>
        <v>0</v>
      </c>
      <c r="L68" s="42">
        <f>SUM(L69:L70)</f>
        <v>0</v>
      </c>
      <c r="M68" s="42">
        <f t="shared" ref="M68:M80" si="34">SUM(J68:L68)</f>
        <v>0</v>
      </c>
      <c r="N68" s="42">
        <f>SUM(N69:N70)</f>
        <v>0</v>
      </c>
      <c r="O68" s="42">
        <f>SUM(O69:O70)</f>
        <v>0</v>
      </c>
      <c r="P68" s="42">
        <f>SUM(P69:P70)</f>
        <v>0</v>
      </c>
      <c r="Q68" s="42">
        <f t="shared" ref="Q68:Q80" si="35">SUM(N68:P68)</f>
        <v>0</v>
      </c>
      <c r="R68" s="42">
        <f>SUM(R69:R70)</f>
        <v>0</v>
      </c>
    </row>
    <row r="69" spans="1:19" ht="18" hidden="1" outlineLevel="1">
      <c r="A69" s="38" t="s">
        <v>198</v>
      </c>
      <c r="B69" s="39">
        <f>-'[38]Budget 2022'!BU7</f>
        <v>0</v>
      </c>
      <c r="C69" s="39">
        <f>-'[38]Budget 2022'!BV7</f>
        <v>0</v>
      </c>
      <c r="D69" s="39">
        <f>-'[38]Budget 2022'!BW7</f>
        <v>0</v>
      </c>
      <c r="E69" s="39">
        <f t="shared" si="32"/>
        <v>0</v>
      </c>
      <c r="F69" s="39">
        <f>-'[38]Budget 2022'!BY7</f>
        <v>0</v>
      </c>
      <c r="G69" s="39">
        <f>-'[38]Budget 2022'!BZ7</f>
        <v>0</v>
      </c>
      <c r="H69" s="39">
        <f>-'[38]Budget 2022'!CA7</f>
        <v>0</v>
      </c>
      <c r="I69" s="39">
        <f t="shared" si="33"/>
        <v>0</v>
      </c>
      <c r="J69" s="39">
        <f>-'[38]Budget 2022'!CC7</f>
        <v>0</v>
      </c>
      <c r="K69" s="39">
        <f>-'[38]Budget 2022'!CD7</f>
        <v>0</v>
      </c>
      <c r="L69" s="39">
        <f>-'[38]Budget 2022'!CE7</f>
        <v>0</v>
      </c>
      <c r="M69" s="39">
        <f t="shared" si="34"/>
        <v>0</v>
      </c>
      <c r="N69" s="39">
        <f>-'[38]Budget 2022'!CG7</f>
        <v>0</v>
      </c>
      <c r="O69" s="39">
        <f>-'[38]Budget 2022'!CH7</f>
        <v>0</v>
      </c>
      <c r="P69" s="39">
        <f>-'[38]Budget 2022'!CI7</f>
        <v>0</v>
      </c>
      <c r="Q69" s="39">
        <f t="shared" si="35"/>
        <v>0</v>
      </c>
      <c r="R69" s="39">
        <f>SUM(E69,I69,M69,Q69)</f>
        <v>0</v>
      </c>
    </row>
    <row r="70" spans="1:19" ht="18" hidden="1" outlineLevel="1">
      <c r="A70" s="38" t="s">
        <v>199</v>
      </c>
      <c r="B70" s="39">
        <f>-'[38]Budget 2022'!BU17</f>
        <v>0</v>
      </c>
      <c r="C70" s="39">
        <f>-'[38]Budget 2022'!BV17</f>
        <v>0</v>
      </c>
      <c r="D70" s="39">
        <f>-'[38]Budget 2022'!BW17</f>
        <v>0</v>
      </c>
      <c r="E70" s="39">
        <f t="shared" si="32"/>
        <v>0</v>
      </c>
      <c r="F70" s="39">
        <f>-'[38]Budget 2022'!BY17</f>
        <v>0</v>
      </c>
      <c r="G70" s="39">
        <f>-'[38]Budget 2022'!BZ17</f>
        <v>0</v>
      </c>
      <c r="H70" s="39">
        <f>-'[38]Budget 2022'!CA17</f>
        <v>0</v>
      </c>
      <c r="I70" s="39">
        <f t="shared" si="33"/>
        <v>0</v>
      </c>
      <c r="J70" s="39">
        <f>-'[38]Budget 2022'!CC17</f>
        <v>0</v>
      </c>
      <c r="K70" s="39">
        <f>-'[38]Budget 2022'!CD17</f>
        <v>0</v>
      </c>
      <c r="L70" s="39">
        <f>-'[38]Budget 2022'!CE17</f>
        <v>0</v>
      </c>
      <c r="M70" s="39">
        <f t="shared" si="34"/>
        <v>0</v>
      </c>
      <c r="N70" s="39">
        <f>-'[38]Budget 2022'!CG17</f>
        <v>0</v>
      </c>
      <c r="O70" s="39">
        <f>-'[38]Budget 2022'!CH17</f>
        <v>0</v>
      </c>
      <c r="P70" s="39">
        <f>-'[38]Budget 2022'!CI17</f>
        <v>0</v>
      </c>
      <c r="Q70" s="39">
        <f t="shared" si="35"/>
        <v>0</v>
      </c>
      <c r="R70" s="39">
        <f>SUM(E70,I70,M70,Q70)</f>
        <v>0</v>
      </c>
    </row>
    <row r="71" spans="1:19" ht="18" hidden="1" outlineLevel="1">
      <c r="A71" s="36" t="s">
        <v>200</v>
      </c>
      <c r="B71" s="41">
        <f>SUM(B72:B79)</f>
        <v>0</v>
      </c>
      <c r="C71" s="41">
        <f t="shared" ref="C71:D71" si="36">SUM(C72:C79)</f>
        <v>0</v>
      </c>
      <c r="D71" s="41">
        <f t="shared" si="36"/>
        <v>0</v>
      </c>
      <c r="E71" s="41">
        <f t="shared" si="32"/>
        <v>0</v>
      </c>
      <c r="F71" s="41">
        <f>SUM(F72:F79)</f>
        <v>0</v>
      </c>
      <c r="G71" s="41">
        <f t="shared" ref="G71:H71" si="37">SUM(G72:G79)</f>
        <v>0</v>
      </c>
      <c r="H71" s="41">
        <f t="shared" si="37"/>
        <v>0</v>
      </c>
      <c r="I71" s="41">
        <f t="shared" si="33"/>
        <v>0</v>
      </c>
      <c r="J71" s="41">
        <f>SUM(J72:J79)</f>
        <v>0</v>
      </c>
      <c r="K71" s="41">
        <f t="shared" ref="K71:L71" si="38">SUM(K72:K79)</f>
        <v>0</v>
      </c>
      <c r="L71" s="41">
        <f t="shared" si="38"/>
        <v>0</v>
      </c>
      <c r="M71" s="41">
        <f t="shared" si="34"/>
        <v>0</v>
      </c>
      <c r="N71" s="41">
        <f>SUM(N72:N79)</f>
        <v>0</v>
      </c>
      <c r="O71" s="41">
        <f t="shared" ref="O71:P71" si="39">SUM(O72:O79)</f>
        <v>0</v>
      </c>
      <c r="P71" s="41">
        <f t="shared" si="39"/>
        <v>0</v>
      </c>
      <c r="Q71" s="41">
        <f t="shared" si="35"/>
        <v>0</v>
      </c>
      <c r="R71" s="42">
        <f>SUM(R72:R79)</f>
        <v>0</v>
      </c>
    </row>
    <row r="72" spans="1:19" ht="18" hidden="1" outlineLevel="1">
      <c r="A72" s="38" t="s">
        <v>201</v>
      </c>
      <c r="B72" s="39">
        <f>-'[38]Budget 2022'!BU25</f>
        <v>0</v>
      </c>
      <c r="C72" s="39">
        <f>-'[38]Budget 2022'!BV25</f>
        <v>0</v>
      </c>
      <c r="D72" s="39">
        <f>-'[38]Budget 2022'!BW25</f>
        <v>0</v>
      </c>
      <c r="E72" s="39">
        <f t="shared" si="32"/>
        <v>0</v>
      </c>
      <c r="F72" s="39">
        <f>-'[38]Budget 2022'!BY25</f>
        <v>0</v>
      </c>
      <c r="G72" s="39">
        <f>-'[38]Budget 2022'!BZ25</f>
        <v>0</v>
      </c>
      <c r="H72" s="39">
        <f>-'[38]Budget 2022'!CA25</f>
        <v>0</v>
      </c>
      <c r="I72" s="39">
        <f t="shared" si="33"/>
        <v>0</v>
      </c>
      <c r="J72" s="39">
        <f>-'[38]Budget 2022'!CC25</f>
        <v>0</v>
      </c>
      <c r="K72" s="39">
        <f>-'[38]Budget 2022'!CD25</f>
        <v>0</v>
      </c>
      <c r="L72" s="39">
        <f>-'[38]Budget 2022'!CE25</f>
        <v>0</v>
      </c>
      <c r="M72" s="39">
        <f t="shared" si="34"/>
        <v>0</v>
      </c>
      <c r="N72" s="39">
        <f>-'[38]Budget 2022'!CG25</f>
        <v>0</v>
      </c>
      <c r="O72" s="39">
        <f>-'[38]Budget 2022'!CH25</f>
        <v>0</v>
      </c>
      <c r="P72" s="39">
        <f>-'[38]Budget 2022'!CI25</f>
        <v>0</v>
      </c>
      <c r="Q72" s="39">
        <f t="shared" si="35"/>
        <v>0</v>
      </c>
      <c r="R72" s="39">
        <f>SUM(E72,I72,M72,Q72)</f>
        <v>0</v>
      </c>
    </row>
    <row r="73" spans="1:19" ht="18" hidden="1" outlineLevel="1">
      <c r="A73" s="38" t="s">
        <v>202</v>
      </c>
      <c r="B73" s="39">
        <f>-'[38]Budget 2022'!BU31</f>
        <v>0</v>
      </c>
      <c r="C73" s="39">
        <f>-'[38]Budget 2022'!BV31</f>
        <v>0</v>
      </c>
      <c r="D73" s="39">
        <f>-'[38]Budget 2022'!BW31</f>
        <v>0</v>
      </c>
      <c r="E73" s="39">
        <f t="shared" si="32"/>
        <v>0</v>
      </c>
      <c r="F73" s="39">
        <f>-'[38]Budget 2022'!BY31</f>
        <v>0</v>
      </c>
      <c r="G73" s="39">
        <f>-'[38]Budget 2022'!BZ31</f>
        <v>0</v>
      </c>
      <c r="H73" s="39">
        <f>-'[38]Budget 2022'!CA31</f>
        <v>0</v>
      </c>
      <c r="I73" s="39">
        <f t="shared" si="33"/>
        <v>0</v>
      </c>
      <c r="J73" s="39">
        <f>-'[38]Budget 2022'!CC31</f>
        <v>0</v>
      </c>
      <c r="K73" s="39">
        <f>-'[38]Budget 2022'!CD31</f>
        <v>0</v>
      </c>
      <c r="L73" s="39">
        <f>-'[38]Budget 2022'!CE31</f>
        <v>0</v>
      </c>
      <c r="M73" s="39">
        <f t="shared" si="34"/>
        <v>0</v>
      </c>
      <c r="N73" s="39">
        <f>-'[38]Budget 2022'!CG31</f>
        <v>0</v>
      </c>
      <c r="O73" s="39">
        <f>-'[38]Budget 2022'!CH31</f>
        <v>0</v>
      </c>
      <c r="P73" s="39">
        <f>-'[38]Budget 2022'!CI31</f>
        <v>0</v>
      </c>
      <c r="Q73" s="39">
        <f t="shared" si="35"/>
        <v>0</v>
      </c>
      <c r="R73" s="39">
        <f t="shared" ref="R73:R79" si="40">SUM(E73,I73,M73,Q73)</f>
        <v>0</v>
      </c>
    </row>
    <row r="74" spans="1:19" ht="18" hidden="1" outlineLevel="1">
      <c r="A74" s="38" t="s">
        <v>203</v>
      </c>
      <c r="B74" s="39">
        <f>-'[38]Budget 2022'!BU38</f>
        <v>0</v>
      </c>
      <c r="C74" s="39">
        <f>-'[38]Budget 2022'!BV38</f>
        <v>0</v>
      </c>
      <c r="D74" s="39">
        <f>-'[38]Budget 2022'!BW38</f>
        <v>0</v>
      </c>
      <c r="E74" s="39">
        <f t="shared" si="32"/>
        <v>0</v>
      </c>
      <c r="F74" s="39">
        <f>-'[38]Budget 2022'!BY38</f>
        <v>0</v>
      </c>
      <c r="G74" s="39">
        <f>-'[38]Budget 2022'!BZ38</f>
        <v>0</v>
      </c>
      <c r="H74" s="39">
        <f>-'[38]Budget 2022'!CA38</f>
        <v>0</v>
      </c>
      <c r="I74" s="39">
        <f t="shared" si="33"/>
        <v>0</v>
      </c>
      <c r="J74" s="39">
        <f>-'[38]Budget 2022'!CC38</f>
        <v>0</v>
      </c>
      <c r="K74" s="39">
        <f>-'[38]Budget 2022'!CD38</f>
        <v>0</v>
      </c>
      <c r="L74" s="39">
        <f>-'[38]Budget 2022'!CE38</f>
        <v>0</v>
      </c>
      <c r="M74" s="39">
        <f t="shared" si="34"/>
        <v>0</v>
      </c>
      <c r="N74" s="39">
        <f>-'[38]Budget 2022'!CG38</f>
        <v>0</v>
      </c>
      <c r="O74" s="39">
        <f>-'[38]Budget 2022'!CH38</f>
        <v>0</v>
      </c>
      <c r="P74" s="39">
        <f>-'[38]Budget 2022'!CI38</f>
        <v>0</v>
      </c>
      <c r="Q74" s="39">
        <f t="shared" si="35"/>
        <v>0</v>
      </c>
      <c r="R74" s="39">
        <f t="shared" si="40"/>
        <v>0</v>
      </c>
    </row>
    <row r="75" spans="1:19" ht="18" hidden="1" outlineLevel="1">
      <c r="A75" s="38" t="s">
        <v>204</v>
      </c>
      <c r="B75" s="39">
        <f>-'[38]Budget 2022'!BU49</f>
        <v>0</v>
      </c>
      <c r="C75" s="39">
        <f>-'[38]Budget 2022'!BV49</f>
        <v>0</v>
      </c>
      <c r="D75" s="39">
        <f>-'[38]Budget 2022'!BW49</f>
        <v>0</v>
      </c>
      <c r="E75" s="39">
        <f t="shared" si="32"/>
        <v>0</v>
      </c>
      <c r="F75" s="39">
        <f>-'[38]Budget 2022'!BY49</f>
        <v>0</v>
      </c>
      <c r="G75" s="39">
        <f>-'[38]Budget 2022'!BZ49</f>
        <v>0</v>
      </c>
      <c r="H75" s="39">
        <f>-'[38]Budget 2022'!CA49</f>
        <v>0</v>
      </c>
      <c r="I75" s="39">
        <f t="shared" si="33"/>
        <v>0</v>
      </c>
      <c r="J75" s="39">
        <f>-'[38]Budget 2022'!CC49</f>
        <v>0</v>
      </c>
      <c r="K75" s="39">
        <f>-'[38]Budget 2022'!CD49</f>
        <v>0</v>
      </c>
      <c r="L75" s="39">
        <f>-'[38]Budget 2022'!CE49</f>
        <v>0</v>
      </c>
      <c r="M75" s="39">
        <f t="shared" si="34"/>
        <v>0</v>
      </c>
      <c r="N75" s="39">
        <f>-'[38]Budget 2022'!CG49</f>
        <v>0</v>
      </c>
      <c r="O75" s="39">
        <f>-'[38]Budget 2022'!CH49</f>
        <v>0</v>
      </c>
      <c r="P75" s="39">
        <f>-'[38]Budget 2022'!CI49</f>
        <v>0</v>
      </c>
      <c r="Q75" s="39">
        <f t="shared" si="35"/>
        <v>0</v>
      </c>
      <c r="R75" s="39">
        <f t="shared" si="40"/>
        <v>0</v>
      </c>
    </row>
    <row r="76" spans="1:19" ht="18" hidden="1" outlineLevel="1">
      <c r="A76" s="38" t="s">
        <v>205</v>
      </c>
      <c r="B76" s="39">
        <f>-'[38]Budget 2022'!BU51</f>
        <v>0</v>
      </c>
      <c r="C76" s="39">
        <f>-'[38]Budget 2022'!BV51</f>
        <v>0</v>
      </c>
      <c r="D76" s="39">
        <f>-'[38]Budget 2022'!BW51</f>
        <v>0</v>
      </c>
      <c r="E76" s="39">
        <f t="shared" si="32"/>
        <v>0</v>
      </c>
      <c r="F76" s="39">
        <f>-'[38]Budget 2022'!BY51</f>
        <v>0</v>
      </c>
      <c r="G76" s="39">
        <f>-'[38]Budget 2022'!BZ51</f>
        <v>0</v>
      </c>
      <c r="H76" s="39">
        <f>-'[38]Budget 2022'!CA51</f>
        <v>0</v>
      </c>
      <c r="I76" s="39">
        <f t="shared" si="33"/>
        <v>0</v>
      </c>
      <c r="J76" s="39">
        <f>-'[38]Budget 2022'!CC51</f>
        <v>0</v>
      </c>
      <c r="K76" s="39">
        <f>-'[38]Budget 2022'!CD51</f>
        <v>0</v>
      </c>
      <c r="L76" s="39">
        <f>-'[38]Budget 2022'!CE51</f>
        <v>0</v>
      </c>
      <c r="M76" s="39">
        <f t="shared" si="34"/>
        <v>0</v>
      </c>
      <c r="N76" s="39">
        <f>-'[38]Budget 2022'!CG51</f>
        <v>0</v>
      </c>
      <c r="O76" s="39">
        <f>-'[38]Budget 2022'!CH51</f>
        <v>0</v>
      </c>
      <c r="P76" s="39">
        <f>-'[38]Budget 2022'!CI51</f>
        <v>0</v>
      </c>
      <c r="Q76" s="39">
        <f t="shared" si="35"/>
        <v>0</v>
      </c>
      <c r="R76" s="39">
        <f t="shared" si="40"/>
        <v>0</v>
      </c>
    </row>
    <row r="77" spans="1:19" ht="18" hidden="1" outlineLevel="1">
      <c r="A77" s="38" t="s">
        <v>206</v>
      </c>
      <c r="B77" s="39">
        <f>-'[38]Budget 2022'!BU62</f>
        <v>0</v>
      </c>
      <c r="C77" s="39">
        <f>-'[38]Budget 2022'!BV62</f>
        <v>0</v>
      </c>
      <c r="D77" s="39">
        <f>-'[38]Budget 2022'!BW62</f>
        <v>0</v>
      </c>
      <c r="E77" s="39">
        <f t="shared" si="32"/>
        <v>0</v>
      </c>
      <c r="F77" s="39">
        <f>-'[38]Budget 2022'!BY62</f>
        <v>0</v>
      </c>
      <c r="G77" s="39">
        <f>-'[38]Budget 2022'!BZ62</f>
        <v>0</v>
      </c>
      <c r="H77" s="39">
        <f>-'[38]Budget 2022'!CA62</f>
        <v>0</v>
      </c>
      <c r="I77" s="39">
        <f t="shared" si="33"/>
        <v>0</v>
      </c>
      <c r="J77" s="39">
        <f>-'[38]Budget 2022'!CC62</f>
        <v>0</v>
      </c>
      <c r="K77" s="39">
        <f>-'[38]Budget 2022'!CD62</f>
        <v>0</v>
      </c>
      <c r="L77" s="39">
        <f>-'[38]Budget 2022'!CE62</f>
        <v>0</v>
      </c>
      <c r="M77" s="39">
        <f t="shared" si="34"/>
        <v>0</v>
      </c>
      <c r="N77" s="39">
        <f>-'[38]Budget 2022'!CG62</f>
        <v>0</v>
      </c>
      <c r="O77" s="39">
        <f>-'[38]Budget 2022'!CH62</f>
        <v>0</v>
      </c>
      <c r="P77" s="39">
        <f>-'[38]Budget 2022'!CI62</f>
        <v>0</v>
      </c>
      <c r="Q77" s="39">
        <f t="shared" si="35"/>
        <v>0</v>
      </c>
      <c r="R77" s="39">
        <f t="shared" si="40"/>
        <v>0</v>
      </c>
    </row>
    <row r="78" spans="1:19" ht="18" hidden="1" outlineLevel="1">
      <c r="A78" s="38" t="s">
        <v>207</v>
      </c>
      <c r="B78" s="39">
        <f>-'[38]Budget 2022'!BU64</f>
        <v>0</v>
      </c>
      <c r="C78" s="39">
        <f>-'[38]Budget 2022'!BV64</f>
        <v>0</v>
      </c>
      <c r="D78" s="39">
        <f>-'[38]Budget 2022'!BW64</f>
        <v>0</v>
      </c>
      <c r="E78" s="39">
        <f t="shared" si="32"/>
        <v>0</v>
      </c>
      <c r="F78" s="39">
        <f>-'[38]Budget 2022'!BY64</f>
        <v>0</v>
      </c>
      <c r="G78" s="39">
        <f>-'[38]Budget 2022'!BZ64</f>
        <v>0</v>
      </c>
      <c r="H78" s="39">
        <f>-'[38]Budget 2022'!CA64</f>
        <v>0</v>
      </c>
      <c r="I78" s="39">
        <f t="shared" si="33"/>
        <v>0</v>
      </c>
      <c r="J78" s="39">
        <f>-'[38]Budget 2022'!CC64</f>
        <v>0</v>
      </c>
      <c r="K78" s="39">
        <f>-'[38]Budget 2022'!CD64</f>
        <v>0</v>
      </c>
      <c r="L78" s="39">
        <f>-'[38]Budget 2022'!CE64</f>
        <v>0</v>
      </c>
      <c r="M78" s="39">
        <f t="shared" si="34"/>
        <v>0</v>
      </c>
      <c r="N78" s="39">
        <f>-'[38]Budget 2022'!CG64</f>
        <v>0</v>
      </c>
      <c r="O78" s="39">
        <f>-'[38]Budget 2022'!CH64</f>
        <v>0</v>
      </c>
      <c r="P78" s="39">
        <f>-'[38]Budget 2022'!CI64</f>
        <v>0</v>
      </c>
      <c r="Q78" s="39">
        <f t="shared" si="35"/>
        <v>0</v>
      </c>
      <c r="R78" s="39">
        <f t="shared" si="40"/>
        <v>0</v>
      </c>
    </row>
    <row r="79" spans="1:19" ht="18" hidden="1" outlineLevel="1">
      <c r="A79" s="38" t="s">
        <v>208</v>
      </c>
      <c r="B79" s="39">
        <f>-'[38]Budget 2022'!BU75</f>
        <v>0</v>
      </c>
      <c r="C79" s="39">
        <f>-'[38]Budget 2022'!BV75</f>
        <v>0</v>
      </c>
      <c r="D79" s="39">
        <f>-'[38]Budget 2022'!BW75</f>
        <v>0</v>
      </c>
      <c r="E79" s="39">
        <f t="shared" si="32"/>
        <v>0</v>
      </c>
      <c r="F79" s="39">
        <f>-'[38]Budget 2022'!BY75</f>
        <v>0</v>
      </c>
      <c r="G79" s="39">
        <f>-'[38]Budget 2022'!BZ75</f>
        <v>0</v>
      </c>
      <c r="H79" s="39">
        <f>-'[38]Budget 2022'!CA75</f>
        <v>0</v>
      </c>
      <c r="I79" s="39">
        <f t="shared" si="33"/>
        <v>0</v>
      </c>
      <c r="J79" s="39">
        <f>-'[38]Budget 2022'!CC75</f>
        <v>0</v>
      </c>
      <c r="K79" s="39">
        <f>-'[38]Budget 2022'!CD75</f>
        <v>0</v>
      </c>
      <c r="L79" s="39">
        <f>-'[38]Budget 2022'!CE75</f>
        <v>0</v>
      </c>
      <c r="M79" s="39">
        <f t="shared" si="34"/>
        <v>0</v>
      </c>
      <c r="N79" s="39">
        <f>-'[38]Budget 2022'!CG75</f>
        <v>0</v>
      </c>
      <c r="O79" s="39">
        <f>-'[38]Budget 2022'!CH75</f>
        <v>0</v>
      </c>
      <c r="P79" s="39">
        <f>-'[38]Budget 2022'!CI75</f>
        <v>0</v>
      </c>
      <c r="Q79" s="39">
        <f t="shared" si="35"/>
        <v>0</v>
      </c>
      <c r="R79" s="39">
        <f t="shared" si="40"/>
        <v>0</v>
      </c>
    </row>
    <row r="80" spans="1:19" s="35" customFormat="1" ht="31.2" collapsed="1">
      <c r="A80" s="31" t="s">
        <v>215</v>
      </c>
      <c r="B80" s="32">
        <f>SUM(B81,B84)</f>
        <v>2016666.67</v>
      </c>
      <c r="C80" s="32">
        <f>SUM(C81,C84)</f>
        <v>1678287.47</v>
      </c>
      <c r="D80" s="32">
        <f>SUM(D81,D84)</f>
        <v>1610611.63</v>
      </c>
      <c r="E80" s="32">
        <f t="shared" si="32"/>
        <v>5305565.7699999996</v>
      </c>
      <c r="F80" s="32">
        <f>SUM(F81,F84)</f>
        <v>1610611.63</v>
      </c>
      <c r="G80" s="32">
        <f>SUM(G81,G84)</f>
        <v>1610611.63</v>
      </c>
      <c r="H80" s="32">
        <f>SUM(H81,H84)</f>
        <v>1642935.79</v>
      </c>
      <c r="I80" s="32">
        <f t="shared" si="33"/>
        <v>4864159.05</v>
      </c>
      <c r="J80" s="32">
        <f>SUM(J81,J84)</f>
        <v>976269.12</v>
      </c>
      <c r="K80" s="32">
        <f>SUM(K81,K84)</f>
        <v>976269.12</v>
      </c>
      <c r="L80" s="32">
        <f>SUM(L81,L84)</f>
        <v>976269.12</v>
      </c>
      <c r="M80" s="32">
        <f t="shared" si="34"/>
        <v>2928807.36</v>
      </c>
      <c r="N80" s="32">
        <f>SUM(N81,N84)</f>
        <v>907522.87</v>
      </c>
      <c r="O80" s="32">
        <f>SUM(O81,O84)</f>
        <v>846972.48</v>
      </c>
      <c r="P80" s="32">
        <f>SUM(P81,P84)</f>
        <v>846972.48</v>
      </c>
      <c r="Q80" s="32">
        <f t="shared" si="35"/>
        <v>2601467.83</v>
      </c>
      <c r="R80" s="33">
        <f>SUM(R81,R84)</f>
        <v>15700000.01</v>
      </c>
    </row>
    <row r="81" spans="1:18" ht="18" hidden="1" outlineLevel="1">
      <c r="A81" s="36" t="s">
        <v>197</v>
      </c>
      <c r="B81" s="42">
        <f>SUM(B82:B83)</f>
        <v>2016666.67</v>
      </c>
      <c r="C81" s="42">
        <f>SUM(C82:C83)</f>
        <v>1678287.47</v>
      </c>
      <c r="D81" s="42">
        <f>SUM(D82:D83)</f>
        <v>1610611.63</v>
      </c>
      <c r="E81" s="42">
        <f t="shared" si="8"/>
        <v>5305565.7699999996</v>
      </c>
      <c r="F81" s="42">
        <f>SUM(F82:F83)</f>
        <v>1610611.63</v>
      </c>
      <c r="G81" s="42">
        <f>SUM(G82:G83)</f>
        <v>1610611.63</v>
      </c>
      <c r="H81" s="42">
        <f>SUM(H82:H83)</f>
        <v>1642935.79</v>
      </c>
      <c r="I81" s="42">
        <f t="shared" si="9"/>
        <v>4864159.05</v>
      </c>
      <c r="J81" s="42">
        <f>SUM(J82:J83)</f>
        <v>976269.12</v>
      </c>
      <c r="K81" s="42">
        <f>SUM(K82:K83)</f>
        <v>976269.12</v>
      </c>
      <c r="L81" s="42">
        <f>SUM(L82:L83)</f>
        <v>976269.12</v>
      </c>
      <c r="M81" s="42">
        <f t="shared" si="10"/>
        <v>2928807.36</v>
      </c>
      <c r="N81" s="42">
        <f>SUM(N82:N83)</f>
        <v>907522.87</v>
      </c>
      <c r="O81" s="42">
        <f>SUM(O82:O83)</f>
        <v>846972.48</v>
      </c>
      <c r="P81" s="42">
        <f>SUM(P82:P83)</f>
        <v>846972.48</v>
      </c>
      <c r="Q81" s="42">
        <f t="shared" si="11"/>
        <v>2601467.83</v>
      </c>
      <c r="R81" s="42">
        <f>SUM(R82:R83)</f>
        <v>15700000.01</v>
      </c>
    </row>
    <row r="82" spans="1:18" ht="18" hidden="1" outlineLevel="1">
      <c r="A82" s="38" t="s">
        <v>198</v>
      </c>
      <c r="B82" s="39">
        <f>-'[38]Budget 2022'!DC7</f>
        <v>1266666.67</v>
      </c>
      <c r="C82" s="39">
        <f>-'[38]Budget 2022'!DD7</f>
        <v>928287.47</v>
      </c>
      <c r="D82" s="39">
        <f>-'[38]Budget 2022'!DE7</f>
        <v>860611.63</v>
      </c>
      <c r="E82" s="39">
        <f t="shared" si="8"/>
        <v>3055565.7699999996</v>
      </c>
      <c r="F82" s="39">
        <f>-'[38]Budget 2022'!DG7</f>
        <v>860611.63</v>
      </c>
      <c r="G82" s="39">
        <f>-'[38]Budget 2022'!DH7</f>
        <v>860611.63</v>
      </c>
      <c r="H82" s="39">
        <f>-'[38]Budget 2022'!DI7</f>
        <v>892935.79</v>
      </c>
      <c r="I82" s="39">
        <f t="shared" si="9"/>
        <v>2614159.0499999998</v>
      </c>
      <c r="J82" s="39">
        <f>-'[38]Budget 2022'!DK7</f>
        <v>226269.12</v>
      </c>
      <c r="K82" s="39">
        <f>-'[38]Budget 2022'!DL7</f>
        <v>226269.12</v>
      </c>
      <c r="L82" s="39">
        <f>-'[38]Budget 2022'!DM7</f>
        <v>226269.12</v>
      </c>
      <c r="M82" s="39">
        <f t="shared" si="10"/>
        <v>678807.36</v>
      </c>
      <c r="N82" s="39">
        <f>-'[38]Budget 2022'!DO7</f>
        <v>157522.87</v>
      </c>
      <c r="O82" s="39">
        <f>-'[38]Budget 2022'!DP7</f>
        <v>96972.479999999996</v>
      </c>
      <c r="P82" s="39">
        <f>-'[38]Budget 2022'!DQ7</f>
        <v>96972.479999999996</v>
      </c>
      <c r="Q82" s="39">
        <f t="shared" si="11"/>
        <v>351467.82999999996</v>
      </c>
      <c r="R82" s="39">
        <f t="shared" ref="R82:R92" si="41">SUM(E82,I82,M82,Q82)</f>
        <v>6700000.0099999998</v>
      </c>
    </row>
    <row r="83" spans="1:18" ht="18" hidden="1" outlineLevel="1">
      <c r="A83" s="38" t="s">
        <v>199</v>
      </c>
      <c r="B83" s="39">
        <f>-'[38]Budget 2022'!DC17</f>
        <v>750000</v>
      </c>
      <c r="C83" s="39">
        <f>-'[38]Budget 2022'!DD17</f>
        <v>750000</v>
      </c>
      <c r="D83" s="39">
        <f>-'[38]Budget 2022'!DE17</f>
        <v>750000</v>
      </c>
      <c r="E83" s="39">
        <f>SUM(B83:D83)</f>
        <v>2250000</v>
      </c>
      <c r="F83" s="39">
        <f>-'[38]Budget 2022'!DG17</f>
        <v>750000</v>
      </c>
      <c r="G83" s="39">
        <f>-'[38]Budget 2022'!DH17</f>
        <v>750000</v>
      </c>
      <c r="H83" s="39">
        <f>-'[38]Budget 2022'!DI17</f>
        <v>750000</v>
      </c>
      <c r="I83" s="39">
        <f t="shared" si="9"/>
        <v>2250000</v>
      </c>
      <c r="J83" s="39">
        <f>-'[38]Budget 2022'!DK17</f>
        <v>750000</v>
      </c>
      <c r="K83" s="39">
        <f>-'[38]Budget 2022'!DL17</f>
        <v>750000</v>
      </c>
      <c r="L83" s="39">
        <f>-'[38]Budget 2022'!DM17</f>
        <v>750000</v>
      </c>
      <c r="M83" s="39">
        <f t="shared" si="10"/>
        <v>2250000</v>
      </c>
      <c r="N83" s="39">
        <f>-'[38]Budget 2022'!DO17</f>
        <v>750000</v>
      </c>
      <c r="O83" s="39">
        <f>-'[38]Budget 2022'!DP17</f>
        <v>750000</v>
      </c>
      <c r="P83" s="39">
        <f>-'[38]Budget 2022'!DQ17</f>
        <v>750000</v>
      </c>
      <c r="Q83" s="39">
        <f t="shared" si="11"/>
        <v>2250000</v>
      </c>
      <c r="R83" s="39">
        <f t="shared" si="41"/>
        <v>9000000</v>
      </c>
    </row>
    <row r="84" spans="1:18" ht="18" hidden="1" outlineLevel="1">
      <c r="A84" s="36" t="s">
        <v>200</v>
      </c>
      <c r="B84" s="42">
        <f>SUM(B85:B92)</f>
        <v>0</v>
      </c>
      <c r="C84" s="42">
        <f>SUM(C85:C92)</f>
        <v>0</v>
      </c>
      <c r="D84" s="42">
        <f>SUM(D85:D92)</f>
        <v>0</v>
      </c>
      <c r="E84" s="42">
        <f t="shared" si="8"/>
        <v>0</v>
      </c>
      <c r="F84" s="42">
        <f>SUM(F85:F92)</f>
        <v>0</v>
      </c>
      <c r="G84" s="42">
        <f>SUM(G85:G92)</f>
        <v>0</v>
      </c>
      <c r="H84" s="42">
        <f>SUM(H85:H92)</f>
        <v>0</v>
      </c>
      <c r="I84" s="42">
        <f t="shared" si="9"/>
        <v>0</v>
      </c>
      <c r="J84" s="42">
        <f>SUM(J85:J92)</f>
        <v>0</v>
      </c>
      <c r="K84" s="42">
        <f>SUM(K85:K92)</f>
        <v>0</v>
      </c>
      <c r="L84" s="42">
        <f>SUM(L85:L92)</f>
        <v>0</v>
      </c>
      <c r="M84" s="42">
        <f t="shared" si="10"/>
        <v>0</v>
      </c>
      <c r="N84" s="42">
        <f>SUM(N85:N92)</f>
        <v>0</v>
      </c>
      <c r="O84" s="42">
        <f>SUM(O85:O92)</f>
        <v>0</v>
      </c>
      <c r="P84" s="42">
        <f>SUM(P85:P92)</f>
        <v>0</v>
      </c>
      <c r="Q84" s="42">
        <f t="shared" si="11"/>
        <v>0</v>
      </c>
      <c r="R84" s="42">
        <f>SUM(R85:R92)</f>
        <v>0</v>
      </c>
    </row>
    <row r="85" spans="1:18" ht="18" hidden="1" outlineLevel="1">
      <c r="A85" s="38" t="s">
        <v>201</v>
      </c>
      <c r="B85" s="39">
        <f>-'[38]Budget 2022'!DC25</f>
        <v>0</v>
      </c>
      <c r="C85" s="39">
        <f>-'[38]Budget 2022'!DD25</f>
        <v>0</v>
      </c>
      <c r="D85" s="39">
        <f>-'[38]Budget 2022'!DE25</f>
        <v>0</v>
      </c>
      <c r="E85" s="39">
        <f t="shared" si="8"/>
        <v>0</v>
      </c>
      <c r="F85" s="39">
        <f>-'[38]Budget 2022'!DG25</f>
        <v>0</v>
      </c>
      <c r="G85" s="39">
        <f>-'[38]Budget 2022'!DH25</f>
        <v>0</v>
      </c>
      <c r="H85" s="39">
        <f>-'[38]Budget 2022'!DI25</f>
        <v>0</v>
      </c>
      <c r="I85" s="39">
        <f t="shared" si="9"/>
        <v>0</v>
      </c>
      <c r="J85" s="39">
        <f>-'[38]Budget 2022'!DK25</f>
        <v>0</v>
      </c>
      <c r="K85" s="39">
        <f>-'[38]Budget 2022'!DL25</f>
        <v>0</v>
      </c>
      <c r="L85" s="39">
        <f>-'[38]Budget 2022'!DM25</f>
        <v>0</v>
      </c>
      <c r="M85" s="39">
        <f t="shared" si="10"/>
        <v>0</v>
      </c>
      <c r="N85" s="39">
        <f>-'[38]Budget 2022'!DO25</f>
        <v>0</v>
      </c>
      <c r="O85" s="39">
        <f>-'[38]Budget 2022'!DP25</f>
        <v>0</v>
      </c>
      <c r="P85" s="39">
        <f>-'[38]Budget 2022'!DQ25</f>
        <v>0</v>
      </c>
      <c r="Q85" s="39">
        <f t="shared" si="11"/>
        <v>0</v>
      </c>
      <c r="R85" s="39">
        <f t="shared" si="41"/>
        <v>0</v>
      </c>
    </row>
    <row r="86" spans="1:18" ht="18" hidden="1" outlineLevel="1">
      <c r="A86" s="38" t="s">
        <v>202</v>
      </c>
      <c r="B86" s="39">
        <f>-'[38]Budget 2022'!DC31</f>
        <v>0</v>
      </c>
      <c r="C86" s="39">
        <f>-'[38]Budget 2022'!DD31</f>
        <v>0</v>
      </c>
      <c r="D86" s="39">
        <f>-'[38]Budget 2022'!DE31</f>
        <v>0</v>
      </c>
      <c r="E86" s="39">
        <f t="shared" si="8"/>
        <v>0</v>
      </c>
      <c r="F86" s="39">
        <f>-'[38]Budget 2022'!DG31</f>
        <v>0</v>
      </c>
      <c r="G86" s="39">
        <f>-'[38]Budget 2022'!DH31</f>
        <v>0</v>
      </c>
      <c r="H86" s="39">
        <f>-'[38]Budget 2022'!DI31</f>
        <v>0</v>
      </c>
      <c r="I86" s="39">
        <f t="shared" si="9"/>
        <v>0</v>
      </c>
      <c r="J86" s="39">
        <f>-'[38]Budget 2022'!DK31</f>
        <v>0</v>
      </c>
      <c r="K86" s="39">
        <f>-'[38]Budget 2022'!DL31</f>
        <v>0</v>
      </c>
      <c r="L86" s="39">
        <f>-'[38]Budget 2022'!DM31</f>
        <v>0</v>
      </c>
      <c r="M86" s="39">
        <f t="shared" si="10"/>
        <v>0</v>
      </c>
      <c r="N86" s="39">
        <f>-'[38]Budget 2022'!DO31</f>
        <v>0</v>
      </c>
      <c r="O86" s="39">
        <f>-'[38]Budget 2022'!DP31</f>
        <v>0</v>
      </c>
      <c r="P86" s="39">
        <f>-'[38]Budget 2022'!DQ31</f>
        <v>0</v>
      </c>
      <c r="Q86" s="39">
        <f t="shared" si="11"/>
        <v>0</v>
      </c>
      <c r="R86" s="39">
        <f t="shared" si="41"/>
        <v>0</v>
      </c>
    </row>
    <row r="87" spans="1:18" ht="18" hidden="1" outlineLevel="1">
      <c r="A87" s="38" t="s">
        <v>203</v>
      </c>
      <c r="B87" s="39">
        <f>-'[38]Budget 2022'!DC38</f>
        <v>0</v>
      </c>
      <c r="C87" s="39">
        <f>-'[38]Budget 2022'!DD38</f>
        <v>0</v>
      </c>
      <c r="D87" s="39">
        <f>-'[38]Budget 2022'!DE38</f>
        <v>0</v>
      </c>
      <c r="E87" s="39">
        <f t="shared" si="8"/>
        <v>0</v>
      </c>
      <c r="F87" s="39">
        <f>-'[38]Budget 2022'!DG38</f>
        <v>0</v>
      </c>
      <c r="G87" s="39">
        <f>-'[38]Budget 2022'!DH38</f>
        <v>0</v>
      </c>
      <c r="H87" s="39">
        <f>-'[38]Budget 2022'!DI38</f>
        <v>0</v>
      </c>
      <c r="I87" s="39">
        <f t="shared" si="9"/>
        <v>0</v>
      </c>
      <c r="J87" s="39">
        <f>-'[38]Budget 2022'!DK38</f>
        <v>0</v>
      </c>
      <c r="K87" s="39">
        <f>-'[38]Budget 2022'!DL38</f>
        <v>0</v>
      </c>
      <c r="L87" s="39">
        <f>-'[38]Budget 2022'!DM38</f>
        <v>0</v>
      </c>
      <c r="M87" s="39">
        <f t="shared" si="10"/>
        <v>0</v>
      </c>
      <c r="N87" s="39">
        <f>-'[38]Budget 2022'!DO38</f>
        <v>0</v>
      </c>
      <c r="O87" s="39">
        <f>-'[38]Budget 2022'!DP38</f>
        <v>0</v>
      </c>
      <c r="P87" s="39">
        <f>-'[38]Budget 2022'!DQ38</f>
        <v>0</v>
      </c>
      <c r="Q87" s="39">
        <f t="shared" si="11"/>
        <v>0</v>
      </c>
      <c r="R87" s="39">
        <f t="shared" si="41"/>
        <v>0</v>
      </c>
    </row>
    <row r="88" spans="1:18" ht="18" hidden="1" outlineLevel="1">
      <c r="A88" s="38" t="s">
        <v>204</v>
      </c>
      <c r="B88" s="39">
        <f>-'[38]Budget 2022'!DC49</f>
        <v>0</v>
      </c>
      <c r="C88" s="39">
        <f>-'[38]Budget 2022'!DD49</f>
        <v>0</v>
      </c>
      <c r="D88" s="39">
        <f>-'[38]Budget 2022'!DE49</f>
        <v>0</v>
      </c>
      <c r="E88" s="39">
        <f t="shared" si="8"/>
        <v>0</v>
      </c>
      <c r="F88" s="39">
        <f>-'[38]Budget 2022'!DG49</f>
        <v>0</v>
      </c>
      <c r="G88" s="39">
        <f>-'[38]Budget 2022'!DH49</f>
        <v>0</v>
      </c>
      <c r="H88" s="39">
        <f>-'[38]Budget 2022'!DI49</f>
        <v>0</v>
      </c>
      <c r="I88" s="39">
        <f t="shared" si="9"/>
        <v>0</v>
      </c>
      <c r="J88" s="39">
        <f>-'[38]Budget 2022'!DK49</f>
        <v>0</v>
      </c>
      <c r="K88" s="39">
        <f>-'[38]Budget 2022'!DL49</f>
        <v>0</v>
      </c>
      <c r="L88" s="39">
        <f>-'[38]Budget 2022'!DM49</f>
        <v>0</v>
      </c>
      <c r="M88" s="39">
        <f t="shared" si="10"/>
        <v>0</v>
      </c>
      <c r="N88" s="39">
        <f>-'[38]Budget 2022'!DO49</f>
        <v>0</v>
      </c>
      <c r="O88" s="39">
        <f>-'[38]Budget 2022'!DP49</f>
        <v>0</v>
      </c>
      <c r="P88" s="39">
        <f>-'[38]Budget 2022'!DQ49</f>
        <v>0</v>
      </c>
      <c r="Q88" s="39">
        <f t="shared" si="11"/>
        <v>0</v>
      </c>
      <c r="R88" s="39">
        <f t="shared" si="41"/>
        <v>0</v>
      </c>
    </row>
    <row r="89" spans="1:18" ht="18" hidden="1" outlineLevel="1">
      <c r="A89" s="38" t="s">
        <v>205</v>
      </c>
      <c r="B89" s="39">
        <f>-'[38]Budget 2022'!DC51</f>
        <v>0</v>
      </c>
      <c r="C89" s="39">
        <f>-'[38]Budget 2022'!DD51</f>
        <v>0</v>
      </c>
      <c r="D89" s="39">
        <f>-'[38]Budget 2022'!DE51</f>
        <v>0</v>
      </c>
      <c r="E89" s="39">
        <f t="shared" si="8"/>
        <v>0</v>
      </c>
      <c r="F89" s="39">
        <f>-'[38]Budget 2022'!DG51</f>
        <v>0</v>
      </c>
      <c r="G89" s="39">
        <f>-'[38]Budget 2022'!DH51</f>
        <v>0</v>
      </c>
      <c r="H89" s="39">
        <f>-'[38]Budget 2022'!DI51</f>
        <v>0</v>
      </c>
      <c r="I89" s="39">
        <f t="shared" si="9"/>
        <v>0</v>
      </c>
      <c r="J89" s="39">
        <f>-'[38]Budget 2022'!DK51</f>
        <v>0</v>
      </c>
      <c r="K89" s="39">
        <f>-'[38]Budget 2022'!DL51</f>
        <v>0</v>
      </c>
      <c r="L89" s="39">
        <f>-'[38]Budget 2022'!DM51</f>
        <v>0</v>
      </c>
      <c r="M89" s="39">
        <f t="shared" si="10"/>
        <v>0</v>
      </c>
      <c r="N89" s="39">
        <f>-'[38]Budget 2022'!DO51</f>
        <v>0</v>
      </c>
      <c r="O89" s="39">
        <f>-'[38]Budget 2022'!DP51</f>
        <v>0</v>
      </c>
      <c r="P89" s="39">
        <f>-'[38]Budget 2022'!DQ51</f>
        <v>0</v>
      </c>
      <c r="Q89" s="39">
        <f t="shared" si="11"/>
        <v>0</v>
      </c>
      <c r="R89" s="39">
        <f t="shared" si="41"/>
        <v>0</v>
      </c>
    </row>
    <row r="90" spans="1:18" ht="18" hidden="1" outlineLevel="1">
      <c r="A90" s="38" t="s">
        <v>206</v>
      </c>
      <c r="B90" s="39">
        <f>-'[38]Budget 2022'!DC62</f>
        <v>0</v>
      </c>
      <c r="C90" s="39">
        <f>-'[38]Budget 2022'!DD62</f>
        <v>0</v>
      </c>
      <c r="D90" s="39">
        <f>-'[38]Budget 2022'!DE62</f>
        <v>0</v>
      </c>
      <c r="E90" s="39">
        <f t="shared" si="8"/>
        <v>0</v>
      </c>
      <c r="F90" s="39">
        <f>-'[38]Budget 2022'!DG62</f>
        <v>0</v>
      </c>
      <c r="G90" s="39">
        <f>-'[38]Budget 2022'!DH62</f>
        <v>0</v>
      </c>
      <c r="H90" s="39">
        <f>-'[38]Budget 2022'!DI62</f>
        <v>0</v>
      </c>
      <c r="I90" s="39">
        <f t="shared" si="9"/>
        <v>0</v>
      </c>
      <c r="J90" s="39">
        <f>-'[38]Budget 2022'!DK62</f>
        <v>0</v>
      </c>
      <c r="K90" s="39">
        <f>-'[38]Budget 2022'!DL62</f>
        <v>0</v>
      </c>
      <c r="L90" s="39">
        <f>-'[38]Budget 2022'!DM62</f>
        <v>0</v>
      </c>
      <c r="M90" s="39">
        <f t="shared" si="10"/>
        <v>0</v>
      </c>
      <c r="N90" s="39">
        <f>-'[38]Budget 2022'!DO62</f>
        <v>0</v>
      </c>
      <c r="O90" s="39">
        <f>-'[38]Budget 2022'!DP62</f>
        <v>0</v>
      </c>
      <c r="P90" s="39">
        <f>-'[38]Budget 2022'!DQ62</f>
        <v>0</v>
      </c>
      <c r="Q90" s="39">
        <f t="shared" si="11"/>
        <v>0</v>
      </c>
      <c r="R90" s="39">
        <f t="shared" si="41"/>
        <v>0</v>
      </c>
    </row>
    <row r="91" spans="1:18" ht="18" hidden="1" outlineLevel="1">
      <c r="A91" s="38" t="s">
        <v>207</v>
      </c>
      <c r="B91" s="39">
        <f>-'[38]Budget 2022'!DC64</f>
        <v>0</v>
      </c>
      <c r="C91" s="39">
        <f>-'[38]Budget 2022'!DD64</f>
        <v>0</v>
      </c>
      <c r="D91" s="39">
        <f>-'[38]Budget 2022'!DE64</f>
        <v>0</v>
      </c>
      <c r="E91" s="39">
        <f t="shared" si="8"/>
        <v>0</v>
      </c>
      <c r="F91" s="39">
        <f>-'[38]Budget 2022'!DG64</f>
        <v>0</v>
      </c>
      <c r="G91" s="39">
        <f>-'[38]Budget 2022'!DH64</f>
        <v>0</v>
      </c>
      <c r="H91" s="39">
        <f>-'[38]Budget 2022'!DI64</f>
        <v>0</v>
      </c>
      <c r="I91" s="39">
        <f t="shared" si="9"/>
        <v>0</v>
      </c>
      <c r="J91" s="39">
        <f>-'[38]Budget 2022'!DK64</f>
        <v>0</v>
      </c>
      <c r="K91" s="39">
        <f>-'[38]Budget 2022'!DL64</f>
        <v>0</v>
      </c>
      <c r="L91" s="39">
        <f>-'[38]Budget 2022'!DM64</f>
        <v>0</v>
      </c>
      <c r="M91" s="39">
        <f t="shared" si="10"/>
        <v>0</v>
      </c>
      <c r="N91" s="39">
        <f>-'[38]Budget 2022'!DO64</f>
        <v>0</v>
      </c>
      <c r="O91" s="39">
        <f>-'[38]Budget 2022'!DP64</f>
        <v>0</v>
      </c>
      <c r="P91" s="39">
        <f>-'[38]Budget 2022'!DQ64</f>
        <v>0</v>
      </c>
      <c r="Q91" s="39">
        <f t="shared" si="11"/>
        <v>0</v>
      </c>
      <c r="R91" s="39">
        <f t="shared" si="41"/>
        <v>0</v>
      </c>
    </row>
    <row r="92" spans="1:18" ht="18" hidden="1" outlineLevel="1">
      <c r="A92" s="38" t="s">
        <v>208</v>
      </c>
      <c r="B92" s="39">
        <f>-'[38]Budget 2022'!DC75</f>
        <v>0</v>
      </c>
      <c r="C92" s="39">
        <f>-'[38]Budget 2022'!DD75</f>
        <v>0</v>
      </c>
      <c r="D92" s="39">
        <f>-'[38]Budget 2022'!DE75</f>
        <v>0</v>
      </c>
      <c r="E92" s="39">
        <f t="shared" si="8"/>
        <v>0</v>
      </c>
      <c r="F92" s="39">
        <f>-'[38]Budget 2022'!DG75</f>
        <v>0</v>
      </c>
      <c r="G92" s="39">
        <f>-'[38]Budget 2022'!DH75</f>
        <v>0</v>
      </c>
      <c r="H92" s="39">
        <f>-'[38]Budget 2022'!DI75</f>
        <v>0</v>
      </c>
      <c r="I92" s="39">
        <f t="shared" si="9"/>
        <v>0</v>
      </c>
      <c r="J92" s="39">
        <f>-'[38]Budget 2022'!DK75</f>
        <v>0</v>
      </c>
      <c r="K92" s="39">
        <f>-'[38]Budget 2022'!DL75</f>
        <v>0</v>
      </c>
      <c r="L92" s="39">
        <f>-'[38]Budget 2022'!DM75</f>
        <v>0</v>
      </c>
      <c r="M92" s="39">
        <f t="shared" si="10"/>
        <v>0</v>
      </c>
      <c r="N92" s="39">
        <f>-'[38]Budget 2022'!DO75</f>
        <v>0</v>
      </c>
      <c r="O92" s="39">
        <f>-'[38]Budget 2022'!DP75</f>
        <v>0</v>
      </c>
      <c r="P92" s="39">
        <f>-'[38]Budget 2022'!DQ75</f>
        <v>0</v>
      </c>
      <c r="Q92" s="39">
        <f t="shared" si="11"/>
        <v>0</v>
      </c>
      <c r="R92" s="39">
        <f t="shared" si="41"/>
        <v>0</v>
      </c>
    </row>
    <row r="93" spans="1:18" s="35" customFormat="1" ht="31.2" collapsed="1">
      <c r="A93" s="31" t="s">
        <v>216</v>
      </c>
      <c r="B93" s="32">
        <f>SUM(B94,B97)</f>
        <v>503125.29000000004</v>
      </c>
      <c r="C93" s="32">
        <f>SUM(C94,C97)</f>
        <v>503125.29000000004</v>
      </c>
      <c r="D93" s="32">
        <f>SUM(D94,D97)</f>
        <v>560674.29</v>
      </c>
      <c r="E93" s="32">
        <f t="shared" si="8"/>
        <v>1566924.87</v>
      </c>
      <c r="F93" s="32">
        <f>SUM(F94,F97)</f>
        <v>428559.38</v>
      </c>
      <c r="G93" s="32">
        <f>SUM(G94,G97)</f>
        <v>418559.35</v>
      </c>
      <c r="H93" s="32">
        <f>SUM(H94,H97)</f>
        <v>466108.35</v>
      </c>
      <c r="I93" s="32">
        <f t="shared" si="9"/>
        <v>1313227.08</v>
      </c>
      <c r="J93" s="32">
        <f>SUM(J94,J97)</f>
        <v>288582.34999999998</v>
      </c>
      <c r="K93" s="32">
        <f>SUM(K94,K97)</f>
        <v>288582.34999999998</v>
      </c>
      <c r="L93" s="32">
        <f>SUM(L94,L97)</f>
        <v>336131.35</v>
      </c>
      <c r="M93" s="32">
        <f t="shared" si="10"/>
        <v>913296.04999999993</v>
      </c>
      <c r="N93" s="32">
        <f>SUM(N94,N97)</f>
        <v>288582.34999999998</v>
      </c>
      <c r="O93" s="32">
        <f>SUM(O94,O97)</f>
        <v>288582.34999999998</v>
      </c>
      <c r="P93" s="32">
        <f>SUM(P94,P97)</f>
        <v>336131.35</v>
      </c>
      <c r="Q93" s="32">
        <f t="shared" si="11"/>
        <v>913296.04999999993</v>
      </c>
      <c r="R93" s="33">
        <f>SUM(R94,R97)</f>
        <v>4706744.05</v>
      </c>
    </row>
    <row r="94" spans="1:18" ht="18" hidden="1" outlineLevel="1">
      <c r="A94" s="36" t="s">
        <v>197</v>
      </c>
      <c r="B94" s="42">
        <f>SUM(B95:B96)</f>
        <v>301941.29000000004</v>
      </c>
      <c r="C94" s="42">
        <f>SUM(C95:C96)</f>
        <v>301941.29000000004</v>
      </c>
      <c r="D94" s="42">
        <f>SUM(D95:D96)</f>
        <v>311941.29000000004</v>
      </c>
      <c r="E94" s="42">
        <f t="shared" si="8"/>
        <v>915823.87000000011</v>
      </c>
      <c r="F94" s="42">
        <f>SUM(F95:F96)</f>
        <v>253457.38</v>
      </c>
      <c r="G94" s="42">
        <f>SUM(G95:G96)</f>
        <v>243457.35</v>
      </c>
      <c r="H94" s="42">
        <f>SUM(H95:H96)</f>
        <v>243457.35</v>
      </c>
      <c r="I94" s="42">
        <f t="shared" si="9"/>
        <v>740372.08</v>
      </c>
      <c r="J94" s="42">
        <f>SUM(J95:J96)</f>
        <v>233457.35</v>
      </c>
      <c r="K94" s="42">
        <f>SUM(K95:K96)</f>
        <v>233457.35</v>
      </c>
      <c r="L94" s="42">
        <f>SUM(L95:L96)</f>
        <v>233457.35</v>
      </c>
      <c r="M94" s="42">
        <f t="shared" si="10"/>
        <v>700372.05</v>
      </c>
      <c r="N94" s="42">
        <f>SUM(N95:N96)</f>
        <v>233457.35</v>
      </c>
      <c r="O94" s="42">
        <f>SUM(O95:O96)</f>
        <v>233457.35</v>
      </c>
      <c r="P94" s="42">
        <f>SUM(P95:P96)</f>
        <v>233457.35</v>
      </c>
      <c r="Q94" s="42">
        <f t="shared" si="11"/>
        <v>700372.05</v>
      </c>
      <c r="R94" s="42">
        <f>SUM(R95:R96)</f>
        <v>3056940.05</v>
      </c>
    </row>
    <row r="95" spans="1:18" ht="18" hidden="1" outlineLevel="1">
      <c r="A95" s="38" t="s">
        <v>198</v>
      </c>
      <c r="B95" s="39">
        <f>-'[38]Budget 2022'!DT7</f>
        <v>281941.30000000005</v>
      </c>
      <c r="C95" s="39">
        <f>-'[38]Budget 2022'!DU7</f>
        <v>281941.30000000005</v>
      </c>
      <c r="D95" s="39">
        <f>-'[38]Budget 2022'!DV7</f>
        <v>281941.30000000005</v>
      </c>
      <c r="E95" s="39">
        <f t="shared" si="8"/>
        <v>845823.90000000014</v>
      </c>
      <c r="F95" s="39">
        <f>-'[38]Budget 2022'!DX7</f>
        <v>223457.35</v>
      </c>
      <c r="G95" s="39">
        <f>-'[38]Budget 2022'!DY7</f>
        <v>223457.35</v>
      </c>
      <c r="H95" s="39">
        <f>-'[38]Budget 2022'!DZ7</f>
        <v>223457.35</v>
      </c>
      <c r="I95" s="39">
        <f t="shared" si="9"/>
        <v>670372.05000000005</v>
      </c>
      <c r="J95" s="39">
        <f>-'[38]Budget 2022'!EB7</f>
        <v>223457.35</v>
      </c>
      <c r="K95" s="39">
        <f>-'[38]Budget 2022'!EC7</f>
        <v>223457.35</v>
      </c>
      <c r="L95" s="39">
        <f>-'[38]Budget 2022'!ED7</f>
        <v>223457.35</v>
      </c>
      <c r="M95" s="39">
        <f t="shared" si="10"/>
        <v>670372.05000000005</v>
      </c>
      <c r="N95" s="39">
        <f>-'[38]Budget 2022'!EF7</f>
        <v>223457.35</v>
      </c>
      <c r="O95" s="39">
        <f>-'[38]Budget 2022'!EG7</f>
        <v>223457.35</v>
      </c>
      <c r="P95" s="39">
        <f>-'[38]Budget 2022'!EH7</f>
        <v>223457.35</v>
      </c>
      <c r="Q95" s="39">
        <f t="shared" si="11"/>
        <v>670372.05000000005</v>
      </c>
      <c r="R95" s="39">
        <f t="shared" ref="R95:R96" si="42">SUM(E95,I95,M95,Q95)</f>
        <v>2856940.05</v>
      </c>
    </row>
    <row r="96" spans="1:18" ht="18" hidden="1" outlineLevel="1">
      <c r="A96" s="38" t="s">
        <v>199</v>
      </c>
      <c r="B96" s="39">
        <f>-'[38]Budget 2022'!DT17</f>
        <v>19999.989999999998</v>
      </c>
      <c r="C96" s="39">
        <f>-'[38]Budget 2022'!DU17</f>
        <v>19999.989999999998</v>
      </c>
      <c r="D96" s="39">
        <f>-'[38]Budget 2022'!DV17</f>
        <v>29999.989999999998</v>
      </c>
      <c r="E96" s="39">
        <f>SUM(B96:D96)</f>
        <v>69999.97</v>
      </c>
      <c r="F96" s="39">
        <f>-'[38]Budget 2022'!DX17</f>
        <v>30000.030000000002</v>
      </c>
      <c r="G96" s="39">
        <f>-'[38]Budget 2022'!DY17</f>
        <v>20000</v>
      </c>
      <c r="H96" s="39">
        <f>-'[38]Budget 2022'!DZ17</f>
        <v>20000</v>
      </c>
      <c r="I96" s="39">
        <f t="shared" si="9"/>
        <v>70000.03</v>
      </c>
      <c r="J96" s="39">
        <f>-'[38]Budget 2022'!EB17</f>
        <v>10000</v>
      </c>
      <c r="K96" s="39">
        <f>-'[38]Budget 2022'!EC17</f>
        <v>10000</v>
      </c>
      <c r="L96" s="39">
        <f>-'[38]Budget 2022'!ED17</f>
        <v>10000</v>
      </c>
      <c r="M96" s="39">
        <f t="shared" si="10"/>
        <v>30000</v>
      </c>
      <c r="N96" s="39">
        <f>-'[38]Budget 2022'!EF17</f>
        <v>10000</v>
      </c>
      <c r="O96" s="39">
        <f>-'[38]Budget 2022'!EG17</f>
        <v>10000</v>
      </c>
      <c r="P96" s="39">
        <f>-'[38]Budget 2022'!EH17</f>
        <v>10000</v>
      </c>
      <c r="Q96" s="39">
        <f t="shared" si="11"/>
        <v>30000</v>
      </c>
      <c r="R96" s="39">
        <f t="shared" si="42"/>
        <v>200000</v>
      </c>
    </row>
    <row r="97" spans="1:19" ht="18" hidden="1" outlineLevel="1">
      <c r="A97" s="36" t="s">
        <v>200</v>
      </c>
      <c r="B97" s="42">
        <f>SUM(B98:B105)</f>
        <v>201184</v>
      </c>
      <c r="C97" s="42">
        <f>SUM(C98:C105)</f>
        <v>201184</v>
      </c>
      <c r="D97" s="42">
        <f>SUM(D98:D105)</f>
        <v>248733</v>
      </c>
      <c r="E97" s="42">
        <f t="shared" ref="E97:E105" si="43">SUM(B97:D97)</f>
        <v>651101</v>
      </c>
      <c r="F97" s="42">
        <f>SUM(F98:F105)</f>
        <v>175102</v>
      </c>
      <c r="G97" s="42">
        <f>SUM(G98:G105)</f>
        <v>175102</v>
      </c>
      <c r="H97" s="42">
        <f>SUM(H98:H105)</f>
        <v>222651</v>
      </c>
      <c r="I97" s="42">
        <f t="shared" si="9"/>
        <v>572855</v>
      </c>
      <c r="J97" s="42">
        <f>SUM(J98:J105)</f>
        <v>55125</v>
      </c>
      <c r="K97" s="42">
        <f>SUM(K98:K105)</f>
        <v>55125</v>
      </c>
      <c r="L97" s="42">
        <f>SUM(L98:L105)</f>
        <v>102674</v>
      </c>
      <c r="M97" s="42">
        <f t="shared" si="10"/>
        <v>212924</v>
      </c>
      <c r="N97" s="42">
        <f>SUM(N98:N105)</f>
        <v>55125</v>
      </c>
      <c r="O97" s="42">
        <f>SUM(O98:O105)</f>
        <v>55125</v>
      </c>
      <c r="P97" s="42">
        <f>SUM(P98:P105)</f>
        <v>102674</v>
      </c>
      <c r="Q97" s="42">
        <f t="shared" si="11"/>
        <v>212924</v>
      </c>
      <c r="R97" s="42">
        <f>SUM(R98:R105)</f>
        <v>1649804</v>
      </c>
    </row>
    <row r="98" spans="1:19" ht="18" hidden="1" outlineLevel="1">
      <c r="A98" s="38" t="s">
        <v>201</v>
      </c>
      <c r="B98" s="39">
        <f>-'[38]Budget 2022'!DT25</f>
        <v>146059</v>
      </c>
      <c r="C98" s="39">
        <f>-'[38]Budget 2022'!DU25</f>
        <v>146059</v>
      </c>
      <c r="D98" s="39">
        <f>-'[38]Budget 2022'!DV25</f>
        <v>193608</v>
      </c>
      <c r="E98" s="39">
        <f t="shared" si="43"/>
        <v>485726</v>
      </c>
      <c r="F98" s="39">
        <f>-'[38]Budget 2022'!DX25</f>
        <v>119977</v>
      </c>
      <c r="G98" s="39">
        <f>-'[38]Budget 2022'!DY25</f>
        <v>119977</v>
      </c>
      <c r="H98" s="39">
        <f>-'[38]Budget 2022'!DZ25</f>
        <v>167526</v>
      </c>
      <c r="I98" s="39">
        <f t="shared" si="9"/>
        <v>407480</v>
      </c>
      <c r="J98" s="39">
        <f>-'[38]Budget 2022'!EB25</f>
        <v>0</v>
      </c>
      <c r="K98" s="39">
        <f>-'[38]Budget 2022'!EC25</f>
        <v>0</v>
      </c>
      <c r="L98" s="39">
        <f>-'[38]Budget 2022'!ED25</f>
        <v>0</v>
      </c>
      <c r="M98" s="39">
        <f t="shared" si="10"/>
        <v>0</v>
      </c>
      <c r="N98" s="39">
        <f>-'[38]Budget 2022'!EF25</f>
        <v>0</v>
      </c>
      <c r="O98" s="39">
        <f>-'[38]Budget 2022'!EG25</f>
        <v>0</v>
      </c>
      <c r="P98" s="39">
        <f>-'[38]Budget 2022'!EH25</f>
        <v>0</v>
      </c>
      <c r="Q98" s="39">
        <f t="shared" si="11"/>
        <v>0</v>
      </c>
      <c r="R98" s="39">
        <f t="shared" ref="R98:R105" si="44">SUM(E98,I98,M98,Q98)</f>
        <v>893206</v>
      </c>
    </row>
    <row r="99" spans="1:19" ht="18" hidden="1" outlineLevel="1">
      <c r="A99" s="38" t="s">
        <v>202</v>
      </c>
      <c r="B99" s="39">
        <f>-'[38]Budget 2022'!DT31</f>
        <v>30000</v>
      </c>
      <c r="C99" s="39">
        <f>-'[38]Budget 2022'!DU31</f>
        <v>30000</v>
      </c>
      <c r="D99" s="39">
        <f>-'[38]Budget 2022'!DV31</f>
        <v>30000</v>
      </c>
      <c r="E99" s="39">
        <f t="shared" si="43"/>
        <v>90000</v>
      </c>
      <c r="F99" s="39">
        <f>-'[38]Budget 2022'!DX31</f>
        <v>30000</v>
      </c>
      <c r="G99" s="39">
        <f>-'[38]Budget 2022'!DY31</f>
        <v>30000</v>
      </c>
      <c r="H99" s="39">
        <f>-'[38]Budget 2022'!DZ31</f>
        <v>30000</v>
      </c>
      <c r="I99" s="39">
        <f t="shared" si="9"/>
        <v>90000</v>
      </c>
      <c r="J99" s="39">
        <f>-'[38]Budget 2022'!EB31</f>
        <v>30000</v>
      </c>
      <c r="K99" s="39">
        <f>-'[38]Budget 2022'!EC31</f>
        <v>30000</v>
      </c>
      <c r="L99" s="39">
        <f>-'[38]Budget 2022'!ED31</f>
        <v>77549</v>
      </c>
      <c r="M99" s="39">
        <f t="shared" si="10"/>
        <v>137549</v>
      </c>
      <c r="N99" s="39">
        <f>-'[38]Budget 2022'!EF31</f>
        <v>30000</v>
      </c>
      <c r="O99" s="39">
        <f>-'[38]Budget 2022'!EG31</f>
        <v>30000</v>
      </c>
      <c r="P99" s="39">
        <f>-'[38]Budget 2022'!EH31</f>
        <v>77549</v>
      </c>
      <c r="Q99" s="39">
        <f t="shared" si="11"/>
        <v>137549</v>
      </c>
      <c r="R99" s="39">
        <f t="shared" si="44"/>
        <v>455098</v>
      </c>
    </row>
    <row r="100" spans="1:19" ht="18" hidden="1" outlineLevel="1">
      <c r="A100" s="38" t="s">
        <v>203</v>
      </c>
      <c r="B100" s="39">
        <f>-'[38]Budget 2022'!DT38</f>
        <v>0</v>
      </c>
      <c r="C100" s="39">
        <f>-'[38]Budget 2022'!DU38</f>
        <v>0</v>
      </c>
      <c r="D100" s="39">
        <f>-'[38]Budget 2022'!DV38</f>
        <v>0</v>
      </c>
      <c r="E100" s="39">
        <f t="shared" si="43"/>
        <v>0</v>
      </c>
      <c r="F100" s="39">
        <f>-'[38]Budget 2022'!DX38</f>
        <v>0</v>
      </c>
      <c r="G100" s="39">
        <f>-'[38]Budget 2022'!DY38</f>
        <v>0</v>
      </c>
      <c r="H100" s="39">
        <f>-'[38]Budget 2022'!DZ38</f>
        <v>0</v>
      </c>
      <c r="I100" s="39">
        <f t="shared" si="9"/>
        <v>0</v>
      </c>
      <c r="J100" s="39">
        <f>-'[38]Budget 2022'!EB38</f>
        <v>0</v>
      </c>
      <c r="K100" s="39">
        <f>-'[38]Budget 2022'!EC38</f>
        <v>0</v>
      </c>
      <c r="L100" s="39">
        <f>-'[38]Budget 2022'!ED38</f>
        <v>0</v>
      </c>
      <c r="M100" s="39">
        <f t="shared" si="10"/>
        <v>0</v>
      </c>
      <c r="N100" s="39">
        <f>-'[38]Budget 2022'!EF38</f>
        <v>0</v>
      </c>
      <c r="O100" s="39">
        <f>-'[38]Budget 2022'!EG38</f>
        <v>0</v>
      </c>
      <c r="P100" s="39">
        <f>-'[38]Budget 2022'!EH38</f>
        <v>0</v>
      </c>
      <c r="Q100" s="39">
        <f t="shared" si="11"/>
        <v>0</v>
      </c>
      <c r="R100" s="39">
        <f t="shared" si="44"/>
        <v>0</v>
      </c>
    </row>
    <row r="101" spans="1:19" ht="18" hidden="1" outlineLevel="1">
      <c r="A101" s="38" t="s">
        <v>204</v>
      </c>
      <c r="B101" s="39">
        <f>-'[38]Budget 2022'!DT49</f>
        <v>0</v>
      </c>
      <c r="C101" s="39">
        <f>-'[38]Budget 2022'!DU49</f>
        <v>0</v>
      </c>
      <c r="D101" s="39">
        <f>-'[38]Budget 2022'!DV49</f>
        <v>0</v>
      </c>
      <c r="E101" s="39">
        <f t="shared" si="43"/>
        <v>0</v>
      </c>
      <c r="F101" s="39">
        <f>-'[38]Budget 2022'!DX49</f>
        <v>0</v>
      </c>
      <c r="G101" s="39">
        <f>-'[38]Budget 2022'!DY49</f>
        <v>0</v>
      </c>
      <c r="H101" s="39">
        <f>-'[38]Budget 2022'!DZ49</f>
        <v>0</v>
      </c>
      <c r="I101" s="39">
        <f t="shared" si="9"/>
        <v>0</v>
      </c>
      <c r="J101" s="39">
        <f>-'[38]Budget 2022'!EB49</f>
        <v>0</v>
      </c>
      <c r="K101" s="39">
        <f>-'[38]Budget 2022'!EC49</f>
        <v>0</v>
      </c>
      <c r="L101" s="39">
        <f>-'[38]Budget 2022'!ED49</f>
        <v>0</v>
      </c>
      <c r="M101" s="39">
        <f t="shared" si="10"/>
        <v>0</v>
      </c>
      <c r="N101" s="39">
        <f>-'[38]Budget 2022'!EF49</f>
        <v>0</v>
      </c>
      <c r="O101" s="39">
        <f>-'[38]Budget 2022'!EG49</f>
        <v>0</v>
      </c>
      <c r="P101" s="39">
        <f>-'[38]Budget 2022'!EH49</f>
        <v>0</v>
      </c>
      <c r="Q101" s="39">
        <f t="shared" si="11"/>
        <v>0</v>
      </c>
      <c r="R101" s="39">
        <f t="shared" si="44"/>
        <v>0</v>
      </c>
    </row>
    <row r="102" spans="1:19" ht="18" hidden="1" outlineLevel="1">
      <c r="A102" s="38" t="s">
        <v>205</v>
      </c>
      <c r="B102" s="39">
        <f>-'[38]Budget 2022'!DT51</f>
        <v>0</v>
      </c>
      <c r="C102" s="39">
        <f>-'[38]Budget 2022'!DU51</f>
        <v>0</v>
      </c>
      <c r="D102" s="39">
        <f>-'[38]Budget 2022'!DV51</f>
        <v>0</v>
      </c>
      <c r="E102" s="39">
        <f t="shared" si="43"/>
        <v>0</v>
      </c>
      <c r="F102" s="39">
        <f>-'[38]Budget 2022'!DX51</f>
        <v>0</v>
      </c>
      <c r="G102" s="39">
        <f>-'[38]Budget 2022'!DY51</f>
        <v>0</v>
      </c>
      <c r="H102" s="39">
        <f>-'[38]Budget 2022'!DZ51</f>
        <v>0</v>
      </c>
      <c r="I102" s="39">
        <f t="shared" si="9"/>
        <v>0</v>
      </c>
      <c r="J102" s="39">
        <f>-'[38]Budget 2022'!EB51</f>
        <v>0</v>
      </c>
      <c r="K102" s="39">
        <f>-'[38]Budget 2022'!EC51</f>
        <v>0</v>
      </c>
      <c r="L102" s="39">
        <f>-'[38]Budget 2022'!ED51</f>
        <v>0</v>
      </c>
      <c r="M102" s="39">
        <f t="shared" si="10"/>
        <v>0</v>
      </c>
      <c r="N102" s="39">
        <f>-'[38]Budget 2022'!EF51</f>
        <v>0</v>
      </c>
      <c r="O102" s="39">
        <f>-'[38]Budget 2022'!EG51</f>
        <v>0</v>
      </c>
      <c r="P102" s="39">
        <f>-'[38]Budget 2022'!EH51</f>
        <v>0</v>
      </c>
      <c r="Q102" s="39">
        <f t="shared" si="11"/>
        <v>0</v>
      </c>
      <c r="R102" s="39">
        <f t="shared" si="44"/>
        <v>0</v>
      </c>
    </row>
    <row r="103" spans="1:19" ht="18" hidden="1" outlineLevel="1">
      <c r="A103" s="38" t="s">
        <v>206</v>
      </c>
      <c r="B103" s="39">
        <f>-'[38]Budget 2022'!DT62</f>
        <v>25125</v>
      </c>
      <c r="C103" s="39">
        <f>-'[38]Budget 2022'!DU62</f>
        <v>25125</v>
      </c>
      <c r="D103" s="39">
        <f>-'[38]Budget 2022'!DV62</f>
        <v>25125</v>
      </c>
      <c r="E103" s="39">
        <f t="shared" si="43"/>
        <v>75375</v>
      </c>
      <c r="F103" s="39">
        <f>-'[38]Budget 2022'!DX62</f>
        <v>25125</v>
      </c>
      <c r="G103" s="39">
        <f>-'[38]Budget 2022'!DY62</f>
        <v>25125</v>
      </c>
      <c r="H103" s="39">
        <f>-'[38]Budget 2022'!DZ62</f>
        <v>25125</v>
      </c>
      <c r="I103" s="39">
        <f t="shared" si="9"/>
        <v>75375</v>
      </c>
      <c r="J103" s="39">
        <f>-'[38]Budget 2022'!EB62</f>
        <v>25125</v>
      </c>
      <c r="K103" s="39">
        <f>-'[38]Budget 2022'!EC62</f>
        <v>25125</v>
      </c>
      <c r="L103" s="39">
        <f>-'[38]Budget 2022'!ED62</f>
        <v>25125</v>
      </c>
      <c r="M103" s="39">
        <f t="shared" si="10"/>
        <v>75375</v>
      </c>
      <c r="N103" s="39">
        <f>-'[38]Budget 2022'!EF62</f>
        <v>25125</v>
      </c>
      <c r="O103" s="39">
        <f>-'[38]Budget 2022'!EG62</f>
        <v>25125</v>
      </c>
      <c r="P103" s="39">
        <f>-'[38]Budget 2022'!EH62</f>
        <v>25125</v>
      </c>
      <c r="Q103" s="39">
        <f t="shared" si="11"/>
        <v>75375</v>
      </c>
      <c r="R103" s="39">
        <f t="shared" si="44"/>
        <v>301500</v>
      </c>
    </row>
    <row r="104" spans="1:19" ht="18" hidden="1" outlineLevel="1">
      <c r="A104" s="38" t="s">
        <v>207</v>
      </c>
      <c r="B104" s="39">
        <f>-'[38]Budget 2022'!DT64</f>
        <v>0</v>
      </c>
      <c r="C104" s="39">
        <f>-'[38]Budget 2022'!DU64</f>
        <v>0</v>
      </c>
      <c r="D104" s="39">
        <f>-'[38]Budget 2022'!DV64</f>
        <v>0</v>
      </c>
      <c r="E104" s="39">
        <f t="shared" si="43"/>
        <v>0</v>
      </c>
      <c r="F104" s="39">
        <f>-'[38]Budget 2022'!DX64</f>
        <v>0</v>
      </c>
      <c r="G104" s="39">
        <f>-'[38]Budget 2022'!DY64</f>
        <v>0</v>
      </c>
      <c r="H104" s="39">
        <f>-'[38]Budget 2022'!DZ64</f>
        <v>0</v>
      </c>
      <c r="I104" s="39">
        <f t="shared" si="9"/>
        <v>0</v>
      </c>
      <c r="J104" s="39">
        <f>-'[38]Budget 2022'!EB64</f>
        <v>0</v>
      </c>
      <c r="K104" s="39">
        <f>-'[38]Budget 2022'!EC64</f>
        <v>0</v>
      </c>
      <c r="L104" s="39">
        <f>-'[38]Budget 2022'!ED64</f>
        <v>0</v>
      </c>
      <c r="M104" s="39">
        <f t="shared" si="10"/>
        <v>0</v>
      </c>
      <c r="N104" s="39">
        <f>-'[38]Budget 2022'!EF64</f>
        <v>0</v>
      </c>
      <c r="O104" s="39">
        <f>-'[38]Budget 2022'!EG64</f>
        <v>0</v>
      </c>
      <c r="P104" s="39">
        <f>-'[38]Budget 2022'!EH64</f>
        <v>0</v>
      </c>
      <c r="Q104" s="39">
        <f t="shared" si="11"/>
        <v>0</v>
      </c>
      <c r="R104" s="39">
        <f t="shared" si="44"/>
        <v>0</v>
      </c>
    </row>
    <row r="105" spans="1:19" ht="18" hidden="1" outlineLevel="1">
      <c r="A105" s="38" t="s">
        <v>208</v>
      </c>
      <c r="B105" s="39">
        <f>-'[38]Budget 2022'!DT75</f>
        <v>0</v>
      </c>
      <c r="C105" s="39">
        <f>-'[38]Budget 2022'!DU75</f>
        <v>0</v>
      </c>
      <c r="D105" s="39">
        <f>-'[38]Budget 2022'!DV75</f>
        <v>0</v>
      </c>
      <c r="E105" s="39">
        <f t="shared" si="43"/>
        <v>0</v>
      </c>
      <c r="F105" s="39">
        <f>-'[38]Budget 2022'!DX75</f>
        <v>0</v>
      </c>
      <c r="G105" s="39">
        <f>-'[38]Budget 2022'!DY75</f>
        <v>0</v>
      </c>
      <c r="H105" s="39">
        <f>-'[38]Budget 2022'!DZ75</f>
        <v>0</v>
      </c>
      <c r="I105" s="39">
        <f t="shared" si="9"/>
        <v>0</v>
      </c>
      <c r="J105" s="39">
        <f>-'[38]Budget 2022'!EB75</f>
        <v>0</v>
      </c>
      <c r="K105" s="39">
        <f>-'[38]Budget 2022'!EC75</f>
        <v>0</v>
      </c>
      <c r="L105" s="39">
        <f>-'[38]Budget 2022'!ED75</f>
        <v>0</v>
      </c>
      <c r="M105" s="39">
        <f t="shared" si="10"/>
        <v>0</v>
      </c>
      <c r="N105" s="39">
        <f>-'[38]Budget 2022'!EF75</f>
        <v>0</v>
      </c>
      <c r="O105" s="39">
        <f>-'[38]Budget 2022'!EG75</f>
        <v>0</v>
      </c>
      <c r="P105" s="39">
        <f>-'[38]Budget 2022'!EH75</f>
        <v>0</v>
      </c>
      <c r="Q105" s="39">
        <f t="shared" si="11"/>
        <v>0</v>
      </c>
      <c r="R105" s="39">
        <f t="shared" si="44"/>
        <v>0</v>
      </c>
    </row>
    <row r="106" spans="1:19" s="35" customFormat="1" ht="31.8" collapsed="1" thickBot="1">
      <c r="A106" s="31" t="s">
        <v>217</v>
      </c>
      <c r="B106" s="32">
        <f>SUM(B107,B110)</f>
        <v>1009808.49</v>
      </c>
      <c r="C106" s="32">
        <f>SUM(C107,C110)</f>
        <v>1868999.61</v>
      </c>
      <c r="D106" s="32">
        <f>SUM(D107,D110)</f>
        <v>1517970.35</v>
      </c>
      <c r="E106" s="32">
        <f t="shared" si="8"/>
        <v>4396778.45</v>
      </c>
      <c r="F106" s="32">
        <f>SUM(F107,F110)</f>
        <v>1508038.33</v>
      </c>
      <c r="G106" s="32">
        <f>SUM(G107,G110)</f>
        <v>1508038.33</v>
      </c>
      <c r="H106" s="32">
        <f>SUM(H107,H110)</f>
        <v>1508038.33</v>
      </c>
      <c r="I106" s="32">
        <f t="shared" si="9"/>
        <v>4524114.99</v>
      </c>
      <c r="J106" s="32">
        <f>SUM(J107,J110)</f>
        <v>1405675.6600000001</v>
      </c>
      <c r="K106" s="32">
        <f>SUM(K107,K110)</f>
        <v>1405675.6600000001</v>
      </c>
      <c r="L106" s="32">
        <f>SUM(L107,L110)</f>
        <v>977357.49</v>
      </c>
      <c r="M106" s="32">
        <f t="shared" si="10"/>
        <v>3788708.8100000005</v>
      </c>
      <c r="N106" s="32">
        <f>SUM(N107,N110)</f>
        <v>978350.69000000006</v>
      </c>
      <c r="O106" s="32">
        <f>SUM(O107,O110)</f>
        <v>616008.9</v>
      </c>
      <c r="P106" s="32">
        <f>SUM(P107,P110)</f>
        <v>616008.9</v>
      </c>
      <c r="Q106" s="32">
        <f t="shared" si="11"/>
        <v>2210368.4900000002</v>
      </c>
      <c r="R106" s="33">
        <f>SUM(R107,R110)</f>
        <v>14919970.74</v>
      </c>
      <c r="S106" s="34">
        <f>R106+'[38]Budget 2022'!DB5</f>
        <v>0</v>
      </c>
    </row>
    <row r="107" spans="1:19" ht="18.600000000000001" hidden="1" outlineLevel="1" thickBot="1">
      <c r="A107" s="36" t="s">
        <v>197</v>
      </c>
      <c r="B107" s="42">
        <f>SUM(B108:B109)</f>
        <v>521016.98</v>
      </c>
      <c r="C107" s="42">
        <f t="shared" ref="C107:D107" si="45">SUM(C108:C109)</f>
        <v>1380208.1</v>
      </c>
      <c r="D107" s="42">
        <f t="shared" si="45"/>
        <v>1029178.8400000001</v>
      </c>
      <c r="E107" s="42">
        <f t="shared" si="8"/>
        <v>2930403.92</v>
      </c>
      <c r="F107" s="42">
        <f>SUM(F108:F109)</f>
        <v>1029178.8400000001</v>
      </c>
      <c r="G107" s="42">
        <f>SUM(G108:G109)</f>
        <v>1029178.8400000001</v>
      </c>
      <c r="H107" s="42">
        <f>SUM(H108:H109)</f>
        <v>1029178.8400000001</v>
      </c>
      <c r="I107" s="42">
        <f t="shared" si="9"/>
        <v>3087536.5200000005</v>
      </c>
      <c r="J107" s="42">
        <f>SUM(J108:J109)</f>
        <v>971242.08000000007</v>
      </c>
      <c r="K107" s="42">
        <f>SUM(K108:K109)</f>
        <v>971242.08000000007</v>
      </c>
      <c r="L107" s="42">
        <f>SUM(L108:L109)</f>
        <v>542923.91</v>
      </c>
      <c r="M107" s="42">
        <f t="shared" si="10"/>
        <v>2485408.0700000003</v>
      </c>
      <c r="N107" s="42">
        <f>SUM(N108:N109)</f>
        <v>542923.91</v>
      </c>
      <c r="O107" s="42">
        <f>SUM(O108:O109)</f>
        <v>180582.12</v>
      </c>
      <c r="P107" s="42">
        <f>SUM(P108:P109)</f>
        <v>180582.12</v>
      </c>
      <c r="Q107" s="42">
        <f t="shared" si="11"/>
        <v>904088.15</v>
      </c>
      <c r="R107" s="42">
        <f>SUM(R108:R109)</f>
        <v>9407436.6600000001</v>
      </c>
    </row>
    <row r="108" spans="1:19" ht="18.600000000000001" hidden="1" outlineLevel="1" thickBot="1">
      <c r="A108" s="38" t="s">
        <v>198</v>
      </c>
      <c r="B108" s="39">
        <f>-'[38]Budget 2022'!CL7</f>
        <v>92698.81</v>
      </c>
      <c r="C108" s="39">
        <f>-'[38]Budget 2022'!CM7</f>
        <v>771307.81</v>
      </c>
      <c r="D108" s="39">
        <f>-'[38]Budget 2022'!CN7</f>
        <v>420278.55000000005</v>
      </c>
      <c r="E108" s="39">
        <f t="shared" si="8"/>
        <v>1284285.1700000002</v>
      </c>
      <c r="F108" s="39">
        <f>-'[38]Budget 2022'!CP7</f>
        <v>420278.55000000005</v>
      </c>
      <c r="G108" s="39">
        <f>-'[38]Budget 2022'!CQ7</f>
        <v>420278.55000000005</v>
      </c>
      <c r="H108" s="39">
        <f>-'[38]Budget 2022'!CR7</f>
        <v>420278.55000000005</v>
      </c>
      <c r="I108" s="39">
        <f t="shared" si="9"/>
        <v>1260835.6500000001</v>
      </c>
      <c r="J108" s="39">
        <f>-'[38]Budget 2022'!CT7</f>
        <v>362341.79000000004</v>
      </c>
      <c r="K108" s="39">
        <f>-'[38]Budget 2022'!CU7</f>
        <v>362341.79000000004</v>
      </c>
      <c r="L108" s="39">
        <f>-'[38]Budget 2022'!CV7</f>
        <v>362341.79000000004</v>
      </c>
      <c r="M108" s="39">
        <f t="shared" si="10"/>
        <v>1087025.3700000001</v>
      </c>
      <c r="N108" s="39">
        <f>-'[38]Budget 2022'!CX7</f>
        <v>362341.79000000004</v>
      </c>
      <c r="O108" s="39">
        <f>-'[38]Budget 2022'!CY7</f>
        <v>0</v>
      </c>
      <c r="P108" s="39">
        <f>-'[38]Budget 2022'!CZ7</f>
        <v>0</v>
      </c>
      <c r="Q108" s="39">
        <f t="shared" si="11"/>
        <v>362341.79000000004</v>
      </c>
      <c r="R108" s="39">
        <f>SUM(E108,I108,M108,Q108)</f>
        <v>3994487.9800000004</v>
      </c>
    </row>
    <row r="109" spans="1:19" ht="18.600000000000001" hidden="1" outlineLevel="1" thickBot="1">
      <c r="A109" s="38" t="s">
        <v>199</v>
      </c>
      <c r="B109" s="39">
        <f>-'[38]Budget 2022'!CL17</f>
        <v>428318.17</v>
      </c>
      <c r="C109" s="39">
        <f>-'[38]Budget 2022'!CM17</f>
        <v>608900.29</v>
      </c>
      <c r="D109" s="39">
        <f>-'[38]Budget 2022'!CN17</f>
        <v>608900.29</v>
      </c>
      <c r="E109" s="39">
        <f t="shared" si="8"/>
        <v>1646118.75</v>
      </c>
      <c r="F109" s="39">
        <f>-'[38]Budget 2022'!CP17</f>
        <v>608900.29</v>
      </c>
      <c r="G109" s="39">
        <f>-'[38]Budget 2022'!CQ17</f>
        <v>608900.29</v>
      </c>
      <c r="H109" s="39">
        <f>-'[38]Budget 2022'!CR17</f>
        <v>608900.29</v>
      </c>
      <c r="I109" s="39">
        <f t="shared" si="9"/>
        <v>1826700.87</v>
      </c>
      <c r="J109" s="39">
        <f>-'[38]Budget 2022'!CT17</f>
        <v>608900.29</v>
      </c>
      <c r="K109" s="39">
        <f>-'[38]Budget 2022'!CU17</f>
        <v>608900.29</v>
      </c>
      <c r="L109" s="39">
        <f>-'[38]Budget 2022'!CV17</f>
        <v>180582.12</v>
      </c>
      <c r="M109" s="39">
        <f t="shared" si="10"/>
        <v>1398382.7000000002</v>
      </c>
      <c r="N109" s="39">
        <f>-'[38]Budget 2022'!CX17</f>
        <v>180582.12</v>
      </c>
      <c r="O109" s="39">
        <f>-'[38]Budget 2022'!CY17</f>
        <v>180582.12</v>
      </c>
      <c r="P109" s="39">
        <f>-'[38]Budget 2022'!CZ17</f>
        <v>180582.12</v>
      </c>
      <c r="Q109" s="39">
        <f t="shared" si="11"/>
        <v>541746.36</v>
      </c>
      <c r="R109" s="39">
        <f>SUM(E109,I109,M109,Q109)</f>
        <v>5412948.6800000006</v>
      </c>
    </row>
    <row r="110" spans="1:19" ht="18.600000000000001" hidden="1" outlineLevel="1" thickBot="1">
      <c r="A110" s="36" t="s">
        <v>200</v>
      </c>
      <c r="B110" s="42">
        <f>SUM(B111:B118)</f>
        <v>488791.51</v>
      </c>
      <c r="C110" s="42">
        <f>SUM(C111:C118)</f>
        <v>488791.51</v>
      </c>
      <c r="D110" s="42">
        <f>SUM(D111:D118)</f>
        <v>488791.51</v>
      </c>
      <c r="E110" s="42">
        <f t="shared" si="8"/>
        <v>1466374.53</v>
      </c>
      <c r="F110" s="42">
        <f>SUM(F111:F118)</f>
        <v>478859.49</v>
      </c>
      <c r="G110" s="42">
        <f>SUM(G111:G118)</f>
        <v>478859.49</v>
      </c>
      <c r="H110" s="42">
        <f>SUM(H111:H118)</f>
        <v>478859.49</v>
      </c>
      <c r="I110" s="42">
        <f t="shared" si="9"/>
        <v>1436578.47</v>
      </c>
      <c r="J110" s="42">
        <f>SUM(J111:J118)</f>
        <v>434433.57999999996</v>
      </c>
      <c r="K110" s="42">
        <f>SUM(K111:K118)</f>
        <v>434433.57999999996</v>
      </c>
      <c r="L110" s="42">
        <f>SUM(L111:L118)</f>
        <v>434433.57999999996</v>
      </c>
      <c r="M110" s="42">
        <f t="shared" si="10"/>
        <v>1303300.7399999998</v>
      </c>
      <c r="N110" s="42">
        <f>SUM(N111:N118)</f>
        <v>435426.78</v>
      </c>
      <c r="O110" s="42">
        <f>SUM(O111:O118)</f>
        <v>435426.78</v>
      </c>
      <c r="P110" s="42">
        <f>SUM(P111:P118)</f>
        <v>435426.78</v>
      </c>
      <c r="Q110" s="42">
        <f t="shared" si="11"/>
        <v>1306280.3400000001</v>
      </c>
      <c r="R110" s="42">
        <f>SUM(R111:R118)</f>
        <v>5512534.0800000001</v>
      </c>
    </row>
    <row r="111" spans="1:19" ht="18.600000000000001" hidden="1" outlineLevel="1" thickBot="1">
      <c r="A111" s="38" t="s">
        <v>201</v>
      </c>
      <c r="B111" s="39">
        <f>-'[38]Budget 2022'!CL25</f>
        <v>97282.420000000013</v>
      </c>
      <c r="C111" s="39">
        <f>-'[38]Budget 2022'!CM25</f>
        <v>97282.420000000013</v>
      </c>
      <c r="D111" s="39">
        <f>-'[38]Budget 2022'!CN25</f>
        <v>97282.420000000013</v>
      </c>
      <c r="E111" s="39">
        <f t="shared" si="8"/>
        <v>291847.26</v>
      </c>
      <c r="F111" s="39">
        <f>-'[38]Budget 2022'!CP25</f>
        <v>87350.399999999994</v>
      </c>
      <c r="G111" s="39">
        <f>-'[38]Budget 2022'!CQ25</f>
        <v>87350.399999999994</v>
      </c>
      <c r="H111" s="39">
        <f>-'[38]Budget 2022'!CR25</f>
        <v>87350.399999999994</v>
      </c>
      <c r="I111" s="39">
        <f t="shared" si="9"/>
        <v>262051.19999999998</v>
      </c>
      <c r="J111" s="39">
        <f>-'[38]Budget 2022'!CT25</f>
        <v>42924.490000000005</v>
      </c>
      <c r="K111" s="39">
        <f>-'[38]Budget 2022'!CU25</f>
        <v>42924.490000000005</v>
      </c>
      <c r="L111" s="39">
        <f>-'[38]Budget 2022'!CV25</f>
        <v>42924.490000000005</v>
      </c>
      <c r="M111" s="39">
        <f t="shared" si="10"/>
        <v>128773.47000000002</v>
      </c>
      <c r="N111" s="39">
        <f>-'[38]Budget 2022'!CX25</f>
        <v>22347.040000000001</v>
      </c>
      <c r="O111" s="39">
        <f>-'[38]Budget 2022'!CY25</f>
        <v>22347.040000000001</v>
      </c>
      <c r="P111" s="39">
        <f>-'[38]Budget 2022'!CZ25</f>
        <v>22347.040000000001</v>
      </c>
      <c r="Q111" s="39">
        <f t="shared" si="11"/>
        <v>67041.119999999995</v>
      </c>
      <c r="R111" s="39">
        <f>SUM(E111,I111,M111,Q111)</f>
        <v>749713.04999999993</v>
      </c>
    </row>
    <row r="112" spans="1:19" ht="18.600000000000001" hidden="1" outlineLevel="1" thickBot="1">
      <c r="A112" s="38" t="s">
        <v>202</v>
      </c>
      <c r="B112" s="39">
        <f>-'[38]Budget 2022'!CL31</f>
        <v>184592.09999999998</v>
      </c>
      <c r="C112" s="39">
        <f>-'[38]Budget 2022'!CM31</f>
        <v>184592.09999999998</v>
      </c>
      <c r="D112" s="39">
        <f>-'[38]Budget 2022'!CN31</f>
        <v>184592.09999999998</v>
      </c>
      <c r="E112" s="39">
        <f t="shared" si="8"/>
        <v>553776.29999999993</v>
      </c>
      <c r="F112" s="39">
        <f>-'[38]Budget 2022'!CP31</f>
        <v>184592.09999999998</v>
      </c>
      <c r="G112" s="39">
        <f>-'[38]Budget 2022'!CQ31</f>
        <v>184592.09999999998</v>
      </c>
      <c r="H112" s="39">
        <f>-'[38]Budget 2022'!CR31</f>
        <v>184592.09999999998</v>
      </c>
      <c r="I112" s="39">
        <f t="shared" si="9"/>
        <v>553776.29999999993</v>
      </c>
      <c r="J112" s="39">
        <f>-'[38]Budget 2022'!CT31</f>
        <v>184592.09999999998</v>
      </c>
      <c r="K112" s="39">
        <f>-'[38]Budget 2022'!CU31</f>
        <v>184592.09999999998</v>
      </c>
      <c r="L112" s="39">
        <f>-'[38]Budget 2022'!CV31</f>
        <v>184592.09999999998</v>
      </c>
      <c r="M112" s="39">
        <f t="shared" si="10"/>
        <v>553776.29999999993</v>
      </c>
      <c r="N112" s="39">
        <f>-'[38]Budget 2022'!CX31</f>
        <v>206162.75</v>
      </c>
      <c r="O112" s="39">
        <f>-'[38]Budget 2022'!CY31</f>
        <v>206162.75</v>
      </c>
      <c r="P112" s="39">
        <f>-'[38]Budget 2022'!CZ31</f>
        <v>206162.75</v>
      </c>
      <c r="Q112" s="39">
        <f t="shared" si="11"/>
        <v>618488.25</v>
      </c>
      <c r="R112" s="39">
        <f t="shared" ref="R112:R113" si="46">SUM(E112,I112,M112,Q112)</f>
        <v>2279817.15</v>
      </c>
    </row>
    <row r="113" spans="1:28" ht="18.600000000000001" hidden="1" outlineLevel="1" thickBot="1">
      <c r="A113" s="38" t="s">
        <v>203</v>
      </c>
      <c r="B113" s="39">
        <f>-'[38]Budget 2022'!CL38</f>
        <v>0</v>
      </c>
      <c r="C113" s="39">
        <f>-'[38]Budget 2022'!CM38</f>
        <v>0</v>
      </c>
      <c r="D113" s="39">
        <f>-'[38]Budget 2022'!CN38</f>
        <v>0</v>
      </c>
      <c r="E113" s="39">
        <f t="shared" si="8"/>
        <v>0</v>
      </c>
      <c r="F113" s="39">
        <f>-'[38]Budget 2022'!CP38</f>
        <v>0</v>
      </c>
      <c r="G113" s="39">
        <f>-'[38]Budget 2022'!CQ38</f>
        <v>0</v>
      </c>
      <c r="H113" s="39">
        <f>-'[38]Budget 2022'!CR38</f>
        <v>0</v>
      </c>
      <c r="I113" s="39">
        <f t="shared" si="9"/>
        <v>0</v>
      </c>
      <c r="J113" s="39">
        <f>-'[38]Budget 2022'!CT38</f>
        <v>0</v>
      </c>
      <c r="K113" s="39">
        <f>-'[38]Budget 2022'!CU38</f>
        <v>0</v>
      </c>
      <c r="L113" s="39">
        <f>-'[38]Budget 2022'!CV38</f>
        <v>0</v>
      </c>
      <c r="M113" s="39">
        <f t="shared" si="10"/>
        <v>0</v>
      </c>
      <c r="N113" s="39">
        <f>-'[38]Budget 2022'!CX38</f>
        <v>0</v>
      </c>
      <c r="O113" s="39">
        <f>-'[38]Budget 2022'!CY38</f>
        <v>0</v>
      </c>
      <c r="P113" s="39">
        <f>-'[38]Budget 2022'!CZ38</f>
        <v>0</v>
      </c>
      <c r="Q113" s="39">
        <f t="shared" si="11"/>
        <v>0</v>
      </c>
      <c r="R113" s="39">
        <f t="shared" si="46"/>
        <v>0</v>
      </c>
    </row>
    <row r="114" spans="1:28" ht="18.600000000000001" hidden="1" outlineLevel="1" thickBot="1">
      <c r="A114" s="38" t="s">
        <v>204</v>
      </c>
      <c r="B114" s="39">
        <f>-'[38]Budget 2022'!CL49</f>
        <v>20691.7</v>
      </c>
      <c r="C114" s="39">
        <f>-'[38]Budget 2022'!CM49</f>
        <v>20691.7</v>
      </c>
      <c r="D114" s="39">
        <f>-'[38]Budget 2022'!CN49</f>
        <v>20691.7</v>
      </c>
      <c r="E114" s="39">
        <f t="shared" si="8"/>
        <v>62075.100000000006</v>
      </c>
      <c r="F114" s="39">
        <f>-'[38]Budget 2022'!CP49</f>
        <v>20691.7</v>
      </c>
      <c r="G114" s="39">
        <f>-'[38]Budget 2022'!CQ49</f>
        <v>20691.7</v>
      </c>
      <c r="H114" s="39">
        <f>-'[38]Budget 2022'!CR49</f>
        <v>20691.7</v>
      </c>
      <c r="I114" s="39">
        <f t="shared" si="9"/>
        <v>62075.100000000006</v>
      </c>
      <c r="J114" s="39">
        <f>-'[38]Budget 2022'!CT49</f>
        <v>20691.7</v>
      </c>
      <c r="K114" s="39">
        <f>-'[38]Budget 2022'!CU49</f>
        <v>20691.7</v>
      </c>
      <c r="L114" s="39">
        <f>-'[38]Budget 2022'!CV49</f>
        <v>20691.7</v>
      </c>
      <c r="M114" s="39">
        <f t="shared" si="10"/>
        <v>62075.100000000006</v>
      </c>
      <c r="N114" s="39">
        <f>-'[38]Budget 2022'!CX49</f>
        <v>20691.7</v>
      </c>
      <c r="O114" s="39">
        <f>-'[38]Budget 2022'!CY49</f>
        <v>20691.7</v>
      </c>
      <c r="P114" s="39">
        <f>-'[38]Budget 2022'!CZ49</f>
        <v>20691.7</v>
      </c>
      <c r="Q114" s="39">
        <f t="shared" si="11"/>
        <v>62075.100000000006</v>
      </c>
      <c r="R114" s="39">
        <f>SUM(E114,I114,M114,Q114)</f>
        <v>248300.40000000002</v>
      </c>
    </row>
    <row r="115" spans="1:28" ht="18.600000000000001" hidden="1" outlineLevel="1" thickBot="1">
      <c r="A115" s="38" t="s">
        <v>205</v>
      </c>
      <c r="B115" s="39">
        <f>-'[38]Budget 2022'!CL51</f>
        <v>0</v>
      </c>
      <c r="C115" s="39">
        <f>-'[38]Budget 2022'!CM51</f>
        <v>0</v>
      </c>
      <c r="D115" s="39">
        <f>-'[38]Budget 2022'!CN51</f>
        <v>0</v>
      </c>
      <c r="E115" s="39">
        <f t="shared" si="8"/>
        <v>0</v>
      </c>
      <c r="F115" s="39">
        <f>-'[38]Budget 2022'!CP51</f>
        <v>0</v>
      </c>
      <c r="G115" s="39">
        <f>-'[38]Budget 2022'!CQ51</f>
        <v>0</v>
      </c>
      <c r="H115" s="39">
        <f>-'[38]Budget 2022'!CR51</f>
        <v>0</v>
      </c>
      <c r="I115" s="39">
        <f t="shared" si="9"/>
        <v>0</v>
      </c>
      <c r="J115" s="39">
        <f>-'[38]Budget 2022'!CT51</f>
        <v>0</v>
      </c>
      <c r="K115" s="39">
        <f>-'[38]Budget 2022'!CU51</f>
        <v>0</v>
      </c>
      <c r="L115" s="39">
        <f>-'[38]Budget 2022'!CV51</f>
        <v>0</v>
      </c>
      <c r="M115" s="39">
        <f t="shared" si="10"/>
        <v>0</v>
      </c>
      <c r="N115" s="39">
        <f>-'[38]Budget 2022'!CX51</f>
        <v>0</v>
      </c>
      <c r="O115" s="39">
        <f>-'[38]Budget 2022'!CY51</f>
        <v>0</v>
      </c>
      <c r="P115" s="39">
        <f>-'[38]Budget 2022'!CZ51</f>
        <v>0</v>
      </c>
      <c r="Q115" s="39">
        <f t="shared" si="11"/>
        <v>0</v>
      </c>
      <c r="R115" s="39">
        <f>SUM(E115,I115,M115,Q115)</f>
        <v>0</v>
      </c>
    </row>
    <row r="116" spans="1:28" ht="18.600000000000001" hidden="1" outlineLevel="1" thickBot="1">
      <c r="A116" s="38" t="s">
        <v>206</v>
      </c>
      <c r="B116" s="39">
        <f>-'[38]Budget 2022'!CL62</f>
        <v>20691.7</v>
      </c>
      <c r="C116" s="39">
        <f>-'[38]Budget 2022'!CM62</f>
        <v>20691.7</v>
      </c>
      <c r="D116" s="39">
        <f>-'[38]Budget 2022'!CN62</f>
        <v>20691.7</v>
      </c>
      <c r="E116" s="39">
        <f t="shared" si="8"/>
        <v>62075.100000000006</v>
      </c>
      <c r="F116" s="39">
        <f>-'[38]Budget 2022'!CP62</f>
        <v>20691.7</v>
      </c>
      <c r="G116" s="39">
        <f>-'[38]Budget 2022'!CQ62</f>
        <v>20691.7</v>
      </c>
      <c r="H116" s="39">
        <f>-'[38]Budget 2022'!CR62</f>
        <v>20691.7</v>
      </c>
      <c r="I116" s="39">
        <f t="shared" si="9"/>
        <v>62075.100000000006</v>
      </c>
      <c r="J116" s="39">
        <f>-'[38]Budget 2022'!CT62</f>
        <v>20691.7</v>
      </c>
      <c r="K116" s="39">
        <f>-'[38]Budget 2022'!CU62</f>
        <v>20691.7</v>
      </c>
      <c r="L116" s="39">
        <f>-'[38]Budget 2022'!CV62</f>
        <v>20691.7</v>
      </c>
      <c r="M116" s="39">
        <f t="shared" si="10"/>
        <v>62075.100000000006</v>
      </c>
      <c r="N116" s="39">
        <f>-'[38]Budget 2022'!CX62</f>
        <v>20691.7</v>
      </c>
      <c r="O116" s="39">
        <f>-'[38]Budget 2022'!CY62</f>
        <v>20691.7</v>
      </c>
      <c r="P116" s="39">
        <f>-'[38]Budget 2022'!CZ62</f>
        <v>20691.7</v>
      </c>
      <c r="Q116" s="39">
        <f t="shared" si="11"/>
        <v>62075.100000000006</v>
      </c>
      <c r="R116" s="39">
        <f>SUM(E116,I116,M116,Q116)</f>
        <v>248300.40000000002</v>
      </c>
    </row>
    <row r="117" spans="1:28" ht="18.600000000000001" hidden="1" outlineLevel="1" thickBot="1">
      <c r="A117" s="38" t="s">
        <v>207</v>
      </c>
      <c r="B117" s="39">
        <f>-'[38]Budget 2022'!CL64</f>
        <v>0</v>
      </c>
      <c r="C117" s="39">
        <f>-'[38]Budget 2022'!CM64</f>
        <v>0</v>
      </c>
      <c r="D117" s="39">
        <f>-'[38]Budget 2022'!CN64</f>
        <v>0</v>
      </c>
      <c r="E117" s="39">
        <f t="shared" si="8"/>
        <v>0</v>
      </c>
      <c r="F117" s="39">
        <f>-'[38]Budget 2022'!CP64</f>
        <v>0</v>
      </c>
      <c r="G117" s="39">
        <f>-'[38]Budget 2022'!CQ64</f>
        <v>0</v>
      </c>
      <c r="H117" s="39">
        <f>-'[38]Budget 2022'!CR64</f>
        <v>0</v>
      </c>
      <c r="I117" s="39">
        <f t="shared" si="9"/>
        <v>0</v>
      </c>
      <c r="J117" s="39">
        <f>-'[38]Budget 2022'!CT64</f>
        <v>0</v>
      </c>
      <c r="K117" s="39">
        <f>-'[38]Budget 2022'!CU64</f>
        <v>0</v>
      </c>
      <c r="L117" s="39">
        <f>-'[38]Budget 2022'!CV64</f>
        <v>0</v>
      </c>
      <c r="M117" s="39">
        <f t="shared" si="10"/>
        <v>0</v>
      </c>
      <c r="N117" s="39">
        <f>-'[38]Budget 2022'!CX64</f>
        <v>0</v>
      </c>
      <c r="O117" s="39">
        <f>-'[38]Budget 2022'!CY64</f>
        <v>0</v>
      </c>
      <c r="P117" s="39">
        <f>-'[38]Budget 2022'!CZ64</f>
        <v>0</v>
      </c>
      <c r="Q117" s="39">
        <f t="shared" si="11"/>
        <v>0</v>
      </c>
      <c r="R117" s="39">
        <f>SUM(E117,I117,M117,Q117)</f>
        <v>0</v>
      </c>
    </row>
    <row r="118" spans="1:28" ht="18.600000000000001" hidden="1" outlineLevel="1" thickBot="1">
      <c r="A118" s="38" t="s">
        <v>208</v>
      </c>
      <c r="B118" s="39">
        <f>-'[38]Budget 2022'!CL75</f>
        <v>165533.59</v>
      </c>
      <c r="C118" s="39">
        <f>-'[38]Budget 2022'!CM75</f>
        <v>165533.59</v>
      </c>
      <c r="D118" s="39">
        <f>-'[38]Budget 2022'!CN75</f>
        <v>165533.59</v>
      </c>
      <c r="E118" s="39">
        <f>SUM(B118:D118)</f>
        <v>496600.77</v>
      </c>
      <c r="F118" s="39">
        <f>-'[38]Budget 2022'!CP75</f>
        <v>165533.59</v>
      </c>
      <c r="G118" s="39">
        <f>-'[38]Budget 2022'!CQ75</f>
        <v>165533.59</v>
      </c>
      <c r="H118" s="39">
        <f>-'[38]Budget 2022'!CR75</f>
        <v>165533.59</v>
      </c>
      <c r="I118" s="39">
        <f t="shared" si="9"/>
        <v>496600.77</v>
      </c>
      <c r="J118" s="39">
        <f>-'[38]Budget 2022'!CT75</f>
        <v>165533.59</v>
      </c>
      <c r="K118" s="39">
        <f>-'[38]Budget 2022'!CU75</f>
        <v>165533.59</v>
      </c>
      <c r="L118" s="39">
        <f>-'[38]Budget 2022'!CV75</f>
        <v>165533.59</v>
      </c>
      <c r="M118" s="39">
        <f t="shared" si="10"/>
        <v>496600.77</v>
      </c>
      <c r="N118" s="39">
        <f>-'[38]Budget 2022'!CX75</f>
        <v>165533.59</v>
      </c>
      <c r="O118" s="39">
        <f>-'[38]Budget 2022'!CY75</f>
        <v>165533.59</v>
      </c>
      <c r="P118" s="39">
        <f>-'[38]Budget 2022'!CZ75</f>
        <v>165533.59</v>
      </c>
      <c r="Q118" s="39">
        <f t="shared" si="11"/>
        <v>496600.77</v>
      </c>
      <c r="R118" s="39">
        <f>SUM(E118,I118,M118,Q118)</f>
        <v>1986403.08</v>
      </c>
    </row>
    <row r="119" spans="1:28" ht="24.6" collapsed="1" thickTop="1" thickBot="1">
      <c r="A119" s="44" t="s">
        <v>218</v>
      </c>
      <c r="B119" s="45">
        <f>SUM(B26,B53,B80,B93,B106)</f>
        <v>24049520.836666662</v>
      </c>
      <c r="C119" s="45">
        <f t="shared" ref="C119" si="47">SUM(C26,C53,C80,C93,C106)</f>
        <v>24447215.096666656</v>
      </c>
      <c r="D119" s="45">
        <f>SUM(D26,D53,D80,D93,D106)</f>
        <v>27021331.056666661</v>
      </c>
      <c r="E119" s="45">
        <f t="shared" si="8"/>
        <v>75518066.98999998</v>
      </c>
      <c r="F119" s="45">
        <f>SUM(F26,F53,F80,F93,F106)</f>
        <v>26572016.166666657</v>
      </c>
      <c r="G119" s="45">
        <f t="shared" ref="G119:H119" si="48">SUM(G26,G53,G80,G93,G106)</f>
        <v>22983043.136666663</v>
      </c>
      <c r="H119" s="45">
        <f t="shared" si="48"/>
        <v>22062916.296666659</v>
      </c>
      <c r="I119" s="45">
        <f t="shared" si="9"/>
        <v>71617975.599999979</v>
      </c>
      <c r="J119" s="45">
        <f>SUM(J26,J53,J80,J93,J106)</f>
        <v>18430104.316666659</v>
      </c>
      <c r="K119" s="45">
        <f t="shared" ref="K119:L119" si="49">SUM(K26,K53,K80,K93,K106)</f>
        <v>15795384.316666659</v>
      </c>
      <c r="L119" s="45">
        <f t="shared" si="49"/>
        <v>13608927.60666666</v>
      </c>
      <c r="M119" s="45">
        <f t="shared" si="10"/>
        <v>47834416.23999998</v>
      </c>
      <c r="N119" s="45">
        <f>SUM(N26,N53,N80,N93,N106)</f>
        <v>13497812.656666659</v>
      </c>
      <c r="O119" s="45">
        <f>SUM(O26,O53,O80,O93,O106)</f>
        <v>11547373.66666666</v>
      </c>
      <c r="P119" s="45">
        <f t="shared" ref="P119" si="50">SUM(P26,P53,P80,P93,P106)</f>
        <v>11581406.66666666</v>
      </c>
      <c r="Q119" s="45">
        <f t="shared" si="11"/>
        <v>36626592.98999998</v>
      </c>
      <c r="R119" s="45">
        <f>SUM(R26,R53,R80,R93,R106)</f>
        <v>231597051.81999993</v>
      </c>
    </row>
    <row r="120" spans="1:28" ht="30" thickTop="1" thickBot="1">
      <c r="A120" s="46" t="s">
        <v>219</v>
      </c>
      <c r="B120" s="47">
        <f>B13-B119</f>
        <v>2614670.1566666588</v>
      </c>
      <c r="C120" s="47">
        <f>C13-C119</f>
        <v>3966975.8966666646</v>
      </c>
      <c r="D120" s="47">
        <f>D13-D119</f>
        <v>3252859.93666666</v>
      </c>
      <c r="E120" s="47">
        <f t="shared" si="8"/>
        <v>9834505.9899999835</v>
      </c>
      <c r="F120" s="47">
        <f>F13-F119</f>
        <v>2944229.1533333436</v>
      </c>
      <c r="G120" s="47">
        <f>G13-G119</f>
        <v>5763919.1833333373</v>
      </c>
      <c r="H120" s="47">
        <f>H13-H119</f>
        <v>7175090.0233333409</v>
      </c>
      <c r="I120" s="47">
        <f t="shared" si="9"/>
        <v>15883238.360000022</v>
      </c>
      <c r="J120" s="47">
        <f>J13-J119</f>
        <v>2134261.6700000092</v>
      </c>
      <c r="K120" s="47">
        <f>K13-K119</f>
        <v>4768981.6700000092</v>
      </c>
      <c r="L120" s="47">
        <f>L13-L119</f>
        <v>6955438.3800000083</v>
      </c>
      <c r="M120" s="47">
        <f t="shared" si="10"/>
        <v>13858681.720000027</v>
      </c>
      <c r="N120" s="47">
        <f>N13-N119</f>
        <v>6023165.3300000094</v>
      </c>
      <c r="O120" s="47">
        <f>O13-O119</f>
        <v>7036992.3200000077</v>
      </c>
      <c r="P120" s="47">
        <f>P13-P119</f>
        <v>7002959.3200000077</v>
      </c>
      <c r="Q120" s="47">
        <f t="shared" si="11"/>
        <v>20063116.970000025</v>
      </c>
      <c r="R120" s="47">
        <f>R13-R119</f>
        <v>59639543.040000021</v>
      </c>
    </row>
    <row r="121" spans="1:28" ht="30" thickTop="1" thickBot="1">
      <c r="A121" s="46" t="s">
        <v>220</v>
      </c>
      <c r="B121" s="48">
        <f t="shared" ref="B121:Q121" si="51">B120/B13</f>
        <v>9.8059234473695009E-2</v>
      </c>
      <c r="C121" s="48">
        <f t="shared" si="51"/>
        <v>0.13961248791483863</v>
      </c>
      <c r="D121" s="48">
        <f t="shared" si="51"/>
        <v>0.10744663457342171</v>
      </c>
      <c r="E121" s="48">
        <f t="shared" si="51"/>
        <v>0.11522213855585152</v>
      </c>
      <c r="F121" s="48">
        <f t="shared" si="51"/>
        <v>9.9749447174378739E-2</v>
      </c>
      <c r="G121" s="48">
        <f t="shared" si="51"/>
        <v>0.20050533058664186</v>
      </c>
      <c r="H121" s="48">
        <f t="shared" si="51"/>
        <v>0.24540284808767154</v>
      </c>
      <c r="I121" s="48">
        <f t="shared" si="51"/>
        <v>0.18152020573406935</v>
      </c>
      <c r="J121" s="48">
        <f t="shared" si="51"/>
        <v>0.10378446247182149</v>
      </c>
      <c r="K121" s="48">
        <f t="shared" si="51"/>
        <v>0.23190511553296012</v>
      </c>
      <c r="L121" s="48">
        <f t="shared" si="51"/>
        <v>0.33822770828479276</v>
      </c>
      <c r="M121" s="48">
        <f t="shared" si="51"/>
        <v>0.2246390954298581</v>
      </c>
      <c r="N121" s="48">
        <f t="shared" si="51"/>
        <v>0.30854833882369964</v>
      </c>
      <c r="O121" s="48">
        <f t="shared" si="51"/>
        <v>0.37865119127812535</v>
      </c>
      <c r="P121" s="48">
        <f t="shared" si="51"/>
        <v>0.37681992084229682</v>
      </c>
      <c r="Q121" s="48">
        <f t="shared" si="51"/>
        <v>0.35391108869945648</v>
      </c>
      <c r="R121" s="69">
        <f>R120/R13</f>
        <v>0.20478038849708871</v>
      </c>
    </row>
    <row r="122" spans="1:28" ht="24" thickTop="1">
      <c r="A122" s="50" t="str">
        <f>A176</f>
        <v>GA,  SM , OSS , DMCC and Depreciation</v>
      </c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1"/>
      <c r="T122" s="1"/>
      <c r="U122" s="1"/>
      <c r="V122" s="1"/>
      <c r="W122" s="1"/>
      <c r="X122" s="1"/>
      <c r="Y122" s="1"/>
      <c r="Z122" s="1"/>
      <c r="AA122" s="15"/>
      <c r="AB122" s="15"/>
    </row>
    <row r="123" spans="1:28" ht="23.4">
      <c r="A123" s="51" t="s">
        <v>221</v>
      </c>
      <c r="B123" s="42">
        <f>SUM(B124,B128,B132,B136,B140)</f>
        <v>999625.77</v>
      </c>
      <c r="C123" s="42">
        <f>SUM(C124,C128,C132,C136,C140)</f>
        <v>1025225.77</v>
      </c>
      <c r="D123" s="42">
        <f>SUM(D124,D128,D132,D136,D140)</f>
        <v>999625.77</v>
      </c>
      <c r="E123" s="42">
        <f t="shared" si="8"/>
        <v>3024477.31</v>
      </c>
      <c r="F123" s="42">
        <f>SUM(F124,F128,F132,F136,F140)</f>
        <v>1374025.77</v>
      </c>
      <c r="G123" s="42">
        <f>SUM(G124,G128,G132,G136,G140)</f>
        <v>1399625.77</v>
      </c>
      <c r="H123" s="42">
        <f>SUM(H124,H128,H132,H136,H140)</f>
        <v>1341200.77</v>
      </c>
      <c r="I123" s="42">
        <f t="shared" si="9"/>
        <v>4114852.31</v>
      </c>
      <c r="J123" s="42">
        <f>SUM(J124,J128,J132,J136,J140)</f>
        <v>1458050.77</v>
      </c>
      <c r="K123" s="42">
        <f>SUM(K124,K128,K132,K136,K140)</f>
        <v>1399625.77</v>
      </c>
      <c r="L123" s="42">
        <f>SUM(L124,L128,L132,L136,L140)</f>
        <v>1399625.77</v>
      </c>
      <c r="M123" s="42">
        <f t="shared" si="10"/>
        <v>4257302.3100000005</v>
      </c>
      <c r="N123" s="42">
        <f>SUM(N124,N128,N132,N136,N140)</f>
        <v>1399625.77</v>
      </c>
      <c r="O123" s="42">
        <f>SUM(O124,O128,O132,O136,O140)</f>
        <v>1399625.77</v>
      </c>
      <c r="P123" s="42">
        <f>SUM(P124,P128,P132,P136,P140)</f>
        <v>1399625.77</v>
      </c>
      <c r="Q123" s="42">
        <f t="shared" si="11"/>
        <v>4198877.3100000005</v>
      </c>
      <c r="R123" s="42">
        <f t="shared" ref="R123:R142" si="52">SUM(E123,I123,M123,Q123)</f>
        <v>15595509.24</v>
      </c>
      <c r="S123" s="15"/>
      <c r="T123" s="15"/>
      <c r="U123" s="15"/>
      <c r="V123" s="15"/>
      <c r="W123" s="15"/>
      <c r="X123" s="15"/>
      <c r="Y123" s="15"/>
      <c r="Z123" s="15"/>
      <c r="AA123" s="15"/>
      <c r="AB123" s="15"/>
    </row>
    <row r="124" spans="1:28" s="35" customFormat="1" ht="31.2" hidden="1" outlineLevel="1">
      <c r="A124" s="31" t="s">
        <v>222</v>
      </c>
      <c r="B124" s="32">
        <f>SUM(B125:B127)</f>
        <v>999625.77</v>
      </c>
      <c r="C124" s="32">
        <f>SUM(C125:C127)</f>
        <v>1025225.77</v>
      </c>
      <c r="D124" s="32">
        <f>SUM(D125:D127)</f>
        <v>999625.77</v>
      </c>
      <c r="E124" s="32">
        <f t="shared" si="8"/>
        <v>3024477.31</v>
      </c>
      <c r="F124" s="32">
        <f>SUM(F125:F127)</f>
        <v>1374025.77</v>
      </c>
      <c r="G124" s="32">
        <f>SUM(G125:G127)</f>
        <v>1399625.77</v>
      </c>
      <c r="H124" s="32">
        <f>SUM(H125:H127)</f>
        <v>1341200.77</v>
      </c>
      <c r="I124" s="32">
        <f t="shared" si="9"/>
        <v>4114852.31</v>
      </c>
      <c r="J124" s="32">
        <f>SUM(J125:J127)</f>
        <v>1458050.77</v>
      </c>
      <c r="K124" s="32">
        <f>SUM(K125:K127)</f>
        <v>1399625.77</v>
      </c>
      <c r="L124" s="32">
        <f>SUM(L125:L127)</f>
        <v>1399625.77</v>
      </c>
      <c r="M124" s="32">
        <f t="shared" si="10"/>
        <v>4257302.3100000005</v>
      </c>
      <c r="N124" s="32">
        <f>SUM(N125:N127)</f>
        <v>1399625.77</v>
      </c>
      <c r="O124" s="32">
        <f>SUM(O125:O127)</f>
        <v>1399625.77</v>
      </c>
      <c r="P124" s="32">
        <f>SUM(P125:P127)</f>
        <v>1399625.77</v>
      </c>
      <c r="Q124" s="32">
        <f t="shared" si="11"/>
        <v>4198877.3100000005</v>
      </c>
      <c r="R124" s="33">
        <f t="shared" si="52"/>
        <v>15595509.24</v>
      </c>
    </row>
    <row r="125" spans="1:28" ht="21" hidden="1" outlineLevel="1">
      <c r="A125" s="52" t="s">
        <v>212</v>
      </c>
      <c r="B125" s="39">
        <f>'[38]Budget Forms'!E289</f>
        <v>620875.11</v>
      </c>
      <c r="C125" s="39">
        <f>'[38]Budget Forms'!F289</f>
        <v>646475.11</v>
      </c>
      <c r="D125" s="39">
        <f>'[38]Budget Forms'!G289</f>
        <v>620875.11</v>
      </c>
      <c r="E125" s="39">
        <f t="shared" si="8"/>
        <v>1888225.33</v>
      </c>
      <c r="F125" s="39">
        <f>'[38]Budget Forms'!H289</f>
        <v>595275.11</v>
      </c>
      <c r="G125" s="39">
        <f>'[38]Budget Forms'!I289</f>
        <v>620875.11</v>
      </c>
      <c r="H125" s="39">
        <f>'[38]Budget Forms'!J289</f>
        <v>562450.11</v>
      </c>
      <c r="I125" s="39">
        <f t="shared" si="9"/>
        <v>1778600.33</v>
      </c>
      <c r="J125" s="39">
        <f>'[38]Budget Forms'!K289</f>
        <v>679300.11</v>
      </c>
      <c r="K125" s="39">
        <f>'[38]Budget Forms'!L289</f>
        <v>620875.11</v>
      </c>
      <c r="L125" s="39">
        <f>'[38]Budget Forms'!M289</f>
        <v>620875.11</v>
      </c>
      <c r="M125" s="39">
        <f t="shared" si="10"/>
        <v>1921050.33</v>
      </c>
      <c r="N125" s="39">
        <f>'[38]Budget Forms'!N289</f>
        <v>620875.11</v>
      </c>
      <c r="O125" s="39">
        <f>'[38]Budget Forms'!O289</f>
        <v>620875.11</v>
      </c>
      <c r="P125" s="39">
        <f>'[38]Budget Forms'!P289</f>
        <v>620875.11</v>
      </c>
      <c r="Q125" s="39">
        <f t="shared" si="11"/>
        <v>1862625.33</v>
      </c>
      <c r="R125" s="39">
        <f t="shared" si="52"/>
        <v>7450501.3200000003</v>
      </c>
      <c r="S125" s="16"/>
      <c r="T125" s="16"/>
      <c r="U125" s="16"/>
      <c r="V125" s="16"/>
      <c r="W125" s="16"/>
      <c r="X125" s="16"/>
      <c r="Y125" s="16"/>
      <c r="Z125" s="16"/>
    </row>
    <row r="126" spans="1:28" ht="21" hidden="1" outlineLevel="1">
      <c r="A126" s="52" t="s">
        <v>216</v>
      </c>
      <c r="B126" s="39">
        <f>'[38]Budget Forms'!E290</f>
        <v>22500</v>
      </c>
      <c r="C126" s="39">
        <f>'[38]Budget Forms'!F290</f>
        <v>22500</v>
      </c>
      <c r="D126" s="39">
        <f>'[38]Budget Forms'!G290</f>
        <v>22500</v>
      </c>
      <c r="E126" s="39">
        <f t="shared" ref="E126:E144" si="53">SUM(B126:D126)</f>
        <v>67500</v>
      </c>
      <c r="F126" s="39">
        <f>'[38]Budget Forms'!H290</f>
        <v>22500</v>
      </c>
      <c r="G126" s="39">
        <f>'[38]Budget Forms'!I290</f>
        <v>22500</v>
      </c>
      <c r="H126" s="39">
        <f>'[38]Budget Forms'!J290</f>
        <v>22500</v>
      </c>
      <c r="I126" s="39">
        <f t="shared" ref="I126:I144" si="54">SUM(F126:H126)</f>
        <v>67500</v>
      </c>
      <c r="J126" s="39">
        <f>'[38]Budget Forms'!K290</f>
        <v>22500</v>
      </c>
      <c r="K126" s="39">
        <f>'[38]Budget Forms'!L290</f>
        <v>22500</v>
      </c>
      <c r="L126" s="39">
        <f>'[38]Budget Forms'!M290</f>
        <v>22500</v>
      </c>
      <c r="M126" s="39">
        <f t="shared" ref="M126:M144" si="55">SUM(J126:L126)</f>
        <v>67500</v>
      </c>
      <c r="N126" s="39">
        <f>'[38]Budget Forms'!N290</f>
        <v>22500</v>
      </c>
      <c r="O126" s="39">
        <f>'[38]Budget Forms'!O290</f>
        <v>22500</v>
      </c>
      <c r="P126" s="39">
        <f>'[38]Budget Forms'!P290</f>
        <v>22500</v>
      </c>
      <c r="Q126" s="39">
        <f t="shared" ref="Q126:Q144" si="56">SUM(N126:P126)</f>
        <v>67500</v>
      </c>
      <c r="R126" s="39">
        <f t="shared" si="52"/>
        <v>270000</v>
      </c>
      <c r="S126" s="16"/>
      <c r="T126" s="16"/>
      <c r="U126" s="16"/>
      <c r="V126" s="16"/>
      <c r="W126" s="16"/>
      <c r="X126" s="16"/>
      <c r="Y126" s="16"/>
      <c r="Z126" s="16"/>
    </row>
    <row r="127" spans="1:28" ht="21" hidden="1" outlineLevel="1">
      <c r="A127" s="52" t="s">
        <v>112</v>
      </c>
      <c r="B127" s="39">
        <f>'[38]Budget Forms'!E291</f>
        <v>356250.66</v>
      </c>
      <c r="C127" s="39">
        <f>'[38]Budget Forms'!F291</f>
        <v>356250.66</v>
      </c>
      <c r="D127" s="39">
        <f>'[38]Budget Forms'!G291</f>
        <v>356250.66</v>
      </c>
      <c r="E127" s="39">
        <f t="shared" si="53"/>
        <v>1068751.98</v>
      </c>
      <c r="F127" s="39">
        <f>'[38]Budget Forms'!H291</f>
        <v>756250.65999999992</v>
      </c>
      <c r="G127" s="39">
        <f>'[38]Budget Forms'!I291</f>
        <v>756250.65999999992</v>
      </c>
      <c r="H127" s="39">
        <f>'[38]Budget Forms'!J291</f>
        <v>756250.65999999992</v>
      </c>
      <c r="I127" s="39">
        <f t="shared" si="54"/>
        <v>2268751.9799999995</v>
      </c>
      <c r="J127" s="39">
        <f>'[38]Budget Forms'!K291</f>
        <v>756250.65999999992</v>
      </c>
      <c r="K127" s="39">
        <f>'[38]Budget Forms'!L291</f>
        <v>756250.65999999992</v>
      </c>
      <c r="L127" s="39">
        <f>'[38]Budget Forms'!M291</f>
        <v>756250.65999999992</v>
      </c>
      <c r="M127" s="39">
        <f t="shared" si="55"/>
        <v>2268751.9799999995</v>
      </c>
      <c r="N127" s="39">
        <f>'[38]Budget Forms'!N291</f>
        <v>756250.65999999992</v>
      </c>
      <c r="O127" s="39">
        <f>'[38]Budget Forms'!O291</f>
        <v>756250.65999999992</v>
      </c>
      <c r="P127" s="39">
        <f>'[38]Budget Forms'!P291</f>
        <v>756250.65999999992</v>
      </c>
      <c r="Q127" s="39">
        <f t="shared" si="56"/>
        <v>2268751.9799999995</v>
      </c>
      <c r="R127" s="39">
        <f t="shared" si="52"/>
        <v>7875007.919999999</v>
      </c>
      <c r="S127" s="16"/>
      <c r="T127" s="16"/>
      <c r="U127" s="16"/>
      <c r="V127" s="16"/>
      <c r="W127" s="16"/>
      <c r="X127" s="16"/>
      <c r="Y127" s="16"/>
      <c r="Z127" s="16"/>
    </row>
    <row r="128" spans="1:28" s="35" customFormat="1" ht="31.2" hidden="1" outlineLevel="1">
      <c r="A128" s="31" t="s">
        <v>223</v>
      </c>
      <c r="B128" s="32">
        <f>SUM(B129:B131)</f>
        <v>0</v>
      </c>
      <c r="C128" s="32">
        <f>SUM(C129:C131)</f>
        <v>0</v>
      </c>
      <c r="D128" s="32">
        <f>SUM(D129:D131)</f>
        <v>0</v>
      </c>
      <c r="E128" s="32">
        <f t="shared" si="53"/>
        <v>0</v>
      </c>
      <c r="F128" s="32">
        <f>SUM(F129:F131)</f>
        <v>0</v>
      </c>
      <c r="G128" s="32">
        <f>SUM(G129:G131)</f>
        <v>0</v>
      </c>
      <c r="H128" s="32">
        <f>SUM(H129:H131)</f>
        <v>0</v>
      </c>
      <c r="I128" s="32">
        <f t="shared" si="54"/>
        <v>0</v>
      </c>
      <c r="J128" s="32">
        <f>SUM(J129:J131)</f>
        <v>0</v>
      </c>
      <c r="K128" s="32">
        <f>SUM(K129:K131)</f>
        <v>0</v>
      </c>
      <c r="L128" s="32">
        <f>SUM(L129:L131)</f>
        <v>0</v>
      </c>
      <c r="M128" s="32">
        <f t="shared" si="55"/>
        <v>0</v>
      </c>
      <c r="N128" s="32">
        <f>SUM(N129:N131)</f>
        <v>0</v>
      </c>
      <c r="O128" s="32">
        <f>SUM(O129:O131)</f>
        <v>0</v>
      </c>
      <c r="P128" s="32">
        <f>SUM(P129:P131)</f>
        <v>0</v>
      </c>
      <c r="Q128" s="32">
        <f t="shared" si="56"/>
        <v>0</v>
      </c>
      <c r="R128" s="33">
        <f t="shared" si="52"/>
        <v>0</v>
      </c>
    </row>
    <row r="129" spans="1:28" ht="21" hidden="1" outlineLevel="1">
      <c r="A129" s="52" t="s">
        <v>212</v>
      </c>
      <c r="B129" s="39">
        <f>'[38]Budget Forms'!E292</f>
        <v>0</v>
      </c>
      <c r="C129" s="39">
        <f>'[38]Budget Forms'!F292</f>
        <v>0</v>
      </c>
      <c r="D129" s="39">
        <f>'[38]Budget Forms'!G292</f>
        <v>0</v>
      </c>
      <c r="E129" s="39">
        <f t="shared" si="53"/>
        <v>0</v>
      </c>
      <c r="F129" s="39">
        <f>'[38]Budget Forms'!H293</f>
        <v>0</v>
      </c>
      <c r="G129" s="39">
        <f>'[38]Budget Forms'!I293</f>
        <v>0</v>
      </c>
      <c r="H129" s="39">
        <f>'[38]Budget Forms'!J293</f>
        <v>0</v>
      </c>
      <c r="I129" s="39">
        <f t="shared" si="54"/>
        <v>0</v>
      </c>
      <c r="J129" s="39">
        <f>'[38]Budget Forms'!K293</f>
        <v>0</v>
      </c>
      <c r="K129" s="39">
        <f>'[38]Budget Forms'!L293</f>
        <v>0</v>
      </c>
      <c r="L129" s="39">
        <f>'[38]Budget Forms'!M293</f>
        <v>0</v>
      </c>
      <c r="M129" s="39">
        <f t="shared" si="55"/>
        <v>0</v>
      </c>
      <c r="N129" s="39">
        <f>'[38]Budget Forms'!N293</f>
        <v>0</v>
      </c>
      <c r="O129" s="39">
        <f>'[38]Budget Forms'!O293</f>
        <v>0</v>
      </c>
      <c r="P129" s="39">
        <f>'[38]Budget Forms'!P293</f>
        <v>0</v>
      </c>
      <c r="Q129" s="39">
        <f t="shared" si="56"/>
        <v>0</v>
      </c>
      <c r="R129" s="39">
        <f t="shared" si="52"/>
        <v>0</v>
      </c>
      <c r="S129" s="16"/>
      <c r="T129" s="16"/>
      <c r="U129" s="16"/>
      <c r="V129" s="16"/>
      <c r="W129" s="16"/>
      <c r="X129" s="16"/>
      <c r="Y129" s="16"/>
      <c r="Z129" s="16"/>
    </row>
    <row r="130" spans="1:28" ht="21" hidden="1" outlineLevel="1">
      <c r="A130" s="52" t="s">
        <v>216</v>
      </c>
      <c r="B130" s="39">
        <f>'[38]Budget Forms'!E293</f>
        <v>0</v>
      </c>
      <c r="C130" s="39">
        <f>'[38]Budget Forms'!F293</f>
        <v>0</v>
      </c>
      <c r="D130" s="39">
        <f>'[38]Budget Forms'!G293</f>
        <v>0</v>
      </c>
      <c r="E130" s="39">
        <f t="shared" si="53"/>
        <v>0</v>
      </c>
      <c r="F130" s="39">
        <f>'[38]Budget Forms'!H294</f>
        <v>0</v>
      </c>
      <c r="G130" s="39">
        <f>'[38]Budget Forms'!I294</f>
        <v>0</v>
      </c>
      <c r="H130" s="39">
        <f>'[38]Budget Forms'!J294</f>
        <v>0</v>
      </c>
      <c r="I130" s="39">
        <f t="shared" si="54"/>
        <v>0</v>
      </c>
      <c r="J130" s="39">
        <f>'[38]Budget Forms'!K294</f>
        <v>0</v>
      </c>
      <c r="K130" s="39">
        <f>'[38]Budget Forms'!L294</f>
        <v>0</v>
      </c>
      <c r="L130" s="39">
        <f>'[38]Budget Forms'!M294</f>
        <v>0</v>
      </c>
      <c r="M130" s="39">
        <f t="shared" si="55"/>
        <v>0</v>
      </c>
      <c r="N130" s="39">
        <f>'[38]Budget Forms'!N294</f>
        <v>0</v>
      </c>
      <c r="O130" s="39">
        <f>'[38]Budget Forms'!O294</f>
        <v>0</v>
      </c>
      <c r="P130" s="39">
        <f>'[38]Budget Forms'!P294</f>
        <v>0</v>
      </c>
      <c r="Q130" s="39">
        <f t="shared" si="56"/>
        <v>0</v>
      </c>
      <c r="R130" s="39">
        <f t="shared" si="52"/>
        <v>0</v>
      </c>
      <c r="S130" s="16"/>
      <c r="T130" s="16"/>
      <c r="U130" s="16"/>
      <c r="V130" s="16"/>
      <c r="W130" s="16"/>
      <c r="X130" s="16"/>
      <c r="Y130" s="16"/>
      <c r="Z130" s="16"/>
    </row>
    <row r="131" spans="1:28" ht="21" hidden="1" outlineLevel="1">
      <c r="A131" s="52" t="s">
        <v>112</v>
      </c>
      <c r="B131" s="39">
        <f>'[38]Budget Forms'!E294</f>
        <v>0</v>
      </c>
      <c r="C131" s="39">
        <f>'[38]Budget Forms'!F294</f>
        <v>0</v>
      </c>
      <c r="D131" s="39">
        <f>'[38]Budget Forms'!G294</f>
        <v>0</v>
      </c>
      <c r="E131" s="39">
        <f t="shared" si="53"/>
        <v>0</v>
      </c>
      <c r="F131" s="39">
        <f>'[38]Budget Forms'!H295</f>
        <v>0</v>
      </c>
      <c r="G131" s="39">
        <f>'[38]Budget Forms'!I295</f>
        <v>0</v>
      </c>
      <c r="H131" s="39">
        <f>'[38]Budget Forms'!J295</f>
        <v>0</v>
      </c>
      <c r="I131" s="39">
        <f t="shared" si="54"/>
        <v>0</v>
      </c>
      <c r="J131" s="39">
        <f>'[38]Budget Forms'!K295</f>
        <v>0</v>
      </c>
      <c r="K131" s="39">
        <f>'[38]Budget Forms'!L295</f>
        <v>0</v>
      </c>
      <c r="L131" s="39">
        <f>'[38]Budget Forms'!M295</f>
        <v>0</v>
      </c>
      <c r="M131" s="39">
        <f t="shared" si="55"/>
        <v>0</v>
      </c>
      <c r="N131" s="39">
        <f>'[38]Budget Forms'!N295</f>
        <v>0</v>
      </c>
      <c r="O131" s="39">
        <f>'[38]Budget Forms'!O295</f>
        <v>0</v>
      </c>
      <c r="P131" s="39">
        <f>'[38]Budget Forms'!P295</f>
        <v>0</v>
      </c>
      <c r="Q131" s="39">
        <f t="shared" si="56"/>
        <v>0</v>
      </c>
      <c r="R131" s="39"/>
      <c r="S131" s="16"/>
      <c r="T131" s="16"/>
      <c r="U131" s="16"/>
      <c r="V131" s="16"/>
      <c r="W131" s="16"/>
      <c r="X131" s="16"/>
      <c r="Y131" s="16"/>
      <c r="Z131" s="16"/>
    </row>
    <row r="132" spans="1:28" s="35" customFormat="1" ht="31.2" hidden="1" outlineLevel="1">
      <c r="A132" s="31" t="s">
        <v>224</v>
      </c>
      <c r="B132" s="32">
        <f>SUM(B133:B135)</f>
        <v>0</v>
      </c>
      <c r="C132" s="32">
        <f>SUM(C133:C135)</f>
        <v>0</v>
      </c>
      <c r="D132" s="32">
        <f>SUM(D133:D135)</f>
        <v>0</v>
      </c>
      <c r="E132" s="32">
        <f t="shared" si="53"/>
        <v>0</v>
      </c>
      <c r="F132" s="32">
        <f>SUM(F133:F135)</f>
        <v>0</v>
      </c>
      <c r="G132" s="32">
        <f>SUM(G133:G135)</f>
        <v>0</v>
      </c>
      <c r="H132" s="32">
        <f>SUM(H133:H135)</f>
        <v>0</v>
      </c>
      <c r="I132" s="32">
        <f t="shared" si="54"/>
        <v>0</v>
      </c>
      <c r="J132" s="32">
        <f>SUM(J133:J135)</f>
        <v>0</v>
      </c>
      <c r="K132" s="32">
        <f>SUM(K133:K135)</f>
        <v>0</v>
      </c>
      <c r="L132" s="32">
        <f>SUM(L133:L135)</f>
        <v>0</v>
      </c>
      <c r="M132" s="32">
        <f t="shared" si="55"/>
        <v>0</v>
      </c>
      <c r="N132" s="32">
        <f>SUM(N133:N135)</f>
        <v>0</v>
      </c>
      <c r="O132" s="32">
        <f>SUM(O133:O135)</f>
        <v>0</v>
      </c>
      <c r="P132" s="32">
        <f>SUM(P133:P135)</f>
        <v>0</v>
      </c>
      <c r="Q132" s="32">
        <f t="shared" si="56"/>
        <v>0</v>
      </c>
      <c r="R132" s="33">
        <f t="shared" ref="R132" si="57">SUM(E132,I132,M132,Q132)</f>
        <v>0</v>
      </c>
    </row>
    <row r="133" spans="1:28" ht="21" hidden="1" outlineLevel="1">
      <c r="A133" s="52" t="s">
        <v>212</v>
      </c>
      <c r="B133" s="39">
        <f>'[38]Budget Forms'!E296</f>
        <v>0</v>
      </c>
      <c r="C133" s="39">
        <f>'[38]Budget Forms'!F296</f>
        <v>0</v>
      </c>
      <c r="D133" s="39">
        <f>'[38]Budget Forms'!G296</f>
        <v>0</v>
      </c>
      <c r="E133" s="39">
        <f t="shared" si="53"/>
        <v>0</v>
      </c>
      <c r="F133" s="39">
        <f>'[38]Budget Forms'!H297</f>
        <v>0</v>
      </c>
      <c r="G133" s="39">
        <f>'[38]Budget Forms'!I297</f>
        <v>0</v>
      </c>
      <c r="H133" s="39">
        <f>'[38]Budget Forms'!J297</f>
        <v>0</v>
      </c>
      <c r="I133" s="39">
        <f t="shared" si="54"/>
        <v>0</v>
      </c>
      <c r="J133" s="39">
        <f>'[38]Budget Forms'!K297</f>
        <v>0</v>
      </c>
      <c r="K133" s="39">
        <f>'[38]Budget Forms'!L297</f>
        <v>0</v>
      </c>
      <c r="L133" s="39">
        <f>'[38]Budget Forms'!M297</f>
        <v>0</v>
      </c>
      <c r="M133" s="39">
        <f t="shared" si="55"/>
        <v>0</v>
      </c>
      <c r="N133" s="39">
        <f>'[38]Budget Forms'!N297</f>
        <v>0</v>
      </c>
      <c r="O133" s="39">
        <f>'[38]Budget Forms'!O297</f>
        <v>0</v>
      </c>
      <c r="P133" s="39">
        <f>'[38]Budget Forms'!P297</f>
        <v>0</v>
      </c>
      <c r="Q133" s="39">
        <f t="shared" si="56"/>
        <v>0</v>
      </c>
      <c r="R133" s="39"/>
      <c r="S133" s="16"/>
      <c r="T133" s="16"/>
      <c r="U133" s="16"/>
      <c r="V133" s="16"/>
      <c r="W133" s="16"/>
      <c r="X133" s="16"/>
      <c r="Y133" s="16"/>
      <c r="Z133" s="16"/>
    </row>
    <row r="134" spans="1:28" ht="21" hidden="1" outlineLevel="1">
      <c r="A134" s="52" t="s">
        <v>216</v>
      </c>
      <c r="B134" s="39">
        <f>'[38]Budget Forms'!E297</f>
        <v>0</v>
      </c>
      <c r="C134" s="39">
        <f>'[38]Budget Forms'!F297</f>
        <v>0</v>
      </c>
      <c r="D134" s="39">
        <f>'[38]Budget Forms'!G297</f>
        <v>0</v>
      </c>
      <c r="E134" s="39">
        <f t="shared" si="53"/>
        <v>0</v>
      </c>
      <c r="F134" s="39">
        <f>'[38]Budget Forms'!H298</f>
        <v>0</v>
      </c>
      <c r="G134" s="39">
        <f>'[38]Budget Forms'!I298</f>
        <v>0</v>
      </c>
      <c r="H134" s="39">
        <f>'[38]Budget Forms'!J298</f>
        <v>0</v>
      </c>
      <c r="I134" s="39">
        <f t="shared" si="54"/>
        <v>0</v>
      </c>
      <c r="J134" s="39">
        <f>'[38]Budget Forms'!K298</f>
        <v>0</v>
      </c>
      <c r="K134" s="39">
        <f>'[38]Budget Forms'!L298</f>
        <v>0</v>
      </c>
      <c r="L134" s="39">
        <f>'[38]Budget Forms'!M298</f>
        <v>0</v>
      </c>
      <c r="M134" s="39">
        <f t="shared" si="55"/>
        <v>0</v>
      </c>
      <c r="N134" s="39">
        <f>'[38]Budget Forms'!N298</f>
        <v>0</v>
      </c>
      <c r="O134" s="39">
        <f>'[38]Budget Forms'!O298</f>
        <v>0</v>
      </c>
      <c r="P134" s="39">
        <f>'[38]Budget Forms'!P298</f>
        <v>0</v>
      </c>
      <c r="Q134" s="39">
        <f t="shared" si="56"/>
        <v>0</v>
      </c>
      <c r="R134" s="39"/>
      <c r="S134" s="16"/>
      <c r="T134" s="16"/>
      <c r="U134" s="16"/>
      <c r="V134" s="16"/>
      <c r="W134" s="16"/>
      <c r="X134" s="16"/>
      <c r="Y134" s="16"/>
      <c r="Z134" s="16"/>
    </row>
    <row r="135" spans="1:28" ht="21" hidden="1" outlineLevel="1">
      <c r="A135" s="52" t="s">
        <v>112</v>
      </c>
      <c r="B135" s="39">
        <f>'[38]Budget Forms'!E298</f>
        <v>0</v>
      </c>
      <c r="C135" s="39">
        <f>'[38]Budget Forms'!F298</f>
        <v>0</v>
      </c>
      <c r="D135" s="39">
        <f>'[38]Budget Forms'!G298</f>
        <v>0</v>
      </c>
      <c r="E135" s="39">
        <f t="shared" si="53"/>
        <v>0</v>
      </c>
      <c r="F135" s="39">
        <f>'[38]Budget Forms'!H299</f>
        <v>0</v>
      </c>
      <c r="G135" s="39">
        <f>'[38]Budget Forms'!I299</f>
        <v>0</v>
      </c>
      <c r="H135" s="39">
        <f>'[38]Budget Forms'!J299</f>
        <v>0</v>
      </c>
      <c r="I135" s="39">
        <f t="shared" si="54"/>
        <v>0</v>
      </c>
      <c r="J135" s="39">
        <f>'[38]Budget Forms'!K299</f>
        <v>0</v>
      </c>
      <c r="K135" s="39">
        <f>'[38]Budget Forms'!L299</f>
        <v>0</v>
      </c>
      <c r="L135" s="39">
        <f>'[38]Budget Forms'!M299</f>
        <v>0</v>
      </c>
      <c r="M135" s="39">
        <f t="shared" si="55"/>
        <v>0</v>
      </c>
      <c r="N135" s="39">
        <f>'[38]Budget Forms'!N299</f>
        <v>0</v>
      </c>
      <c r="O135" s="39">
        <f>'[38]Budget Forms'!O299</f>
        <v>0</v>
      </c>
      <c r="P135" s="39">
        <f>'[38]Budget Forms'!P299</f>
        <v>0</v>
      </c>
      <c r="Q135" s="39">
        <f t="shared" si="56"/>
        <v>0</v>
      </c>
      <c r="R135" s="39"/>
      <c r="S135" s="16"/>
      <c r="T135" s="16"/>
      <c r="U135" s="16"/>
      <c r="V135" s="16"/>
      <c r="W135" s="16"/>
      <c r="X135" s="16"/>
      <c r="Y135" s="16"/>
      <c r="Z135" s="16"/>
    </row>
    <row r="136" spans="1:28" s="35" customFormat="1" ht="31.2" hidden="1" outlineLevel="1">
      <c r="A136" s="31" t="s">
        <v>225</v>
      </c>
      <c r="B136" s="32">
        <f>SUM(B137:B139)</f>
        <v>0</v>
      </c>
      <c r="C136" s="32">
        <f>SUM(C137:C139)</f>
        <v>0</v>
      </c>
      <c r="D136" s="32">
        <f>SUM(D137:D139)</f>
        <v>0</v>
      </c>
      <c r="E136" s="32">
        <f t="shared" si="53"/>
        <v>0</v>
      </c>
      <c r="F136" s="32">
        <f>SUM(F137:F139)</f>
        <v>0</v>
      </c>
      <c r="G136" s="32">
        <f>SUM(G137:G139)</f>
        <v>0</v>
      </c>
      <c r="H136" s="32">
        <f>SUM(H137:H139)</f>
        <v>0</v>
      </c>
      <c r="I136" s="32">
        <f t="shared" si="54"/>
        <v>0</v>
      </c>
      <c r="J136" s="32">
        <f>SUM(J137:J139)</f>
        <v>0</v>
      </c>
      <c r="K136" s="32">
        <f>SUM(K137:K139)</f>
        <v>0</v>
      </c>
      <c r="L136" s="32">
        <f>SUM(L137:L139)</f>
        <v>0</v>
      </c>
      <c r="M136" s="32">
        <f t="shared" si="55"/>
        <v>0</v>
      </c>
      <c r="N136" s="32">
        <f>SUM(N137:N139)</f>
        <v>0</v>
      </c>
      <c r="O136" s="32">
        <f>SUM(O137:O139)</f>
        <v>0</v>
      </c>
      <c r="P136" s="32">
        <f>SUM(P137:P139)</f>
        <v>0</v>
      </c>
      <c r="Q136" s="32">
        <f t="shared" si="56"/>
        <v>0</v>
      </c>
      <c r="R136" s="33">
        <f t="shared" ref="R136" si="58">SUM(E136,I136,M136,Q136)</f>
        <v>0</v>
      </c>
    </row>
    <row r="137" spans="1:28" ht="21" hidden="1" outlineLevel="1">
      <c r="A137" s="52" t="s">
        <v>212</v>
      </c>
      <c r="B137" s="39">
        <f>'[38]Budget Forms'!E300</f>
        <v>0</v>
      </c>
      <c r="C137" s="39">
        <f>'[38]Budget Forms'!F300</f>
        <v>0</v>
      </c>
      <c r="D137" s="39">
        <f>'[38]Budget Forms'!G300</f>
        <v>0</v>
      </c>
      <c r="E137" s="39">
        <f t="shared" si="53"/>
        <v>0</v>
      </c>
      <c r="F137" s="39">
        <f>'[38]Budget Forms'!H301</f>
        <v>0</v>
      </c>
      <c r="G137" s="39">
        <f>'[38]Budget Forms'!I301</f>
        <v>0</v>
      </c>
      <c r="H137" s="39">
        <f>'[38]Budget Forms'!J301</f>
        <v>0</v>
      </c>
      <c r="I137" s="39">
        <f t="shared" si="54"/>
        <v>0</v>
      </c>
      <c r="J137" s="39">
        <f>'[38]Budget Forms'!K301</f>
        <v>0</v>
      </c>
      <c r="K137" s="39">
        <f>'[38]Budget Forms'!L301</f>
        <v>0</v>
      </c>
      <c r="L137" s="39">
        <f>'[38]Budget Forms'!M301</f>
        <v>0</v>
      </c>
      <c r="M137" s="39">
        <f t="shared" si="55"/>
        <v>0</v>
      </c>
      <c r="N137" s="39">
        <f>'[38]Budget Forms'!N301</f>
        <v>0</v>
      </c>
      <c r="O137" s="39">
        <f>'[38]Budget Forms'!O301</f>
        <v>0</v>
      </c>
      <c r="P137" s="39">
        <f>'[38]Budget Forms'!P301</f>
        <v>0</v>
      </c>
      <c r="Q137" s="39">
        <f t="shared" si="56"/>
        <v>0</v>
      </c>
      <c r="R137" s="39">
        <f t="shared" si="52"/>
        <v>0</v>
      </c>
      <c r="S137" s="16"/>
      <c r="T137" s="16"/>
      <c r="U137" s="16"/>
      <c r="V137" s="16"/>
      <c r="W137" s="16"/>
      <c r="X137" s="16"/>
      <c r="Y137" s="16"/>
      <c r="Z137" s="16"/>
    </row>
    <row r="138" spans="1:28" ht="21" hidden="1" outlineLevel="1">
      <c r="A138" s="52" t="s">
        <v>216</v>
      </c>
      <c r="B138" s="39">
        <f>'[38]Budget Forms'!E301</f>
        <v>0</v>
      </c>
      <c r="C138" s="39">
        <f>'[38]Budget Forms'!F301</f>
        <v>0</v>
      </c>
      <c r="D138" s="39">
        <f>'[38]Budget Forms'!G301</f>
        <v>0</v>
      </c>
      <c r="E138" s="39">
        <f t="shared" si="53"/>
        <v>0</v>
      </c>
      <c r="F138" s="39">
        <f>'[38]Budget Forms'!H302</f>
        <v>0</v>
      </c>
      <c r="G138" s="39">
        <f>'[38]Budget Forms'!I302</f>
        <v>0</v>
      </c>
      <c r="H138" s="39">
        <f>'[38]Budget Forms'!J302</f>
        <v>0</v>
      </c>
      <c r="I138" s="39">
        <f t="shared" si="54"/>
        <v>0</v>
      </c>
      <c r="J138" s="39">
        <f>'[38]Budget Forms'!K302</f>
        <v>0</v>
      </c>
      <c r="K138" s="39">
        <f>'[38]Budget Forms'!L302</f>
        <v>0</v>
      </c>
      <c r="L138" s="39">
        <f>'[38]Budget Forms'!M302</f>
        <v>0</v>
      </c>
      <c r="M138" s="39">
        <f t="shared" si="55"/>
        <v>0</v>
      </c>
      <c r="N138" s="39">
        <f>'[38]Budget Forms'!N302</f>
        <v>0</v>
      </c>
      <c r="O138" s="39">
        <f>'[38]Budget Forms'!O302</f>
        <v>0</v>
      </c>
      <c r="P138" s="39">
        <f>'[38]Budget Forms'!P302</f>
        <v>0</v>
      </c>
      <c r="Q138" s="39">
        <f t="shared" si="56"/>
        <v>0</v>
      </c>
      <c r="R138" s="39">
        <f t="shared" si="52"/>
        <v>0</v>
      </c>
      <c r="S138" s="16"/>
      <c r="T138" s="16"/>
      <c r="U138" s="16"/>
      <c r="V138" s="16"/>
      <c r="W138" s="16"/>
      <c r="X138" s="16"/>
      <c r="Y138" s="16"/>
      <c r="Z138" s="16"/>
    </row>
    <row r="139" spans="1:28" ht="21" hidden="1" outlineLevel="1">
      <c r="A139" s="52" t="s">
        <v>112</v>
      </c>
      <c r="B139" s="39">
        <f>'[38]Budget Forms'!E302</f>
        <v>0</v>
      </c>
      <c r="C139" s="39">
        <f>'[38]Budget Forms'!F302</f>
        <v>0</v>
      </c>
      <c r="D139" s="39">
        <f>'[38]Budget Forms'!G302</f>
        <v>0</v>
      </c>
      <c r="E139" s="39">
        <f t="shared" si="53"/>
        <v>0</v>
      </c>
      <c r="F139" s="39">
        <f>'[38]Budget Forms'!H303</f>
        <v>0</v>
      </c>
      <c r="G139" s="39">
        <f>'[38]Budget Forms'!I303</f>
        <v>0</v>
      </c>
      <c r="H139" s="39">
        <f>'[38]Budget Forms'!J303</f>
        <v>0</v>
      </c>
      <c r="I139" s="39">
        <f t="shared" si="54"/>
        <v>0</v>
      </c>
      <c r="J139" s="39">
        <f>'[38]Budget Forms'!K303</f>
        <v>0</v>
      </c>
      <c r="K139" s="39">
        <f>'[38]Budget Forms'!L303</f>
        <v>0</v>
      </c>
      <c r="L139" s="39">
        <f>'[38]Budget Forms'!M303</f>
        <v>0</v>
      </c>
      <c r="M139" s="39">
        <f t="shared" si="55"/>
        <v>0</v>
      </c>
      <c r="N139" s="39">
        <f>'[38]Budget Forms'!N303</f>
        <v>0</v>
      </c>
      <c r="O139" s="39">
        <f>'[38]Budget Forms'!O303</f>
        <v>0</v>
      </c>
      <c r="P139" s="39">
        <f>'[38]Budget Forms'!P303</f>
        <v>0</v>
      </c>
      <c r="Q139" s="39">
        <f t="shared" si="56"/>
        <v>0</v>
      </c>
      <c r="R139" s="39">
        <f t="shared" si="52"/>
        <v>0</v>
      </c>
      <c r="S139" s="16"/>
      <c r="T139" s="16"/>
      <c r="U139" s="16"/>
      <c r="V139" s="16"/>
      <c r="W139" s="16"/>
      <c r="X139" s="16"/>
      <c r="Y139" s="16"/>
      <c r="Z139" s="16"/>
    </row>
    <row r="140" spans="1:28" s="35" customFormat="1" ht="31.2" hidden="1" outlineLevel="1">
      <c r="A140" s="31" t="s">
        <v>226</v>
      </c>
      <c r="B140" s="32">
        <f>SUM(B141:B143)</f>
        <v>0</v>
      </c>
      <c r="C140" s="32">
        <f>SUM(C141:C143)</f>
        <v>0</v>
      </c>
      <c r="D140" s="32">
        <f>SUM(D141:D143)</f>
        <v>0</v>
      </c>
      <c r="E140" s="32">
        <f t="shared" si="53"/>
        <v>0</v>
      </c>
      <c r="F140" s="32">
        <f>SUM(F141:F143)</f>
        <v>0</v>
      </c>
      <c r="G140" s="32">
        <f>SUM(G141:G143)</f>
        <v>0</v>
      </c>
      <c r="H140" s="32">
        <f>SUM(H141:H143)</f>
        <v>0</v>
      </c>
      <c r="I140" s="32">
        <f t="shared" si="54"/>
        <v>0</v>
      </c>
      <c r="J140" s="32">
        <f>SUM(J141:J143)</f>
        <v>0</v>
      </c>
      <c r="K140" s="32">
        <f>SUM(K141:K143)</f>
        <v>0</v>
      </c>
      <c r="L140" s="32">
        <f>SUM(L141:L143)</f>
        <v>0</v>
      </c>
      <c r="M140" s="32">
        <f t="shared" si="55"/>
        <v>0</v>
      </c>
      <c r="N140" s="32">
        <f>SUM(N141:N143)</f>
        <v>0</v>
      </c>
      <c r="O140" s="32">
        <f>SUM(O141:O143)</f>
        <v>0</v>
      </c>
      <c r="P140" s="32">
        <f>SUM(P141:P143)</f>
        <v>0</v>
      </c>
      <c r="Q140" s="32">
        <f t="shared" si="56"/>
        <v>0</v>
      </c>
      <c r="R140" s="33">
        <f t="shared" si="52"/>
        <v>0</v>
      </c>
    </row>
    <row r="141" spans="1:28" ht="21" hidden="1" outlineLevel="1">
      <c r="A141" s="52" t="s">
        <v>212</v>
      </c>
      <c r="B141" s="39">
        <f>'[38]Budget Forms'!E304</f>
        <v>0</v>
      </c>
      <c r="C141" s="39">
        <f>'[38]Budget Forms'!F304</f>
        <v>0</v>
      </c>
      <c r="D141" s="39">
        <f>'[38]Budget Forms'!G304</f>
        <v>0</v>
      </c>
      <c r="E141" s="39">
        <f t="shared" si="53"/>
        <v>0</v>
      </c>
      <c r="F141" s="39">
        <f>'[38]Budget Forms'!H305</f>
        <v>0</v>
      </c>
      <c r="G141" s="39">
        <f>'[38]Budget Forms'!I305</f>
        <v>0</v>
      </c>
      <c r="H141" s="39">
        <f>'[38]Budget Forms'!J305</f>
        <v>0</v>
      </c>
      <c r="I141" s="39">
        <f t="shared" si="54"/>
        <v>0</v>
      </c>
      <c r="J141" s="39">
        <f>'[38]Budget Forms'!K305</f>
        <v>0</v>
      </c>
      <c r="K141" s="39">
        <f>'[38]Budget Forms'!L305</f>
        <v>0</v>
      </c>
      <c r="L141" s="39">
        <f>'[38]Budget Forms'!M305</f>
        <v>0</v>
      </c>
      <c r="M141" s="39">
        <f t="shared" si="55"/>
        <v>0</v>
      </c>
      <c r="N141" s="39">
        <f>'[38]Budget Forms'!N305</f>
        <v>0</v>
      </c>
      <c r="O141" s="39">
        <f>'[38]Budget Forms'!O305</f>
        <v>0</v>
      </c>
      <c r="P141" s="39">
        <f>'[38]Budget Forms'!P305</f>
        <v>0</v>
      </c>
      <c r="Q141" s="39">
        <f t="shared" si="56"/>
        <v>0</v>
      </c>
      <c r="R141" s="39">
        <f t="shared" si="52"/>
        <v>0</v>
      </c>
      <c r="S141" s="16"/>
      <c r="T141" s="16"/>
      <c r="U141" s="16"/>
      <c r="V141" s="16"/>
      <c r="W141" s="16"/>
      <c r="X141" s="16"/>
      <c r="Y141" s="16"/>
      <c r="Z141" s="16"/>
    </row>
    <row r="142" spans="1:28" ht="21" hidden="1" outlineLevel="1">
      <c r="A142" s="52" t="s">
        <v>216</v>
      </c>
      <c r="B142" s="39">
        <f>'[38]Budget Forms'!E305</f>
        <v>0</v>
      </c>
      <c r="C142" s="39">
        <f>'[38]Budget Forms'!F305</f>
        <v>0</v>
      </c>
      <c r="D142" s="39">
        <f>'[38]Budget Forms'!G305</f>
        <v>0</v>
      </c>
      <c r="E142" s="39">
        <f t="shared" si="53"/>
        <v>0</v>
      </c>
      <c r="F142" s="39">
        <f>'[38]Budget Forms'!H306</f>
        <v>0</v>
      </c>
      <c r="G142" s="39">
        <f>'[38]Budget Forms'!I306</f>
        <v>0</v>
      </c>
      <c r="H142" s="39">
        <f>'[38]Budget Forms'!J306</f>
        <v>0</v>
      </c>
      <c r="I142" s="39">
        <f t="shared" si="54"/>
        <v>0</v>
      </c>
      <c r="J142" s="39">
        <f>'[38]Budget Forms'!K306</f>
        <v>0</v>
      </c>
      <c r="K142" s="39">
        <f>'[38]Budget Forms'!L306</f>
        <v>0</v>
      </c>
      <c r="L142" s="39">
        <f>'[38]Budget Forms'!M306</f>
        <v>0</v>
      </c>
      <c r="M142" s="39">
        <f t="shared" si="55"/>
        <v>0</v>
      </c>
      <c r="N142" s="39">
        <f>'[38]Budget Forms'!N306</f>
        <v>0</v>
      </c>
      <c r="O142" s="39">
        <f>'[38]Budget Forms'!O306</f>
        <v>0</v>
      </c>
      <c r="P142" s="39">
        <f>'[38]Budget Forms'!P306</f>
        <v>0</v>
      </c>
      <c r="Q142" s="39">
        <f t="shared" si="56"/>
        <v>0</v>
      </c>
      <c r="R142" s="39">
        <f t="shared" si="52"/>
        <v>0</v>
      </c>
      <c r="S142" s="16"/>
      <c r="T142" s="16"/>
      <c r="U142" s="16"/>
      <c r="V142" s="16"/>
      <c r="W142" s="16"/>
      <c r="X142" s="16"/>
      <c r="Y142" s="16"/>
      <c r="Z142" s="16"/>
    </row>
    <row r="143" spans="1:28" ht="21" hidden="1" outlineLevel="1">
      <c r="A143" s="52" t="s">
        <v>112</v>
      </c>
      <c r="B143" s="39">
        <f>'[38]Budget Forms'!E306</f>
        <v>0</v>
      </c>
      <c r="C143" s="39">
        <f>'[38]Budget Forms'!F306</f>
        <v>0</v>
      </c>
      <c r="D143" s="39">
        <f>'[38]Budget Forms'!G306</f>
        <v>0</v>
      </c>
      <c r="E143" s="39">
        <f t="shared" si="53"/>
        <v>0</v>
      </c>
      <c r="F143" s="39">
        <f>'[38]Budget Forms'!H307</f>
        <v>0</v>
      </c>
      <c r="G143" s="39">
        <f>'[38]Budget Forms'!I307</f>
        <v>0</v>
      </c>
      <c r="H143" s="39">
        <f>'[38]Budget Forms'!J307</f>
        <v>0</v>
      </c>
      <c r="I143" s="39">
        <f t="shared" si="54"/>
        <v>0</v>
      </c>
      <c r="J143" s="39">
        <f>'[38]Budget Forms'!K307</f>
        <v>0</v>
      </c>
      <c r="K143" s="39">
        <f>'[38]Budget Forms'!L307</f>
        <v>0</v>
      </c>
      <c r="L143" s="39">
        <f>'[38]Budget Forms'!M307</f>
        <v>0</v>
      </c>
      <c r="M143" s="39">
        <f t="shared" si="55"/>
        <v>0</v>
      </c>
      <c r="N143" s="39">
        <f>'[38]Budget Forms'!N307</f>
        <v>0</v>
      </c>
      <c r="O143" s="39">
        <f>'[38]Budget Forms'!O307</f>
        <v>0</v>
      </c>
      <c r="P143" s="39">
        <f>'[38]Budget Forms'!P307</f>
        <v>0</v>
      </c>
      <c r="Q143" s="39">
        <f t="shared" si="56"/>
        <v>0</v>
      </c>
      <c r="R143" s="39">
        <f>SUM(E143,I143,M143,Q143)</f>
        <v>0</v>
      </c>
      <c r="S143" s="16"/>
      <c r="T143" s="16"/>
      <c r="U143" s="16"/>
      <c r="V143" s="16"/>
      <c r="W143" s="16"/>
      <c r="X143" s="16"/>
      <c r="Y143" s="16"/>
      <c r="Z143" s="16"/>
    </row>
    <row r="144" spans="1:28" ht="23.4" collapsed="1">
      <c r="A144" s="51" t="s">
        <v>30</v>
      </c>
      <c r="B144" s="42">
        <v>416666.67</v>
      </c>
      <c r="C144" s="42">
        <v>416666.67</v>
      </c>
      <c r="D144" s="42">
        <v>416666.67</v>
      </c>
      <c r="E144" s="42">
        <f t="shared" si="53"/>
        <v>1250000.01</v>
      </c>
      <c r="F144" s="42">
        <v>416666.67</v>
      </c>
      <c r="G144" s="42">
        <v>416666.67</v>
      </c>
      <c r="H144" s="42">
        <v>416666.67</v>
      </c>
      <c r="I144" s="42">
        <f t="shared" si="54"/>
        <v>1250000.01</v>
      </c>
      <c r="J144" s="42">
        <v>416666.67</v>
      </c>
      <c r="K144" s="42">
        <v>416666.67</v>
      </c>
      <c r="L144" s="42">
        <v>416666.67</v>
      </c>
      <c r="M144" s="42">
        <f t="shared" si="55"/>
        <v>1250000.01</v>
      </c>
      <c r="N144" s="42">
        <v>416666.67</v>
      </c>
      <c r="O144" s="42">
        <v>416666.67</v>
      </c>
      <c r="P144" s="42">
        <v>416666.67</v>
      </c>
      <c r="Q144" s="42">
        <f t="shared" si="56"/>
        <v>1250000.01</v>
      </c>
      <c r="R144" s="42">
        <f t="shared" ref="R144" si="59">SUM(E144,I144,M144,Q144)</f>
        <v>5000000.04</v>
      </c>
      <c r="S144" s="15"/>
      <c r="T144" s="15"/>
      <c r="U144" s="15"/>
      <c r="V144" s="15"/>
      <c r="W144" s="15"/>
      <c r="X144" s="15"/>
      <c r="Y144" s="15"/>
      <c r="Z144" s="15"/>
      <c r="AA144" s="15"/>
      <c r="AB144" s="15"/>
    </row>
    <row r="145" spans="1:28" ht="23.4">
      <c r="A145" s="51" t="s">
        <v>227</v>
      </c>
      <c r="B145" s="42">
        <f>SUM(B146,B150,B154)</f>
        <v>422634.27</v>
      </c>
      <c r="C145" s="42">
        <f>SUM(C146,C150,C154)</f>
        <v>397234.27</v>
      </c>
      <c r="D145" s="42">
        <f>SUM(D146,D150,D154)</f>
        <v>492154.27</v>
      </c>
      <c r="E145" s="42">
        <f>SUM(B145:D145)</f>
        <v>1312022.81</v>
      </c>
      <c r="F145" s="42">
        <f>SUM(F146,F150,F154)</f>
        <v>422634.27</v>
      </c>
      <c r="G145" s="42">
        <f>SUM(G146,G150,G154)</f>
        <v>353114.27</v>
      </c>
      <c r="H145" s="42">
        <f>SUM(H146,H150,H154)</f>
        <v>422634.27</v>
      </c>
      <c r="I145" s="42">
        <f>SUM(F145:H145)</f>
        <v>1198382.81</v>
      </c>
      <c r="J145" s="42">
        <f>SUM(J146,J150,J154)</f>
        <v>422634.27</v>
      </c>
      <c r="K145" s="42">
        <f>SUM(K146,K150,K154)</f>
        <v>422634.27</v>
      </c>
      <c r="L145" s="42">
        <f>SUM(L146,L150,L154)</f>
        <v>448034.27</v>
      </c>
      <c r="M145" s="42">
        <f>SUM(J145:L145)</f>
        <v>1293302.81</v>
      </c>
      <c r="N145" s="42">
        <f>SUM(N146,N150,N154)</f>
        <v>422634.27</v>
      </c>
      <c r="O145" s="42">
        <f>SUM(O146,O150,O154)</f>
        <v>422634.27</v>
      </c>
      <c r="P145" s="42">
        <f>SUM(P146,P150,P154)</f>
        <v>422634.27</v>
      </c>
      <c r="Q145" s="42">
        <f>SUM(N145:P145)</f>
        <v>1267902.81</v>
      </c>
      <c r="R145" s="42">
        <f>SUM(E145,I145,M145,Q145)</f>
        <v>5071611.24</v>
      </c>
      <c r="S145" s="15"/>
      <c r="T145" s="15"/>
      <c r="U145" s="15"/>
      <c r="V145" s="15"/>
      <c r="W145" s="15"/>
      <c r="X145" s="15"/>
      <c r="Y145" s="15"/>
      <c r="Z145" s="15"/>
      <c r="AA145" s="15"/>
      <c r="AB145" s="15"/>
    </row>
    <row r="146" spans="1:28" s="35" customFormat="1" ht="31.2" hidden="1" outlineLevel="1">
      <c r="A146" s="31" t="s">
        <v>228</v>
      </c>
      <c r="B146" s="32">
        <f>SUM(B147:B149)</f>
        <v>422634.27</v>
      </c>
      <c r="C146" s="32">
        <f>SUM(C147:C149)</f>
        <v>397234.27</v>
      </c>
      <c r="D146" s="32">
        <f>SUM(D147:D149)</f>
        <v>492154.27</v>
      </c>
      <c r="E146" s="32">
        <f t="shared" ref="E146:E174" si="60">SUM(B146:D146)</f>
        <v>1312022.81</v>
      </c>
      <c r="F146" s="32">
        <f>SUM(F147:F149)</f>
        <v>422634.27</v>
      </c>
      <c r="G146" s="32">
        <f>SUM(G147:G149)</f>
        <v>353114.27</v>
      </c>
      <c r="H146" s="32">
        <f>SUM(H147:H149)</f>
        <v>422634.27</v>
      </c>
      <c r="I146" s="32">
        <f t="shared" ref="I146:I192" si="61">SUM(F146:H146)</f>
        <v>1198382.81</v>
      </c>
      <c r="J146" s="32">
        <f>SUM(J147:J149)</f>
        <v>422634.27</v>
      </c>
      <c r="K146" s="32">
        <f>SUM(K147:K149)</f>
        <v>422634.27</v>
      </c>
      <c r="L146" s="32">
        <f>SUM(L147:L149)</f>
        <v>448034.27</v>
      </c>
      <c r="M146" s="32">
        <f t="shared" ref="M146:M192" si="62">SUM(J146:L146)</f>
        <v>1293302.81</v>
      </c>
      <c r="N146" s="32">
        <f>SUM(N147:N149)</f>
        <v>422634.27</v>
      </c>
      <c r="O146" s="32">
        <f>SUM(O147:O149)</f>
        <v>422634.27</v>
      </c>
      <c r="P146" s="32">
        <f>SUM(P147:P149)</f>
        <v>422634.27</v>
      </c>
      <c r="Q146" s="32">
        <f t="shared" ref="Q146:Q192" si="63">SUM(N146:P146)</f>
        <v>1267902.81</v>
      </c>
      <c r="R146" s="33">
        <f>SUM(E146,I146,M146,Q146)</f>
        <v>5071611.24</v>
      </c>
    </row>
    <row r="147" spans="1:28" ht="21" hidden="1" outlineLevel="1">
      <c r="A147" s="52" t="s">
        <v>212</v>
      </c>
      <c r="B147" s="39">
        <f>'[38]Budget Forms'!E308</f>
        <v>375459.71</v>
      </c>
      <c r="C147" s="39">
        <f>'[38]Budget Forms'!F308</f>
        <v>350059.71</v>
      </c>
      <c r="D147" s="39">
        <f>'[38]Budget Forms'!G308</f>
        <v>444979.71</v>
      </c>
      <c r="E147" s="39">
        <f t="shared" si="60"/>
        <v>1170499.1300000001</v>
      </c>
      <c r="F147" s="39">
        <f>'[38]Budget Forms'!H308</f>
        <v>375459.71</v>
      </c>
      <c r="G147" s="39">
        <f>'[38]Budget Forms'!I308</f>
        <v>305939.71000000002</v>
      </c>
      <c r="H147" s="39">
        <f>'[38]Budget Forms'!J308</f>
        <v>375459.71</v>
      </c>
      <c r="I147" s="39">
        <f t="shared" si="61"/>
        <v>1056859.1300000001</v>
      </c>
      <c r="J147" s="39">
        <f>'[38]Budget Forms'!K308</f>
        <v>375459.71</v>
      </c>
      <c r="K147" s="39">
        <f>'[38]Budget Forms'!L308</f>
        <v>375459.71</v>
      </c>
      <c r="L147" s="39">
        <f>'[38]Budget Forms'!M308</f>
        <v>400859.71</v>
      </c>
      <c r="M147" s="39">
        <f t="shared" si="62"/>
        <v>1151779.1300000001</v>
      </c>
      <c r="N147" s="39">
        <f>'[38]Budget Forms'!N308</f>
        <v>375459.71</v>
      </c>
      <c r="O147" s="39">
        <f>'[38]Budget Forms'!O308</f>
        <v>375459.71</v>
      </c>
      <c r="P147" s="39">
        <f>'[38]Budget Forms'!P308</f>
        <v>375459.71</v>
      </c>
      <c r="Q147" s="39">
        <f t="shared" si="63"/>
        <v>1126379.1300000001</v>
      </c>
      <c r="R147" s="39">
        <f t="shared" ref="R147:R148" si="64">SUM(E147,I147,M147,Q147)</f>
        <v>4505516.5200000005</v>
      </c>
      <c r="S147" s="16"/>
      <c r="T147" s="16"/>
      <c r="U147" s="16"/>
      <c r="V147" s="16"/>
      <c r="W147" s="16"/>
      <c r="X147" s="16"/>
      <c r="Y147" s="16"/>
      <c r="Z147" s="16"/>
    </row>
    <row r="148" spans="1:28" ht="21" hidden="1" outlineLevel="1">
      <c r="A148" s="52" t="s">
        <v>216</v>
      </c>
      <c r="B148" s="39">
        <f>'[38]Budget Forms'!E309</f>
        <v>0</v>
      </c>
      <c r="C148" s="39">
        <f>'[38]Budget Forms'!F309</f>
        <v>0</v>
      </c>
      <c r="D148" s="39">
        <f>'[38]Budget Forms'!G309</f>
        <v>0</v>
      </c>
      <c r="E148" s="39">
        <f t="shared" si="60"/>
        <v>0</v>
      </c>
      <c r="F148" s="39">
        <f>'[38]Budget Forms'!H309</f>
        <v>0</v>
      </c>
      <c r="G148" s="39">
        <f>'[38]Budget Forms'!I309</f>
        <v>0</v>
      </c>
      <c r="H148" s="39">
        <f>'[38]Budget Forms'!J309</f>
        <v>0</v>
      </c>
      <c r="I148" s="39">
        <f t="shared" si="61"/>
        <v>0</v>
      </c>
      <c r="J148" s="39">
        <f>'[38]Budget Forms'!K309</f>
        <v>0</v>
      </c>
      <c r="K148" s="39">
        <f>'[38]Budget Forms'!L309</f>
        <v>0</v>
      </c>
      <c r="L148" s="39">
        <f>'[38]Budget Forms'!M309</f>
        <v>0</v>
      </c>
      <c r="M148" s="39">
        <f t="shared" si="62"/>
        <v>0</v>
      </c>
      <c r="N148" s="39">
        <f>'[38]Budget Forms'!N309</f>
        <v>0</v>
      </c>
      <c r="O148" s="39">
        <f>'[38]Budget Forms'!O309</f>
        <v>0</v>
      </c>
      <c r="P148" s="39">
        <f>'[38]Budget Forms'!P309</f>
        <v>0</v>
      </c>
      <c r="Q148" s="39">
        <f t="shared" si="63"/>
        <v>0</v>
      </c>
      <c r="R148" s="39">
        <f t="shared" si="64"/>
        <v>0</v>
      </c>
      <c r="S148" s="16"/>
      <c r="T148" s="16"/>
      <c r="U148" s="16"/>
      <c r="V148" s="16"/>
      <c r="W148" s="16"/>
      <c r="X148" s="16"/>
      <c r="Y148" s="16"/>
      <c r="Z148" s="16"/>
    </row>
    <row r="149" spans="1:28" ht="21" hidden="1" outlineLevel="1">
      <c r="A149" s="52" t="s">
        <v>112</v>
      </c>
      <c r="B149" s="39">
        <f>'[38]Budget Forms'!E310</f>
        <v>47174.559999999998</v>
      </c>
      <c r="C149" s="39">
        <f>'[38]Budget Forms'!F310</f>
        <v>47174.559999999998</v>
      </c>
      <c r="D149" s="39">
        <f>'[38]Budget Forms'!G310</f>
        <v>47174.559999999998</v>
      </c>
      <c r="E149" s="39">
        <f t="shared" si="60"/>
        <v>141523.68</v>
      </c>
      <c r="F149" s="39">
        <f>'[38]Budget Forms'!H310</f>
        <v>47174.559999999998</v>
      </c>
      <c r="G149" s="39">
        <f>'[38]Budget Forms'!I310</f>
        <v>47174.559999999998</v>
      </c>
      <c r="H149" s="39">
        <f>'[38]Budget Forms'!J310</f>
        <v>47174.559999999998</v>
      </c>
      <c r="I149" s="39">
        <f t="shared" si="61"/>
        <v>141523.68</v>
      </c>
      <c r="J149" s="39">
        <f>'[38]Budget Forms'!K310</f>
        <v>47174.559999999998</v>
      </c>
      <c r="K149" s="39">
        <f>'[38]Budget Forms'!L310</f>
        <v>47174.559999999998</v>
      </c>
      <c r="L149" s="39">
        <f>'[38]Budget Forms'!M310</f>
        <v>47174.559999999998</v>
      </c>
      <c r="M149" s="39">
        <f t="shared" si="62"/>
        <v>141523.68</v>
      </c>
      <c r="N149" s="39">
        <f>'[38]Budget Forms'!N310</f>
        <v>47174.559999999998</v>
      </c>
      <c r="O149" s="39">
        <f>'[38]Budget Forms'!O310</f>
        <v>47174.559999999998</v>
      </c>
      <c r="P149" s="39">
        <f>'[38]Budget Forms'!P310</f>
        <v>47174.559999999998</v>
      </c>
      <c r="Q149" s="39">
        <f t="shared" si="63"/>
        <v>141523.68</v>
      </c>
      <c r="R149" s="39">
        <f>SUM(E149,I149,M149,Q149)</f>
        <v>566094.72</v>
      </c>
      <c r="S149" s="16"/>
      <c r="T149" s="16"/>
      <c r="U149" s="16"/>
      <c r="V149" s="16"/>
      <c r="W149" s="16"/>
      <c r="X149" s="16"/>
      <c r="Y149" s="16"/>
      <c r="Z149" s="16"/>
    </row>
    <row r="150" spans="1:28" s="35" customFormat="1" ht="31.2" hidden="1" outlineLevel="1">
      <c r="A150" s="31" t="s">
        <v>229</v>
      </c>
      <c r="B150" s="32">
        <f>SUM(B151:B153)</f>
        <v>0</v>
      </c>
      <c r="C150" s="32">
        <f>SUM(C151:C153)</f>
        <v>0</v>
      </c>
      <c r="D150" s="32">
        <f>SUM(D151:D153)</f>
        <v>0</v>
      </c>
      <c r="E150" s="32">
        <f t="shared" si="60"/>
        <v>0</v>
      </c>
      <c r="F150" s="32">
        <f>SUM(F151:F153)</f>
        <v>0</v>
      </c>
      <c r="G150" s="32">
        <f>SUM(G151:G153)</f>
        <v>0</v>
      </c>
      <c r="H150" s="32">
        <f>SUM(H151:H153)</f>
        <v>0</v>
      </c>
      <c r="I150" s="32">
        <f t="shared" si="61"/>
        <v>0</v>
      </c>
      <c r="J150" s="32">
        <f>SUM(J151:J153)</f>
        <v>0</v>
      </c>
      <c r="K150" s="32">
        <f>SUM(K151:K153)</f>
        <v>0</v>
      </c>
      <c r="L150" s="32">
        <f>SUM(L151:L153)</f>
        <v>0</v>
      </c>
      <c r="M150" s="32">
        <f t="shared" si="62"/>
        <v>0</v>
      </c>
      <c r="N150" s="32">
        <f>SUM(N151:N153)</f>
        <v>0</v>
      </c>
      <c r="O150" s="32">
        <f>SUM(O151:O153)</f>
        <v>0</v>
      </c>
      <c r="P150" s="32">
        <f>SUM(P151:P153)</f>
        <v>0</v>
      </c>
      <c r="Q150" s="32">
        <f t="shared" si="63"/>
        <v>0</v>
      </c>
      <c r="R150" s="33">
        <f t="shared" ref="R150:R152" si="65">SUM(E150,I150,M150,Q150)</f>
        <v>0</v>
      </c>
    </row>
    <row r="151" spans="1:28" ht="21" hidden="1" outlineLevel="1">
      <c r="A151" s="52" t="s">
        <v>212</v>
      </c>
      <c r="B151" s="39">
        <f>'[38]Budget Forms'!E312</f>
        <v>0</v>
      </c>
      <c r="C151" s="39">
        <f>'[38]Budget Forms'!F312</f>
        <v>0</v>
      </c>
      <c r="D151" s="39">
        <f>'[38]Budget Forms'!G312</f>
        <v>0</v>
      </c>
      <c r="E151" s="39">
        <f t="shared" si="60"/>
        <v>0</v>
      </c>
      <c r="F151" s="39">
        <f>'[38]Budget Forms'!H312</f>
        <v>0</v>
      </c>
      <c r="G151" s="39">
        <f>'[38]Budget Forms'!I312</f>
        <v>0</v>
      </c>
      <c r="H151" s="39">
        <f>'[38]Budget Forms'!J312</f>
        <v>0</v>
      </c>
      <c r="I151" s="39">
        <f t="shared" si="61"/>
        <v>0</v>
      </c>
      <c r="J151" s="39">
        <f>'[38]Budget Forms'!K312</f>
        <v>0</v>
      </c>
      <c r="K151" s="39">
        <f>'[38]Budget Forms'!L312</f>
        <v>0</v>
      </c>
      <c r="L151" s="39">
        <f>'[38]Budget Forms'!M312</f>
        <v>0</v>
      </c>
      <c r="M151" s="39">
        <f t="shared" si="62"/>
        <v>0</v>
      </c>
      <c r="N151" s="39">
        <f>-'[38]Budget Forms'!N311</f>
        <v>0</v>
      </c>
      <c r="O151" s="39">
        <f>'[38]Budget Forms'!O312</f>
        <v>0</v>
      </c>
      <c r="P151" s="39">
        <f>'[38]Budget Forms'!P312</f>
        <v>0</v>
      </c>
      <c r="Q151" s="39">
        <f t="shared" si="63"/>
        <v>0</v>
      </c>
      <c r="R151" s="39">
        <f t="shared" si="65"/>
        <v>0</v>
      </c>
      <c r="S151" s="16"/>
      <c r="T151" s="16"/>
      <c r="U151" s="16"/>
      <c r="V151" s="16"/>
      <c r="W151" s="16"/>
      <c r="X151" s="16"/>
      <c r="Y151" s="16"/>
      <c r="Z151" s="16"/>
    </row>
    <row r="152" spans="1:28" ht="21" hidden="1" outlineLevel="1">
      <c r="A152" s="52" t="s">
        <v>216</v>
      </c>
      <c r="B152" s="39">
        <f>'[38]Budget Forms'!E313</f>
        <v>0</v>
      </c>
      <c r="C152" s="39">
        <f>'[38]Budget Forms'!F313</f>
        <v>0</v>
      </c>
      <c r="D152" s="39">
        <f>'[38]Budget Forms'!G313</f>
        <v>0</v>
      </c>
      <c r="E152" s="39">
        <f t="shared" si="60"/>
        <v>0</v>
      </c>
      <c r="F152" s="39">
        <f>'[38]Budget Forms'!H313</f>
        <v>0</v>
      </c>
      <c r="G152" s="39">
        <f>'[38]Budget Forms'!I313</f>
        <v>0</v>
      </c>
      <c r="H152" s="39">
        <f>'[38]Budget Forms'!J313</f>
        <v>0</v>
      </c>
      <c r="I152" s="39">
        <f t="shared" si="61"/>
        <v>0</v>
      </c>
      <c r="J152" s="39">
        <f>'[38]Budget Forms'!K313</f>
        <v>0</v>
      </c>
      <c r="K152" s="39">
        <f>'[38]Budget Forms'!L313</f>
        <v>0</v>
      </c>
      <c r="L152" s="39">
        <f>'[38]Budget Forms'!M313</f>
        <v>0</v>
      </c>
      <c r="M152" s="39">
        <f t="shared" si="62"/>
        <v>0</v>
      </c>
      <c r="N152" s="39">
        <f>-'[38]Budget Forms'!N312</f>
        <v>0</v>
      </c>
      <c r="O152" s="39">
        <f>'[38]Budget Forms'!O313</f>
        <v>0</v>
      </c>
      <c r="P152" s="39">
        <f>'[38]Budget Forms'!P313</f>
        <v>0</v>
      </c>
      <c r="Q152" s="39">
        <f t="shared" si="63"/>
        <v>0</v>
      </c>
      <c r="R152" s="39">
        <f t="shared" si="65"/>
        <v>0</v>
      </c>
      <c r="S152" s="16"/>
      <c r="T152" s="16"/>
      <c r="U152" s="16"/>
      <c r="V152" s="16"/>
      <c r="W152" s="16"/>
      <c r="X152" s="16"/>
      <c r="Y152" s="16"/>
      <c r="Z152" s="16"/>
    </row>
    <row r="153" spans="1:28" ht="21" hidden="1" outlineLevel="1">
      <c r="A153" s="52" t="s">
        <v>112</v>
      </c>
      <c r="B153" s="39">
        <f>'[38]Budget Forms'!E314</f>
        <v>0</v>
      </c>
      <c r="C153" s="39">
        <f>'[38]Budget Forms'!F314</f>
        <v>0</v>
      </c>
      <c r="D153" s="39">
        <f>'[38]Budget Forms'!G314</f>
        <v>0</v>
      </c>
      <c r="E153" s="39">
        <f t="shared" si="60"/>
        <v>0</v>
      </c>
      <c r="F153" s="39">
        <f>'[38]Budget Forms'!H314</f>
        <v>0</v>
      </c>
      <c r="G153" s="39">
        <f>'[38]Budget Forms'!I314</f>
        <v>0</v>
      </c>
      <c r="H153" s="39">
        <f>'[38]Budget Forms'!J314</f>
        <v>0</v>
      </c>
      <c r="I153" s="39">
        <f t="shared" si="61"/>
        <v>0</v>
      </c>
      <c r="J153" s="39">
        <f>'[38]Budget Forms'!K314</f>
        <v>0</v>
      </c>
      <c r="K153" s="39">
        <f>'[38]Budget Forms'!L314</f>
        <v>0</v>
      </c>
      <c r="L153" s="39">
        <f>'[38]Budget Forms'!M314</f>
        <v>0</v>
      </c>
      <c r="M153" s="39">
        <f t="shared" si="62"/>
        <v>0</v>
      </c>
      <c r="N153" s="39">
        <f>-'[38]Budget Forms'!N313</f>
        <v>0</v>
      </c>
      <c r="O153" s="39">
        <f>'[38]Budget Forms'!O314</f>
        <v>0</v>
      </c>
      <c r="P153" s="39">
        <f>'[38]Budget Forms'!P314</f>
        <v>0</v>
      </c>
      <c r="Q153" s="39">
        <f t="shared" si="63"/>
        <v>0</v>
      </c>
      <c r="R153" s="39">
        <f>SUM(E153,I153,M153,Q153)</f>
        <v>0</v>
      </c>
      <c r="S153" s="16"/>
      <c r="T153" s="16"/>
      <c r="U153" s="16"/>
      <c r="V153" s="16"/>
      <c r="W153" s="16"/>
      <c r="X153" s="16"/>
      <c r="Y153" s="16"/>
      <c r="Z153" s="16"/>
    </row>
    <row r="154" spans="1:28" s="35" customFormat="1" ht="31.2" hidden="1" outlineLevel="1">
      <c r="A154" s="31" t="s">
        <v>230</v>
      </c>
      <c r="B154" s="32">
        <f>SUM(B155:B157)</f>
        <v>0</v>
      </c>
      <c r="C154" s="32">
        <f>SUM(C155:C157)</f>
        <v>0</v>
      </c>
      <c r="D154" s="32">
        <f>SUM(D155:D157)</f>
        <v>0</v>
      </c>
      <c r="E154" s="32">
        <f t="shared" si="60"/>
        <v>0</v>
      </c>
      <c r="F154" s="32">
        <f>SUM(F155:F157)</f>
        <v>0</v>
      </c>
      <c r="G154" s="32">
        <f>SUM(G155:G157)</f>
        <v>0</v>
      </c>
      <c r="H154" s="32">
        <f>SUM(H155:H157)</f>
        <v>0</v>
      </c>
      <c r="I154" s="32">
        <f t="shared" si="61"/>
        <v>0</v>
      </c>
      <c r="J154" s="32">
        <f>SUM(J155:J157)</f>
        <v>0</v>
      </c>
      <c r="K154" s="32">
        <f>SUM(K155:K157)</f>
        <v>0</v>
      </c>
      <c r="L154" s="32">
        <f>SUM(L155:L157)</f>
        <v>0</v>
      </c>
      <c r="M154" s="32">
        <f t="shared" si="62"/>
        <v>0</v>
      </c>
      <c r="N154" s="32">
        <f>SUM(N155:N157)</f>
        <v>0</v>
      </c>
      <c r="O154" s="32">
        <f>SUM(O155:O157)</f>
        <v>0</v>
      </c>
      <c r="P154" s="32">
        <f>SUM(P155:P157)</f>
        <v>0</v>
      </c>
      <c r="Q154" s="32">
        <f t="shared" si="63"/>
        <v>0</v>
      </c>
      <c r="R154" s="33">
        <f t="shared" ref="R154:R156" si="66">SUM(E154,I154,M154,Q154)</f>
        <v>0</v>
      </c>
    </row>
    <row r="155" spans="1:28" ht="21" hidden="1" outlineLevel="1">
      <c r="A155" s="52" t="s">
        <v>212</v>
      </c>
      <c r="B155" s="39">
        <f>'[38]Budget Forms'!E316</f>
        <v>0</v>
      </c>
      <c r="C155" s="39">
        <f>'[38]Budget Forms'!F316</f>
        <v>0</v>
      </c>
      <c r="D155" s="39">
        <f>'[38]Budget Forms'!G316</f>
        <v>0</v>
      </c>
      <c r="E155" s="39">
        <f t="shared" si="60"/>
        <v>0</v>
      </c>
      <c r="F155" s="39">
        <f>'[38]Budget Forms'!H316</f>
        <v>0</v>
      </c>
      <c r="G155" s="39">
        <f>'[38]Budget Forms'!I316</f>
        <v>0</v>
      </c>
      <c r="H155" s="39">
        <f>'[38]Budget Forms'!J316</f>
        <v>0</v>
      </c>
      <c r="I155" s="39">
        <f t="shared" si="61"/>
        <v>0</v>
      </c>
      <c r="J155" s="39">
        <f>'[38]Budget Forms'!K316</f>
        <v>0</v>
      </c>
      <c r="K155" s="39">
        <f>'[38]Budget Forms'!L316</f>
        <v>0</v>
      </c>
      <c r="L155" s="39">
        <f>'[38]Budget Forms'!M316</f>
        <v>0</v>
      </c>
      <c r="M155" s="39">
        <f t="shared" si="62"/>
        <v>0</v>
      </c>
      <c r="N155" s="39">
        <f>-'[38]Budget Forms'!N314</f>
        <v>0</v>
      </c>
      <c r="O155" s="39">
        <f>'[38]Budget Forms'!O316</f>
        <v>0</v>
      </c>
      <c r="P155" s="39">
        <f>'[38]Budget Forms'!P316</f>
        <v>0</v>
      </c>
      <c r="Q155" s="39">
        <f t="shared" si="63"/>
        <v>0</v>
      </c>
      <c r="R155" s="39">
        <f t="shared" si="66"/>
        <v>0</v>
      </c>
      <c r="S155" s="16"/>
      <c r="T155" s="16"/>
      <c r="U155" s="16"/>
      <c r="V155" s="16"/>
      <c r="W155" s="16"/>
      <c r="X155" s="16"/>
      <c r="Y155" s="16"/>
      <c r="Z155" s="16"/>
    </row>
    <row r="156" spans="1:28" ht="21" hidden="1" outlineLevel="1">
      <c r="A156" s="52" t="s">
        <v>216</v>
      </c>
      <c r="B156" s="39">
        <f>'[38]Budget Forms'!E317</f>
        <v>0</v>
      </c>
      <c r="C156" s="39">
        <f>'[38]Budget Forms'!F317</f>
        <v>0</v>
      </c>
      <c r="D156" s="39">
        <f>'[38]Budget Forms'!G317</f>
        <v>0</v>
      </c>
      <c r="E156" s="39">
        <f t="shared" si="60"/>
        <v>0</v>
      </c>
      <c r="F156" s="39">
        <f>'[38]Budget Forms'!H317</f>
        <v>0</v>
      </c>
      <c r="G156" s="39">
        <f>'[38]Budget Forms'!I317</f>
        <v>0</v>
      </c>
      <c r="H156" s="39">
        <f>'[38]Budget Forms'!J317</f>
        <v>0</v>
      </c>
      <c r="I156" s="39">
        <f t="shared" si="61"/>
        <v>0</v>
      </c>
      <c r="J156" s="39">
        <f>'[38]Budget Forms'!K317</f>
        <v>0</v>
      </c>
      <c r="K156" s="39">
        <f>'[38]Budget Forms'!L317</f>
        <v>0</v>
      </c>
      <c r="L156" s="39">
        <f>'[38]Budget Forms'!M317</f>
        <v>0</v>
      </c>
      <c r="M156" s="39">
        <f t="shared" si="62"/>
        <v>0</v>
      </c>
      <c r="N156" s="39">
        <f>-'[38]Budget Forms'!N315</f>
        <v>0</v>
      </c>
      <c r="O156" s="39">
        <f>'[38]Budget Forms'!O317</f>
        <v>0</v>
      </c>
      <c r="P156" s="39">
        <f>'[38]Budget Forms'!P317</f>
        <v>0</v>
      </c>
      <c r="Q156" s="39">
        <f t="shared" si="63"/>
        <v>0</v>
      </c>
      <c r="R156" s="39">
        <f t="shared" si="66"/>
        <v>0</v>
      </c>
      <c r="S156" s="16"/>
      <c r="T156" s="16"/>
      <c r="U156" s="16"/>
      <c r="V156" s="16"/>
      <c r="W156" s="16"/>
      <c r="X156" s="16"/>
      <c r="Y156" s="16"/>
      <c r="Z156" s="16"/>
    </row>
    <row r="157" spans="1:28" ht="21" hidden="1" outlineLevel="1">
      <c r="A157" s="52" t="s">
        <v>112</v>
      </c>
      <c r="B157" s="39">
        <f>'[38]Budget Forms'!E318</f>
        <v>0</v>
      </c>
      <c r="C157" s="39">
        <f>'[38]Budget Forms'!F318</f>
        <v>0</v>
      </c>
      <c r="D157" s="39">
        <f>'[38]Budget Forms'!G318</f>
        <v>0</v>
      </c>
      <c r="E157" s="39">
        <f t="shared" si="60"/>
        <v>0</v>
      </c>
      <c r="F157" s="39">
        <f>'[38]Budget Forms'!H318</f>
        <v>0</v>
      </c>
      <c r="G157" s="39">
        <f>'[38]Budget Forms'!I318</f>
        <v>0</v>
      </c>
      <c r="H157" s="39">
        <f>'[38]Budget Forms'!J318</f>
        <v>0</v>
      </c>
      <c r="I157" s="39">
        <f t="shared" si="61"/>
        <v>0</v>
      </c>
      <c r="J157" s="39">
        <f>'[38]Budget Forms'!K318</f>
        <v>0</v>
      </c>
      <c r="K157" s="39">
        <f>'[38]Budget Forms'!L318</f>
        <v>0</v>
      </c>
      <c r="L157" s="39">
        <f>'[38]Budget Forms'!M318</f>
        <v>0</v>
      </c>
      <c r="M157" s="39">
        <f t="shared" si="62"/>
        <v>0</v>
      </c>
      <c r="N157" s="39">
        <f>-'[38]Budget Forms'!N316</f>
        <v>0</v>
      </c>
      <c r="O157" s="39">
        <f>'[38]Budget Forms'!O318</f>
        <v>0</v>
      </c>
      <c r="P157" s="39">
        <f>'[38]Budget Forms'!P318</f>
        <v>0</v>
      </c>
      <c r="Q157" s="39">
        <f t="shared" si="63"/>
        <v>0</v>
      </c>
      <c r="R157" s="39">
        <f>SUM(E157,I157,M157,Q157)</f>
        <v>0</v>
      </c>
      <c r="S157" s="16"/>
      <c r="T157" s="16"/>
      <c r="U157" s="16"/>
      <c r="V157" s="16"/>
      <c r="W157" s="16"/>
      <c r="X157" s="16"/>
      <c r="Y157" s="16"/>
      <c r="Z157" s="16"/>
    </row>
    <row r="158" spans="1:28" ht="23.4" collapsed="1">
      <c r="A158" s="51" t="s">
        <v>231</v>
      </c>
      <c r="B158" s="42">
        <f>SUM(B159,B163,B167,B171)</f>
        <v>0</v>
      </c>
      <c r="C158" s="42">
        <f>SUM(C159,C163,C167,C171)</f>
        <v>0</v>
      </c>
      <c r="D158" s="42">
        <f>SUM(D159,D163,D167,D171)</f>
        <v>0</v>
      </c>
      <c r="E158" s="42">
        <f t="shared" si="60"/>
        <v>0</v>
      </c>
      <c r="F158" s="42">
        <f>SUM(F159,F163,F167,F171)</f>
        <v>0</v>
      </c>
      <c r="G158" s="42">
        <f>SUM(G159,G163,G167,G171)</f>
        <v>0</v>
      </c>
      <c r="H158" s="42">
        <f>SUM(H159,H163,H167,H171)</f>
        <v>0</v>
      </c>
      <c r="I158" s="42">
        <f t="shared" si="61"/>
        <v>0</v>
      </c>
      <c r="J158" s="42">
        <f>SUM(J159,J163,J167,J171)</f>
        <v>0</v>
      </c>
      <c r="K158" s="42">
        <f>SUM(K159,K163,K167,K171)</f>
        <v>0</v>
      </c>
      <c r="L158" s="42">
        <f>SUM(L159,L163,L167,L171)</f>
        <v>0</v>
      </c>
      <c r="M158" s="42">
        <f t="shared" si="62"/>
        <v>0</v>
      </c>
      <c r="N158" s="42">
        <f>SUM(N159,N163,N167,N171)</f>
        <v>0</v>
      </c>
      <c r="O158" s="42">
        <f>SUM(O159,O163,O167,O171)</f>
        <v>0</v>
      </c>
      <c r="P158" s="42">
        <f>SUM(P159,P163,P167,P171)</f>
        <v>0</v>
      </c>
      <c r="Q158" s="42">
        <f t="shared" si="63"/>
        <v>0</v>
      </c>
      <c r="R158" s="42">
        <f>SUM(E158,I158,M158,Q158)</f>
        <v>0</v>
      </c>
    </row>
    <row r="159" spans="1:28" s="35" customFormat="1" ht="31.2" hidden="1" outlineLevel="1">
      <c r="A159" s="31" t="s">
        <v>232</v>
      </c>
      <c r="B159" s="32">
        <f>SUM(B160:B162)</f>
        <v>0</v>
      </c>
      <c r="C159" s="32">
        <f>SUM(C160:C162)</f>
        <v>0</v>
      </c>
      <c r="D159" s="32">
        <f>SUM(D160:D162)</f>
        <v>0</v>
      </c>
      <c r="E159" s="32">
        <f t="shared" si="60"/>
        <v>0</v>
      </c>
      <c r="F159" s="32">
        <f>SUM(F160:F162)</f>
        <v>0</v>
      </c>
      <c r="G159" s="32">
        <f>SUM(G160:G162)</f>
        <v>0</v>
      </c>
      <c r="H159" s="32">
        <f>SUM(H160:H162)</f>
        <v>0</v>
      </c>
      <c r="I159" s="32">
        <f t="shared" si="61"/>
        <v>0</v>
      </c>
      <c r="J159" s="32">
        <f>SUM(J160:J162)</f>
        <v>0</v>
      </c>
      <c r="K159" s="32">
        <f>SUM(K160:K162)</f>
        <v>0</v>
      </c>
      <c r="L159" s="32">
        <f>SUM(L160:L162)</f>
        <v>0</v>
      </c>
      <c r="M159" s="32">
        <f t="shared" si="62"/>
        <v>0</v>
      </c>
      <c r="N159" s="32">
        <f>SUM(N160:N162)</f>
        <v>0</v>
      </c>
      <c r="O159" s="32">
        <f>SUM(O160:O162)</f>
        <v>0</v>
      </c>
      <c r="P159" s="32">
        <f>SUM(P160:P162)</f>
        <v>0</v>
      </c>
      <c r="Q159" s="32">
        <f t="shared" si="63"/>
        <v>0</v>
      </c>
      <c r="R159" s="33">
        <f t="shared" ref="R159:R161" si="67">SUM(E159,I159,M159,Q159)</f>
        <v>0</v>
      </c>
    </row>
    <row r="160" spans="1:28" ht="21" hidden="1" outlineLevel="1">
      <c r="A160" s="52" t="s">
        <v>212</v>
      </c>
      <c r="B160" s="39">
        <f>-'[38]Budget Forms'!E318</f>
        <v>0</v>
      </c>
      <c r="C160" s="39">
        <f>-'[38]Budget Forms'!F318</f>
        <v>0</v>
      </c>
      <c r="D160" s="39">
        <f>-'[38]Budget Forms'!G318</f>
        <v>0</v>
      </c>
      <c r="E160" s="39">
        <f t="shared" si="60"/>
        <v>0</v>
      </c>
      <c r="F160" s="39">
        <f>-'[38]Budget Forms'!H318</f>
        <v>0</v>
      </c>
      <c r="G160" s="39">
        <f>-'[38]Budget Forms'!I318</f>
        <v>0</v>
      </c>
      <c r="H160" s="39">
        <f>-'[38]Budget Forms'!J318</f>
        <v>0</v>
      </c>
      <c r="I160" s="39">
        <f t="shared" si="61"/>
        <v>0</v>
      </c>
      <c r="J160" s="39">
        <f>-'[38]Budget Forms'!K318</f>
        <v>0</v>
      </c>
      <c r="K160" s="39">
        <f>-'[38]Budget Forms'!L318</f>
        <v>0</v>
      </c>
      <c r="L160" s="39">
        <f>-'[38]Budget Forms'!M318</f>
        <v>0</v>
      </c>
      <c r="M160" s="39">
        <f t="shared" si="62"/>
        <v>0</v>
      </c>
      <c r="N160" s="39">
        <f>-'[38]Budget Forms'!N318</f>
        <v>0</v>
      </c>
      <c r="O160" s="39">
        <f>-'[38]Budget Forms'!O318</f>
        <v>0</v>
      </c>
      <c r="P160" s="39">
        <f>-'[38]Budget Forms'!P318</f>
        <v>0</v>
      </c>
      <c r="Q160" s="39">
        <f t="shared" si="63"/>
        <v>0</v>
      </c>
      <c r="R160" s="39">
        <f t="shared" si="67"/>
        <v>0</v>
      </c>
      <c r="S160" s="16"/>
      <c r="T160" s="16"/>
      <c r="U160" s="16"/>
      <c r="V160" s="16"/>
      <c r="W160" s="16"/>
      <c r="X160" s="16"/>
      <c r="Y160" s="16"/>
      <c r="Z160" s="16"/>
    </row>
    <row r="161" spans="1:26" ht="21" hidden="1" outlineLevel="1">
      <c r="A161" s="52" t="s">
        <v>216</v>
      </c>
      <c r="B161" s="39">
        <f>-'[38]Budget Forms'!E319</f>
        <v>0</v>
      </c>
      <c r="C161" s="39">
        <f>-'[38]Budget Forms'!F319</f>
        <v>0</v>
      </c>
      <c r="D161" s="39">
        <f>-'[38]Budget Forms'!G319</f>
        <v>0</v>
      </c>
      <c r="E161" s="39">
        <f t="shared" si="60"/>
        <v>0</v>
      </c>
      <c r="F161" s="39">
        <f>-'[38]Budget Forms'!H319</f>
        <v>0</v>
      </c>
      <c r="G161" s="39">
        <f>-'[38]Budget Forms'!I319</f>
        <v>0</v>
      </c>
      <c r="H161" s="39">
        <f>-'[38]Budget Forms'!J319</f>
        <v>0</v>
      </c>
      <c r="I161" s="39">
        <f t="shared" si="61"/>
        <v>0</v>
      </c>
      <c r="J161" s="39">
        <f>-'[38]Budget Forms'!K319</f>
        <v>0</v>
      </c>
      <c r="K161" s="39">
        <f>-'[38]Budget Forms'!L319</f>
        <v>0</v>
      </c>
      <c r="L161" s="39">
        <f>-'[38]Budget Forms'!M319</f>
        <v>0</v>
      </c>
      <c r="M161" s="39">
        <f t="shared" si="62"/>
        <v>0</v>
      </c>
      <c r="N161" s="39">
        <f>-'[38]Budget Forms'!N319</f>
        <v>0</v>
      </c>
      <c r="O161" s="39">
        <f>-'[38]Budget Forms'!O319</f>
        <v>0</v>
      </c>
      <c r="P161" s="39">
        <f>-'[38]Budget Forms'!P319</f>
        <v>0</v>
      </c>
      <c r="Q161" s="39">
        <f t="shared" si="63"/>
        <v>0</v>
      </c>
      <c r="R161" s="39">
        <f t="shared" si="67"/>
        <v>0</v>
      </c>
      <c r="S161" s="16"/>
      <c r="T161" s="16"/>
      <c r="U161" s="16"/>
      <c r="V161" s="16"/>
      <c r="W161" s="16"/>
      <c r="X161" s="16"/>
      <c r="Y161" s="16"/>
      <c r="Z161" s="16"/>
    </row>
    <row r="162" spans="1:26" ht="21" hidden="1" outlineLevel="1">
      <c r="A162" s="52" t="s">
        <v>112</v>
      </c>
      <c r="B162" s="39">
        <f>-'[38]Budget Forms'!E320</f>
        <v>0</v>
      </c>
      <c r="C162" s="39">
        <f>-'[38]Budget Forms'!F320</f>
        <v>0</v>
      </c>
      <c r="D162" s="39">
        <f>-'[38]Budget Forms'!G320</f>
        <v>0</v>
      </c>
      <c r="E162" s="39">
        <f t="shared" si="60"/>
        <v>0</v>
      </c>
      <c r="F162" s="39">
        <f>-'[38]Budget Forms'!H320</f>
        <v>0</v>
      </c>
      <c r="G162" s="39">
        <f>-'[38]Budget Forms'!I320</f>
        <v>0</v>
      </c>
      <c r="H162" s="39">
        <f>-'[38]Budget Forms'!J320</f>
        <v>0</v>
      </c>
      <c r="I162" s="39">
        <f t="shared" si="61"/>
        <v>0</v>
      </c>
      <c r="J162" s="39">
        <f>-'[38]Budget Forms'!K320</f>
        <v>0</v>
      </c>
      <c r="K162" s="39">
        <f>-'[38]Budget Forms'!L320</f>
        <v>0</v>
      </c>
      <c r="L162" s="39">
        <f>-'[38]Budget Forms'!M320</f>
        <v>0</v>
      </c>
      <c r="M162" s="39">
        <f t="shared" si="62"/>
        <v>0</v>
      </c>
      <c r="N162" s="39">
        <f>-'[38]Budget Forms'!N320</f>
        <v>0</v>
      </c>
      <c r="O162" s="39">
        <f>-'[38]Budget Forms'!O320</f>
        <v>0</v>
      </c>
      <c r="P162" s="39">
        <f>-'[38]Budget Forms'!P320</f>
        <v>0</v>
      </c>
      <c r="Q162" s="39">
        <f t="shared" si="63"/>
        <v>0</v>
      </c>
      <c r="R162" s="39">
        <f>SUM(E162,I162,M162,Q162)</f>
        <v>0</v>
      </c>
      <c r="S162" s="16"/>
      <c r="T162" s="16"/>
      <c r="U162" s="16"/>
      <c r="V162" s="16"/>
      <c r="W162" s="16"/>
      <c r="X162" s="16"/>
      <c r="Y162" s="16"/>
      <c r="Z162" s="16"/>
    </row>
    <row r="163" spans="1:26" s="35" customFormat="1" ht="31.2" hidden="1" outlineLevel="1">
      <c r="A163" s="31" t="s">
        <v>233</v>
      </c>
      <c r="B163" s="32">
        <f>SUM(B164:B166)</f>
        <v>0</v>
      </c>
      <c r="C163" s="32">
        <f>SUM(C164:C166)</f>
        <v>0</v>
      </c>
      <c r="D163" s="32">
        <f>SUM(D164:D166)</f>
        <v>0</v>
      </c>
      <c r="E163" s="32">
        <f t="shared" si="60"/>
        <v>0</v>
      </c>
      <c r="F163" s="32">
        <f>SUM(F164:F166)</f>
        <v>0</v>
      </c>
      <c r="G163" s="32">
        <f>SUM(G164:G166)</f>
        <v>0</v>
      </c>
      <c r="H163" s="32">
        <f>SUM(H164:H166)</f>
        <v>0</v>
      </c>
      <c r="I163" s="32">
        <f t="shared" si="61"/>
        <v>0</v>
      </c>
      <c r="J163" s="32">
        <f>SUM(J164:J166)</f>
        <v>0</v>
      </c>
      <c r="K163" s="32">
        <f>SUM(K164:K166)</f>
        <v>0</v>
      </c>
      <c r="L163" s="32">
        <f>SUM(L164:L166)</f>
        <v>0</v>
      </c>
      <c r="M163" s="32">
        <f t="shared" si="62"/>
        <v>0</v>
      </c>
      <c r="N163" s="32">
        <f>SUM(N164:N166)</f>
        <v>0</v>
      </c>
      <c r="O163" s="32">
        <f>SUM(O164:O166)</f>
        <v>0</v>
      </c>
      <c r="P163" s="32">
        <f>SUM(P164:P166)</f>
        <v>0</v>
      </c>
      <c r="Q163" s="32">
        <f t="shared" si="63"/>
        <v>0</v>
      </c>
      <c r="R163" s="33">
        <f t="shared" ref="R163:R165" si="68">SUM(E163,I163,M163,Q163)</f>
        <v>0</v>
      </c>
    </row>
    <row r="164" spans="1:26" ht="21" hidden="1" outlineLevel="1">
      <c r="A164" s="52" t="s">
        <v>212</v>
      </c>
      <c r="B164" s="39">
        <f>-'[38]Budget Forms'!E321</f>
        <v>0</v>
      </c>
      <c r="C164" s="39">
        <f>-'[38]Budget Forms'!F321</f>
        <v>0</v>
      </c>
      <c r="D164" s="39">
        <f>-'[38]Budget Forms'!G321</f>
        <v>0</v>
      </c>
      <c r="E164" s="39">
        <f t="shared" si="60"/>
        <v>0</v>
      </c>
      <c r="F164" s="39">
        <f>-'[38]Budget Forms'!H321</f>
        <v>0</v>
      </c>
      <c r="G164" s="39">
        <f>-'[38]Budget Forms'!I321</f>
        <v>0</v>
      </c>
      <c r="H164" s="39">
        <f>-'[38]Budget Forms'!J321</f>
        <v>0</v>
      </c>
      <c r="I164" s="39">
        <f t="shared" si="61"/>
        <v>0</v>
      </c>
      <c r="J164" s="39">
        <f>-'[38]Budget Forms'!K321</f>
        <v>0</v>
      </c>
      <c r="K164" s="39">
        <f>-'[38]Budget Forms'!L321</f>
        <v>0</v>
      </c>
      <c r="L164" s="39">
        <f>-'[38]Budget Forms'!M321</f>
        <v>0</v>
      </c>
      <c r="M164" s="39">
        <f t="shared" si="62"/>
        <v>0</v>
      </c>
      <c r="N164" s="39">
        <f>-'[38]Budget Forms'!N321</f>
        <v>0</v>
      </c>
      <c r="O164" s="39">
        <f>-'[38]Budget Forms'!O321</f>
        <v>0</v>
      </c>
      <c r="P164" s="39">
        <f>-'[38]Budget Forms'!P321</f>
        <v>0</v>
      </c>
      <c r="Q164" s="39">
        <f t="shared" si="63"/>
        <v>0</v>
      </c>
      <c r="R164" s="39">
        <f t="shared" si="68"/>
        <v>0</v>
      </c>
      <c r="S164" s="16"/>
      <c r="T164" s="16"/>
      <c r="U164" s="16"/>
      <c r="V164" s="16"/>
      <c r="W164" s="16"/>
      <c r="X164" s="16"/>
      <c r="Y164" s="16"/>
      <c r="Z164" s="16"/>
    </row>
    <row r="165" spans="1:26" ht="21" hidden="1" outlineLevel="1">
      <c r="A165" s="52" t="s">
        <v>216</v>
      </c>
      <c r="B165" s="39">
        <f>-'[38]Budget Forms'!E322</f>
        <v>0</v>
      </c>
      <c r="C165" s="39">
        <f>-'[38]Budget Forms'!F322</f>
        <v>0</v>
      </c>
      <c r="D165" s="39">
        <f>-'[38]Budget Forms'!G322</f>
        <v>0</v>
      </c>
      <c r="E165" s="39">
        <f t="shared" si="60"/>
        <v>0</v>
      </c>
      <c r="F165" s="39">
        <f>-'[38]Budget Forms'!H322</f>
        <v>0</v>
      </c>
      <c r="G165" s="39">
        <f>-'[38]Budget Forms'!I322</f>
        <v>0</v>
      </c>
      <c r="H165" s="39">
        <f>-'[38]Budget Forms'!J322</f>
        <v>0</v>
      </c>
      <c r="I165" s="39">
        <f t="shared" si="61"/>
        <v>0</v>
      </c>
      <c r="J165" s="39">
        <f>-'[38]Budget Forms'!K322</f>
        <v>0</v>
      </c>
      <c r="K165" s="39">
        <f>-'[38]Budget Forms'!L322</f>
        <v>0</v>
      </c>
      <c r="L165" s="39">
        <f>-'[38]Budget Forms'!M322</f>
        <v>0</v>
      </c>
      <c r="M165" s="39">
        <f t="shared" si="62"/>
        <v>0</v>
      </c>
      <c r="N165" s="39">
        <f>-'[38]Budget Forms'!N322</f>
        <v>0</v>
      </c>
      <c r="O165" s="39">
        <f>-'[38]Budget Forms'!O322</f>
        <v>0</v>
      </c>
      <c r="P165" s="39">
        <f>-'[38]Budget Forms'!P322</f>
        <v>0</v>
      </c>
      <c r="Q165" s="39">
        <f t="shared" si="63"/>
        <v>0</v>
      </c>
      <c r="R165" s="39">
        <f t="shared" si="68"/>
        <v>0</v>
      </c>
      <c r="S165" s="16"/>
      <c r="T165" s="16"/>
      <c r="U165" s="16"/>
      <c r="V165" s="16"/>
      <c r="W165" s="16"/>
      <c r="X165" s="16"/>
      <c r="Y165" s="16"/>
      <c r="Z165" s="16"/>
    </row>
    <row r="166" spans="1:26" ht="21" hidden="1" outlineLevel="1">
      <c r="A166" s="52" t="s">
        <v>112</v>
      </c>
      <c r="B166" s="39">
        <f>-'[38]Budget Forms'!E323</f>
        <v>0</v>
      </c>
      <c r="C166" s="39">
        <f>-'[38]Budget Forms'!F323</f>
        <v>0</v>
      </c>
      <c r="D166" s="39">
        <f>-'[38]Budget Forms'!G323</f>
        <v>0</v>
      </c>
      <c r="E166" s="39">
        <f t="shared" si="60"/>
        <v>0</v>
      </c>
      <c r="F166" s="39">
        <f>-'[38]Budget Forms'!H323</f>
        <v>0</v>
      </c>
      <c r="G166" s="39">
        <f>-'[38]Budget Forms'!I323</f>
        <v>0</v>
      </c>
      <c r="H166" s="39">
        <f>-'[38]Budget Forms'!J323</f>
        <v>0</v>
      </c>
      <c r="I166" s="39">
        <f t="shared" si="61"/>
        <v>0</v>
      </c>
      <c r="J166" s="39">
        <f>-'[38]Budget Forms'!K323</f>
        <v>0</v>
      </c>
      <c r="K166" s="39">
        <f>-'[38]Budget Forms'!L323</f>
        <v>0</v>
      </c>
      <c r="L166" s="39">
        <f>-'[38]Budget Forms'!M323</f>
        <v>0</v>
      </c>
      <c r="M166" s="39">
        <f t="shared" si="62"/>
        <v>0</v>
      </c>
      <c r="N166" s="39">
        <f>-'[38]Budget Forms'!N323</f>
        <v>0</v>
      </c>
      <c r="O166" s="39">
        <f>-'[38]Budget Forms'!O323</f>
        <v>0</v>
      </c>
      <c r="P166" s="39">
        <f>-'[38]Budget Forms'!P323</f>
        <v>0</v>
      </c>
      <c r="Q166" s="39">
        <f t="shared" si="63"/>
        <v>0</v>
      </c>
      <c r="R166" s="39">
        <f>SUM(E166,I166,M166,Q166)</f>
        <v>0</v>
      </c>
      <c r="S166" s="16"/>
      <c r="T166" s="16"/>
      <c r="U166" s="16"/>
      <c r="V166" s="16"/>
      <c r="W166" s="16"/>
      <c r="X166" s="16"/>
      <c r="Y166" s="16"/>
      <c r="Z166" s="16"/>
    </row>
    <row r="167" spans="1:26" s="35" customFormat="1" ht="31.2" hidden="1" outlineLevel="1">
      <c r="A167" s="31" t="s">
        <v>234</v>
      </c>
      <c r="B167" s="32">
        <f>SUM(B168:B170)</f>
        <v>0</v>
      </c>
      <c r="C167" s="32">
        <f>SUM(C168:C170)</f>
        <v>0</v>
      </c>
      <c r="D167" s="32">
        <f>SUM(D168:D170)</f>
        <v>0</v>
      </c>
      <c r="E167" s="32">
        <f t="shared" si="60"/>
        <v>0</v>
      </c>
      <c r="F167" s="32">
        <f>SUM(F168:F170)</f>
        <v>0</v>
      </c>
      <c r="G167" s="32">
        <f>SUM(G168:G170)</f>
        <v>0</v>
      </c>
      <c r="H167" s="32">
        <f>SUM(H168:H170)</f>
        <v>0</v>
      </c>
      <c r="I167" s="32">
        <f t="shared" si="61"/>
        <v>0</v>
      </c>
      <c r="J167" s="32">
        <f>SUM(J168:J170)</f>
        <v>0</v>
      </c>
      <c r="K167" s="32">
        <f>SUM(K168:K170)</f>
        <v>0</v>
      </c>
      <c r="L167" s="32">
        <f>SUM(L168:L170)</f>
        <v>0</v>
      </c>
      <c r="M167" s="32">
        <f t="shared" si="62"/>
        <v>0</v>
      </c>
      <c r="N167" s="32">
        <f>SUM(N168:N170)</f>
        <v>0</v>
      </c>
      <c r="O167" s="32">
        <f>SUM(O168:O170)</f>
        <v>0</v>
      </c>
      <c r="P167" s="32">
        <f>SUM(P168:P170)</f>
        <v>0</v>
      </c>
      <c r="Q167" s="32">
        <f t="shared" si="63"/>
        <v>0</v>
      </c>
      <c r="R167" s="33">
        <f t="shared" ref="R167:R169" si="69">SUM(E167,I167,M167,Q167)</f>
        <v>0</v>
      </c>
    </row>
    <row r="168" spans="1:26" ht="21" hidden="1" outlineLevel="1">
      <c r="A168" s="52" t="s">
        <v>212</v>
      </c>
      <c r="B168" s="39">
        <f>-'[38]Budget Forms'!E324</f>
        <v>0</v>
      </c>
      <c r="C168" s="39">
        <f>-'[38]Budget Forms'!F324</f>
        <v>0</v>
      </c>
      <c r="D168" s="39">
        <f>-'[38]Budget Forms'!G324</f>
        <v>0</v>
      </c>
      <c r="E168" s="39">
        <f t="shared" si="60"/>
        <v>0</v>
      </c>
      <c r="F168" s="39">
        <f>-'[38]Budget Forms'!H324</f>
        <v>0</v>
      </c>
      <c r="G168" s="39">
        <f>-'[38]Budget Forms'!I324</f>
        <v>0</v>
      </c>
      <c r="H168" s="39">
        <f>-'[38]Budget Forms'!J324</f>
        <v>0</v>
      </c>
      <c r="I168" s="39">
        <f t="shared" si="61"/>
        <v>0</v>
      </c>
      <c r="J168" s="39">
        <f>-'[38]Budget Forms'!K324</f>
        <v>0</v>
      </c>
      <c r="K168" s="39">
        <f>-'[38]Budget Forms'!L324</f>
        <v>0</v>
      </c>
      <c r="L168" s="39">
        <f>-'[38]Budget Forms'!M324</f>
        <v>0</v>
      </c>
      <c r="M168" s="39">
        <f t="shared" si="62"/>
        <v>0</v>
      </c>
      <c r="N168" s="39">
        <f>-'[38]Budget Forms'!N324</f>
        <v>0</v>
      </c>
      <c r="O168" s="39">
        <f>-'[38]Budget Forms'!O324</f>
        <v>0</v>
      </c>
      <c r="P168" s="39">
        <f>-'[38]Budget Forms'!P324</f>
        <v>0</v>
      </c>
      <c r="Q168" s="39">
        <f t="shared" si="63"/>
        <v>0</v>
      </c>
      <c r="R168" s="39">
        <f t="shared" si="69"/>
        <v>0</v>
      </c>
      <c r="S168" s="16"/>
      <c r="T168" s="16"/>
      <c r="U168" s="16"/>
      <c r="V168" s="16"/>
      <c r="W168" s="16"/>
      <c r="X168" s="16"/>
      <c r="Y168" s="16"/>
      <c r="Z168" s="16"/>
    </row>
    <row r="169" spans="1:26" ht="21" hidden="1" outlineLevel="1">
      <c r="A169" s="52" t="s">
        <v>216</v>
      </c>
      <c r="B169" s="39">
        <f>-'[38]Budget Forms'!E325</f>
        <v>0</v>
      </c>
      <c r="C169" s="39">
        <f>-'[38]Budget Forms'!F325</f>
        <v>0</v>
      </c>
      <c r="D169" s="39">
        <f>-'[38]Budget Forms'!G325</f>
        <v>0</v>
      </c>
      <c r="E169" s="39">
        <f t="shared" si="60"/>
        <v>0</v>
      </c>
      <c r="F169" s="39">
        <f>-'[38]Budget Forms'!H325</f>
        <v>0</v>
      </c>
      <c r="G169" s="39">
        <f>-'[38]Budget Forms'!I325</f>
        <v>0</v>
      </c>
      <c r="H169" s="39">
        <f>-'[38]Budget Forms'!J325</f>
        <v>0</v>
      </c>
      <c r="I169" s="39">
        <f t="shared" si="61"/>
        <v>0</v>
      </c>
      <c r="J169" s="39">
        <f>-'[38]Budget Forms'!K325</f>
        <v>0</v>
      </c>
      <c r="K169" s="39">
        <f>-'[38]Budget Forms'!L325</f>
        <v>0</v>
      </c>
      <c r="L169" s="39">
        <f>-'[38]Budget Forms'!M325</f>
        <v>0</v>
      </c>
      <c r="M169" s="39">
        <f t="shared" si="62"/>
        <v>0</v>
      </c>
      <c r="N169" s="39">
        <f>-'[38]Budget Forms'!N325</f>
        <v>0</v>
      </c>
      <c r="O169" s="39">
        <f>-'[38]Budget Forms'!O325</f>
        <v>0</v>
      </c>
      <c r="P169" s="39">
        <f>-'[38]Budget Forms'!P325</f>
        <v>0</v>
      </c>
      <c r="Q169" s="39">
        <f t="shared" si="63"/>
        <v>0</v>
      </c>
      <c r="R169" s="39">
        <f t="shared" si="69"/>
        <v>0</v>
      </c>
      <c r="S169" s="16"/>
      <c r="T169" s="16"/>
      <c r="U169" s="16"/>
      <c r="V169" s="16"/>
      <c r="W169" s="16"/>
      <c r="X169" s="16"/>
      <c r="Y169" s="16"/>
      <c r="Z169" s="16"/>
    </row>
    <row r="170" spans="1:26" ht="21" hidden="1" outlineLevel="1">
      <c r="A170" s="52" t="s">
        <v>112</v>
      </c>
      <c r="B170" s="39">
        <f>-'[38]Budget Forms'!E326</f>
        <v>0</v>
      </c>
      <c r="C170" s="39">
        <f>-'[38]Budget Forms'!F326</f>
        <v>0</v>
      </c>
      <c r="D170" s="39">
        <f>-'[38]Budget Forms'!G326</f>
        <v>0</v>
      </c>
      <c r="E170" s="39">
        <f t="shared" si="60"/>
        <v>0</v>
      </c>
      <c r="F170" s="39">
        <f>-'[38]Budget Forms'!H326</f>
        <v>0</v>
      </c>
      <c r="G170" s="39">
        <f>-'[38]Budget Forms'!I326</f>
        <v>0</v>
      </c>
      <c r="H170" s="39">
        <f>-'[38]Budget Forms'!J326</f>
        <v>0</v>
      </c>
      <c r="I170" s="39">
        <f t="shared" si="61"/>
        <v>0</v>
      </c>
      <c r="J170" s="39">
        <f>-'[38]Budget Forms'!K326</f>
        <v>0</v>
      </c>
      <c r="K170" s="39">
        <f>-'[38]Budget Forms'!L326</f>
        <v>0</v>
      </c>
      <c r="L170" s="39">
        <f>-'[38]Budget Forms'!M326</f>
        <v>0</v>
      </c>
      <c r="M170" s="39">
        <f t="shared" si="62"/>
        <v>0</v>
      </c>
      <c r="N170" s="39">
        <f>-'[38]Budget Forms'!N326</f>
        <v>0</v>
      </c>
      <c r="O170" s="39">
        <f>-'[38]Budget Forms'!O326</f>
        <v>0</v>
      </c>
      <c r="P170" s="39">
        <f>-'[38]Budget Forms'!P326</f>
        <v>0</v>
      </c>
      <c r="Q170" s="39">
        <f t="shared" si="63"/>
        <v>0</v>
      </c>
      <c r="R170" s="39">
        <f>SUM(E170,I170,M170,Q170)</f>
        <v>0</v>
      </c>
      <c r="S170" s="16"/>
      <c r="T170" s="16"/>
      <c r="U170" s="16"/>
      <c r="V170" s="16"/>
      <c r="W170" s="16"/>
      <c r="X170" s="16"/>
      <c r="Y170" s="16"/>
      <c r="Z170" s="16"/>
    </row>
    <row r="171" spans="1:26" s="35" customFormat="1" ht="31.2" hidden="1" outlineLevel="1">
      <c r="A171" s="31" t="s">
        <v>235</v>
      </c>
      <c r="B171" s="32">
        <f>SUM(B172:B174)</f>
        <v>0</v>
      </c>
      <c r="C171" s="32">
        <f>SUM(C172:C174)</f>
        <v>0</v>
      </c>
      <c r="D171" s="32">
        <f>SUM(D172:D174)</f>
        <v>0</v>
      </c>
      <c r="E171" s="32">
        <f t="shared" si="60"/>
        <v>0</v>
      </c>
      <c r="F171" s="32">
        <f>SUM(F172:F174)</f>
        <v>0</v>
      </c>
      <c r="G171" s="32">
        <f>SUM(G172:G174)</f>
        <v>0</v>
      </c>
      <c r="H171" s="32">
        <f>SUM(H172:H174)</f>
        <v>0</v>
      </c>
      <c r="I171" s="32">
        <f t="shared" si="61"/>
        <v>0</v>
      </c>
      <c r="J171" s="32">
        <f>SUM(J172:J174)</f>
        <v>0</v>
      </c>
      <c r="K171" s="32">
        <f>SUM(K172:K174)</f>
        <v>0</v>
      </c>
      <c r="L171" s="32">
        <f>SUM(L172:L174)</f>
        <v>0</v>
      </c>
      <c r="M171" s="32">
        <f t="shared" si="62"/>
        <v>0</v>
      </c>
      <c r="N171" s="32">
        <f>SUM(N172:N174)</f>
        <v>0</v>
      </c>
      <c r="O171" s="32">
        <f>SUM(O172:O174)</f>
        <v>0</v>
      </c>
      <c r="P171" s="32">
        <f>SUM(P172:P174)</f>
        <v>0</v>
      </c>
      <c r="Q171" s="32">
        <f t="shared" si="63"/>
        <v>0</v>
      </c>
      <c r="R171" s="33">
        <f t="shared" ref="R171:R173" si="70">SUM(E171,I171,M171,Q171)</f>
        <v>0</v>
      </c>
    </row>
    <row r="172" spans="1:26" ht="21" hidden="1" outlineLevel="1">
      <c r="A172" s="52" t="s">
        <v>212</v>
      </c>
      <c r="B172" s="39">
        <f>-'[38]Budget Forms'!E327</f>
        <v>0</v>
      </c>
      <c r="C172" s="39">
        <f>-'[38]Budget Forms'!F327</f>
        <v>0</v>
      </c>
      <c r="D172" s="39">
        <f>-'[38]Budget Forms'!G327</f>
        <v>0</v>
      </c>
      <c r="E172" s="39">
        <f t="shared" si="60"/>
        <v>0</v>
      </c>
      <c r="F172" s="39">
        <f>-'[38]Budget Forms'!H327</f>
        <v>0</v>
      </c>
      <c r="G172" s="39">
        <f>-'[38]Budget Forms'!I327</f>
        <v>0</v>
      </c>
      <c r="H172" s="39">
        <f>-'[38]Budget Forms'!J327</f>
        <v>0</v>
      </c>
      <c r="I172" s="39">
        <f t="shared" si="61"/>
        <v>0</v>
      </c>
      <c r="J172" s="39">
        <f>-'[38]Budget Forms'!K327</f>
        <v>0</v>
      </c>
      <c r="K172" s="39">
        <f>-'[38]Budget Forms'!L327</f>
        <v>0</v>
      </c>
      <c r="L172" s="39">
        <f>-'[38]Budget Forms'!M327</f>
        <v>0</v>
      </c>
      <c r="M172" s="39">
        <f t="shared" si="62"/>
        <v>0</v>
      </c>
      <c r="N172" s="39">
        <f>-'[38]Budget Forms'!N327</f>
        <v>0</v>
      </c>
      <c r="O172" s="39">
        <f>-'[38]Budget Forms'!O327</f>
        <v>0</v>
      </c>
      <c r="P172" s="39">
        <f>-'[38]Budget Forms'!P327</f>
        <v>0</v>
      </c>
      <c r="Q172" s="39">
        <f t="shared" si="63"/>
        <v>0</v>
      </c>
      <c r="R172" s="39">
        <f t="shared" si="70"/>
        <v>0</v>
      </c>
      <c r="S172" s="16"/>
      <c r="T172" s="16"/>
      <c r="U172" s="16"/>
      <c r="V172" s="16"/>
      <c r="W172" s="16"/>
      <c r="X172" s="16"/>
      <c r="Y172" s="16"/>
      <c r="Z172" s="16"/>
    </row>
    <row r="173" spans="1:26" ht="21" hidden="1" outlineLevel="1">
      <c r="A173" s="52" t="s">
        <v>216</v>
      </c>
      <c r="B173" s="39">
        <f>-'[38]Budget Forms'!E328</f>
        <v>0</v>
      </c>
      <c r="C173" s="39">
        <f>-'[38]Budget Forms'!F328</f>
        <v>0</v>
      </c>
      <c r="D173" s="39">
        <f>-'[38]Budget Forms'!G328</f>
        <v>0</v>
      </c>
      <c r="E173" s="39">
        <f t="shared" si="60"/>
        <v>0</v>
      </c>
      <c r="F173" s="39">
        <f>-'[38]Budget Forms'!H328</f>
        <v>0</v>
      </c>
      <c r="G173" s="39">
        <f>-'[38]Budget Forms'!I328</f>
        <v>0</v>
      </c>
      <c r="H173" s="39">
        <f>-'[38]Budget Forms'!J328</f>
        <v>0</v>
      </c>
      <c r="I173" s="39">
        <f t="shared" si="61"/>
        <v>0</v>
      </c>
      <c r="J173" s="39">
        <f>-'[38]Budget Forms'!K328</f>
        <v>0</v>
      </c>
      <c r="K173" s="39">
        <f>-'[38]Budget Forms'!L328</f>
        <v>0</v>
      </c>
      <c r="L173" s="39">
        <f>-'[38]Budget Forms'!M328</f>
        <v>0</v>
      </c>
      <c r="M173" s="39">
        <f t="shared" si="62"/>
        <v>0</v>
      </c>
      <c r="N173" s="39">
        <f>-'[38]Budget Forms'!N328</f>
        <v>0</v>
      </c>
      <c r="O173" s="39">
        <f>-'[38]Budget Forms'!O328</f>
        <v>0</v>
      </c>
      <c r="P173" s="39">
        <f>-'[38]Budget Forms'!P328</f>
        <v>0</v>
      </c>
      <c r="Q173" s="39">
        <f t="shared" si="63"/>
        <v>0</v>
      </c>
      <c r="R173" s="39">
        <f t="shared" si="70"/>
        <v>0</v>
      </c>
      <c r="S173" s="16"/>
      <c r="T173" s="16"/>
      <c r="U173" s="16"/>
      <c r="V173" s="16"/>
      <c r="W173" s="16"/>
      <c r="X173" s="16"/>
      <c r="Y173" s="16"/>
      <c r="Z173" s="16"/>
    </row>
    <row r="174" spans="1:26" ht="21" hidden="1" outlineLevel="1">
      <c r="A174" s="52" t="s">
        <v>112</v>
      </c>
      <c r="B174" s="39">
        <f>-'[38]Budget Forms'!E329</f>
        <v>0</v>
      </c>
      <c r="C174" s="39">
        <f>-'[38]Budget Forms'!F329</f>
        <v>0</v>
      </c>
      <c r="D174" s="39">
        <f>-'[38]Budget Forms'!G329</f>
        <v>0</v>
      </c>
      <c r="E174" s="39">
        <f t="shared" si="60"/>
        <v>0</v>
      </c>
      <c r="F174" s="39">
        <f>-'[38]Budget Forms'!H329</f>
        <v>0</v>
      </c>
      <c r="G174" s="39">
        <f>-'[38]Budget Forms'!I329</f>
        <v>0</v>
      </c>
      <c r="H174" s="39">
        <f>-'[38]Budget Forms'!J329</f>
        <v>0</v>
      </c>
      <c r="I174" s="39">
        <f t="shared" si="61"/>
        <v>0</v>
      </c>
      <c r="J174" s="39">
        <f>-'[38]Budget Forms'!K329</f>
        <v>0</v>
      </c>
      <c r="K174" s="39">
        <f>-'[38]Budget Forms'!L329</f>
        <v>0</v>
      </c>
      <c r="L174" s="39">
        <f>-'[38]Budget Forms'!M329</f>
        <v>0</v>
      </c>
      <c r="M174" s="39">
        <f t="shared" si="62"/>
        <v>0</v>
      </c>
      <c r="N174" s="39">
        <f>-'[38]Budget Forms'!N329</f>
        <v>0</v>
      </c>
      <c r="O174" s="39">
        <f>-'[38]Budget Forms'!O329</f>
        <v>0</v>
      </c>
      <c r="P174" s="39">
        <f>-'[38]Budget Forms'!P329</f>
        <v>0</v>
      </c>
      <c r="Q174" s="39">
        <f t="shared" si="63"/>
        <v>0</v>
      </c>
      <c r="R174" s="39">
        <f>SUM(E174,I174,M174,Q174)</f>
        <v>0</v>
      </c>
      <c r="S174" s="16"/>
      <c r="T174" s="16"/>
      <c r="U174" s="16"/>
      <c r="V174" s="16"/>
      <c r="W174" s="16"/>
      <c r="X174" s="16"/>
      <c r="Y174" s="16"/>
      <c r="Z174" s="16"/>
    </row>
    <row r="175" spans="1:26" ht="21.6" collapsed="1" thickBot="1">
      <c r="A175" s="52" t="s">
        <v>236</v>
      </c>
      <c r="B175" s="39">
        <f>'[38]Budget Forms'!E331</f>
        <v>120000</v>
      </c>
      <c r="C175" s="39">
        <f>'[38]Budget Forms'!F331</f>
        <v>120000</v>
      </c>
      <c r="D175" s="39">
        <f>'[38]Budget Forms'!G331</f>
        <v>120000</v>
      </c>
      <c r="E175" s="39">
        <f>SUM(B175:D175)</f>
        <v>360000</v>
      </c>
      <c r="F175" s="39">
        <f>'[38]Budget Forms'!H331</f>
        <v>120000</v>
      </c>
      <c r="G175" s="39">
        <f>'[38]Budget Forms'!I331</f>
        <v>120000</v>
      </c>
      <c r="H175" s="39">
        <f>'[38]Budget Forms'!J331</f>
        <v>120000</v>
      </c>
      <c r="I175" s="39">
        <f>SUM(F175:H175)</f>
        <v>360000</v>
      </c>
      <c r="J175" s="39">
        <f>'[38]Budget Forms'!K331</f>
        <v>120000</v>
      </c>
      <c r="K175" s="39">
        <f>'[38]Budget Forms'!L331</f>
        <v>120000</v>
      </c>
      <c r="L175" s="39">
        <f>'[38]Budget Forms'!M331</f>
        <v>120000</v>
      </c>
      <c r="M175" s="39">
        <f>SUM(J175:L175)</f>
        <v>360000</v>
      </c>
      <c r="N175" s="39">
        <f>'[38]Budget Forms'!N331</f>
        <v>120000</v>
      </c>
      <c r="O175" s="39">
        <f>'[38]Budget Forms'!O331</f>
        <v>120000</v>
      </c>
      <c r="P175" s="39">
        <f>'[38]Budget Forms'!P331</f>
        <v>120000</v>
      </c>
      <c r="Q175" s="39">
        <f>SUM(N175:P175)</f>
        <v>360000</v>
      </c>
      <c r="R175" s="39">
        <f t="shared" ref="R175" si="71">SUM(E175,I175,M175,Q175)</f>
        <v>1440000</v>
      </c>
      <c r="S175" s="16"/>
      <c r="T175" s="16"/>
      <c r="U175" s="16"/>
      <c r="V175" s="16"/>
      <c r="W175" s="16"/>
      <c r="X175" s="16"/>
      <c r="Y175" s="16"/>
      <c r="Z175" s="16"/>
    </row>
    <row r="176" spans="1:26" ht="24.6" thickTop="1" thickBot="1">
      <c r="A176" s="53" t="s">
        <v>237</v>
      </c>
      <c r="B176" s="45">
        <f>SUM(B145,B123,B144,B158,B175)</f>
        <v>1958926.71</v>
      </c>
      <c r="C176" s="45">
        <f>SUM(C145,C123,C144,C158,C175)</f>
        <v>1959126.71</v>
      </c>
      <c r="D176" s="45">
        <f>SUM(D145,D123,D144,D158,D175)</f>
        <v>2028446.71</v>
      </c>
      <c r="E176" s="45">
        <f t="shared" ref="E176:E192" si="72">SUM(B176:D176)</f>
        <v>5946500.1299999999</v>
      </c>
      <c r="F176" s="45">
        <f>SUM(F145,F123,F144,F158,F175)</f>
        <v>2333326.71</v>
      </c>
      <c r="G176" s="45">
        <f>SUM(G145,G123,G144,G158,G175)</f>
        <v>2289406.71</v>
      </c>
      <c r="H176" s="45">
        <f>SUM(H145,H123,H144,H158,H175)</f>
        <v>2300501.71</v>
      </c>
      <c r="I176" s="45">
        <f t="shared" si="61"/>
        <v>6923235.1299999999</v>
      </c>
      <c r="J176" s="45">
        <f>SUM(J145,J123,J144,J158,J175)</f>
        <v>2417351.71</v>
      </c>
      <c r="K176" s="45">
        <f>SUM(K145,K123,K144,K158,K175)</f>
        <v>2358926.71</v>
      </c>
      <c r="L176" s="45">
        <f>SUM(L145,L123,L144,L158,L175)</f>
        <v>2384326.71</v>
      </c>
      <c r="M176" s="45">
        <f t="shared" si="62"/>
        <v>7160605.1299999999</v>
      </c>
      <c r="N176" s="45">
        <f>SUM(N145,N123,N144,N158,N175)</f>
        <v>2358926.71</v>
      </c>
      <c r="O176" s="45">
        <f>SUM(O145,O123,O144,O158,O175)</f>
        <v>2358926.71</v>
      </c>
      <c r="P176" s="45">
        <f>SUM(P145,P123,P144,P158,P175)</f>
        <v>2358926.71</v>
      </c>
      <c r="Q176" s="45">
        <f>SUM(N176:P176)</f>
        <v>7076780.1299999999</v>
      </c>
      <c r="R176" s="45">
        <f>SUM(R145,R123,R144,R158,R175)</f>
        <v>27107120.52</v>
      </c>
    </row>
    <row r="177" spans="1:26" ht="30" thickTop="1" thickBot="1">
      <c r="A177" s="46" t="s">
        <v>128</v>
      </c>
      <c r="B177" s="47">
        <f>B120-B176</f>
        <v>655743.44666665886</v>
      </c>
      <c r="C177" s="47">
        <f>C120-C176</f>
        <v>2007849.1866666647</v>
      </c>
      <c r="D177" s="47">
        <f>D120-D176</f>
        <v>1224413.22666666</v>
      </c>
      <c r="E177" s="47">
        <f t="shared" si="72"/>
        <v>3888005.8599999836</v>
      </c>
      <c r="F177" s="47">
        <f>F120-F176</f>
        <v>610902.4433333436</v>
      </c>
      <c r="G177" s="47">
        <f>G120-G176</f>
        <v>3474512.4733333373</v>
      </c>
      <c r="H177" s="47">
        <f>H120-H176</f>
        <v>4874588.3133333409</v>
      </c>
      <c r="I177" s="47">
        <f t="shared" si="61"/>
        <v>8960003.2300000228</v>
      </c>
      <c r="J177" s="47">
        <f>J120-J176</f>
        <v>-283090.03999999072</v>
      </c>
      <c r="K177" s="47">
        <f>K120-K176</f>
        <v>2410054.9600000093</v>
      </c>
      <c r="L177" s="47">
        <f>L120-L176</f>
        <v>4571111.6700000083</v>
      </c>
      <c r="M177" s="47">
        <f t="shared" si="62"/>
        <v>6698076.5900000269</v>
      </c>
      <c r="N177" s="47">
        <f>N120-N176</f>
        <v>3664238.6200000094</v>
      </c>
      <c r="O177" s="47">
        <f>O120-O176</f>
        <v>4678065.6100000078</v>
      </c>
      <c r="P177" s="47">
        <f>P120-P176</f>
        <v>4644032.6100000078</v>
      </c>
      <c r="Q177" s="47">
        <f t="shared" si="63"/>
        <v>12986336.840000026</v>
      </c>
      <c r="R177" s="47">
        <f>R120-R176</f>
        <v>32532422.520000022</v>
      </c>
    </row>
    <row r="178" spans="1:26" ht="30" thickTop="1" thickBot="1">
      <c r="A178" s="46" t="s">
        <v>123</v>
      </c>
      <c r="B178" s="47">
        <f>B177+B175</f>
        <v>775743.44666665886</v>
      </c>
      <c r="C178" s="47">
        <f>C177+C175</f>
        <v>2127849.1866666647</v>
      </c>
      <c r="D178" s="47">
        <f>D177+D175</f>
        <v>1344413.22666666</v>
      </c>
      <c r="E178" s="47">
        <f t="shared" si="72"/>
        <v>4248005.8599999836</v>
      </c>
      <c r="F178" s="47">
        <f>F177+F175</f>
        <v>730902.4433333436</v>
      </c>
      <c r="G178" s="47">
        <f>G177+G175</f>
        <v>3594512.4733333373</v>
      </c>
      <c r="H178" s="47">
        <f>H177+H175</f>
        <v>4994588.3133333409</v>
      </c>
      <c r="I178" s="47">
        <f t="shared" si="61"/>
        <v>9320003.2300000228</v>
      </c>
      <c r="J178" s="47">
        <f>J177+J175</f>
        <v>-163090.03999999072</v>
      </c>
      <c r="K178" s="47">
        <f>K177+K175</f>
        <v>2530054.9600000093</v>
      </c>
      <c r="L178" s="47">
        <f>L177+L175</f>
        <v>4691111.6700000083</v>
      </c>
      <c r="M178" s="47">
        <f t="shared" si="62"/>
        <v>7058076.5900000269</v>
      </c>
      <c r="N178" s="47">
        <f>N177+N175</f>
        <v>3784238.6200000094</v>
      </c>
      <c r="O178" s="47">
        <f>O177+O175</f>
        <v>4798065.6100000078</v>
      </c>
      <c r="P178" s="47">
        <f>P177+P175</f>
        <v>4764032.6100000078</v>
      </c>
      <c r="Q178" s="47">
        <f t="shared" si="63"/>
        <v>13346336.840000026</v>
      </c>
      <c r="R178" s="47">
        <f>R177+R175</f>
        <v>33972422.520000026</v>
      </c>
      <c r="S178" s="70"/>
    </row>
    <row r="179" spans="1:26" ht="26.4" thickTop="1">
      <c r="A179" s="54" t="s">
        <v>238</v>
      </c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</row>
    <row r="180" spans="1:26" ht="21">
      <c r="A180" s="52" t="s">
        <v>239</v>
      </c>
      <c r="B180" s="39">
        <f>'[38]Budget Forms'!E333</f>
        <v>1203384.44</v>
      </c>
      <c r="C180" s="39">
        <f>'[38]Budget Forms'!F333</f>
        <v>1289642.58</v>
      </c>
      <c r="D180" s="39">
        <f>'[38]Budget Forms'!G333</f>
        <v>1381322.67</v>
      </c>
      <c r="E180" s="39">
        <f t="shared" si="72"/>
        <v>3874349.69</v>
      </c>
      <c r="F180" s="39">
        <f>'[38]Budget Forms'!H333</f>
        <v>1376823.49</v>
      </c>
      <c r="G180" s="39">
        <f>'[38]Budget Forms'!I333</f>
        <v>1338905.25</v>
      </c>
      <c r="H180" s="39">
        <f>'[38]Budget Forms'!J333</f>
        <v>1863108.99</v>
      </c>
      <c r="I180" s="39">
        <f t="shared" si="61"/>
        <v>4578837.7300000004</v>
      </c>
      <c r="J180" s="39">
        <f>'[38]Budget Forms'!K333</f>
        <v>935582.06999999983</v>
      </c>
      <c r="K180" s="39">
        <f>'[38]Budget Forms'!L333</f>
        <v>935582.06999999983</v>
      </c>
      <c r="L180" s="39">
        <f>'[38]Budget Forms'!M333</f>
        <v>1435582.0699999998</v>
      </c>
      <c r="M180" s="39">
        <f t="shared" si="62"/>
        <v>3306746.2099999995</v>
      </c>
      <c r="N180" s="39">
        <f>'[38]Budget Forms'!N333</f>
        <v>2150819.7566666701</v>
      </c>
      <c r="O180" s="39">
        <f>'[38]Budget Forms'!O333</f>
        <v>2104653.8066666699</v>
      </c>
      <c r="P180" s="39">
        <f>'[38]Budget Forms'!P333</f>
        <v>2604653.8066666666</v>
      </c>
      <c r="Q180" s="39">
        <f t="shared" si="63"/>
        <v>6860127.3700000066</v>
      </c>
      <c r="R180" s="39">
        <f>SUM(E180,I180,M180,Q180)</f>
        <v>18620061.000000007</v>
      </c>
      <c r="S180" s="16"/>
      <c r="T180" s="16"/>
      <c r="U180" s="16"/>
      <c r="V180" s="16"/>
      <c r="W180" s="16"/>
      <c r="X180" s="16"/>
      <c r="Y180" s="16"/>
      <c r="Z180" s="16"/>
    </row>
    <row r="181" spans="1:26" ht="21">
      <c r="A181" s="52" t="s">
        <v>240</v>
      </c>
      <c r="B181" s="39">
        <f>'[38]Budget Forms'!E334</f>
        <v>0</v>
      </c>
      <c r="C181" s="39">
        <f>'[38]Budget Forms'!F334</f>
        <v>0</v>
      </c>
      <c r="D181" s="39">
        <f>'[38]Budget Forms'!G334</f>
        <v>0</v>
      </c>
      <c r="E181" s="39">
        <f t="shared" si="72"/>
        <v>0</v>
      </c>
      <c r="F181" s="39">
        <f>'[38]Budget Forms'!H334</f>
        <v>0</v>
      </c>
      <c r="G181" s="39">
        <f>'[38]Budget Forms'!I334</f>
        <v>0</v>
      </c>
      <c r="H181" s="39">
        <f>'[38]Budget Forms'!J334</f>
        <v>0</v>
      </c>
      <c r="I181" s="39">
        <f t="shared" si="61"/>
        <v>0</v>
      </c>
      <c r="J181" s="39">
        <f>'[38]Budget Forms'!K334</f>
        <v>0</v>
      </c>
      <c r="K181" s="39">
        <f>'[38]Budget Forms'!L334</f>
        <v>0</v>
      </c>
      <c r="L181" s="39">
        <f>'[38]Budget Forms'!M334</f>
        <v>0</v>
      </c>
      <c r="M181" s="39">
        <f t="shared" si="62"/>
        <v>0</v>
      </c>
      <c r="N181" s="39">
        <f>'[38]Budget Forms'!N334</f>
        <v>0</v>
      </c>
      <c r="O181" s="39">
        <f>'[38]Budget Forms'!O334</f>
        <v>0</v>
      </c>
      <c r="P181" s="39">
        <f>'[38]Budget Forms'!P334</f>
        <v>0</v>
      </c>
      <c r="Q181" s="39">
        <f t="shared" si="63"/>
        <v>0</v>
      </c>
      <c r="R181" s="39">
        <f t="shared" ref="R181:R191" si="73">SUM(E181,I181,M181,Q181)</f>
        <v>0</v>
      </c>
      <c r="S181" s="16"/>
      <c r="T181" s="16"/>
      <c r="U181" s="16"/>
      <c r="V181" s="16"/>
      <c r="W181" s="16"/>
      <c r="X181" s="16"/>
      <c r="Y181" s="16"/>
      <c r="Z181" s="16"/>
    </row>
    <row r="182" spans="1:26" ht="21">
      <c r="A182" s="52" t="s">
        <v>241</v>
      </c>
      <c r="B182" s="39">
        <f>'[38]Budget Forms'!E335</f>
        <v>361375.05</v>
      </c>
      <c r="C182" s="39">
        <f>'[38]Budget Forms'!F335</f>
        <v>387278.28</v>
      </c>
      <c r="D182" s="39">
        <f>'[38]Budget Forms'!G335</f>
        <v>414809.71</v>
      </c>
      <c r="E182" s="39">
        <f t="shared" si="72"/>
        <v>1163463.04</v>
      </c>
      <c r="F182" s="39">
        <f>'[38]Budget Forms'!H335</f>
        <v>413458.61</v>
      </c>
      <c r="G182" s="39">
        <f>'[38]Budget Forms'!I335</f>
        <v>402071.81</v>
      </c>
      <c r="H182" s="39">
        <f>'[38]Budget Forms'!J335</f>
        <v>409340.15999999997</v>
      </c>
      <c r="I182" s="39">
        <f t="shared" si="61"/>
        <v>1224870.5799999998</v>
      </c>
      <c r="J182" s="39">
        <f>'[38]Budget Forms'!K335</f>
        <v>280954.28999999998</v>
      </c>
      <c r="K182" s="39">
        <f>'[38]Budget Forms'!L335</f>
        <v>280954.28999999998</v>
      </c>
      <c r="L182" s="39">
        <f>'[38]Budget Forms'!M335</f>
        <v>280954.28999999998</v>
      </c>
      <c r="M182" s="39">
        <f t="shared" si="62"/>
        <v>842862.86999999988</v>
      </c>
      <c r="N182" s="39">
        <f>'[38]Budget Forms'!N335</f>
        <v>265510.21999999997</v>
      </c>
      <c r="O182" s="39">
        <f>'[38]Budget Forms'!O335</f>
        <v>251646.64</v>
      </c>
      <c r="P182" s="39">
        <f>'[38]Budget Forms'!P335</f>
        <v>251646.64</v>
      </c>
      <c r="Q182" s="39">
        <f t="shared" si="63"/>
        <v>768803.5</v>
      </c>
      <c r="R182" s="39">
        <f t="shared" si="73"/>
        <v>3999999.99</v>
      </c>
      <c r="S182" s="16"/>
      <c r="T182" s="16"/>
      <c r="U182" s="16"/>
      <c r="V182" s="16"/>
      <c r="W182" s="16"/>
      <c r="X182" s="16"/>
      <c r="Y182" s="16"/>
      <c r="Z182" s="16"/>
    </row>
    <row r="183" spans="1:26" ht="21">
      <c r="A183" s="52" t="s">
        <v>116</v>
      </c>
      <c r="B183" s="39">
        <f>'[38]Budget Forms'!E336</f>
        <v>0</v>
      </c>
      <c r="C183" s="39">
        <f>'[38]Budget Forms'!F336</f>
        <v>0</v>
      </c>
      <c r="D183" s="39">
        <f>'[38]Budget Forms'!G336</f>
        <v>0</v>
      </c>
      <c r="E183" s="39">
        <f t="shared" si="72"/>
        <v>0</v>
      </c>
      <c r="F183" s="39">
        <f>'[38]Budget Forms'!H336</f>
        <v>0</v>
      </c>
      <c r="G183" s="39">
        <f>'[38]Budget Forms'!I336</f>
        <v>0</v>
      </c>
      <c r="H183" s="39">
        <f>'[38]Budget Forms'!J336</f>
        <v>0</v>
      </c>
      <c r="I183" s="39">
        <f t="shared" si="61"/>
        <v>0</v>
      </c>
      <c r="J183" s="39">
        <f>'[38]Budget Forms'!K336</f>
        <v>0</v>
      </c>
      <c r="K183" s="39">
        <f>'[38]Budget Forms'!L336</f>
        <v>0</v>
      </c>
      <c r="L183" s="39">
        <f>'[38]Budget Forms'!M336</f>
        <v>0</v>
      </c>
      <c r="M183" s="39">
        <f t="shared" si="62"/>
        <v>0</v>
      </c>
      <c r="N183" s="39">
        <f>'[38]Budget Forms'!N336</f>
        <v>0</v>
      </c>
      <c r="O183" s="39">
        <f>'[38]Budget Forms'!O336</f>
        <v>0</v>
      </c>
      <c r="P183" s="39">
        <f>'[38]Budget Forms'!P336</f>
        <v>0</v>
      </c>
      <c r="Q183" s="39">
        <f t="shared" si="63"/>
        <v>0</v>
      </c>
      <c r="R183" s="39">
        <f t="shared" si="73"/>
        <v>0</v>
      </c>
      <c r="S183" s="16"/>
      <c r="T183" s="16"/>
      <c r="U183" s="16"/>
      <c r="V183" s="16"/>
      <c r="W183" s="16"/>
      <c r="X183" s="16"/>
      <c r="Y183" s="16"/>
      <c r="Z183" s="16"/>
    </row>
    <row r="184" spans="1:26" ht="21">
      <c r="A184" s="52" t="s">
        <v>242</v>
      </c>
      <c r="B184" s="39">
        <f>'[38]Budget Forms'!E337</f>
        <v>233333.33</v>
      </c>
      <c r="C184" s="39">
        <f>'[38]Budget Forms'!F337</f>
        <v>233333.33</v>
      </c>
      <c r="D184" s="39">
        <f>'[38]Budget Forms'!G337</f>
        <v>233333.33</v>
      </c>
      <c r="E184" s="39">
        <f t="shared" si="72"/>
        <v>699999.99</v>
      </c>
      <c r="F184" s="39">
        <f>'[38]Budget Forms'!H337</f>
        <v>233333.33</v>
      </c>
      <c r="G184" s="39">
        <f>'[38]Budget Forms'!I337</f>
        <v>233333.33</v>
      </c>
      <c r="H184" s="39">
        <f>'[38]Budget Forms'!J337</f>
        <v>233333.33</v>
      </c>
      <c r="I184" s="39">
        <f t="shared" si="61"/>
        <v>699999.99</v>
      </c>
      <c r="J184" s="39">
        <f>'[38]Budget Forms'!K337</f>
        <v>233333.33</v>
      </c>
      <c r="K184" s="39">
        <f>'[38]Budget Forms'!L337</f>
        <v>233333.33</v>
      </c>
      <c r="L184" s="39">
        <f>'[38]Budget Forms'!M337</f>
        <v>233333.34</v>
      </c>
      <c r="M184" s="39">
        <f t="shared" si="62"/>
        <v>700000</v>
      </c>
      <c r="N184" s="39">
        <f>'[38]Budget Forms'!N337</f>
        <v>233333.34</v>
      </c>
      <c r="O184" s="39">
        <f>'[38]Budget Forms'!O337</f>
        <v>233333.34</v>
      </c>
      <c r="P184" s="39">
        <f>'[38]Budget Forms'!P337</f>
        <v>233333.34</v>
      </c>
      <c r="Q184" s="39">
        <f t="shared" si="63"/>
        <v>700000.02</v>
      </c>
      <c r="R184" s="39">
        <f t="shared" si="73"/>
        <v>2800000</v>
      </c>
      <c r="S184" s="16"/>
      <c r="T184" s="16"/>
      <c r="U184" s="16"/>
      <c r="V184" s="16"/>
      <c r="W184" s="16"/>
      <c r="X184" s="16"/>
      <c r="Y184" s="16"/>
      <c r="Z184" s="16"/>
    </row>
    <row r="185" spans="1:26" ht="21.6" thickBot="1">
      <c r="A185" s="52" t="s">
        <v>243</v>
      </c>
      <c r="B185" s="39">
        <f>'[38]Budget Forms'!E338</f>
        <v>342224.63</v>
      </c>
      <c r="C185" s="39">
        <f>'[38]Budget Forms'!F338</f>
        <v>674541.02</v>
      </c>
      <c r="D185" s="39">
        <f>'[38]Budget Forms'!G338</f>
        <v>538770.55000000005</v>
      </c>
      <c r="E185" s="39">
        <f t="shared" si="72"/>
        <v>1555536.2000000002</v>
      </c>
      <c r="F185" s="39">
        <f>'[38]Budget Forms'!H338</f>
        <v>534929.06000000006</v>
      </c>
      <c r="G185" s="39">
        <f>'[38]Budget Forms'!I338</f>
        <v>534929.06000000006</v>
      </c>
      <c r="H185" s="39">
        <f>'[38]Budget Forms'!J338</f>
        <v>534929.06000000006</v>
      </c>
      <c r="I185" s="39">
        <f t="shared" si="61"/>
        <v>1604787.1800000002</v>
      </c>
      <c r="J185" s="39">
        <f>'[38]Budget Forms'!K338</f>
        <v>495337.42</v>
      </c>
      <c r="K185" s="39">
        <f>'[38]Budget Forms'!L338</f>
        <v>495337.42</v>
      </c>
      <c r="L185" s="39">
        <f>'[38]Budget Forms'!M338</f>
        <v>329673.28000000003</v>
      </c>
      <c r="M185" s="39">
        <f t="shared" si="62"/>
        <v>1320348.1200000001</v>
      </c>
      <c r="N185" s="39">
        <f>'[38]Budget Forms'!N338</f>
        <v>330057.43</v>
      </c>
      <c r="O185" s="39">
        <f>'[38]Budget Forms'!O338</f>
        <v>189911.53</v>
      </c>
      <c r="P185" s="39">
        <f>'[38]Budget Forms'!P338</f>
        <v>189911.53</v>
      </c>
      <c r="Q185" s="39">
        <f t="shared" si="63"/>
        <v>709880.49</v>
      </c>
      <c r="R185" s="39">
        <f t="shared" si="73"/>
        <v>5190551.99</v>
      </c>
      <c r="S185" s="16"/>
      <c r="T185" s="16"/>
      <c r="U185" s="16"/>
      <c r="V185" s="16"/>
      <c r="W185" s="16"/>
      <c r="X185" s="16"/>
      <c r="Y185" s="16"/>
      <c r="Z185" s="16"/>
    </row>
    <row r="186" spans="1:26" ht="24.6" thickTop="1" thickBot="1">
      <c r="A186" s="44" t="s">
        <v>238</v>
      </c>
      <c r="B186" s="45">
        <f t="shared" ref="B186:R186" si="74">SUM(B180:B185)</f>
        <v>2140317.4500000002</v>
      </c>
      <c r="C186" s="45">
        <f t="shared" si="74"/>
        <v>2584795.21</v>
      </c>
      <c r="D186" s="45">
        <f t="shared" si="74"/>
        <v>2568236.2599999998</v>
      </c>
      <c r="E186" s="45">
        <f t="shared" si="74"/>
        <v>7293348.9200000009</v>
      </c>
      <c r="F186" s="45">
        <f t="shared" si="74"/>
        <v>2558544.4900000002</v>
      </c>
      <c r="G186" s="45">
        <f t="shared" si="74"/>
        <v>2509239.4500000002</v>
      </c>
      <c r="H186" s="45">
        <f t="shared" si="74"/>
        <v>3040711.54</v>
      </c>
      <c r="I186" s="45">
        <f t="shared" si="74"/>
        <v>8108495.4800000004</v>
      </c>
      <c r="J186" s="45">
        <f t="shared" si="74"/>
        <v>1945207.1099999999</v>
      </c>
      <c r="K186" s="45">
        <f t="shared" si="74"/>
        <v>1945207.1099999999</v>
      </c>
      <c r="L186" s="45">
        <f t="shared" si="74"/>
        <v>2279542.98</v>
      </c>
      <c r="M186" s="45">
        <f t="shared" si="74"/>
        <v>6169957.1999999993</v>
      </c>
      <c r="N186" s="45">
        <f t="shared" si="74"/>
        <v>2979720.7466666703</v>
      </c>
      <c r="O186" s="45">
        <f t="shared" si="74"/>
        <v>2779545.3166666697</v>
      </c>
      <c r="P186" s="45">
        <f>SUM(P180:P185)</f>
        <v>3279545.3166666664</v>
      </c>
      <c r="Q186" s="45">
        <f t="shared" si="74"/>
        <v>9038811.3800000064</v>
      </c>
      <c r="R186" s="45">
        <f t="shared" si="74"/>
        <v>30610612.980000012</v>
      </c>
      <c r="S186" s="21"/>
    </row>
    <row r="187" spans="1:26" ht="30" thickTop="1" thickBot="1">
      <c r="A187" s="46" t="s">
        <v>156</v>
      </c>
      <c r="B187" s="47">
        <f t="shared" ref="B187:Q187" si="75">B177-B186</f>
        <v>-1484574.0033333413</v>
      </c>
      <c r="C187" s="47">
        <f t="shared" si="75"/>
        <v>-576946.0233333353</v>
      </c>
      <c r="D187" s="47">
        <f t="shared" si="75"/>
        <v>-1343823.0333333397</v>
      </c>
      <c r="E187" s="47">
        <f t="shared" si="75"/>
        <v>-3405343.0600000173</v>
      </c>
      <c r="F187" s="47">
        <f t="shared" si="75"/>
        <v>-1947642.0466666566</v>
      </c>
      <c r="G187" s="47">
        <f t="shared" si="75"/>
        <v>965273.02333333716</v>
      </c>
      <c r="H187" s="47">
        <f t="shared" si="75"/>
        <v>1833876.7733333409</v>
      </c>
      <c r="I187" s="47">
        <f t="shared" si="75"/>
        <v>851507.75000002235</v>
      </c>
      <c r="J187" s="47">
        <f t="shared" si="75"/>
        <v>-2228297.1499999906</v>
      </c>
      <c r="K187" s="47">
        <f t="shared" si="75"/>
        <v>464847.85000000941</v>
      </c>
      <c r="L187" s="47">
        <f t="shared" si="75"/>
        <v>2291568.6900000083</v>
      </c>
      <c r="M187" s="47">
        <f t="shared" si="75"/>
        <v>528119.3900000276</v>
      </c>
      <c r="N187" s="47">
        <f>N177-N186</f>
        <v>684517.87333333911</v>
      </c>
      <c r="O187" s="47">
        <f t="shared" si="75"/>
        <v>1898520.2933333381</v>
      </c>
      <c r="P187" s="47">
        <f>P177-P186</f>
        <v>1364487.2933333414</v>
      </c>
      <c r="Q187" s="47">
        <f t="shared" si="75"/>
        <v>3947525.4600000195</v>
      </c>
      <c r="R187" s="47">
        <f>R177-R186</f>
        <v>1921809.5400000103</v>
      </c>
      <c r="S187" s="16"/>
    </row>
    <row r="188" spans="1:26" ht="24.6" thickTop="1" thickBot="1">
      <c r="A188" s="44" t="s">
        <v>244</v>
      </c>
      <c r="B188" s="56">
        <v>0</v>
      </c>
      <c r="C188" s="56">
        <v>0</v>
      </c>
      <c r="D188" s="56">
        <v>0</v>
      </c>
      <c r="E188" s="56">
        <f t="shared" si="72"/>
        <v>0</v>
      </c>
      <c r="F188" s="56"/>
      <c r="G188" s="56"/>
      <c r="H188" s="56"/>
      <c r="I188" s="56">
        <f t="shared" si="61"/>
        <v>0</v>
      </c>
      <c r="J188" s="56"/>
      <c r="K188" s="56"/>
      <c r="L188" s="56"/>
      <c r="M188" s="56">
        <f>SUM(J188:L188)</f>
        <v>0</v>
      </c>
      <c r="N188" s="56">
        <f>(N187)*0.225</f>
        <v>154016.52150000131</v>
      </c>
      <c r="O188" s="56">
        <f>(O187)*0.225</f>
        <v>427167.0660000011</v>
      </c>
      <c r="P188" s="56">
        <f>(P187)*0.225</f>
        <v>307009.64100000181</v>
      </c>
      <c r="Q188" s="56">
        <f>SUM(N188:P188)</f>
        <v>888193.22850000428</v>
      </c>
      <c r="R188" s="56">
        <f t="shared" si="73"/>
        <v>888193.22850000428</v>
      </c>
    </row>
    <row r="189" spans="1:26" ht="24.6" thickTop="1" thickBot="1">
      <c r="A189" s="44" t="s">
        <v>160</v>
      </c>
      <c r="B189" s="56">
        <v>0</v>
      </c>
      <c r="C189" s="56">
        <v>0</v>
      </c>
      <c r="D189" s="56">
        <v>0</v>
      </c>
      <c r="E189" s="56">
        <f t="shared" si="72"/>
        <v>0</v>
      </c>
      <c r="F189" s="56">
        <v>0</v>
      </c>
      <c r="G189" s="56">
        <v>0</v>
      </c>
      <c r="H189" s="56">
        <v>0</v>
      </c>
      <c r="I189" s="56">
        <f t="shared" si="61"/>
        <v>0</v>
      </c>
      <c r="J189" s="56">
        <v>0</v>
      </c>
      <c r="K189" s="56">
        <v>0</v>
      </c>
      <c r="L189" s="56">
        <v>0</v>
      </c>
      <c r="M189" s="56">
        <f t="shared" si="62"/>
        <v>0</v>
      </c>
      <c r="N189" s="56">
        <v>0</v>
      </c>
      <c r="O189" s="56">
        <v>0</v>
      </c>
      <c r="P189" s="56">
        <v>0</v>
      </c>
      <c r="Q189" s="56">
        <f t="shared" si="63"/>
        <v>0</v>
      </c>
      <c r="R189" s="56">
        <f t="shared" si="73"/>
        <v>0</v>
      </c>
      <c r="S189" s="16"/>
    </row>
    <row r="190" spans="1:26" ht="24.6" thickTop="1" thickBot="1">
      <c r="A190" s="44" t="s">
        <v>245</v>
      </c>
      <c r="B190" s="57">
        <v>0</v>
      </c>
      <c r="C190" s="57">
        <v>0</v>
      </c>
      <c r="D190" s="57">
        <v>0</v>
      </c>
      <c r="E190" s="57">
        <f t="shared" si="72"/>
        <v>0</v>
      </c>
      <c r="F190" s="56">
        <v>0</v>
      </c>
      <c r="G190" s="56">
        <v>0</v>
      </c>
      <c r="H190" s="56">
        <v>0</v>
      </c>
      <c r="I190" s="57">
        <f t="shared" si="61"/>
        <v>0</v>
      </c>
      <c r="J190" s="56">
        <v>0</v>
      </c>
      <c r="K190" s="56">
        <v>0</v>
      </c>
      <c r="L190" s="56">
        <v>0</v>
      </c>
      <c r="M190" s="57">
        <f t="shared" si="62"/>
        <v>0</v>
      </c>
      <c r="N190" s="56">
        <v>0</v>
      </c>
      <c r="O190" s="56">
        <v>0</v>
      </c>
      <c r="P190" s="56">
        <v>0</v>
      </c>
      <c r="Q190" s="57">
        <f t="shared" si="63"/>
        <v>0</v>
      </c>
      <c r="R190" s="56">
        <f t="shared" si="73"/>
        <v>0</v>
      </c>
    </row>
    <row r="191" spans="1:26" ht="24.6" thickTop="1" thickBot="1">
      <c r="A191" s="44" t="s">
        <v>246</v>
      </c>
      <c r="B191" s="57">
        <v>0</v>
      </c>
      <c r="C191" s="57">
        <v>0</v>
      </c>
      <c r="D191" s="57">
        <v>0</v>
      </c>
      <c r="E191" s="57">
        <f t="shared" si="72"/>
        <v>0</v>
      </c>
      <c r="F191" s="56">
        <v>0</v>
      </c>
      <c r="G191" s="56">
        <v>0</v>
      </c>
      <c r="H191" s="56">
        <v>0</v>
      </c>
      <c r="I191" s="57">
        <f t="shared" si="61"/>
        <v>0</v>
      </c>
      <c r="J191" s="56">
        <v>0</v>
      </c>
      <c r="K191" s="56">
        <v>0</v>
      </c>
      <c r="L191" s="56">
        <v>0</v>
      </c>
      <c r="M191" s="57">
        <f t="shared" si="62"/>
        <v>0</v>
      </c>
      <c r="N191" s="56">
        <v>0</v>
      </c>
      <c r="O191" s="56">
        <v>0</v>
      </c>
      <c r="P191" s="56">
        <v>0</v>
      </c>
      <c r="Q191" s="57">
        <f t="shared" si="63"/>
        <v>0</v>
      </c>
      <c r="R191" s="56">
        <f t="shared" si="73"/>
        <v>0</v>
      </c>
    </row>
    <row r="192" spans="1:26" ht="30" thickTop="1" thickBot="1">
      <c r="A192" s="58" t="s">
        <v>247</v>
      </c>
      <c r="B192" s="59">
        <f>B187-B188-B189-B190-B191</f>
        <v>-1484574.0033333413</v>
      </c>
      <c r="C192" s="59">
        <f>C187-C188-C189-C190-C191</f>
        <v>-576946.0233333353</v>
      </c>
      <c r="D192" s="59">
        <f>D187-D188-D189-D190-D191</f>
        <v>-1343823.0333333397</v>
      </c>
      <c r="E192" s="59">
        <f t="shared" si="72"/>
        <v>-3405343.0600000164</v>
      </c>
      <c r="F192" s="59">
        <f>F187-F188-F189-F190-F191</f>
        <v>-1947642.0466666566</v>
      </c>
      <c r="G192" s="59">
        <f>G187-G188-G189-G190-G191</f>
        <v>965273.02333333716</v>
      </c>
      <c r="H192" s="59">
        <f>H187-H188-H189-H190-H191</f>
        <v>1833876.7733333409</v>
      </c>
      <c r="I192" s="59">
        <f t="shared" si="61"/>
        <v>851507.75000002142</v>
      </c>
      <c r="J192" s="59">
        <f>J187-J188-J189-J190-J191</f>
        <v>-2228297.1499999906</v>
      </c>
      <c r="K192" s="59">
        <f>K187-K188-K189-K190-K191</f>
        <v>464847.85000000941</v>
      </c>
      <c r="L192" s="59">
        <f>L187-L188-L189-L190-L191</f>
        <v>2291568.6900000083</v>
      </c>
      <c r="M192" s="59">
        <f t="shared" si="62"/>
        <v>528119.39000002714</v>
      </c>
      <c r="N192" s="59">
        <f>N187-N188-N189-N190-N191</f>
        <v>530501.3518333378</v>
      </c>
      <c r="O192" s="59">
        <f>O187-O188-O189-O190-O191</f>
        <v>1471353.2273333371</v>
      </c>
      <c r="P192" s="59">
        <f>P187-P188-P189-P190-P191</f>
        <v>1057477.6523333397</v>
      </c>
      <c r="Q192" s="59">
        <f t="shared" si="63"/>
        <v>3059332.2315000147</v>
      </c>
      <c r="R192" s="59">
        <f>R187-R188-R189-R190-R191</f>
        <v>1033616.311500006</v>
      </c>
    </row>
    <row r="193" spans="6:18">
      <c r="M193" s="16"/>
      <c r="N193" s="21"/>
      <c r="O193" s="21"/>
      <c r="P193" s="21"/>
      <c r="Q193" s="21"/>
    </row>
    <row r="194" spans="6:18">
      <c r="G194" s="60"/>
      <c r="R194" s="21"/>
    </row>
    <row r="195" spans="6:18">
      <c r="F195" s="12"/>
      <c r="G195" s="12"/>
      <c r="H195" s="12"/>
    </row>
    <row r="196" spans="6:18">
      <c r="H196" s="12"/>
    </row>
    <row r="197" spans="6:18">
      <c r="F197" s="12"/>
      <c r="G197" s="12"/>
      <c r="H197" s="12"/>
    </row>
  </sheetData>
  <printOptions horizontalCentered="1"/>
  <pageMargins left="0" right="0" top="0" bottom="0" header="0" footer="0"/>
  <pageSetup paperSize="9" scale="54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B197"/>
  <sheetViews>
    <sheetView zoomScale="90" zoomScaleNormal="90" workbookViewId="0">
      <pane ySplit="3" topLeftCell="A144" activePane="bottomLeft" state="frozen"/>
      <selection pane="bottomLeft" activeCell="S194" sqref="S194"/>
    </sheetView>
  </sheetViews>
  <sheetFormatPr defaultColWidth="9.33203125" defaultRowHeight="14.4" outlineLevelRow="1" outlineLevelCol="1"/>
  <cols>
    <col min="1" max="1" width="52.21875" bestFit="1" customWidth="1"/>
    <col min="2" max="3" width="24.109375" hidden="1" customWidth="1" outlineLevel="1"/>
    <col min="4" max="4" width="24.88671875" hidden="1" customWidth="1" outlineLevel="1"/>
    <col min="5" max="5" width="25.77734375" hidden="1" customWidth="1"/>
    <col min="6" max="6" width="22.77734375" hidden="1" customWidth="1" outlineLevel="1"/>
    <col min="7" max="7" width="24.109375" hidden="1" customWidth="1" outlineLevel="1"/>
    <col min="8" max="8" width="22.77734375" hidden="1" customWidth="1" outlineLevel="1"/>
    <col min="9" max="9" width="25.109375" hidden="1" customWidth="1"/>
    <col min="10" max="10" width="22.77734375" hidden="1" customWidth="1" outlineLevel="1"/>
    <col min="11" max="11" width="24.109375" hidden="1" customWidth="1" outlineLevel="1"/>
    <col min="12" max="12" width="22.77734375" hidden="1" customWidth="1" outlineLevel="1"/>
    <col min="13" max="13" width="24" hidden="1" customWidth="1"/>
    <col min="14" max="15" width="22.77734375" hidden="1" customWidth="1" outlineLevel="1"/>
    <col min="16" max="16" width="24.21875" hidden="1" customWidth="1" outlineLevel="1"/>
    <col min="17" max="17" width="24.88671875" hidden="1" customWidth="1"/>
    <col min="18" max="18" width="24.88671875" bestFit="1" customWidth="1" collapsed="1"/>
    <col min="19" max="19" width="27.33203125" bestFit="1" customWidth="1"/>
    <col min="20" max="20" width="14.88671875" customWidth="1"/>
    <col min="21" max="21" width="56.109375" customWidth="1"/>
    <col min="22" max="22" width="14.6640625" customWidth="1"/>
    <col min="23" max="23" width="9.6640625" bestFit="1" customWidth="1"/>
    <col min="24" max="24" width="12.88671875" customWidth="1"/>
    <col min="25" max="25" width="9.6640625" bestFit="1" customWidth="1"/>
    <col min="26" max="26" width="13.21875" customWidth="1"/>
    <col min="27" max="27" width="9.6640625" bestFit="1" customWidth="1"/>
    <col min="28" max="28" width="12.21875" bestFit="1" customWidth="1"/>
    <col min="253" max="253" width="52.21875" bestFit="1" customWidth="1"/>
    <col min="254" max="254" width="33.33203125" customWidth="1"/>
    <col min="255" max="255" width="24.109375" customWidth="1"/>
    <col min="256" max="256" width="22.77734375" customWidth="1"/>
    <col min="257" max="257" width="24.109375" customWidth="1"/>
    <col min="258" max="258" width="22.77734375" customWidth="1"/>
    <col min="259" max="259" width="24.109375" customWidth="1"/>
    <col min="260" max="262" width="22.77734375" customWidth="1"/>
    <col min="263" max="263" width="24.109375" customWidth="1"/>
    <col min="264" max="268" width="22.77734375" customWidth="1"/>
    <col min="269" max="269" width="24.88671875" customWidth="1"/>
    <col min="270" max="270" width="24.88671875" bestFit="1" customWidth="1"/>
    <col min="271" max="271" width="15.109375" bestFit="1" customWidth="1"/>
    <col min="272" max="272" width="15" bestFit="1" customWidth="1"/>
    <col min="273" max="273" width="11.88671875" bestFit="1" customWidth="1"/>
    <col min="509" max="509" width="52.21875" bestFit="1" customWidth="1"/>
    <col min="510" max="510" width="33.33203125" customWidth="1"/>
    <col min="511" max="511" width="24.109375" customWidth="1"/>
    <col min="512" max="512" width="22.77734375" customWidth="1"/>
    <col min="513" max="513" width="24.109375" customWidth="1"/>
    <col min="514" max="514" width="22.77734375" customWidth="1"/>
    <col min="515" max="515" width="24.109375" customWidth="1"/>
    <col min="516" max="518" width="22.77734375" customWidth="1"/>
    <col min="519" max="519" width="24.109375" customWidth="1"/>
    <col min="520" max="524" width="22.77734375" customWidth="1"/>
    <col min="525" max="525" width="24.88671875" customWidth="1"/>
    <col min="526" max="526" width="24.88671875" bestFit="1" customWidth="1"/>
    <col min="527" max="527" width="15.109375" bestFit="1" customWidth="1"/>
    <col min="528" max="528" width="15" bestFit="1" customWidth="1"/>
    <col min="529" max="529" width="11.88671875" bestFit="1" customWidth="1"/>
    <col min="765" max="765" width="52.21875" bestFit="1" customWidth="1"/>
    <col min="766" max="766" width="33.33203125" customWidth="1"/>
    <col min="767" max="767" width="24.109375" customWidth="1"/>
    <col min="768" max="768" width="22.77734375" customWidth="1"/>
    <col min="769" max="769" width="24.109375" customWidth="1"/>
    <col min="770" max="770" width="22.77734375" customWidth="1"/>
    <col min="771" max="771" width="24.109375" customWidth="1"/>
    <col min="772" max="774" width="22.77734375" customWidth="1"/>
    <col min="775" max="775" width="24.109375" customWidth="1"/>
    <col min="776" max="780" width="22.77734375" customWidth="1"/>
    <col min="781" max="781" width="24.88671875" customWidth="1"/>
    <col min="782" max="782" width="24.88671875" bestFit="1" customWidth="1"/>
    <col min="783" max="783" width="15.109375" bestFit="1" customWidth="1"/>
    <col min="784" max="784" width="15" bestFit="1" customWidth="1"/>
    <col min="785" max="785" width="11.88671875" bestFit="1" customWidth="1"/>
    <col min="1021" max="1021" width="52.21875" bestFit="1" customWidth="1"/>
    <col min="1022" max="1022" width="33.33203125" customWidth="1"/>
    <col min="1023" max="1023" width="24.109375" customWidth="1"/>
    <col min="1024" max="1024" width="22.77734375" customWidth="1"/>
    <col min="1025" max="1025" width="24.109375" customWidth="1"/>
    <col min="1026" max="1026" width="22.77734375" customWidth="1"/>
    <col min="1027" max="1027" width="24.109375" customWidth="1"/>
    <col min="1028" max="1030" width="22.77734375" customWidth="1"/>
    <col min="1031" max="1031" width="24.109375" customWidth="1"/>
    <col min="1032" max="1036" width="22.77734375" customWidth="1"/>
    <col min="1037" max="1037" width="24.88671875" customWidth="1"/>
    <col min="1038" max="1038" width="24.88671875" bestFit="1" customWidth="1"/>
    <col min="1039" max="1039" width="15.109375" bestFit="1" customWidth="1"/>
    <col min="1040" max="1040" width="15" bestFit="1" customWidth="1"/>
    <col min="1041" max="1041" width="11.88671875" bestFit="1" customWidth="1"/>
    <col min="1277" max="1277" width="52.21875" bestFit="1" customWidth="1"/>
    <col min="1278" max="1278" width="33.33203125" customWidth="1"/>
    <col min="1279" max="1279" width="24.109375" customWidth="1"/>
    <col min="1280" max="1280" width="22.77734375" customWidth="1"/>
    <col min="1281" max="1281" width="24.109375" customWidth="1"/>
    <col min="1282" max="1282" width="22.77734375" customWidth="1"/>
    <col min="1283" max="1283" width="24.109375" customWidth="1"/>
    <col min="1284" max="1286" width="22.77734375" customWidth="1"/>
    <col min="1287" max="1287" width="24.109375" customWidth="1"/>
    <col min="1288" max="1292" width="22.77734375" customWidth="1"/>
    <col min="1293" max="1293" width="24.88671875" customWidth="1"/>
    <col min="1294" max="1294" width="24.88671875" bestFit="1" customWidth="1"/>
    <col min="1295" max="1295" width="15.109375" bestFit="1" customWidth="1"/>
    <col min="1296" max="1296" width="15" bestFit="1" customWidth="1"/>
    <col min="1297" max="1297" width="11.88671875" bestFit="1" customWidth="1"/>
    <col min="1533" max="1533" width="52.21875" bestFit="1" customWidth="1"/>
    <col min="1534" max="1534" width="33.33203125" customWidth="1"/>
    <col min="1535" max="1535" width="24.109375" customWidth="1"/>
    <col min="1536" max="1536" width="22.77734375" customWidth="1"/>
    <col min="1537" max="1537" width="24.109375" customWidth="1"/>
    <col min="1538" max="1538" width="22.77734375" customWidth="1"/>
    <col min="1539" max="1539" width="24.109375" customWidth="1"/>
    <col min="1540" max="1542" width="22.77734375" customWidth="1"/>
    <col min="1543" max="1543" width="24.109375" customWidth="1"/>
    <col min="1544" max="1548" width="22.77734375" customWidth="1"/>
    <col min="1549" max="1549" width="24.88671875" customWidth="1"/>
    <col min="1550" max="1550" width="24.88671875" bestFit="1" customWidth="1"/>
    <col min="1551" max="1551" width="15.109375" bestFit="1" customWidth="1"/>
    <col min="1552" max="1552" width="15" bestFit="1" customWidth="1"/>
    <col min="1553" max="1553" width="11.88671875" bestFit="1" customWidth="1"/>
    <col min="1789" max="1789" width="52.21875" bestFit="1" customWidth="1"/>
    <col min="1790" max="1790" width="33.33203125" customWidth="1"/>
    <col min="1791" max="1791" width="24.109375" customWidth="1"/>
    <col min="1792" max="1792" width="22.77734375" customWidth="1"/>
    <col min="1793" max="1793" width="24.109375" customWidth="1"/>
    <col min="1794" max="1794" width="22.77734375" customWidth="1"/>
    <col min="1795" max="1795" width="24.109375" customWidth="1"/>
    <col min="1796" max="1798" width="22.77734375" customWidth="1"/>
    <col min="1799" max="1799" width="24.109375" customWidth="1"/>
    <col min="1800" max="1804" width="22.77734375" customWidth="1"/>
    <col min="1805" max="1805" width="24.88671875" customWidth="1"/>
    <col min="1806" max="1806" width="24.88671875" bestFit="1" customWidth="1"/>
    <col min="1807" max="1807" width="15.109375" bestFit="1" customWidth="1"/>
    <col min="1808" max="1808" width="15" bestFit="1" customWidth="1"/>
    <col min="1809" max="1809" width="11.88671875" bestFit="1" customWidth="1"/>
    <col min="2045" max="2045" width="52.21875" bestFit="1" customWidth="1"/>
    <col min="2046" max="2046" width="33.33203125" customWidth="1"/>
    <col min="2047" max="2047" width="24.109375" customWidth="1"/>
    <col min="2048" max="2048" width="22.77734375" customWidth="1"/>
    <col min="2049" max="2049" width="24.109375" customWidth="1"/>
    <col min="2050" max="2050" width="22.77734375" customWidth="1"/>
    <col min="2051" max="2051" width="24.109375" customWidth="1"/>
    <col min="2052" max="2054" width="22.77734375" customWidth="1"/>
    <col min="2055" max="2055" width="24.109375" customWidth="1"/>
    <col min="2056" max="2060" width="22.77734375" customWidth="1"/>
    <col min="2061" max="2061" width="24.88671875" customWidth="1"/>
    <col min="2062" max="2062" width="24.88671875" bestFit="1" customWidth="1"/>
    <col min="2063" max="2063" width="15.109375" bestFit="1" customWidth="1"/>
    <col min="2064" max="2064" width="15" bestFit="1" customWidth="1"/>
    <col min="2065" max="2065" width="11.88671875" bestFit="1" customWidth="1"/>
    <col min="2301" max="2301" width="52.21875" bestFit="1" customWidth="1"/>
    <col min="2302" max="2302" width="33.33203125" customWidth="1"/>
    <col min="2303" max="2303" width="24.109375" customWidth="1"/>
    <col min="2304" max="2304" width="22.77734375" customWidth="1"/>
    <col min="2305" max="2305" width="24.109375" customWidth="1"/>
    <col min="2306" max="2306" width="22.77734375" customWidth="1"/>
    <col min="2307" max="2307" width="24.109375" customWidth="1"/>
    <col min="2308" max="2310" width="22.77734375" customWidth="1"/>
    <col min="2311" max="2311" width="24.109375" customWidth="1"/>
    <col min="2312" max="2316" width="22.77734375" customWidth="1"/>
    <col min="2317" max="2317" width="24.88671875" customWidth="1"/>
    <col min="2318" max="2318" width="24.88671875" bestFit="1" customWidth="1"/>
    <col min="2319" max="2319" width="15.109375" bestFit="1" customWidth="1"/>
    <col min="2320" max="2320" width="15" bestFit="1" customWidth="1"/>
    <col min="2321" max="2321" width="11.88671875" bestFit="1" customWidth="1"/>
    <col min="2557" max="2557" width="52.21875" bestFit="1" customWidth="1"/>
    <col min="2558" max="2558" width="33.33203125" customWidth="1"/>
    <col min="2559" max="2559" width="24.109375" customWidth="1"/>
    <col min="2560" max="2560" width="22.77734375" customWidth="1"/>
    <col min="2561" max="2561" width="24.109375" customWidth="1"/>
    <col min="2562" max="2562" width="22.77734375" customWidth="1"/>
    <col min="2563" max="2563" width="24.109375" customWidth="1"/>
    <col min="2564" max="2566" width="22.77734375" customWidth="1"/>
    <col min="2567" max="2567" width="24.109375" customWidth="1"/>
    <col min="2568" max="2572" width="22.77734375" customWidth="1"/>
    <col min="2573" max="2573" width="24.88671875" customWidth="1"/>
    <col min="2574" max="2574" width="24.88671875" bestFit="1" customWidth="1"/>
    <col min="2575" max="2575" width="15.109375" bestFit="1" customWidth="1"/>
    <col min="2576" max="2576" width="15" bestFit="1" customWidth="1"/>
    <col min="2577" max="2577" width="11.88671875" bestFit="1" customWidth="1"/>
    <col min="2813" max="2813" width="52.21875" bestFit="1" customWidth="1"/>
    <col min="2814" max="2814" width="33.33203125" customWidth="1"/>
    <col min="2815" max="2815" width="24.109375" customWidth="1"/>
    <col min="2816" max="2816" width="22.77734375" customWidth="1"/>
    <col min="2817" max="2817" width="24.109375" customWidth="1"/>
    <col min="2818" max="2818" width="22.77734375" customWidth="1"/>
    <col min="2819" max="2819" width="24.109375" customWidth="1"/>
    <col min="2820" max="2822" width="22.77734375" customWidth="1"/>
    <col min="2823" max="2823" width="24.109375" customWidth="1"/>
    <col min="2824" max="2828" width="22.77734375" customWidth="1"/>
    <col min="2829" max="2829" width="24.88671875" customWidth="1"/>
    <col min="2830" max="2830" width="24.88671875" bestFit="1" customWidth="1"/>
    <col min="2831" max="2831" width="15.109375" bestFit="1" customWidth="1"/>
    <col min="2832" max="2832" width="15" bestFit="1" customWidth="1"/>
    <col min="2833" max="2833" width="11.88671875" bestFit="1" customWidth="1"/>
    <col min="3069" max="3069" width="52.21875" bestFit="1" customWidth="1"/>
    <col min="3070" max="3070" width="33.33203125" customWidth="1"/>
    <col min="3071" max="3071" width="24.109375" customWidth="1"/>
    <col min="3072" max="3072" width="22.77734375" customWidth="1"/>
    <col min="3073" max="3073" width="24.109375" customWidth="1"/>
    <col min="3074" max="3074" width="22.77734375" customWidth="1"/>
    <col min="3075" max="3075" width="24.109375" customWidth="1"/>
    <col min="3076" max="3078" width="22.77734375" customWidth="1"/>
    <col min="3079" max="3079" width="24.109375" customWidth="1"/>
    <col min="3080" max="3084" width="22.77734375" customWidth="1"/>
    <col min="3085" max="3085" width="24.88671875" customWidth="1"/>
    <col min="3086" max="3086" width="24.88671875" bestFit="1" customWidth="1"/>
    <col min="3087" max="3087" width="15.109375" bestFit="1" customWidth="1"/>
    <col min="3088" max="3088" width="15" bestFit="1" customWidth="1"/>
    <col min="3089" max="3089" width="11.88671875" bestFit="1" customWidth="1"/>
    <col min="3325" max="3325" width="52.21875" bestFit="1" customWidth="1"/>
    <col min="3326" max="3326" width="33.33203125" customWidth="1"/>
    <col min="3327" max="3327" width="24.109375" customWidth="1"/>
    <col min="3328" max="3328" width="22.77734375" customWidth="1"/>
    <col min="3329" max="3329" width="24.109375" customWidth="1"/>
    <col min="3330" max="3330" width="22.77734375" customWidth="1"/>
    <col min="3331" max="3331" width="24.109375" customWidth="1"/>
    <col min="3332" max="3334" width="22.77734375" customWidth="1"/>
    <col min="3335" max="3335" width="24.109375" customWidth="1"/>
    <col min="3336" max="3340" width="22.77734375" customWidth="1"/>
    <col min="3341" max="3341" width="24.88671875" customWidth="1"/>
    <col min="3342" max="3342" width="24.88671875" bestFit="1" customWidth="1"/>
    <col min="3343" max="3343" width="15.109375" bestFit="1" customWidth="1"/>
    <col min="3344" max="3344" width="15" bestFit="1" customWidth="1"/>
    <col min="3345" max="3345" width="11.88671875" bestFit="1" customWidth="1"/>
    <col min="3581" max="3581" width="52.21875" bestFit="1" customWidth="1"/>
    <col min="3582" max="3582" width="33.33203125" customWidth="1"/>
    <col min="3583" max="3583" width="24.109375" customWidth="1"/>
    <col min="3584" max="3584" width="22.77734375" customWidth="1"/>
    <col min="3585" max="3585" width="24.109375" customWidth="1"/>
    <col min="3586" max="3586" width="22.77734375" customWidth="1"/>
    <col min="3587" max="3587" width="24.109375" customWidth="1"/>
    <col min="3588" max="3590" width="22.77734375" customWidth="1"/>
    <col min="3591" max="3591" width="24.109375" customWidth="1"/>
    <col min="3592" max="3596" width="22.77734375" customWidth="1"/>
    <col min="3597" max="3597" width="24.88671875" customWidth="1"/>
    <col min="3598" max="3598" width="24.88671875" bestFit="1" customWidth="1"/>
    <col min="3599" max="3599" width="15.109375" bestFit="1" customWidth="1"/>
    <col min="3600" max="3600" width="15" bestFit="1" customWidth="1"/>
    <col min="3601" max="3601" width="11.88671875" bestFit="1" customWidth="1"/>
    <col min="3837" max="3837" width="52.21875" bestFit="1" customWidth="1"/>
    <col min="3838" max="3838" width="33.33203125" customWidth="1"/>
    <col min="3839" max="3839" width="24.109375" customWidth="1"/>
    <col min="3840" max="3840" width="22.77734375" customWidth="1"/>
    <col min="3841" max="3841" width="24.109375" customWidth="1"/>
    <col min="3842" max="3842" width="22.77734375" customWidth="1"/>
    <col min="3843" max="3843" width="24.109375" customWidth="1"/>
    <col min="3844" max="3846" width="22.77734375" customWidth="1"/>
    <col min="3847" max="3847" width="24.109375" customWidth="1"/>
    <col min="3848" max="3852" width="22.77734375" customWidth="1"/>
    <col min="3853" max="3853" width="24.88671875" customWidth="1"/>
    <col min="3854" max="3854" width="24.88671875" bestFit="1" customWidth="1"/>
    <col min="3855" max="3855" width="15.109375" bestFit="1" customWidth="1"/>
    <col min="3856" max="3856" width="15" bestFit="1" customWidth="1"/>
    <col min="3857" max="3857" width="11.88671875" bestFit="1" customWidth="1"/>
    <col min="4093" max="4093" width="52.21875" bestFit="1" customWidth="1"/>
    <col min="4094" max="4094" width="33.33203125" customWidth="1"/>
    <col min="4095" max="4095" width="24.109375" customWidth="1"/>
    <col min="4096" max="4096" width="22.77734375" customWidth="1"/>
    <col min="4097" max="4097" width="24.109375" customWidth="1"/>
    <col min="4098" max="4098" width="22.77734375" customWidth="1"/>
    <col min="4099" max="4099" width="24.109375" customWidth="1"/>
    <col min="4100" max="4102" width="22.77734375" customWidth="1"/>
    <col min="4103" max="4103" width="24.109375" customWidth="1"/>
    <col min="4104" max="4108" width="22.77734375" customWidth="1"/>
    <col min="4109" max="4109" width="24.88671875" customWidth="1"/>
    <col min="4110" max="4110" width="24.88671875" bestFit="1" customWidth="1"/>
    <col min="4111" max="4111" width="15.109375" bestFit="1" customWidth="1"/>
    <col min="4112" max="4112" width="15" bestFit="1" customWidth="1"/>
    <col min="4113" max="4113" width="11.88671875" bestFit="1" customWidth="1"/>
    <col min="4349" max="4349" width="52.21875" bestFit="1" customWidth="1"/>
    <col min="4350" max="4350" width="33.33203125" customWidth="1"/>
    <col min="4351" max="4351" width="24.109375" customWidth="1"/>
    <col min="4352" max="4352" width="22.77734375" customWidth="1"/>
    <col min="4353" max="4353" width="24.109375" customWidth="1"/>
    <col min="4354" max="4354" width="22.77734375" customWidth="1"/>
    <col min="4355" max="4355" width="24.109375" customWidth="1"/>
    <col min="4356" max="4358" width="22.77734375" customWidth="1"/>
    <col min="4359" max="4359" width="24.109375" customWidth="1"/>
    <col min="4360" max="4364" width="22.77734375" customWidth="1"/>
    <col min="4365" max="4365" width="24.88671875" customWidth="1"/>
    <col min="4366" max="4366" width="24.88671875" bestFit="1" customWidth="1"/>
    <col min="4367" max="4367" width="15.109375" bestFit="1" customWidth="1"/>
    <col min="4368" max="4368" width="15" bestFit="1" customWidth="1"/>
    <col min="4369" max="4369" width="11.88671875" bestFit="1" customWidth="1"/>
    <col min="4605" max="4605" width="52.21875" bestFit="1" customWidth="1"/>
    <col min="4606" max="4606" width="33.33203125" customWidth="1"/>
    <col min="4607" max="4607" width="24.109375" customWidth="1"/>
    <col min="4608" max="4608" width="22.77734375" customWidth="1"/>
    <col min="4609" max="4609" width="24.109375" customWidth="1"/>
    <col min="4610" max="4610" width="22.77734375" customWidth="1"/>
    <col min="4611" max="4611" width="24.109375" customWidth="1"/>
    <col min="4612" max="4614" width="22.77734375" customWidth="1"/>
    <col min="4615" max="4615" width="24.109375" customWidth="1"/>
    <col min="4616" max="4620" width="22.77734375" customWidth="1"/>
    <col min="4621" max="4621" width="24.88671875" customWidth="1"/>
    <col min="4622" max="4622" width="24.88671875" bestFit="1" customWidth="1"/>
    <col min="4623" max="4623" width="15.109375" bestFit="1" customWidth="1"/>
    <col min="4624" max="4624" width="15" bestFit="1" customWidth="1"/>
    <col min="4625" max="4625" width="11.88671875" bestFit="1" customWidth="1"/>
    <col min="4861" max="4861" width="52.21875" bestFit="1" customWidth="1"/>
    <col min="4862" max="4862" width="33.33203125" customWidth="1"/>
    <col min="4863" max="4863" width="24.109375" customWidth="1"/>
    <col min="4864" max="4864" width="22.77734375" customWidth="1"/>
    <col min="4865" max="4865" width="24.109375" customWidth="1"/>
    <col min="4866" max="4866" width="22.77734375" customWidth="1"/>
    <col min="4867" max="4867" width="24.109375" customWidth="1"/>
    <col min="4868" max="4870" width="22.77734375" customWidth="1"/>
    <col min="4871" max="4871" width="24.109375" customWidth="1"/>
    <col min="4872" max="4876" width="22.77734375" customWidth="1"/>
    <col min="4877" max="4877" width="24.88671875" customWidth="1"/>
    <col min="4878" max="4878" width="24.88671875" bestFit="1" customWidth="1"/>
    <col min="4879" max="4879" width="15.109375" bestFit="1" customWidth="1"/>
    <col min="4880" max="4880" width="15" bestFit="1" customWidth="1"/>
    <col min="4881" max="4881" width="11.88671875" bestFit="1" customWidth="1"/>
    <col min="5117" max="5117" width="52.21875" bestFit="1" customWidth="1"/>
    <col min="5118" max="5118" width="33.33203125" customWidth="1"/>
    <col min="5119" max="5119" width="24.109375" customWidth="1"/>
    <col min="5120" max="5120" width="22.77734375" customWidth="1"/>
    <col min="5121" max="5121" width="24.109375" customWidth="1"/>
    <col min="5122" max="5122" width="22.77734375" customWidth="1"/>
    <col min="5123" max="5123" width="24.109375" customWidth="1"/>
    <col min="5124" max="5126" width="22.77734375" customWidth="1"/>
    <col min="5127" max="5127" width="24.109375" customWidth="1"/>
    <col min="5128" max="5132" width="22.77734375" customWidth="1"/>
    <col min="5133" max="5133" width="24.88671875" customWidth="1"/>
    <col min="5134" max="5134" width="24.88671875" bestFit="1" customWidth="1"/>
    <col min="5135" max="5135" width="15.109375" bestFit="1" customWidth="1"/>
    <col min="5136" max="5136" width="15" bestFit="1" customWidth="1"/>
    <col min="5137" max="5137" width="11.88671875" bestFit="1" customWidth="1"/>
    <col min="5373" max="5373" width="52.21875" bestFit="1" customWidth="1"/>
    <col min="5374" max="5374" width="33.33203125" customWidth="1"/>
    <col min="5375" max="5375" width="24.109375" customWidth="1"/>
    <col min="5376" max="5376" width="22.77734375" customWidth="1"/>
    <col min="5377" max="5377" width="24.109375" customWidth="1"/>
    <col min="5378" max="5378" width="22.77734375" customWidth="1"/>
    <col min="5379" max="5379" width="24.109375" customWidth="1"/>
    <col min="5380" max="5382" width="22.77734375" customWidth="1"/>
    <col min="5383" max="5383" width="24.109375" customWidth="1"/>
    <col min="5384" max="5388" width="22.77734375" customWidth="1"/>
    <col min="5389" max="5389" width="24.88671875" customWidth="1"/>
    <col min="5390" max="5390" width="24.88671875" bestFit="1" customWidth="1"/>
    <col min="5391" max="5391" width="15.109375" bestFit="1" customWidth="1"/>
    <col min="5392" max="5392" width="15" bestFit="1" customWidth="1"/>
    <col min="5393" max="5393" width="11.88671875" bestFit="1" customWidth="1"/>
    <col min="5629" max="5629" width="52.21875" bestFit="1" customWidth="1"/>
    <col min="5630" max="5630" width="33.33203125" customWidth="1"/>
    <col min="5631" max="5631" width="24.109375" customWidth="1"/>
    <col min="5632" max="5632" width="22.77734375" customWidth="1"/>
    <col min="5633" max="5633" width="24.109375" customWidth="1"/>
    <col min="5634" max="5634" width="22.77734375" customWidth="1"/>
    <col min="5635" max="5635" width="24.109375" customWidth="1"/>
    <col min="5636" max="5638" width="22.77734375" customWidth="1"/>
    <col min="5639" max="5639" width="24.109375" customWidth="1"/>
    <col min="5640" max="5644" width="22.77734375" customWidth="1"/>
    <col min="5645" max="5645" width="24.88671875" customWidth="1"/>
    <col min="5646" max="5646" width="24.88671875" bestFit="1" customWidth="1"/>
    <col min="5647" max="5647" width="15.109375" bestFit="1" customWidth="1"/>
    <col min="5648" max="5648" width="15" bestFit="1" customWidth="1"/>
    <col min="5649" max="5649" width="11.88671875" bestFit="1" customWidth="1"/>
    <col min="5885" max="5885" width="52.21875" bestFit="1" customWidth="1"/>
    <col min="5886" max="5886" width="33.33203125" customWidth="1"/>
    <col min="5887" max="5887" width="24.109375" customWidth="1"/>
    <col min="5888" max="5888" width="22.77734375" customWidth="1"/>
    <col min="5889" max="5889" width="24.109375" customWidth="1"/>
    <col min="5890" max="5890" width="22.77734375" customWidth="1"/>
    <col min="5891" max="5891" width="24.109375" customWidth="1"/>
    <col min="5892" max="5894" width="22.77734375" customWidth="1"/>
    <col min="5895" max="5895" width="24.109375" customWidth="1"/>
    <col min="5896" max="5900" width="22.77734375" customWidth="1"/>
    <col min="5901" max="5901" width="24.88671875" customWidth="1"/>
    <col min="5902" max="5902" width="24.88671875" bestFit="1" customWidth="1"/>
    <col min="5903" max="5903" width="15.109375" bestFit="1" customWidth="1"/>
    <col min="5904" max="5904" width="15" bestFit="1" customWidth="1"/>
    <col min="5905" max="5905" width="11.88671875" bestFit="1" customWidth="1"/>
    <col min="6141" max="6141" width="52.21875" bestFit="1" customWidth="1"/>
    <col min="6142" max="6142" width="33.33203125" customWidth="1"/>
    <col min="6143" max="6143" width="24.109375" customWidth="1"/>
    <col min="6144" max="6144" width="22.77734375" customWidth="1"/>
    <col min="6145" max="6145" width="24.109375" customWidth="1"/>
    <col min="6146" max="6146" width="22.77734375" customWidth="1"/>
    <col min="6147" max="6147" width="24.109375" customWidth="1"/>
    <col min="6148" max="6150" width="22.77734375" customWidth="1"/>
    <col min="6151" max="6151" width="24.109375" customWidth="1"/>
    <col min="6152" max="6156" width="22.77734375" customWidth="1"/>
    <col min="6157" max="6157" width="24.88671875" customWidth="1"/>
    <col min="6158" max="6158" width="24.88671875" bestFit="1" customWidth="1"/>
    <col min="6159" max="6159" width="15.109375" bestFit="1" customWidth="1"/>
    <col min="6160" max="6160" width="15" bestFit="1" customWidth="1"/>
    <col min="6161" max="6161" width="11.88671875" bestFit="1" customWidth="1"/>
    <col min="6397" max="6397" width="52.21875" bestFit="1" customWidth="1"/>
    <col min="6398" max="6398" width="33.33203125" customWidth="1"/>
    <col min="6399" max="6399" width="24.109375" customWidth="1"/>
    <col min="6400" max="6400" width="22.77734375" customWidth="1"/>
    <col min="6401" max="6401" width="24.109375" customWidth="1"/>
    <col min="6402" max="6402" width="22.77734375" customWidth="1"/>
    <col min="6403" max="6403" width="24.109375" customWidth="1"/>
    <col min="6404" max="6406" width="22.77734375" customWidth="1"/>
    <col min="6407" max="6407" width="24.109375" customWidth="1"/>
    <col min="6408" max="6412" width="22.77734375" customWidth="1"/>
    <col min="6413" max="6413" width="24.88671875" customWidth="1"/>
    <col min="6414" max="6414" width="24.88671875" bestFit="1" customWidth="1"/>
    <col min="6415" max="6415" width="15.109375" bestFit="1" customWidth="1"/>
    <col min="6416" max="6416" width="15" bestFit="1" customWidth="1"/>
    <col min="6417" max="6417" width="11.88671875" bestFit="1" customWidth="1"/>
    <col min="6653" max="6653" width="52.21875" bestFit="1" customWidth="1"/>
    <col min="6654" max="6654" width="33.33203125" customWidth="1"/>
    <col min="6655" max="6655" width="24.109375" customWidth="1"/>
    <col min="6656" max="6656" width="22.77734375" customWidth="1"/>
    <col min="6657" max="6657" width="24.109375" customWidth="1"/>
    <col min="6658" max="6658" width="22.77734375" customWidth="1"/>
    <col min="6659" max="6659" width="24.109375" customWidth="1"/>
    <col min="6660" max="6662" width="22.77734375" customWidth="1"/>
    <col min="6663" max="6663" width="24.109375" customWidth="1"/>
    <col min="6664" max="6668" width="22.77734375" customWidth="1"/>
    <col min="6669" max="6669" width="24.88671875" customWidth="1"/>
    <col min="6670" max="6670" width="24.88671875" bestFit="1" customWidth="1"/>
    <col min="6671" max="6671" width="15.109375" bestFit="1" customWidth="1"/>
    <col min="6672" max="6672" width="15" bestFit="1" customWidth="1"/>
    <col min="6673" max="6673" width="11.88671875" bestFit="1" customWidth="1"/>
    <col min="6909" max="6909" width="52.21875" bestFit="1" customWidth="1"/>
    <col min="6910" max="6910" width="33.33203125" customWidth="1"/>
    <col min="6911" max="6911" width="24.109375" customWidth="1"/>
    <col min="6912" max="6912" width="22.77734375" customWidth="1"/>
    <col min="6913" max="6913" width="24.109375" customWidth="1"/>
    <col min="6914" max="6914" width="22.77734375" customWidth="1"/>
    <col min="6915" max="6915" width="24.109375" customWidth="1"/>
    <col min="6916" max="6918" width="22.77734375" customWidth="1"/>
    <col min="6919" max="6919" width="24.109375" customWidth="1"/>
    <col min="6920" max="6924" width="22.77734375" customWidth="1"/>
    <col min="6925" max="6925" width="24.88671875" customWidth="1"/>
    <col min="6926" max="6926" width="24.88671875" bestFit="1" customWidth="1"/>
    <col min="6927" max="6927" width="15.109375" bestFit="1" customWidth="1"/>
    <col min="6928" max="6928" width="15" bestFit="1" customWidth="1"/>
    <col min="6929" max="6929" width="11.88671875" bestFit="1" customWidth="1"/>
    <col min="7165" max="7165" width="52.21875" bestFit="1" customWidth="1"/>
    <col min="7166" max="7166" width="33.33203125" customWidth="1"/>
    <col min="7167" max="7167" width="24.109375" customWidth="1"/>
    <col min="7168" max="7168" width="22.77734375" customWidth="1"/>
    <col min="7169" max="7169" width="24.109375" customWidth="1"/>
    <col min="7170" max="7170" width="22.77734375" customWidth="1"/>
    <col min="7171" max="7171" width="24.109375" customWidth="1"/>
    <col min="7172" max="7174" width="22.77734375" customWidth="1"/>
    <col min="7175" max="7175" width="24.109375" customWidth="1"/>
    <col min="7176" max="7180" width="22.77734375" customWidth="1"/>
    <col min="7181" max="7181" width="24.88671875" customWidth="1"/>
    <col min="7182" max="7182" width="24.88671875" bestFit="1" customWidth="1"/>
    <col min="7183" max="7183" width="15.109375" bestFit="1" customWidth="1"/>
    <col min="7184" max="7184" width="15" bestFit="1" customWidth="1"/>
    <col min="7185" max="7185" width="11.88671875" bestFit="1" customWidth="1"/>
    <col min="7421" max="7421" width="52.21875" bestFit="1" customWidth="1"/>
    <col min="7422" max="7422" width="33.33203125" customWidth="1"/>
    <col min="7423" max="7423" width="24.109375" customWidth="1"/>
    <col min="7424" max="7424" width="22.77734375" customWidth="1"/>
    <col min="7425" max="7425" width="24.109375" customWidth="1"/>
    <col min="7426" max="7426" width="22.77734375" customWidth="1"/>
    <col min="7427" max="7427" width="24.109375" customWidth="1"/>
    <col min="7428" max="7430" width="22.77734375" customWidth="1"/>
    <col min="7431" max="7431" width="24.109375" customWidth="1"/>
    <col min="7432" max="7436" width="22.77734375" customWidth="1"/>
    <col min="7437" max="7437" width="24.88671875" customWidth="1"/>
    <col min="7438" max="7438" width="24.88671875" bestFit="1" customWidth="1"/>
    <col min="7439" max="7439" width="15.109375" bestFit="1" customWidth="1"/>
    <col min="7440" max="7440" width="15" bestFit="1" customWidth="1"/>
    <col min="7441" max="7441" width="11.88671875" bestFit="1" customWidth="1"/>
    <col min="7677" max="7677" width="52.21875" bestFit="1" customWidth="1"/>
    <col min="7678" max="7678" width="33.33203125" customWidth="1"/>
    <col min="7679" max="7679" width="24.109375" customWidth="1"/>
    <col min="7680" max="7680" width="22.77734375" customWidth="1"/>
    <col min="7681" max="7681" width="24.109375" customWidth="1"/>
    <col min="7682" max="7682" width="22.77734375" customWidth="1"/>
    <col min="7683" max="7683" width="24.109375" customWidth="1"/>
    <col min="7684" max="7686" width="22.77734375" customWidth="1"/>
    <col min="7687" max="7687" width="24.109375" customWidth="1"/>
    <col min="7688" max="7692" width="22.77734375" customWidth="1"/>
    <col min="7693" max="7693" width="24.88671875" customWidth="1"/>
    <col min="7694" max="7694" width="24.88671875" bestFit="1" customWidth="1"/>
    <col min="7695" max="7695" width="15.109375" bestFit="1" customWidth="1"/>
    <col min="7696" max="7696" width="15" bestFit="1" customWidth="1"/>
    <col min="7697" max="7697" width="11.88671875" bestFit="1" customWidth="1"/>
    <col min="7933" max="7933" width="52.21875" bestFit="1" customWidth="1"/>
    <col min="7934" max="7934" width="33.33203125" customWidth="1"/>
    <col min="7935" max="7935" width="24.109375" customWidth="1"/>
    <col min="7936" max="7936" width="22.77734375" customWidth="1"/>
    <col min="7937" max="7937" width="24.109375" customWidth="1"/>
    <col min="7938" max="7938" width="22.77734375" customWidth="1"/>
    <col min="7939" max="7939" width="24.109375" customWidth="1"/>
    <col min="7940" max="7942" width="22.77734375" customWidth="1"/>
    <col min="7943" max="7943" width="24.109375" customWidth="1"/>
    <col min="7944" max="7948" width="22.77734375" customWidth="1"/>
    <col min="7949" max="7949" width="24.88671875" customWidth="1"/>
    <col min="7950" max="7950" width="24.88671875" bestFit="1" customWidth="1"/>
    <col min="7951" max="7951" width="15.109375" bestFit="1" customWidth="1"/>
    <col min="7952" max="7952" width="15" bestFit="1" customWidth="1"/>
    <col min="7953" max="7953" width="11.88671875" bestFit="1" customWidth="1"/>
    <col min="8189" max="8189" width="52.21875" bestFit="1" customWidth="1"/>
    <col min="8190" max="8190" width="33.33203125" customWidth="1"/>
    <col min="8191" max="8191" width="24.109375" customWidth="1"/>
    <col min="8192" max="8192" width="22.77734375" customWidth="1"/>
    <col min="8193" max="8193" width="24.109375" customWidth="1"/>
    <col min="8194" max="8194" width="22.77734375" customWidth="1"/>
    <col min="8195" max="8195" width="24.109375" customWidth="1"/>
    <col min="8196" max="8198" width="22.77734375" customWidth="1"/>
    <col min="8199" max="8199" width="24.109375" customWidth="1"/>
    <col min="8200" max="8204" width="22.77734375" customWidth="1"/>
    <col min="8205" max="8205" width="24.88671875" customWidth="1"/>
    <col min="8206" max="8206" width="24.88671875" bestFit="1" customWidth="1"/>
    <col min="8207" max="8207" width="15.109375" bestFit="1" customWidth="1"/>
    <col min="8208" max="8208" width="15" bestFit="1" customWidth="1"/>
    <col min="8209" max="8209" width="11.88671875" bestFit="1" customWidth="1"/>
    <col min="8445" max="8445" width="52.21875" bestFit="1" customWidth="1"/>
    <col min="8446" max="8446" width="33.33203125" customWidth="1"/>
    <col min="8447" max="8447" width="24.109375" customWidth="1"/>
    <col min="8448" max="8448" width="22.77734375" customWidth="1"/>
    <col min="8449" max="8449" width="24.109375" customWidth="1"/>
    <col min="8450" max="8450" width="22.77734375" customWidth="1"/>
    <col min="8451" max="8451" width="24.109375" customWidth="1"/>
    <col min="8452" max="8454" width="22.77734375" customWidth="1"/>
    <col min="8455" max="8455" width="24.109375" customWidth="1"/>
    <col min="8456" max="8460" width="22.77734375" customWidth="1"/>
    <col min="8461" max="8461" width="24.88671875" customWidth="1"/>
    <col min="8462" max="8462" width="24.88671875" bestFit="1" customWidth="1"/>
    <col min="8463" max="8463" width="15.109375" bestFit="1" customWidth="1"/>
    <col min="8464" max="8464" width="15" bestFit="1" customWidth="1"/>
    <col min="8465" max="8465" width="11.88671875" bestFit="1" customWidth="1"/>
    <col min="8701" max="8701" width="52.21875" bestFit="1" customWidth="1"/>
    <col min="8702" max="8702" width="33.33203125" customWidth="1"/>
    <col min="8703" max="8703" width="24.109375" customWidth="1"/>
    <col min="8704" max="8704" width="22.77734375" customWidth="1"/>
    <col min="8705" max="8705" width="24.109375" customWidth="1"/>
    <col min="8706" max="8706" width="22.77734375" customWidth="1"/>
    <col min="8707" max="8707" width="24.109375" customWidth="1"/>
    <col min="8708" max="8710" width="22.77734375" customWidth="1"/>
    <col min="8711" max="8711" width="24.109375" customWidth="1"/>
    <col min="8712" max="8716" width="22.77734375" customWidth="1"/>
    <col min="8717" max="8717" width="24.88671875" customWidth="1"/>
    <col min="8718" max="8718" width="24.88671875" bestFit="1" customWidth="1"/>
    <col min="8719" max="8719" width="15.109375" bestFit="1" customWidth="1"/>
    <col min="8720" max="8720" width="15" bestFit="1" customWidth="1"/>
    <col min="8721" max="8721" width="11.88671875" bestFit="1" customWidth="1"/>
    <col min="8957" max="8957" width="52.21875" bestFit="1" customWidth="1"/>
    <col min="8958" max="8958" width="33.33203125" customWidth="1"/>
    <col min="8959" max="8959" width="24.109375" customWidth="1"/>
    <col min="8960" max="8960" width="22.77734375" customWidth="1"/>
    <col min="8961" max="8961" width="24.109375" customWidth="1"/>
    <col min="8962" max="8962" width="22.77734375" customWidth="1"/>
    <col min="8963" max="8963" width="24.109375" customWidth="1"/>
    <col min="8964" max="8966" width="22.77734375" customWidth="1"/>
    <col min="8967" max="8967" width="24.109375" customWidth="1"/>
    <col min="8968" max="8972" width="22.77734375" customWidth="1"/>
    <col min="8973" max="8973" width="24.88671875" customWidth="1"/>
    <col min="8974" max="8974" width="24.88671875" bestFit="1" customWidth="1"/>
    <col min="8975" max="8975" width="15.109375" bestFit="1" customWidth="1"/>
    <col min="8976" max="8976" width="15" bestFit="1" customWidth="1"/>
    <col min="8977" max="8977" width="11.88671875" bestFit="1" customWidth="1"/>
    <col min="9213" max="9213" width="52.21875" bestFit="1" customWidth="1"/>
    <col min="9214" max="9214" width="33.33203125" customWidth="1"/>
    <col min="9215" max="9215" width="24.109375" customWidth="1"/>
    <col min="9216" max="9216" width="22.77734375" customWidth="1"/>
    <col min="9217" max="9217" width="24.109375" customWidth="1"/>
    <col min="9218" max="9218" width="22.77734375" customWidth="1"/>
    <col min="9219" max="9219" width="24.109375" customWidth="1"/>
    <col min="9220" max="9222" width="22.77734375" customWidth="1"/>
    <col min="9223" max="9223" width="24.109375" customWidth="1"/>
    <col min="9224" max="9228" width="22.77734375" customWidth="1"/>
    <col min="9229" max="9229" width="24.88671875" customWidth="1"/>
    <col min="9230" max="9230" width="24.88671875" bestFit="1" customWidth="1"/>
    <col min="9231" max="9231" width="15.109375" bestFit="1" customWidth="1"/>
    <col min="9232" max="9232" width="15" bestFit="1" customWidth="1"/>
    <col min="9233" max="9233" width="11.88671875" bestFit="1" customWidth="1"/>
    <col min="9469" max="9469" width="52.21875" bestFit="1" customWidth="1"/>
    <col min="9470" max="9470" width="33.33203125" customWidth="1"/>
    <col min="9471" max="9471" width="24.109375" customWidth="1"/>
    <col min="9472" max="9472" width="22.77734375" customWidth="1"/>
    <col min="9473" max="9473" width="24.109375" customWidth="1"/>
    <col min="9474" max="9474" width="22.77734375" customWidth="1"/>
    <col min="9475" max="9475" width="24.109375" customWidth="1"/>
    <col min="9476" max="9478" width="22.77734375" customWidth="1"/>
    <col min="9479" max="9479" width="24.109375" customWidth="1"/>
    <col min="9480" max="9484" width="22.77734375" customWidth="1"/>
    <col min="9485" max="9485" width="24.88671875" customWidth="1"/>
    <col min="9486" max="9486" width="24.88671875" bestFit="1" customWidth="1"/>
    <col min="9487" max="9487" width="15.109375" bestFit="1" customWidth="1"/>
    <col min="9488" max="9488" width="15" bestFit="1" customWidth="1"/>
    <col min="9489" max="9489" width="11.88671875" bestFit="1" customWidth="1"/>
    <col min="9725" max="9725" width="52.21875" bestFit="1" customWidth="1"/>
    <col min="9726" max="9726" width="33.33203125" customWidth="1"/>
    <col min="9727" max="9727" width="24.109375" customWidth="1"/>
    <col min="9728" max="9728" width="22.77734375" customWidth="1"/>
    <col min="9729" max="9729" width="24.109375" customWidth="1"/>
    <col min="9730" max="9730" width="22.77734375" customWidth="1"/>
    <col min="9731" max="9731" width="24.109375" customWidth="1"/>
    <col min="9732" max="9734" width="22.77734375" customWidth="1"/>
    <col min="9735" max="9735" width="24.109375" customWidth="1"/>
    <col min="9736" max="9740" width="22.77734375" customWidth="1"/>
    <col min="9741" max="9741" width="24.88671875" customWidth="1"/>
    <col min="9742" max="9742" width="24.88671875" bestFit="1" customWidth="1"/>
    <col min="9743" max="9743" width="15.109375" bestFit="1" customWidth="1"/>
    <col min="9744" max="9744" width="15" bestFit="1" customWidth="1"/>
    <col min="9745" max="9745" width="11.88671875" bestFit="1" customWidth="1"/>
    <col min="9981" max="9981" width="52.21875" bestFit="1" customWidth="1"/>
    <col min="9982" max="9982" width="33.33203125" customWidth="1"/>
    <col min="9983" max="9983" width="24.109375" customWidth="1"/>
    <col min="9984" max="9984" width="22.77734375" customWidth="1"/>
    <col min="9985" max="9985" width="24.109375" customWidth="1"/>
    <col min="9986" max="9986" width="22.77734375" customWidth="1"/>
    <col min="9987" max="9987" width="24.109375" customWidth="1"/>
    <col min="9988" max="9990" width="22.77734375" customWidth="1"/>
    <col min="9991" max="9991" width="24.109375" customWidth="1"/>
    <col min="9992" max="9996" width="22.77734375" customWidth="1"/>
    <col min="9997" max="9997" width="24.88671875" customWidth="1"/>
    <col min="9998" max="9998" width="24.88671875" bestFit="1" customWidth="1"/>
    <col min="9999" max="9999" width="15.109375" bestFit="1" customWidth="1"/>
    <col min="10000" max="10000" width="15" bestFit="1" customWidth="1"/>
    <col min="10001" max="10001" width="11.88671875" bestFit="1" customWidth="1"/>
    <col min="10237" max="10237" width="52.21875" bestFit="1" customWidth="1"/>
    <col min="10238" max="10238" width="33.33203125" customWidth="1"/>
    <col min="10239" max="10239" width="24.109375" customWidth="1"/>
    <col min="10240" max="10240" width="22.77734375" customWidth="1"/>
    <col min="10241" max="10241" width="24.109375" customWidth="1"/>
    <col min="10242" max="10242" width="22.77734375" customWidth="1"/>
    <col min="10243" max="10243" width="24.109375" customWidth="1"/>
    <col min="10244" max="10246" width="22.77734375" customWidth="1"/>
    <col min="10247" max="10247" width="24.109375" customWidth="1"/>
    <col min="10248" max="10252" width="22.77734375" customWidth="1"/>
    <col min="10253" max="10253" width="24.88671875" customWidth="1"/>
    <col min="10254" max="10254" width="24.88671875" bestFit="1" customWidth="1"/>
    <col min="10255" max="10255" width="15.109375" bestFit="1" customWidth="1"/>
    <col min="10256" max="10256" width="15" bestFit="1" customWidth="1"/>
    <col min="10257" max="10257" width="11.88671875" bestFit="1" customWidth="1"/>
    <col min="10493" max="10493" width="52.21875" bestFit="1" customWidth="1"/>
    <col min="10494" max="10494" width="33.33203125" customWidth="1"/>
    <col min="10495" max="10495" width="24.109375" customWidth="1"/>
    <col min="10496" max="10496" width="22.77734375" customWidth="1"/>
    <col min="10497" max="10497" width="24.109375" customWidth="1"/>
    <col min="10498" max="10498" width="22.77734375" customWidth="1"/>
    <col min="10499" max="10499" width="24.109375" customWidth="1"/>
    <col min="10500" max="10502" width="22.77734375" customWidth="1"/>
    <col min="10503" max="10503" width="24.109375" customWidth="1"/>
    <col min="10504" max="10508" width="22.77734375" customWidth="1"/>
    <col min="10509" max="10509" width="24.88671875" customWidth="1"/>
    <col min="10510" max="10510" width="24.88671875" bestFit="1" customWidth="1"/>
    <col min="10511" max="10511" width="15.109375" bestFit="1" customWidth="1"/>
    <col min="10512" max="10512" width="15" bestFit="1" customWidth="1"/>
    <col min="10513" max="10513" width="11.88671875" bestFit="1" customWidth="1"/>
    <col min="10749" max="10749" width="52.21875" bestFit="1" customWidth="1"/>
    <col min="10750" max="10750" width="33.33203125" customWidth="1"/>
    <col min="10751" max="10751" width="24.109375" customWidth="1"/>
    <col min="10752" max="10752" width="22.77734375" customWidth="1"/>
    <col min="10753" max="10753" width="24.109375" customWidth="1"/>
    <col min="10754" max="10754" width="22.77734375" customWidth="1"/>
    <col min="10755" max="10755" width="24.109375" customWidth="1"/>
    <col min="10756" max="10758" width="22.77734375" customWidth="1"/>
    <col min="10759" max="10759" width="24.109375" customWidth="1"/>
    <col min="10760" max="10764" width="22.77734375" customWidth="1"/>
    <col min="10765" max="10765" width="24.88671875" customWidth="1"/>
    <col min="10766" max="10766" width="24.88671875" bestFit="1" customWidth="1"/>
    <col min="10767" max="10767" width="15.109375" bestFit="1" customWidth="1"/>
    <col min="10768" max="10768" width="15" bestFit="1" customWidth="1"/>
    <col min="10769" max="10769" width="11.88671875" bestFit="1" customWidth="1"/>
    <col min="11005" max="11005" width="52.21875" bestFit="1" customWidth="1"/>
    <col min="11006" max="11006" width="33.33203125" customWidth="1"/>
    <col min="11007" max="11007" width="24.109375" customWidth="1"/>
    <col min="11008" max="11008" width="22.77734375" customWidth="1"/>
    <col min="11009" max="11009" width="24.109375" customWidth="1"/>
    <col min="11010" max="11010" width="22.77734375" customWidth="1"/>
    <col min="11011" max="11011" width="24.109375" customWidth="1"/>
    <col min="11012" max="11014" width="22.77734375" customWidth="1"/>
    <col min="11015" max="11015" width="24.109375" customWidth="1"/>
    <col min="11016" max="11020" width="22.77734375" customWidth="1"/>
    <col min="11021" max="11021" width="24.88671875" customWidth="1"/>
    <col min="11022" max="11022" width="24.88671875" bestFit="1" customWidth="1"/>
    <col min="11023" max="11023" width="15.109375" bestFit="1" customWidth="1"/>
    <col min="11024" max="11024" width="15" bestFit="1" customWidth="1"/>
    <col min="11025" max="11025" width="11.88671875" bestFit="1" customWidth="1"/>
    <col min="11261" max="11261" width="52.21875" bestFit="1" customWidth="1"/>
    <col min="11262" max="11262" width="33.33203125" customWidth="1"/>
    <col min="11263" max="11263" width="24.109375" customWidth="1"/>
    <col min="11264" max="11264" width="22.77734375" customWidth="1"/>
    <col min="11265" max="11265" width="24.109375" customWidth="1"/>
    <col min="11266" max="11266" width="22.77734375" customWidth="1"/>
    <col min="11267" max="11267" width="24.109375" customWidth="1"/>
    <col min="11268" max="11270" width="22.77734375" customWidth="1"/>
    <col min="11271" max="11271" width="24.109375" customWidth="1"/>
    <col min="11272" max="11276" width="22.77734375" customWidth="1"/>
    <col min="11277" max="11277" width="24.88671875" customWidth="1"/>
    <col min="11278" max="11278" width="24.88671875" bestFit="1" customWidth="1"/>
    <col min="11279" max="11279" width="15.109375" bestFit="1" customWidth="1"/>
    <col min="11280" max="11280" width="15" bestFit="1" customWidth="1"/>
    <col min="11281" max="11281" width="11.88671875" bestFit="1" customWidth="1"/>
    <col min="11517" max="11517" width="52.21875" bestFit="1" customWidth="1"/>
    <col min="11518" max="11518" width="33.33203125" customWidth="1"/>
    <col min="11519" max="11519" width="24.109375" customWidth="1"/>
    <col min="11520" max="11520" width="22.77734375" customWidth="1"/>
    <col min="11521" max="11521" width="24.109375" customWidth="1"/>
    <col min="11522" max="11522" width="22.77734375" customWidth="1"/>
    <col min="11523" max="11523" width="24.109375" customWidth="1"/>
    <col min="11524" max="11526" width="22.77734375" customWidth="1"/>
    <col min="11527" max="11527" width="24.109375" customWidth="1"/>
    <col min="11528" max="11532" width="22.77734375" customWidth="1"/>
    <col min="11533" max="11533" width="24.88671875" customWidth="1"/>
    <col min="11534" max="11534" width="24.88671875" bestFit="1" customWidth="1"/>
    <col min="11535" max="11535" width="15.109375" bestFit="1" customWidth="1"/>
    <col min="11536" max="11536" width="15" bestFit="1" customWidth="1"/>
    <col min="11537" max="11537" width="11.88671875" bestFit="1" customWidth="1"/>
    <col min="11773" max="11773" width="52.21875" bestFit="1" customWidth="1"/>
    <col min="11774" max="11774" width="33.33203125" customWidth="1"/>
    <col min="11775" max="11775" width="24.109375" customWidth="1"/>
    <col min="11776" max="11776" width="22.77734375" customWidth="1"/>
    <col min="11777" max="11777" width="24.109375" customWidth="1"/>
    <col min="11778" max="11778" width="22.77734375" customWidth="1"/>
    <col min="11779" max="11779" width="24.109375" customWidth="1"/>
    <col min="11780" max="11782" width="22.77734375" customWidth="1"/>
    <col min="11783" max="11783" width="24.109375" customWidth="1"/>
    <col min="11784" max="11788" width="22.77734375" customWidth="1"/>
    <col min="11789" max="11789" width="24.88671875" customWidth="1"/>
    <col min="11790" max="11790" width="24.88671875" bestFit="1" customWidth="1"/>
    <col min="11791" max="11791" width="15.109375" bestFit="1" customWidth="1"/>
    <col min="11792" max="11792" width="15" bestFit="1" customWidth="1"/>
    <col min="11793" max="11793" width="11.88671875" bestFit="1" customWidth="1"/>
    <col min="12029" max="12029" width="52.21875" bestFit="1" customWidth="1"/>
    <col min="12030" max="12030" width="33.33203125" customWidth="1"/>
    <col min="12031" max="12031" width="24.109375" customWidth="1"/>
    <col min="12032" max="12032" width="22.77734375" customWidth="1"/>
    <col min="12033" max="12033" width="24.109375" customWidth="1"/>
    <col min="12034" max="12034" width="22.77734375" customWidth="1"/>
    <col min="12035" max="12035" width="24.109375" customWidth="1"/>
    <col min="12036" max="12038" width="22.77734375" customWidth="1"/>
    <col min="12039" max="12039" width="24.109375" customWidth="1"/>
    <col min="12040" max="12044" width="22.77734375" customWidth="1"/>
    <col min="12045" max="12045" width="24.88671875" customWidth="1"/>
    <col min="12046" max="12046" width="24.88671875" bestFit="1" customWidth="1"/>
    <col min="12047" max="12047" width="15.109375" bestFit="1" customWidth="1"/>
    <col min="12048" max="12048" width="15" bestFit="1" customWidth="1"/>
    <col min="12049" max="12049" width="11.88671875" bestFit="1" customWidth="1"/>
    <col min="12285" max="12285" width="52.21875" bestFit="1" customWidth="1"/>
    <col min="12286" max="12286" width="33.33203125" customWidth="1"/>
    <col min="12287" max="12287" width="24.109375" customWidth="1"/>
    <col min="12288" max="12288" width="22.77734375" customWidth="1"/>
    <col min="12289" max="12289" width="24.109375" customWidth="1"/>
    <col min="12290" max="12290" width="22.77734375" customWidth="1"/>
    <col min="12291" max="12291" width="24.109375" customWidth="1"/>
    <col min="12292" max="12294" width="22.77734375" customWidth="1"/>
    <col min="12295" max="12295" width="24.109375" customWidth="1"/>
    <col min="12296" max="12300" width="22.77734375" customWidth="1"/>
    <col min="12301" max="12301" width="24.88671875" customWidth="1"/>
    <col min="12302" max="12302" width="24.88671875" bestFit="1" customWidth="1"/>
    <col min="12303" max="12303" width="15.109375" bestFit="1" customWidth="1"/>
    <col min="12304" max="12304" width="15" bestFit="1" customWidth="1"/>
    <col min="12305" max="12305" width="11.88671875" bestFit="1" customWidth="1"/>
    <col min="12541" max="12541" width="52.21875" bestFit="1" customWidth="1"/>
    <col min="12542" max="12542" width="33.33203125" customWidth="1"/>
    <col min="12543" max="12543" width="24.109375" customWidth="1"/>
    <col min="12544" max="12544" width="22.77734375" customWidth="1"/>
    <col min="12545" max="12545" width="24.109375" customWidth="1"/>
    <col min="12546" max="12546" width="22.77734375" customWidth="1"/>
    <col min="12547" max="12547" width="24.109375" customWidth="1"/>
    <col min="12548" max="12550" width="22.77734375" customWidth="1"/>
    <col min="12551" max="12551" width="24.109375" customWidth="1"/>
    <col min="12552" max="12556" width="22.77734375" customWidth="1"/>
    <col min="12557" max="12557" width="24.88671875" customWidth="1"/>
    <col min="12558" max="12558" width="24.88671875" bestFit="1" customWidth="1"/>
    <col min="12559" max="12559" width="15.109375" bestFit="1" customWidth="1"/>
    <col min="12560" max="12560" width="15" bestFit="1" customWidth="1"/>
    <col min="12561" max="12561" width="11.88671875" bestFit="1" customWidth="1"/>
    <col min="12797" max="12797" width="52.21875" bestFit="1" customWidth="1"/>
    <col min="12798" max="12798" width="33.33203125" customWidth="1"/>
    <col min="12799" max="12799" width="24.109375" customWidth="1"/>
    <col min="12800" max="12800" width="22.77734375" customWidth="1"/>
    <col min="12801" max="12801" width="24.109375" customWidth="1"/>
    <col min="12802" max="12802" width="22.77734375" customWidth="1"/>
    <col min="12803" max="12803" width="24.109375" customWidth="1"/>
    <col min="12804" max="12806" width="22.77734375" customWidth="1"/>
    <col min="12807" max="12807" width="24.109375" customWidth="1"/>
    <col min="12808" max="12812" width="22.77734375" customWidth="1"/>
    <col min="12813" max="12813" width="24.88671875" customWidth="1"/>
    <col min="12814" max="12814" width="24.88671875" bestFit="1" customWidth="1"/>
    <col min="12815" max="12815" width="15.109375" bestFit="1" customWidth="1"/>
    <col min="12816" max="12816" width="15" bestFit="1" customWidth="1"/>
    <col min="12817" max="12817" width="11.88671875" bestFit="1" customWidth="1"/>
    <col min="13053" max="13053" width="52.21875" bestFit="1" customWidth="1"/>
    <col min="13054" max="13054" width="33.33203125" customWidth="1"/>
    <col min="13055" max="13055" width="24.109375" customWidth="1"/>
    <col min="13056" max="13056" width="22.77734375" customWidth="1"/>
    <col min="13057" max="13057" width="24.109375" customWidth="1"/>
    <col min="13058" max="13058" width="22.77734375" customWidth="1"/>
    <col min="13059" max="13059" width="24.109375" customWidth="1"/>
    <col min="13060" max="13062" width="22.77734375" customWidth="1"/>
    <col min="13063" max="13063" width="24.109375" customWidth="1"/>
    <col min="13064" max="13068" width="22.77734375" customWidth="1"/>
    <col min="13069" max="13069" width="24.88671875" customWidth="1"/>
    <col min="13070" max="13070" width="24.88671875" bestFit="1" customWidth="1"/>
    <col min="13071" max="13071" width="15.109375" bestFit="1" customWidth="1"/>
    <col min="13072" max="13072" width="15" bestFit="1" customWidth="1"/>
    <col min="13073" max="13073" width="11.88671875" bestFit="1" customWidth="1"/>
    <col min="13309" max="13309" width="52.21875" bestFit="1" customWidth="1"/>
    <col min="13310" max="13310" width="33.33203125" customWidth="1"/>
    <col min="13311" max="13311" width="24.109375" customWidth="1"/>
    <col min="13312" max="13312" width="22.77734375" customWidth="1"/>
    <col min="13313" max="13313" width="24.109375" customWidth="1"/>
    <col min="13314" max="13314" width="22.77734375" customWidth="1"/>
    <col min="13315" max="13315" width="24.109375" customWidth="1"/>
    <col min="13316" max="13318" width="22.77734375" customWidth="1"/>
    <col min="13319" max="13319" width="24.109375" customWidth="1"/>
    <col min="13320" max="13324" width="22.77734375" customWidth="1"/>
    <col min="13325" max="13325" width="24.88671875" customWidth="1"/>
    <col min="13326" max="13326" width="24.88671875" bestFit="1" customWidth="1"/>
    <col min="13327" max="13327" width="15.109375" bestFit="1" customWidth="1"/>
    <col min="13328" max="13328" width="15" bestFit="1" customWidth="1"/>
    <col min="13329" max="13329" width="11.88671875" bestFit="1" customWidth="1"/>
    <col min="13565" max="13565" width="52.21875" bestFit="1" customWidth="1"/>
    <col min="13566" max="13566" width="33.33203125" customWidth="1"/>
    <col min="13567" max="13567" width="24.109375" customWidth="1"/>
    <col min="13568" max="13568" width="22.77734375" customWidth="1"/>
    <col min="13569" max="13569" width="24.109375" customWidth="1"/>
    <col min="13570" max="13570" width="22.77734375" customWidth="1"/>
    <col min="13571" max="13571" width="24.109375" customWidth="1"/>
    <col min="13572" max="13574" width="22.77734375" customWidth="1"/>
    <col min="13575" max="13575" width="24.109375" customWidth="1"/>
    <col min="13576" max="13580" width="22.77734375" customWidth="1"/>
    <col min="13581" max="13581" width="24.88671875" customWidth="1"/>
    <col min="13582" max="13582" width="24.88671875" bestFit="1" customWidth="1"/>
    <col min="13583" max="13583" width="15.109375" bestFit="1" customWidth="1"/>
    <col min="13584" max="13584" width="15" bestFit="1" customWidth="1"/>
    <col min="13585" max="13585" width="11.88671875" bestFit="1" customWidth="1"/>
    <col min="13821" max="13821" width="52.21875" bestFit="1" customWidth="1"/>
    <col min="13822" max="13822" width="33.33203125" customWidth="1"/>
    <col min="13823" max="13823" width="24.109375" customWidth="1"/>
    <col min="13824" max="13824" width="22.77734375" customWidth="1"/>
    <col min="13825" max="13825" width="24.109375" customWidth="1"/>
    <col min="13826" max="13826" width="22.77734375" customWidth="1"/>
    <col min="13827" max="13827" width="24.109375" customWidth="1"/>
    <col min="13828" max="13830" width="22.77734375" customWidth="1"/>
    <col min="13831" max="13831" width="24.109375" customWidth="1"/>
    <col min="13832" max="13836" width="22.77734375" customWidth="1"/>
    <col min="13837" max="13837" width="24.88671875" customWidth="1"/>
    <col min="13838" max="13838" width="24.88671875" bestFit="1" customWidth="1"/>
    <col min="13839" max="13839" width="15.109375" bestFit="1" customWidth="1"/>
    <col min="13840" max="13840" width="15" bestFit="1" customWidth="1"/>
    <col min="13841" max="13841" width="11.88671875" bestFit="1" customWidth="1"/>
    <col min="14077" max="14077" width="52.21875" bestFit="1" customWidth="1"/>
    <col min="14078" max="14078" width="33.33203125" customWidth="1"/>
    <col min="14079" max="14079" width="24.109375" customWidth="1"/>
    <col min="14080" max="14080" width="22.77734375" customWidth="1"/>
    <col min="14081" max="14081" width="24.109375" customWidth="1"/>
    <col min="14082" max="14082" width="22.77734375" customWidth="1"/>
    <col min="14083" max="14083" width="24.109375" customWidth="1"/>
    <col min="14084" max="14086" width="22.77734375" customWidth="1"/>
    <col min="14087" max="14087" width="24.109375" customWidth="1"/>
    <col min="14088" max="14092" width="22.77734375" customWidth="1"/>
    <col min="14093" max="14093" width="24.88671875" customWidth="1"/>
    <col min="14094" max="14094" width="24.88671875" bestFit="1" customWidth="1"/>
    <col min="14095" max="14095" width="15.109375" bestFit="1" customWidth="1"/>
    <col min="14096" max="14096" width="15" bestFit="1" customWidth="1"/>
    <col min="14097" max="14097" width="11.88671875" bestFit="1" customWidth="1"/>
    <col min="14333" max="14333" width="52.21875" bestFit="1" customWidth="1"/>
    <col min="14334" max="14334" width="33.33203125" customWidth="1"/>
    <col min="14335" max="14335" width="24.109375" customWidth="1"/>
    <col min="14336" max="14336" width="22.77734375" customWidth="1"/>
    <col min="14337" max="14337" width="24.109375" customWidth="1"/>
    <col min="14338" max="14338" width="22.77734375" customWidth="1"/>
    <col min="14339" max="14339" width="24.109375" customWidth="1"/>
    <col min="14340" max="14342" width="22.77734375" customWidth="1"/>
    <col min="14343" max="14343" width="24.109375" customWidth="1"/>
    <col min="14344" max="14348" width="22.77734375" customWidth="1"/>
    <col min="14349" max="14349" width="24.88671875" customWidth="1"/>
    <col min="14350" max="14350" width="24.88671875" bestFit="1" customWidth="1"/>
    <col min="14351" max="14351" width="15.109375" bestFit="1" customWidth="1"/>
    <col min="14352" max="14352" width="15" bestFit="1" customWidth="1"/>
    <col min="14353" max="14353" width="11.88671875" bestFit="1" customWidth="1"/>
    <col min="14589" max="14589" width="52.21875" bestFit="1" customWidth="1"/>
    <col min="14590" max="14590" width="33.33203125" customWidth="1"/>
    <col min="14591" max="14591" width="24.109375" customWidth="1"/>
    <col min="14592" max="14592" width="22.77734375" customWidth="1"/>
    <col min="14593" max="14593" width="24.109375" customWidth="1"/>
    <col min="14594" max="14594" width="22.77734375" customWidth="1"/>
    <col min="14595" max="14595" width="24.109375" customWidth="1"/>
    <col min="14596" max="14598" width="22.77734375" customWidth="1"/>
    <col min="14599" max="14599" width="24.109375" customWidth="1"/>
    <col min="14600" max="14604" width="22.77734375" customWidth="1"/>
    <col min="14605" max="14605" width="24.88671875" customWidth="1"/>
    <col min="14606" max="14606" width="24.88671875" bestFit="1" customWidth="1"/>
    <col min="14607" max="14607" width="15.109375" bestFit="1" customWidth="1"/>
    <col min="14608" max="14608" width="15" bestFit="1" customWidth="1"/>
    <col min="14609" max="14609" width="11.88671875" bestFit="1" customWidth="1"/>
    <col min="14845" max="14845" width="52.21875" bestFit="1" customWidth="1"/>
    <col min="14846" max="14846" width="33.33203125" customWidth="1"/>
    <col min="14847" max="14847" width="24.109375" customWidth="1"/>
    <col min="14848" max="14848" width="22.77734375" customWidth="1"/>
    <col min="14849" max="14849" width="24.109375" customWidth="1"/>
    <col min="14850" max="14850" width="22.77734375" customWidth="1"/>
    <col min="14851" max="14851" width="24.109375" customWidth="1"/>
    <col min="14852" max="14854" width="22.77734375" customWidth="1"/>
    <col min="14855" max="14855" width="24.109375" customWidth="1"/>
    <col min="14856" max="14860" width="22.77734375" customWidth="1"/>
    <col min="14861" max="14861" width="24.88671875" customWidth="1"/>
    <col min="14862" max="14862" width="24.88671875" bestFit="1" customWidth="1"/>
    <col min="14863" max="14863" width="15.109375" bestFit="1" customWidth="1"/>
    <col min="14864" max="14864" width="15" bestFit="1" customWidth="1"/>
    <col min="14865" max="14865" width="11.88671875" bestFit="1" customWidth="1"/>
    <col min="15101" max="15101" width="52.21875" bestFit="1" customWidth="1"/>
    <col min="15102" max="15102" width="33.33203125" customWidth="1"/>
    <col min="15103" max="15103" width="24.109375" customWidth="1"/>
    <col min="15104" max="15104" width="22.77734375" customWidth="1"/>
    <col min="15105" max="15105" width="24.109375" customWidth="1"/>
    <col min="15106" max="15106" width="22.77734375" customWidth="1"/>
    <col min="15107" max="15107" width="24.109375" customWidth="1"/>
    <col min="15108" max="15110" width="22.77734375" customWidth="1"/>
    <col min="15111" max="15111" width="24.109375" customWidth="1"/>
    <col min="15112" max="15116" width="22.77734375" customWidth="1"/>
    <col min="15117" max="15117" width="24.88671875" customWidth="1"/>
    <col min="15118" max="15118" width="24.88671875" bestFit="1" customWidth="1"/>
    <col min="15119" max="15119" width="15.109375" bestFit="1" customWidth="1"/>
    <col min="15120" max="15120" width="15" bestFit="1" customWidth="1"/>
    <col min="15121" max="15121" width="11.88671875" bestFit="1" customWidth="1"/>
    <col min="15357" max="15357" width="52.21875" bestFit="1" customWidth="1"/>
    <col min="15358" max="15358" width="33.33203125" customWidth="1"/>
    <col min="15359" max="15359" width="24.109375" customWidth="1"/>
    <col min="15360" max="15360" width="22.77734375" customWidth="1"/>
    <col min="15361" max="15361" width="24.109375" customWidth="1"/>
    <col min="15362" max="15362" width="22.77734375" customWidth="1"/>
    <col min="15363" max="15363" width="24.109375" customWidth="1"/>
    <col min="15364" max="15366" width="22.77734375" customWidth="1"/>
    <col min="15367" max="15367" width="24.109375" customWidth="1"/>
    <col min="15368" max="15372" width="22.77734375" customWidth="1"/>
    <col min="15373" max="15373" width="24.88671875" customWidth="1"/>
    <col min="15374" max="15374" width="24.88671875" bestFit="1" customWidth="1"/>
    <col min="15375" max="15375" width="15.109375" bestFit="1" customWidth="1"/>
    <col min="15376" max="15376" width="15" bestFit="1" customWidth="1"/>
    <col min="15377" max="15377" width="11.88671875" bestFit="1" customWidth="1"/>
    <col min="15613" max="15613" width="52.21875" bestFit="1" customWidth="1"/>
    <col min="15614" max="15614" width="33.33203125" customWidth="1"/>
    <col min="15615" max="15615" width="24.109375" customWidth="1"/>
    <col min="15616" max="15616" width="22.77734375" customWidth="1"/>
    <col min="15617" max="15617" width="24.109375" customWidth="1"/>
    <col min="15618" max="15618" width="22.77734375" customWidth="1"/>
    <col min="15619" max="15619" width="24.109375" customWidth="1"/>
    <col min="15620" max="15622" width="22.77734375" customWidth="1"/>
    <col min="15623" max="15623" width="24.109375" customWidth="1"/>
    <col min="15624" max="15628" width="22.77734375" customWidth="1"/>
    <col min="15629" max="15629" width="24.88671875" customWidth="1"/>
    <col min="15630" max="15630" width="24.88671875" bestFit="1" customWidth="1"/>
    <col min="15631" max="15631" width="15.109375" bestFit="1" customWidth="1"/>
    <col min="15632" max="15632" width="15" bestFit="1" customWidth="1"/>
    <col min="15633" max="15633" width="11.88671875" bestFit="1" customWidth="1"/>
    <col min="15869" max="15869" width="52.21875" bestFit="1" customWidth="1"/>
    <col min="15870" max="15870" width="33.33203125" customWidth="1"/>
    <col min="15871" max="15871" width="24.109375" customWidth="1"/>
    <col min="15872" max="15872" width="22.77734375" customWidth="1"/>
    <col min="15873" max="15873" width="24.109375" customWidth="1"/>
    <col min="15874" max="15874" width="22.77734375" customWidth="1"/>
    <col min="15875" max="15875" width="24.109375" customWidth="1"/>
    <col min="15876" max="15878" width="22.77734375" customWidth="1"/>
    <col min="15879" max="15879" width="24.109375" customWidth="1"/>
    <col min="15880" max="15884" width="22.77734375" customWidth="1"/>
    <col min="15885" max="15885" width="24.88671875" customWidth="1"/>
    <col min="15886" max="15886" width="24.88671875" bestFit="1" customWidth="1"/>
    <col min="15887" max="15887" width="15.109375" bestFit="1" customWidth="1"/>
    <col min="15888" max="15888" width="15" bestFit="1" customWidth="1"/>
    <col min="15889" max="15889" width="11.88671875" bestFit="1" customWidth="1"/>
    <col min="16125" max="16125" width="52.21875" bestFit="1" customWidth="1"/>
    <col min="16126" max="16126" width="33.33203125" customWidth="1"/>
    <col min="16127" max="16127" width="24.109375" customWidth="1"/>
    <col min="16128" max="16128" width="22.77734375" customWidth="1"/>
    <col min="16129" max="16129" width="24.109375" customWidth="1"/>
    <col min="16130" max="16130" width="22.77734375" customWidth="1"/>
    <col min="16131" max="16131" width="24.109375" customWidth="1"/>
    <col min="16132" max="16134" width="22.77734375" customWidth="1"/>
    <col min="16135" max="16135" width="24.109375" customWidth="1"/>
    <col min="16136" max="16140" width="22.77734375" customWidth="1"/>
    <col min="16141" max="16141" width="24.88671875" customWidth="1"/>
    <col min="16142" max="16142" width="24.88671875" bestFit="1" customWidth="1"/>
    <col min="16143" max="16143" width="15.109375" bestFit="1" customWidth="1"/>
    <col min="16144" max="16144" width="15" bestFit="1" customWidth="1"/>
    <col min="16145" max="16145" width="11.88671875" bestFit="1" customWidth="1"/>
  </cols>
  <sheetData>
    <row r="1" spans="1:19">
      <c r="A1" s="22"/>
    </row>
    <row r="2" spans="1:19" s="24" customFormat="1" ht="21.6" thickBot="1">
      <c r="A2" s="23" t="s">
        <v>180</v>
      </c>
      <c r="R2" s="25" t="s">
        <v>181</v>
      </c>
    </row>
    <row r="3" spans="1:19" s="28" customFormat="1" ht="19.2" thickTop="1" thickBot="1">
      <c r="A3" s="26" t="s">
        <v>182</v>
      </c>
      <c r="B3" s="27">
        <v>44562</v>
      </c>
      <c r="C3" s="27">
        <v>44593</v>
      </c>
      <c r="D3" s="27">
        <v>44621</v>
      </c>
      <c r="E3" s="27" t="s">
        <v>183</v>
      </c>
      <c r="F3" s="27">
        <v>44652</v>
      </c>
      <c r="G3" s="27">
        <v>44682</v>
      </c>
      <c r="H3" s="27">
        <v>44713</v>
      </c>
      <c r="I3" s="27" t="s">
        <v>184</v>
      </c>
      <c r="J3" s="27">
        <v>44743</v>
      </c>
      <c r="K3" s="27">
        <v>44774</v>
      </c>
      <c r="L3" s="27">
        <v>44805</v>
      </c>
      <c r="M3" s="27" t="s">
        <v>185</v>
      </c>
      <c r="N3" s="27">
        <v>44835</v>
      </c>
      <c r="O3" s="27">
        <v>44866</v>
      </c>
      <c r="P3" s="27">
        <v>44896</v>
      </c>
      <c r="Q3" s="27" t="s">
        <v>186</v>
      </c>
      <c r="R3" s="27" t="s">
        <v>187</v>
      </c>
    </row>
    <row r="4" spans="1:19" s="28" customFormat="1" ht="21.6" hidden="1" thickTop="1">
      <c r="A4" s="29" t="s">
        <v>188</v>
      </c>
      <c r="B4" s="29">
        <f>'[36]Budget 2022'!E80</f>
        <v>24038558.323333323</v>
      </c>
      <c r="C4" s="29">
        <f>'[36]Budget 2022'!F80</f>
        <v>25788558.323333323</v>
      </c>
      <c r="D4" s="29">
        <f>'[36]Budget 2022'!G80</f>
        <v>27648558.323333323</v>
      </c>
      <c r="E4" s="30">
        <f>SUM(B4:D4)</f>
        <v>77475674.969999969</v>
      </c>
      <c r="F4" s="29">
        <f>'[36]Budget 2022'!I80</f>
        <v>27090612.649999999</v>
      </c>
      <c r="G4" s="29">
        <f>'[36]Budget 2022'!J80</f>
        <v>26321329.649999999</v>
      </c>
      <c r="H4" s="29">
        <f>'[36]Budget 2022'!K80</f>
        <v>26812373.649999999</v>
      </c>
      <c r="I4" s="30">
        <f>SUM(F4:H4)</f>
        <v>80224315.949999988</v>
      </c>
      <c r="J4" s="29">
        <f>'[36]Budget 2022'!M80</f>
        <v>19033333.316666666</v>
      </c>
      <c r="K4" s="29">
        <f>'[36]Budget 2022'!N80</f>
        <v>19033333.316666666</v>
      </c>
      <c r="L4" s="29">
        <f>'[36]Budget 2022'!O80</f>
        <v>19033333.316666666</v>
      </c>
      <c r="M4" s="30">
        <f>SUM(J4:L4)</f>
        <v>57099999.950000003</v>
      </c>
      <c r="N4" s="29">
        <f>'[36]Budget 2022'!Q80</f>
        <v>18404311.316666666</v>
      </c>
      <c r="O4" s="29">
        <f>'[36]Budget 2022'!R80</f>
        <v>17467699.316666666</v>
      </c>
      <c r="P4" s="29">
        <f>'[36]Budget 2022'!S80</f>
        <v>17467699.316666666</v>
      </c>
      <c r="Q4" s="30">
        <f>SUM(N4:P4)</f>
        <v>53339709.950000003</v>
      </c>
      <c r="R4" s="30">
        <f>Q4+M4+I4+E4</f>
        <v>268139700.81999996</v>
      </c>
    </row>
    <row r="5" spans="1:19" s="28" customFormat="1" ht="21.6" hidden="1" thickTop="1">
      <c r="A5" s="29" t="s">
        <v>189</v>
      </c>
      <c r="B5" s="29">
        <f>'[36]Budget 2022'!E81</f>
        <v>1958966</v>
      </c>
      <c r="C5" s="29">
        <f>'[36]Budget 2022'!F81</f>
        <v>1958966</v>
      </c>
      <c r="D5" s="29">
        <f>'[36]Budget 2022'!G81</f>
        <v>1958966</v>
      </c>
      <c r="E5" s="30">
        <f>SUM(B5:D5)</f>
        <v>5876898</v>
      </c>
      <c r="F5" s="29">
        <f>'[36]Budget 2022'!I81</f>
        <v>1758966</v>
      </c>
      <c r="G5" s="29">
        <f>'[36]Budget 2022'!J81</f>
        <v>1758966</v>
      </c>
      <c r="H5" s="29">
        <f>'[36]Budget 2022'!K81</f>
        <v>1758966</v>
      </c>
      <c r="I5" s="30">
        <f>SUM(F5:H5)</f>
        <v>5276898</v>
      </c>
      <c r="J5" s="29">
        <f>'[36]Budget 2022'!M81</f>
        <v>864366</v>
      </c>
      <c r="K5" s="29">
        <f>'[36]Budget 2022'!N81</f>
        <v>864366</v>
      </c>
      <c r="L5" s="29">
        <f>'[36]Budget 2022'!O81</f>
        <v>864366</v>
      </c>
      <c r="M5" s="30">
        <f>SUM(J5:L5)</f>
        <v>2593098</v>
      </c>
      <c r="N5" s="29">
        <f>'[36]Budget 2022'!Q81</f>
        <v>450000</v>
      </c>
      <c r="O5" s="29">
        <f>'[36]Budget 2022'!R81</f>
        <v>450000</v>
      </c>
      <c r="P5" s="29">
        <f>'[36]Budget 2022'!S81</f>
        <v>450000</v>
      </c>
      <c r="Q5" s="30">
        <f>SUM(N5:P5)</f>
        <v>1350000</v>
      </c>
      <c r="R5" s="30">
        <f>Q5+M5+I5+E5</f>
        <v>15096894</v>
      </c>
    </row>
    <row r="6" spans="1:19" s="28" customFormat="1" ht="21.6" hidden="1" thickTop="1">
      <c r="A6" s="29" t="s">
        <v>190</v>
      </c>
      <c r="B6" s="29">
        <f>SUM(B4:B5)</f>
        <v>25997524.323333323</v>
      </c>
      <c r="C6" s="29">
        <f>SUM(C4:C5)</f>
        <v>27747524.323333323</v>
      </c>
      <c r="D6" s="29">
        <f>SUM(D4:D5)</f>
        <v>29607524.323333323</v>
      </c>
      <c r="E6" s="30">
        <f>SUM(B6:D6)</f>
        <v>83352572.969999969</v>
      </c>
      <c r="F6" s="29">
        <f>SUM(F4:F5)</f>
        <v>28849578.649999999</v>
      </c>
      <c r="G6" s="29">
        <f>SUM(G4:G5)</f>
        <v>28080295.649999999</v>
      </c>
      <c r="H6" s="29">
        <f>SUM(H4:H5)</f>
        <v>28571339.649999999</v>
      </c>
      <c r="I6" s="30">
        <f>SUM(F6:H6)</f>
        <v>85501213.949999988</v>
      </c>
      <c r="J6" s="29">
        <f>SUM(J4:J5)</f>
        <v>19897699.316666666</v>
      </c>
      <c r="K6" s="29">
        <f>SUM(K4:K5)</f>
        <v>19897699.316666666</v>
      </c>
      <c r="L6" s="29">
        <f>SUM(L4:L5)</f>
        <v>19897699.316666666</v>
      </c>
      <c r="M6" s="30">
        <f>SUM(J6:L6)</f>
        <v>59693097.950000003</v>
      </c>
      <c r="N6" s="29">
        <f>SUM(N4:N5)</f>
        <v>18854311.316666666</v>
      </c>
      <c r="O6" s="29">
        <f>SUM(O4:O5)</f>
        <v>17917699.316666666</v>
      </c>
      <c r="P6" s="29">
        <f>SUM(P4:P5)</f>
        <v>17917699.316666666</v>
      </c>
      <c r="Q6" s="30">
        <f>SUM(N6:P6)</f>
        <v>54689709.950000003</v>
      </c>
      <c r="R6" s="30">
        <f t="shared" ref="R6:R12" si="0">Q6+M6+I6+E6</f>
        <v>283236594.81999993</v>
      </c>
    </row>
    <row r="7" spans="1:19" s="28" customFormat="1" ht="21.6" hidden="1" thickTop="1">
      <c r="A7" s="29" t="s">
        <v>191</v>
      </c>
      <c r="B7" s="29">
        <f>'[36]Budget 2022'!V84+'[36]Budget 2022'!AM80+'[36]Budget 2022'!CL80+'[36]Budget 2022'!DC80+'[36]Budget 2022'!DT80+'[36]Budget 2022'!EK80</f>
        <v>-19356037.356666662</v>
      </c>
      <c r="C7" s="29">
        <f>'[36]Budget 2022'!W84+'[36]Budget 2022'!AN80+'[36]Budget 2022'!CM80+'[36]Budget 2022'!DD80+'[36]Budget 2022'!DU80+'[36]Budget 2022'!EL80</f>
        <v>-16131586.27666666</v>
      </c>
      <c r="D7" s="29">
        <f>'[36]Budget 2022'!X84+'[36]Budget 2022'!AO80+'[36]Budget 2022'!CN80+'[36]Budget 2022'!DE80+'[36]Budget 2022'!DV80+'[36]Budget 2022'!EM80</f>
        <v>-20138009.11666666</v>
      </c>
      <c r="E7" s="30">
        <f t="shared" ref="E7:E13" si="1">SUM(B7:D7)</f>
        <v>-55625632.749999985</v>
      </c>
      <c r="F7" s="29">
        <f>'[36]Budget 2022'!Z84+'[36]Budget 2022'!AQ84+'[36]Budget 2022'!CP84+'[36]Budget 2022'!DG84+'[36]Budget 2022'!DX84+'[36]Budget 2022'!EO84</f>
        <v>-19914128.266666658</v>
      </c>
      <c r="G7" s="29">
        <f>'[36]Budget 2022'!AA84+'[36]Budget 2022'!AR84+'[36]Budget 2022'!CQ84+'[36]Budget 2022'!DH84+'[36]Budget 2022'!DY84+'[36]Budget 2022'!EP84</f>
        <v>-16325155.236666659</v>
      </c>
      <c r="H7" s="29">
        <f>'[36]Budget 2022'!AB84+'[36]Budget 2022'!AS84+'[36]Budget 2022'!CR84+'[36]Budget 2022'!DI84+'[36]Budget 2022'!DZ84+'[36]Budget 2022'!EQ84</f>
        <v>-15357479.396666659</v>
      </c>
      <c r="I7" s="30">
        <f t="shared" ref="I7:I13" si="2">SUM(F7:H7)</f>
        <v>-51596762.899999976</v>
      </c>
      <c r="J7" s="29">
        <f>'[36]Budget 2022'!AD84+'[36]Budget 2022'!AU84+'[36]Budget 2022'!CT84+'[36]Budget 2022'!DK84+'[36]Budget 2022'!EB84+'[36]Budget 2022'!ES84</f>
        <v>-12488155.966666659</v>
      </c>
      <c r="K7" s="29">
        <f>'[36]Budget 2022'!AE84+'[36]Budget 2022'!AV84+'[36]Budget 2022'!CU84+'[36]Budget 2022'!DL84+'[36]Budget 2022'!EC84+'[36]Budget 2022'!ET84</f>
        <v>-9853435.9666666593</v>
      </c>
      <c r="L7" s="29">
        <f>'[36]Budget 2022'!AF84+'[36]Budget 2022'!AW84+'[36]Budget 2022'!CV84+'[36]Budget 2022'!DM84+'[36]Budget 2022'!ED84+'[36]Budget 2022'!EU84</f>
        <v>-9472666.7966666594</v>
      </c>
      <c r="M7" s="30">
        <f t="shared" ref="M7:M13" si="3">SUM(J7:L7)</f>
        <v>-31814258.729999978</v>
      </c>
      <c r="N7" s="29">
        <f>'[36]Budget 2022'!AH84+'[36]Budget 2022'!AY84+'[36]Budget 2022'!CX84+'[36]Budget 2022'!DO84+'[36]Budget 2022'!EF84+'[36]Budget 2022'!EW84</f>
        <v>-9377942.1966666598</v>
      </c>
      <c r="O7" s="29">
        <f>'[36]Budget 2022'!AI84+'[36]Budget 2022'!AZ84+'[36]Budget 2022'!CY84+'[36]Budget 2022'!DP84+'[36]Budget 2022'!EG84+'[36]Budget 2022'!EX84</f>
        <v>-8955050.0166666601</v>
      </c>
      <c r="P7" s="29">
        <f>'[36]Budget 2022'!AJ84+'[36]Budget 2022'!BA84+'[36]Budget 2022'!CZ84+'[36]Budget 2022'!DQ84+'[36]Budget 2022'!EH84+'[36]Budget 2022'!EY84</f>
        <v>-8989083.0166666601</v>
      </c>
      <c r="Q7" s="30">
        <f t="shared" ref="Q7:Q12" si="4">SUM(N7:P7)</f>
        <v>-27322075.229999982</v>
      </c>
      <c r="R7" s="30">
        <f t="shared" si="0"/>
        <v>-166358729.60999992</v>
      </c>
    </row>
    <row r="8" spans="1:19" s="28" customFormat="1" ht="21.6" hidden="1" thickTop="1">
      <c r="A8" s="29" t="s">
        <v>192</v>
      </c>
      <c r="B8" s="29">
        <f>'[36]Budget 2022'!V85+'[36]Budget 2022'!AM85+'[36]Budget 2022'!CL85+'[36]Budget 2022'!DC85+'[36]Budget 2022'!DT85+'[36]Budget 2022'!EK85</f>
        <v>-463341.42000000004</v>
      </c>
      <c r="C8" s="29">
        <f>'[36]Budget 2022'!W85+'[36]Budget 2022'!AN85+'[36]Budget 2022'!CM85+'[36]Budget 2022'!DD85+'[36]Budget 2022'!DU85+'[36]Budget 2022'!EL85</f>
        <v>-463341.42000000004</v>
      </c>
      <c r="D8" s="29">
        <f>'[36]Budget 2022'!X85+'[36]Budget 2022'!AO85+'[36]Budget 2022'!CN85+'[36]Budget 2022'!DE85+'[36]Budget 2022'!DV85+'[36]Budget 2022'!EM85</f>
        <v>-510890.42000000004</v>
      </c>
      <c r="E8" s="30">
        <f t="shared" si="1"/>
        <v>-1437573.2600000002</v>
      </c>
      <c r="F8" s="29">
        <f>'[36]Budget 2022'!Z85+'[36]Budget 2022'!AQ85+'[36]Budget 2022'!CP85+'[36]Budget 2022'!DG85+'[36]Budget 2022'!DX85+'[36]Budget 2022'!EO85</f>
        <v>-327327.40000000002</v>
      </c>
      <c r="G8" s="29">
        <f>'[36]Budget 2022'!AA85+'[36]Budget 2022'!AR85+'[36]Budget 2022'!CQ85+'[36]Budget 2022'!DH85+'[36]Budget 2022'!DY85+'[36]Budget 2022'!EP85</f>
        <v>-327327.40000000002</v>
      </c>
      <c r="H8" s="29">
        <f>'[36]Budget 2022'!AB85+'[36]Budget 2022'!AS85+'[36]Budget 2022'!CR85+'[36]Budget 2022'!DI85+'[36]Budget 2022'!DZ85+'[36]Budget 2022'!EQ85</f>
        <v>-374876.4</v>
      </c>
      <c r="I8" s="30">
        <f t="shared" si="2"/>
        <v>-1029531.2000000001</v>
      </c>
      <c r="J8" s="29">
        <f>'[36]Budget 2022'!AD85+'[36]Budget 2022'!AU85+'[36]Budget 2022'!CT85+'[36]Budget 2022'!DK85+'[36]Budget 2022'!EB85+'[36]Budget 2022'!ES85</f>
        <v>-42924.490000000005</v>
      </c>
      <c r="K8" s="29">
        <f>'[36]Budget 2022'!AE85+'[36]Budget 2022'!AV85+'[36]Budget 2022'!CU85+'[36]Budget 2022'!DL85+'[36]Budget 2022'!EC85+'[36]Budget 2022'!ET85</f>
        <v>-42924.490000000005</v>
      </c>
      <c r="L8" s="29">
        <f>'[36]Budget 2022'!AF85+'[36]Budget 2022'!AW85+'[36]Budget 2022'!CV85+'[36]Budget 2022'!DM85+'[36]Budget 2022'!ED85+'[36]Budget 2022'!EU85</f>
        <v>-42924.490000000005</v>
      </c>
      <c r="M8" s="30">
        <f t="shared" si="3"/>
        <v>-128773.47000000002</v>
      </c>
      <c r="N8" s="29">
        <f>'[36]Budget 2022'!AH85+'[36]Budget 2022'!AY85+'[36]Budget 2022'!CX85+'[36]Budget 2022'!DO85+'[36]Budget 2022'!EF85+'[36]Budget 2022'!EW85</f>
        <v>-22347.040000000001</v>
      </c>
      <c r="O8" s="29">
        <f>'[36]Budget 2022'!AI85+'[36]Budget 2022'!AZ85+'[36]Budget 2022'!CY85+'[36]Budget 2022'!DP85+'[36]Budget 2022'!EG85+'[36]Budget 2022'!EX85</f>
        <v>-22347.040000000001</v>
      </c>
      <c r="P8" s="29">
        <f>'[36]Budget 2022'!AJ85+'[36]Budget 2022'!BA85+'[36]Budget 2022'!CZ85+'[36]Budget 2022'!DQ85+'[36]Budget 2022'!EH85+'[36]Budget 2022'!EY85</f>
        <v>-22347.040000000001</v>
      </c>
      <c r="Q8" s="30">
        <f t="shared" si="4"/>
        <v>-67041.119999999995</v>
      </c>
      <c r="R8" s="30">
        <f t="shared" si="0"/>
        <v>-2662919.0500000003</v>
      </c>
    </row>
    <row r="9" spans="1:19" s="28" customFormat="1" ht="21.6" hidden="1" thickTop="1">
      <c r="A9" s="29" t="s">
        <v>193</v>
      </c>
      <c r="B9" s="29">
        <f>'[36]Budget 2022'!BD84+'[36]Budget 2022'!BU84</f>
        <v>-3820022.5900000008</v>
      </c>
      <c r="C9" s="29">
        <f>'[36]Budget 2022'!BE84+'[36]Budget 2022'!BV84</f>
        <v>-7442167.9299999997</v>
      </c>
      <c r="D9" s="29">
        <f>'[36]Budget 2022'!BF84+'[36]Budget 2022'!BW84</f>
        <v>-5962312.0499999998</v>
      </c>
      <c r="E9" s="30">
        <f t="shared" si="1"/>
        <v>-17224502.57</v>
      </c>
      <c r="F9" s="29">
        <f>'[36]Budget 2022'!BH84+'[36]Budget 2022'!BY84</f>
        <v>-5962312.0499999998</v>
      </c>
      <c r="G9" s="29">
        <f>'[36]Budget 2022'!BI84+'[36]Budget 2022'!BZ84</f>
        <v>-5962312.0499999998</v>
      </c>
      <c r="H9" s="29">
        <f>'[36]Budget 2022'!BJ84+'[36]Budget 2022'!CA84</f>
        <v>-5962312.0499999998</v>
      </c>
      <c r="I9" s="30">
        <f t="shared" si="2"/>
        <v>-17886936.149999999</v>
      </c>
      <c r="J9" s="29">
        <f>'[36]Budget 2022'!BL84+'[36]Budget 2022'!CC84</f>
        <v>-5718064.459999999</v>
      </c>
      <c r="K9" s="29">
        <f>'[36]Budget 2022'!BM84+'[36]Budget 2022'!CD84</f>
        <v>-5718064.459999999</v>
      </c>
      <c r="L9" s="29">
        <f>'[36]Budget 2022'!BN84+'[36]Budget 2022'!CE84</f>
        <v>-3912376.92</v>
      </c>
      <c r="M9" s="30">
        <f t="shared" si="3"/>
        <v>-15348505.839999998</v>
      </c>
      <c r="N9" s="29">
        <f>'[36]Budget 2022'!BP84+'[36]Budget 2022'!CG84</f>
        <v>-4003313.64</v>
      </c>
      <c r="O9" s="29">
        <f>'[36]Budget 2022'!BQ84+'[36]Budget 2022'!CH84</f>
        <v>-2475766.8300000005</v>
      </c>
      <c r="P9" s="29">
        <f>'[36]Budget 2022'!BR84+'[36]Budget 2022'!CI84</f>
        <v>-2475766.8300000005</v>
      </c>
      <c r="Q9" s="30">
        <f t="shared" si="4"/>
        <v>-8954847.3000000007</v>
      </c>
      <c r="R9" s="30">
        <f t="shared" si="0"/>
        <v>-59414791.859999999</v>
      </c>
    </row>
    <row r="10" spans="1:19" s="28" customFormat="1" ht="21.6" hidden="1" thickTop="1">
      <c r="A10" s="29" t="s">
        <v>194</v>
      </c>
      <c r="B10" s="29">
        <f>'[36]Budget 2022'!BD85+'[36]Budget 2022'!BU85</f>
        <v>-410119.47</v>
      </c>
      <c r="C10" s="29">
        <f>'[36]Budget 2022'!BE85+'[36]Budget 2022'!BV85</f>
        <v>-410119.47</v>
      </c>
      <c r="D10" s="29">
        <f>'[36]Budget 2022'!BF85+'[36]Budget 2022'!BW85</f>
        <v>-410119.47</v>
      </c>
      <c r="E10" s="30">
        <f t="shared" si="1"/>
        <v>-1230358.4099999999</v>
      </c>
      <c r="F10" s="29">
        <f>'[36]Budget 2022'!BH85+'[36]Budget 2022'!BY85</f>
        <v>-368248.44999999995</v>
      </c>
      <c r="G10" s="29">
        <f>'[36]Budget 2022'!BI85+'[36]Budget 2022'!BZ85</f>
        <v>-368248.44999999995</v>
      </c>
      <c r="H10" s="29">
        <f>'[36]Budget 2022'!BJ85+'[36]Budget 2022'!CA85</f>
        <v>-368248.44999999995</v>
      </c>
      <c r="I10" s="30">
        <f t="shared" si="2"/>
        <v>-1104745.3499999999</v>
      </c>
      <c r="J10" s="29">
        <f>'[36]Budget 2022'!BL85+'[36]Budget 2022'!CC85</f>
        <v>-180959.4</v>
      </c>
      <c r="K10" s="29">
        <f>'[36]Budget 2022'!BM85+'[36]Budget 2022'!CD85</f>
        <v>-180959.4</v>
      </c>
      <c r="L10" s="29">
        <f>'[36]Budget 2022'!BN85+'[36]Budget 2022'!CE85</f>
        <v>-180959.4</v>
      </c>
      <c r="M10" s="30">
        <f t="shared" si="3"/>
        <v>-542878.19999999995</v>
      </c>
      <c r="N10" s="29">
        <f>'[36]Budget 2022'!BP85+'[36]Budget 2022'!CG85+'[36]Budget 2022'!EF85</f>
        <v>-94209.78</v>
      </c>
      <c r="O10" s="29">
        <f>'[36]Budget 2022'!BQ85+'[36]Budget 2022'!CH85+'[36]Budget 2022'!EG85</f>
        <v>-94209.78</v>
      </c>
      <c r="P10" s="29">
        <f>'[36]Budget 2022'!BR85+'[36]Budget 2022'!CI85+'[36]Budget 2022'!EH85</f>
        <v>-94209.78</v>
      </c>
      <c r="Q10" s="30">
        <f t="shared" si="4"/>
        <v>-282629.33999999997</v>
      </c>
      <c r="R10" s="30">
        <f t="shared" si="0"/>
        <v>-3160611.3</v>
      </c>
    </row>
    <row r="11" spans="1:19" s="28" customFormat="1" ht="21.6" hidden="1" thickTop="1">
      <c r="A11" s="29" t="s">
        <v>195</v>
      </c>
      <c r="B11" s="29">
        <f>SUM(B7,B9)</f>
        <v>-23176059.946666662</v>
      </c>
      <c r="C11" s="29">
        <f t="shared" ref="C11:H12" si="5">SUM(C7,C9)</f>
        <v>-23573754.20666666</v>
      </c>
      <c r="D11" s="29">
        <f t="shared" si="5"/>
        <v>-26100321.16666666</v>
      </c>
      <c r="E11" s="30">
        <f t="shared" si="1"/>
        <v>-72850135.319999978</v>
      </c>
      <c r="F11" s="29">
        <f t="shared" si="5"/>
        <v>-25876440.316666659</v>
      </c>
      <c r="G11" s="29">
        <f t="shared" si="5"/>
        <v>-22287467.286666658</v>
      </c>
      <c r="H11" s="29">
        <f t="shared" si="5"/>
        <v>-21319791.446666658</v>
      </c>
      <c r="I11" s="30">
        <f t="shared" si="2"/>
        <v>-69483699.049999982</v>
      </c>
      <c r="J11" s="29">
        <f t="shared" ref="J11:L12" si="6">SUM(J7,J9)</f>
        <v>-18206220.426666658</v>
      </c>
      <c r="K11" s="29">
        <f t="shared" si="6"/>
        <v>-15571500.426666658</v>
      </c>
      <c r="L11" s="29">
        <f t="shared" si="6"/>
        <v>-13385043.716666659</v>
      </c>
      <c r="M11" s="30">
        <f t="shared" si="3"/>
        <v>-47162764.569999978</v>
      </c>
      <c r="N11" s="29">
        <f t="shared" ref="N11:P12" si="7">SUM(N7,N9)</f>
        <v>-13381255.83666666</v>
      </c>
      <c r="O11" s="29">
        <f t="shared" si="7"/>
        <v>-11430816.84666666</v>
      </c>
      <c r="P11" s="29">
        <f t="shared" si="7"/>
        <v>-11464849.84666666</v>
      </c>
      <c r="Q11" s="30">
        <f t="shared" si="4"/>
        <v>-36276922.529999986</v>
      </c>
      <c r="R11" s="30">
        <f t="shared" si="0"/>
        <v>-225773521.46999991</v>
      </c>
    </row>
    <row r="12" spans="1:19" s="28" customFormat="1" ht="21.6" hidden="1" thickTop="1">
      <c r="A12" s="29" t="s">
        <v>196</v>
      </c>
      <c r="B12" s="29">
        <f>SUM(B8,B10)</f>
        <v>-873460.89</v>
      </c>
      <c r="C12" s="29">
        <f t="shared" si="5"/>
        <v>-873460.89</v>
      </c>
      <c r="D12" s="29">
        <f t="shared" si="5"/>
        <v>-921009.89</v>
      </c>
      <c r="E12" s="30">
        <f t="shared" si="1"/>
        <v>-2667931.67</v>
      </c>
      <c r="F12" s="29">
        <f t="shared" si="5"/>
        <v>-695575.85</v>
      </c>
      <c r="G12" s="29">
        <f t="shared" si="5"/>
        <v>-695575.85</v>
      </c>
      <c r="H12" s="29">
        <f t="shared" si="5"/>
        <v>-743124.85</v>
      </c>
      <c r="I12" s="30">
        <f t="shared" si="2"/>
        <v>-2134276.5499999998</v>
      </c>
      <c r="J12" s="29">
        <f t="shared" si="6"/>
        <v>-223883.89</v>
      </c>
      <c r="K12" s="29">
        <f t="shared" si="6"/>
        <v>-223883.89</v>
      </c>
      <c r="L12" s="29">
        <f t="shared" si="6"/>
        <v>-223883.89</v>
      </c>
      <c r="M12" s="30">
        <f t="shared" si="3"/>
        <v>-671651.67</v>
      </c>
      <c r="N12" s="29">
        <f t="shared" si="7"/>
        <v>-116556.82</v>
      </c>
      <c r="O12" s="29">
        <f t="shared" si="7"/>
        <v>-116556.82</v>
      </c>
      <c r="P12" s="29">
        <f t="shared" si="7"/>
        <v>-116556.82</v>
      </c>
      <c r="Q12" s="30">
        <f t="shared" si="4"/>
        <v>-349670.46</v>
      </c>
      <c r="R12" s="30">
        <f t="shared" si="0"/>
        <v>-5823530.3499999996</v>
      </c>
    </row>
    <row r="13" spans="1:19" s="35" customFormat="1" ht="31.8" thickTop="1">
      <c r="A13" s="31" t="s">
        <v>10</v>
      </c>
      <c r="B13" s="32">
        <f>SUM(B14,B17)</f>
        <v>25997524.323333323</v>
      </c>
      <c r="C13" s="32">
        <f>SUM(C14,C17)</f>
        <v>27747524.323333323</v>
      </c>
      <c r="D13" s="32">
        <f>SUM(D14,D17)</f>
        <v>29607524.323333323</v>
      </c>
      <c r="E13" s="32">
        <f t="shared" si="1"/>
        <v>83352572.969999969</v>
      </c>
      <c r="F13" s="32">
        <f>SUM(F14,F17)</f>
        <v>28849578.649999999</v>
      </c>
      <c r="G13" s="32">
        <f>SUM(G14,G17)</f>
        <v>28080295.649999999</v>
      </c>
      <c r="H13" s="32">
        <f>SUM(H14,H17)</f>
        <v>28571339.649999999</v>
      </c>
      <c r="I13" s="32">
        <f t="shared" si="2"/>
        <v>85501213.949999988</v>
      </c>
      <c r="J13" s="32">
        <f>SUM(J14,J17)</f>
        <v>19897699.316666666</v>
      </c>
      <c r="K13" s="32">
        <f>SUM(K14,K17)</f>
        <v>19897699.316666666</v>
      </c>
      <c r="L13" s="32">
        <f>SUM(L14,L17)</f>
        <v>19897699.316666666</v>
      </c>
      <c r="M13" s="32">
        <f t="shared" si="3"/>
        <v>59693097.950000003</v>
      </c>
      <c r="N13" s="32">
        <f>SUM(N14,N17)</f>
        <v>18854311.316666666</v>
      </c>
      <c r="O13" s="32">
        <f>SUM(O14,O17)</f>
        <v>17917699.316666666</v>
      </c>
      <c r="P13" s="32">
        <f>SUM(P14,P17)</f>
        <v>17917699.316666666</v>
      </c>
      <c r="Q13" s="32">
        <f>SUM(N13:P13)</f>
        <v>54689709.950000003</v>
      </c>
      <c r="R13" s="61">
        <f>SUM(R14,R17)</f>
        <v>283236594.81999999</v>
      </c>
      <c r="S13" s="34" t="s">
        <v>267</v>
      </c>
    </row>
    <row r="14" spans="1:19" ht="21" hidden="1" outlineLevel="1">
      <c r="A14" s="36" t="s">
        <v>197</v>
      </c>
      <c r="B14" s="37">
        <f>SUM(B15:B16)</f>
        <v>17755224.996666655</v>
      </c>
      <c r="C14" s="37">
        <f>SUM(C15:C16)</f>
        <v>19505224.996666655</v>
      </c>
      <c r="D14" s="37">
        <f>SUM(D15:D16)</f>
        <v>21365224.996666655</v>
      </c>
      <c r="E14" s="37">
        <f t="shared" ref="E14:E125" si="8">SUM(B14:D14)</f>
        <v>58625674.989999965</v>
      </c>
      <c r="F14" s="37">
        <f>SUM(F15:F16)</f>
        <v>20807279.32333333</v>
      </c>
      <c r="G14" s="37">
        <f>SUM(G15:G16)</f>
        <v>20037996.32333333</v>
      </c>
      <c r="H14" s="37">
        <f>SUM(H15:H16)</f>
        <v>20529040.32333333</v>
      </c>
      <c r="I14" s="37">
        <f t="shared" ref="I14:I125" si="9">SUM(F14:H14)</f>
        <v>61374315.969999991</v>
      </c>
      <c r="J14" s="37">
        <f>SUM(J15:J16)</f>
        <v>12749999.99</v>
      </c>
      <c r="K14" s="37">
        <f>SUM(K15:K16)</f>
        <v>12749999.99</v>
      </c>
      <c r="L14" s="37">
        <f>SUM(L15:L16)</f>
        <v>12749999.99</v>
      </c>
      <c r="M14" s="37">
        <f t="shared" ref="M14:M125" si="10">SUM(J14:L14)</f>
        <v>38249999.969999999</v>
      </c>
      <c r="N14" s="37">
        <f>SUM(N15:N16)</f>
        <v>11686611.99</v>
      </c>
      <c r="O14" s="37">
        <f>SUM(O15:O16)</f>
        <v>10749999.99</v>
      </c>
      <c r="P14" s="37">
        <f>SUM(P15:P16)</f>
        <v>10749999.99</v>
      </c>
      <c r="Q14" s="37">
        <f t="shared" ref="Q14:Q125" si="11">SUM(N14:P14)</f>
        <v>33186611.969999999</v>
      </c>
      <c r="R14" s="37">
        <f>SUM(R15:R16)</f>
        <v>191436602.89999998</v>
      </c>
    </row>
    <row r="15" spans="1:19" ht="18" hidden="1" outlineLevel="1">
      <c r="A15" s="38" t="s">
        <v>198</v>
      </c>
      <c r="B15" s="39">
        <f>'[36]Budget 2022'!E7</f>
        <v>8838558.3333333321</v>
      </c>
      <c r="C15" s="39">
        <f>'[36]Budget 2022'!F7</f>
        <v>10588558.333333332</v>
      </c>
      <c r="D15" s="39">
        <f>'[36]Budget 2022'!G7</f>
        <v>11448558.333333332</v>
      </c>
      <c r="E15" s="39">
        <f t="shared" si="8"/>
        <v>30875674.999999996</v>
      </c>
      <c r="F15" s="39">
        <f>'[36]Budget 2022'!I7</f>
        <v>11557279.333333332</v>
      </c>
      <c r="G15" s="39">
        <f>'[36]Budget 2022'!J7</f>
        <v>10787996.333333332</v>
      </c>
      <c r="H15" s="39">
        <f>'[36]Budget 2022'!K7</f>
        <v>11279040.333333332</v>
      </c>
      <c r="I15" s="39">
        <f t="shared" si="9"/>
        <v>33624316</v>
      </c>
      <c r="J15" s="39">
        <f>'[36]Budget 2022'!M7</f>
        <v>3500000</v>
      </c>
      <c r="K15" s="39">
        <f>'[36]Budget 2022'!N7</f>
        <v>3500000</v>
      </c>
      <c r="L15" s="39">
        <f>'[36]Budget 2022'!O7</f>
        <v>3500000</v>
      </c>
      <c r="M15" s="39">
        <f t="shared" si="10"/>
        <v>10500000</v>
      </c>
      <c r="N15" s="39">
        <f>'[36]Budget 2022'!Q7</f>
        <v>2436612</v>
      </c>
      <c r="O15" s="39">
        <f>'[36]Budget 2022'!R7</f>
        <v>1500000</v>
      </c>
      <c r="P15" s="39">
        <f>'[36]Budget 2022'!S7</f>
        <v>1500000</v>
      </c>
      <c r="Q15" s="39">
        <f t="shared" si="11"/>
        <v>5436612</v>
      </c>
      <c r="R15" s="39">
        <f>SUM(E15,I15,M15,Q15)</f>
        <v>80436603</v>
      </c>
    </row>
    <row r="16" spans="1:19" ht="18" hidden="1" outlineLevel="1">
      <c r="A16" s="38" t="s">
        <v>199</v>
      </c>
      <c r="B16" s="39">
        <f>'[36]Budget 2022'!E17</f>
        <v>8916666.663333321</v>
      </c>
      <c r="C16" s="39">
        <f>'[36]Budget 2022'!F17</f>
        <v>8916666.663333321</v>
      </c>
      <c r="D16" s="39">
        <f>'[36]Budget 2022'!G17</f>
        <v>9916666.663333321</v>
      </c>
      <c r="E16" s="39">
        <f t="shared" si="8"/>
        <v>27749999.989999965</v>
      </c>
      <c r="F16" s="39">
        <f>'[36]Budget 2022'!I17</f>
        <v>9249999.9900000002</v>
      </c>
      <c r="G16" s="39">
        <f>'[36]Budget 2022'!J17</f>
        <v>9249999.9900000002</v>
      </c>
      <c r="H16" s="39">
        <f>'[36]Budget 2022'!K17</f>
        <v>9249999.9900000002</v>
      </c>
      <c r="I16" s="39">
        <f t="shared" si="9"/>
        <v>27749999.969999999</v>
      </c>
      <c r="J16" s="39">
        <f>'[36]Budget 2022'!M17</f>
        <v>9249999.9900000002</v>
      </c>
      <c r="K16" s="39">
        <f>'[36]Budget 2022'!N17</f>
        <v>9249999.9900000002</v>
      </c>
      <c r="L16" s="39">
        <f>'[36]Budget 2022'!O17</f>
        <v>9249999.9900000002</v>
      </c>
      <c r="M16" s="39">
        <f t="shared" si="10"/>
        <v>27749999.969999999</v>
      </c>
      <c r="N16" s="39">
        <f>'[36]Budget 2022'!Q17</f>
        <v>9249999.9900000002</v>
      </c>
      <c r="O16" s="39">
        <f>'[36]Budget 2022'!R17</f>
        <v>9249999.9900000002</v>
      </c>
      <c r="P16" s="39">
        <f>'[36]Budget 2022'!S17</f>
        <v>9249999.9900000002</v>
      </c>
      <c r="Q16" s="39">
        <f t="shared" si="11"/>
        <v>27749999.969999999</v>
      </c>
      <c r="R16" s="39">
        <f>SUM(E16,I16,M16,Q16)</f>
        <v>110999999.89999996</v>
      </c>
    </row>
    <row r="17" spans="1:20" ht="21" hidden="1" outlineLevel="1">
      <c r="A17" s="36" t="s">
        <v>200</v>
      </c>
      <c r="B17" s="37">
        <f>SUM(B18:B25)</f>
        <v>8242299.3266666671</v>
      </c>
      <c r="C17" s="37">
        <f>SUM(C18:C25)</f>
        <v>8242299.3266666671</v>
      </c>
      <c r="D17" s="37">
        <f>SUM(D18:D25)</f>
        <v>8242299.3266666671</v>
      </c>
      <c r="E17" s="37">
        <f t="shared" si="8"/>
        <v>24726897.98</v>
      </c>
      <c r="F17" s="37">
        <f>SUM(F18:F25)</f>
        <v>8042299.3266666671</v>
      </c>
      <c r="G17" s="37">
        <f>SUM(G18:G25)</f>
        <v>8042299.3266666671</v>
      </c>
      <c r="H17" s="37">
        <f>SUM(H18:H25)</f>
        <v>8042299.3266666671</v>
      </c>
      <c r="I17" s="37">
        <f t="shared" si="9"/>
        <v>24126897.98</v>
      </c>
      <c r="J17" s="37">
        <f>SUM(J18:J25)</f>
        <v>7147699.3266666671</v>
      </c>
      <c r="K17" s="37">
        <f>SUM(K18:K25)</f>
        <v>7147699.3266666671</v>
      </c>
      <c r="L17" s="37">
        <f>SUM(L18:L25)</f>
        <v>7147699.3266666671</v>
      </c>
      <c r="M17" s="37">
        <f t="shared" si="10"/>
        <v>21443097.98</v>
      </c>
      <c r="N17" s="37">
        <f>SUM(N18:N25)</f>
        <v>7167699.3266666671</v>
      </c>
      <c r="O17" s="37">
        <f>SUM(O18:O25)</f>
        <v>7167699.3266666671</v>
      </c>
      <c r="P17" s="37">
        <f>SUM(P18:P25)</f>
        <v>7167699.3266666671</v>
      </c>
      <c r="Q17" s="37">
        <f t="shared" si="11"/>
        <v>21503097.98</v>
      </c>
      <c r="R17" s="37">
        <f>SUM(R18:R25)</f>
        <v>91799991.920000002</v>
      </c>
    </row>
    <row r="18" spans="1:20" ht="18" hidden="1" outlineLevel="1">
      <c r="A18" s="38" t="s">
        <v>201</v>
      </c>
      <c r="B18" s="39">
        <f>'[36]Budget 2022'!E24</f>
        <v>1958966</v>
      </c>
      <c r="C18" s="39">
        <f>'[36]Budget 2022'!F24</f>
        <v>1958966</v>
      </c>
      <c r="D18" s="39">
        <f>'[36]Budget 2022'!G24</f>
        <v>1958966</v>
      </c>
      <c r="E18" s="39">
        <f t="shared" si="8"/>
        <v>5876898</v>
      </c>
      <c r="F18" s="39">
        <f>'[36]Budget 2022'!I24</f>
        <v>1758966</v>
      </c>
      <c r="G18" s="39">
        <f>'[36]Budget 2022'!J24</f>
        <v>1758966</v>
      </c>
      <c r="H18" s="39">
        <f>'[36]Budget 2022'!K24</f>
        <v>1758966</v>
      </c>
      <c r="I18" s="39">
        <f t="shared" si="9"/>
        <v>5276898</v>
      </c>
      <c r="J18" s="39">
        <f>'[36]Budget 2022'!M24</f>
        <v>864366</v>
      </c>
      <c r="K18" s="39">
        <f>'[36]Budget 2022'!N24</f>
        <v>864366</v>
      </c>
      <c r="L18" s="39">
        <f>'[36]Budget 2022'!O24</f>
        <v>864366</v>
      </c>
      <c r="M18" s="39">
        <f t="shared" si="10"/>
        <v>2593098</v>
      </c>
      <c r="N18" s="39">
        <f>'[36]Budget 2022'!Q24</f>
        <v>450000</v>
      </c>
      <c r="O18" s="39">
        <f>'[36]Budget 2022'!R24</f>
        <v>450000</v>
      </c>
      <c r="P18" s="39">
        <f>'[36]Budget 2022'!S24</f>
        <v>450000</v>
      </c>
      <c r="Q18" s="39">
        <f t="shared" si="11"/>
        <v>1350000</v>
      </c>
      <c r="R18" s="39">
        <f>SUM(E18,I18,M18,Q18)</f>
        <v>15096894</v>
      </c>
    </row>
    <row r="19" spans="1:20" ht="18" hidden="1" outlineLevel="1">
      <c r="A19" s="38" t="s">
        <v>202</v>
      </c>
      <c r="B19" s="39">
        <f>'[36]Budget 2022'!E30</f>
        <v>2033333.3266666669</v>
      </c>
      <c r="C19" s="39">
        <f>'[36]Budget 2022'!F30</f>
        <v>2033333.3266666669</v>
      </c>
      <c r="D19" s="39">
        <f>'[36]Budget 2022'!G30</f>
        <v>2033333.3266666669</v>
      </c>
      <c r="E19" s="39">
        <f t="shared" si="8"/>
        <v>6099999.9800000004</v>
      </c>
      <c r="F19" s="39">
        <f>'[36]Budget 2022'!I30</f>
        <v>2033333.3266666669</v>
      </c>
      <c r="G19" s="39">
        <f>'[36]Budget 2022'!J30</f>
        <v>2033333.3266666669</v>
      </c>
      <c r="H19" s="39">
        <f>'[36]Budget 2022'!K30</f>
        <v>2033333.3266666669</v>
      </c>
      <c r="I19" s="39">
        <f t="shared" si="9"/>
        <v>6099999.9800000004</v>
      </c>
      <c r="J19" s="39">
        <f>'[36]Budget 2022'!M30</f>
        <v>2033333.3266666669</v>
      </c>
      <c r="K19" s="39">
        <f>'[36]Budget 2022'!N30</f>
        <v>2033333.3266666669</v>
      </c>
      <c r="L19" s="39">
        <f>'[36]Budget 2022'!O30</f>
        <v>2033333.3266666669</v>
      </c>
      <c r="M19" s="39">
        <f t="shared" si="10"/>
        <v>6099999.9800000004</v>
      </c>
      <c r="N19" s="39">
        <f>'[36]Budget 2022'!Q30</f>
        <v>2467699.3266666671</v>
      </c>
      <c r="O19" s="39">
        <f>'[36]Budget 2022'!R30</f>
        <v>2467699.3266666671</v>
      </c>
      <c r="P19" s="39">
        <f>'[36]Budget 2022'!S30</f>
        <v>2467699.3266666671</v>
      </c>
      <c r="Q19" s="39">
        <f t="shared" si="11"/>
        <v>7403097.9800000014</v>
      </c>
      <c r="R19" s="39">
        <f t="shared" ref="R19:R25" si="12">SUM(E19,I19,M19,Q19)</f>
        <v>25703097.920000002</v>
      </c>
    </row>
    <row r="20" spans="1:20" ht="18" hidden="1" outlineLevel="1">
      <c r="A20" s="38" t="s">
        <v>203</v>
      </c>
      <c r="B20" s="39">
        <f>'[36]Budget 2022'!E37</f>
        <v>0</v>
      </c>
      <c r="C20" s="39">
        <f>'[36]Budget 2022'!F37</f>
        <v>0</v>
      </c>
      <c r="D20" s="39">
        <f>'[36]Budget 2022'!G37</f>
        <v>0</v>
      </c>
      <c r="E20" s="39">
        <f t="shared" si="8"/>
        <v>0</v>
      </c>
      <c r="F20" s="39">
        <f>'[36]Budget 2022'!I37</f>
        <v>0</v>
      </c>
      <c r="G20" s="39">
        <f>'[36]Budget 2022'!J37</f>
        <v>0</v>
      </c>
      <c r="H20" s="39">
        <f>'[36]Budget 2022'!K37</f>
        <v>0</v>
      </c>
      <c r="I20" s="39">
        <f t="shared" si="9"/>
        <v>0</v>
      </c>
      <c r="J20" s="39">
        <f>'[36]Budget 2022'!M37</f>
        <v>0</v>
      </c>
      <c r="K20" s="39">
        <f>'[36]Budget 2022'!N37</f>
        <v>0</v>
      </c>
      <c r="L20" s="39">
        <f>'[36]Budget 2022'!O37</f>
        <v>0</v>
      </c>
      <c r="M20" s="39">
        <f t="shared" si="10"/>
        <v>0</v>
      </c>
      <c r="N20" s="39">
        <f>'[36]Budget 2022'!Q37</f>
        <v>0</v>
      </c>
      <c r="O20" s="39">
        <f>'[36]Budget 2022'!R37</f>
        <v>0</v>
      </c>
      <c r="P20" s="39">
        <f>'[36]Budget 2022'!S37</f>
        <v>0</v>
      </c>
      <c r="Q20" s="39">
        <f t="shared" si="11"/>
        <v>0</v>
      </c>
      <c r="R20" s="39">
        <f t="shared" si="12"/>
        <v>0</v>
      </c>
    </row>
    <row r="21" spans="1:20" ht="18" hidden="1" outlineLevel="1">
      <c r="A21" s="38" t="s">
        <v>204</v>
      </c>
      <c r="B21" s="39">
        <f>'[36]Budget 2022'!E48</f>
        <v>500000</v>
      </c>
      <c r="C21" s="39">
        <f>'[36]Budget 2022'!F48</f>
        <v>500000</v>
      </c>
      <c r="D21" s="39">
        <f>'[36]Budget 2022'!G48</f>
        <v>500000</v>
      </c>
      <c r="E21" s="39">
        <f t="shared" si="8"/>
        <v>1500000</v>
      </c>
      <c r="F21" s="39">
        <f>'[36]Budget 2022'!I48</f>
        <v>500000</v>
      </c>
      <c r="G21" s="39">
        <f>'[36]Budget 2022'!J48</f>
        <v>500000</v>
      </c>
      <c r="H21" s="39">
        <f>'[36]Budget 2022'!K48</f>
        <v>500000</v>
      </c>
      <c r="I21" s="39">
        <f t="shared" si="9"/>
        <v>1500000</v>
      </c>
      <c r="J21" s="39">
        <f>'[36]Budget 2022'!M48</f>
        <v>500000</v>
      </c>
      <c r="K21" s="39">
        <f>'[36]Budget 2022'!N48</f>
        <v>500000</v>
      </c>
      <c r="L21" s="39">
        <f>'[36]Budget 2022'!O48</f>
        <v>500000</v>
      </c>
      <c r="M21" s="39">
        <f t="shared" si="10"/>
        <v>1500000</v>
      </c>
      <c r="N21" s="39">
        <f>'[36]Budget 2022'!Q48</f>
        <v>500000</v>
      </c>
      <c r="O21" s="39">
        <f>'[36]Budget 2022'!R48</f>
        <v>500000</v>
      </c>
      <c r="P21" s="39">
        <f>'[36]Budget 2022'!S48</f>
        <v>500000</v>
      </c>
      <c r="Q21" s="39">
        <f t="shared" si="11"/>
        <v>1500000</v>
      </c>
      <c r="R21" s="39">
        <f t="shared" si="12"/>
        <v>6000000</v>
      </c>
    </row>
    <row r="22" spans="1:20" ht="18" hidden="1" outlineLevel="1">
      <c r="A22" s="38" t="s">
        <v>205</v>
      </c>
      <c r="B22" s="39">
        <f>'[36]Budget 2022'!E50</f>
        <v>0</v>
      </c>
      <c r="C22" s="39">
        <f>'[36]Budget 2022'!F50</f>
        <v>0</v>
      </c>
      <c r="D22" s="39">
        <f>'[36]Budget 2022'!G50</f>
        <v>0</v>
      </c>
      <c r="E22" s="39">
        <f t="shared" si="8"/>
        <v>0</v>
      </c>
      <c r="F22" s="39">
        <f>'[36]Budget 2022'!I50</f>
        <v>0</v>
      </c>
      <c r="G22" s="39">
        <f>'[36]Budget 2022'!J50</f>
        <v>0</v>
      </c>
      <c r="H22" s="39">
        <f>'[36]Budget 2022'!K50</f>
        <v>0</v>
      </c>
      <c r="I22" s="39">
        <f t="shared" si="9"/>
        <v>0</v>
      </c>
      <c r="J22" s="39">
        <f>'[36]Budget 2022'!M50</f>
        <v>0</v>
      </c>
      <c r="K22" s="39">
        <f>'[36]Budget 2022'!N50</f>
        <v>0</v>
      </c>
      <c r="L22" s="39">
        <f>'[36]Budget 2022'!O50</f>
        <v>0</v>
      </c>
      <c r="M22" s="39">
        <f t="shared" si="10"/>
        <v>0</v>
      </c>
      <c r="N22" s="39">
        <f>'[36]Budget 2022'!Q50</f>
        <v>0</v>
      </c>
      <c r="O22" s="39">
        <f>'[36]Budget 2022'!R50</f>
        <v>0</v>
      </c>
      <c r="P22" s="39">
        <f>'[36]Budget 2022'!S50</f>
        <v>0</v>
      </c>
      <c r="Q22" s="39">
        <f t="shared" si="11"/>
        <v>0</v>
      </c>
      <c r="R22" s="39">
        <f t="shared" si="12"/>
        <v>0</v>
      </c>
    </row>
    <row r="23" spans="1:20" ht="18" hidden="1" outlineLevel="1">
      <c r="A23" s="38" t="s">
        <v>206</v>
      </c>
      <c r="B23" s="39">
        <f>'[36]Budget 2022'!E61</f>
        <v>416666.67</v>
      </c>
      <c r="C23" s="39">
        <f>'[36]Budget 2022'!F61</f>
        <v>416666.67</v>
      </c>
      <c r="D23" s="39">
        <f>'[36]Budget 2022'!G61</f>
        <v>416666.67</v>
      </c>
      <c r="E23" s="39">
        <f t="shared" si="8"/>
        <v>1250000.01</v>
      </c>
      <c r="F23" s="39">
        <f>'[36]Budget 2022'!I61</f>
        <v>416666.67</v>
      </c>
      <c r="G23" s="39">
        <f>'[36]Budget 2022'!J61</f>
        <v>416666.67</v>
      </c>
      <c r="H23" s="39">
        <f>'[36]Budget 2022'!K61</f>
        <v>416666.67</v>
      </c>
      <c r="I23" s="39">
        <f t="shared" si="9"/>
        <v>1250000.01</v>
      </c>
      <c r="J23" s="39">
        <f>'[36]Budget 2022'!M61</f>
        <v>416666.67</v>
      </c>
      <c r="K23" s="39">
        <f>'[36]Budget 2022'!N61</f>
        <v>416666.67</v>
      </c>
      <c r="L23" s="39">
        <f>'[36]Budget 2022'!O61</f>
        <v>416666.67</v>
      </c>
      <c r="M23" s="39">
        <f t="shared" si="10"/>
        <v>1250000.01</v>
      </c>
      <c r="N23" s="39">
        <f>'[36]Budget 2022'!Q61</f>
        <v>416666.67</v>
      </c>
      <c r="O23" s="39">
        <f>'[36]Budget 2022'!R61</f>
        <v>416666.67</v>
      </c>
      <c r="P23" s="39">
        <f>'[36]Budget 2022'!S61</f>
        <v>416666.67</v>
      </c>
      <c r="Q23" s="39">
        <f t="shared" si="11"/>
        <v>1250000.01</v>
      </c>
      <c r="R23" s="39">
        <f t="shared" si="12"/>
        <v>5000000.04</v>
      </c>
    </row>
    <row r="24" spans="1:20" ht="18" hidden="1" outlineLevel="1">
      <c r="A24" s="38" t="s">
        <v>207</v>
      </c>
      <c r="B24" s="39">
        <f>'[36]Budget 2022'!E63</f>
        <v>0</v>
      </c>
      <c r="C24" s="39">
        <f>'[36]Budget 2022'!F63</f>
        <v>0</v>
      </c>
      <c r="D24" s="39">
        <f>'[36]Budget 2022'!G63</f>
        <v>0</v>
      </c>
      <c r="E24" s="39">
        <f t="shared" si="8"/>
        <v>0</v>
      </c>
      <c r="F24" s="39">
        <f>'[36]Budget 2022'!I63</f>
        <v>0</v>
      </c>
      <c r="G24" s="39">
        <f>'[36]Budget 2022'!J63</f>
        <v>0</v>
      </c>
      <c r="H24" s="39">
        <f>'[36]Budget 2022'!K63</f>
        <v>0</v>
      </c>
      <c r="I24" s="39">
        <f t="shared" si="9"/>
        <v>0</v>
      </c>
      <c r="J24" s="39">
        <f>'[36]Budget 2022'!M63</f>
        <v>0</v>
      </c>
      <c r="K24" s="39">
        <f>'[36]Budget 2022'!N63</f>
        <v>0</v>
      </c>
      <c r="L24" s="39">
        <f>'[36]Budget 2022'!O63</f>
        <v>0</v>
      </c>
      <c r="M24" s="39">
        <f t="shared" si="10"/>
        <v>0</v>
      </c>
      <c r="N24" s="39">
        <f>'[36]Budget 2022'!Q63</f>
        <v>0</v>
      </c>
      <c r="O24" s="39">
        <f>'[36]Budget 2022'!R63</f>
        <v>0</v>
      </c>
      <c r="P24" s="39">
        <f>'[36]Budget 2022'!S63</f>
        <v>0</v>
      </c>
      <c r="Q24" s="39">
        <f t="shared" si="11"/>
        <v>0</v>
      </c>
      <c r="R24" s="39">
        <f t="shared" si="12"/>
        <v>0</v>
      </c>
    </row>
    <row r="25" spans="1:20" ht="18" hidden="1" outlineLevel="1">
      <c r="A25" s="38" t="s">
        <v>208</v>
      </c>
      <c r="B25" s="39">
        <f>'[36]Budget 2022'!E74</f>
        <v>3333333.33</v>
      </c>
      <c r="C25" s="39">
        <f>'[36]Budget 2022'!F74</f>
        <v>3333333.33</v>
      </c>
      <c r="D25" s="39">
        <f>'[36]Budget 2022'!G74</f>
        <v>3333333.33</v>
      </c>
      <c r="E25" s="39">
        <f t="shared" si="8"/>
        <v>9999999.9900000002</v>
      </c>
      <c r="F25" s="39">
        <f>'[36]Budget 2022'!I74</f>
        <v>3333333.33</v>
      </c>
      <c r="G25" s="39">
        <f>'[36]Budget 2022'!J74</f>
        <v>3333333.33</v>
      </c>
      <c r="H25" s="39">
        <f>'[36]Budget 2022'!K74</f>
        <v>3333333.33</v>
      </c>
      <c r="I25" s="39">
        <f t="shared" si="9"/>
        <v>9999999.9900000002</v>
      </c>
      <c r="J25" s="39">
        <f>'[36]Budget 2022'!M74</f>
        <v>3333333.33</v>
      </c>
      <c r="K25" s="39">
        <f>'[36]Budget 2022'!N74</f>
        <v>3333333.33</v>
      </c>
      <c r="L25" s="39">
        <f>'[36]Budget 2022'!O74</f>
        <v>3333333.33</v>
      </c>
      <c r="M25" s="39">
        <f t="shared" si="10"/>
        <v>9999999.9900000002</v>
      </c>
      <c r="N25" s="39">
        <f>'[36]Budget 2022'!Q74</f>
        <v>3333333.33</v>
      </c>
      <c r="O25" s="39">
        <f>'[36]Budget 2022'!R74</f>
        <v>3333333.33</v>
      </c>
      <c r="P25" s="39">
        <f>'[36]Budget 2022'!S74</f>
        <v>3333333.33</v>
      </c>
      <c r="Q25" s="39">
        <f t="shared" si="11"/>
        <v>9999999.9900000002</v>
      </c>
      <c r="R25" s="39">
        <f t="shared" si="12"/>
        <v>39999999.960000001</v>
      </c>
    </row>
    <row r="26" spans="1:20" s="35" customFormat="1" ht="31.2" collapsed="1">
      <c r="A26" s="31" t="s">
        <v>209</v>
      </c>
      <c r="B26" s="32">
        <f>B27+B40</f>
        <v>16289778.326666661</v>
      </c>
      <c r="C26" s="32">
        <f t="shared" ref="C26:D26" si="13">C27+C40</f>
        <v>12544515.326666661</v>
      </c>
      <c r="D26" s="32">
        <f t="shared" si="13"/>
        <v>16959643.266666662</v>
      </c>
      <c r="E26" s="32">
        <f>SUM(B26:D26)</f>
        <v>45793936.919999987</v>
      </c>
      <c r="F26" s="32">
        <f>F27+F40</f>
        <v>16694246.326666661</v>
      </c>
      <c r="G26" s="32">
        <f t="shared" ref="G26:H26" si="14">G27+G40</f>
        <v>13115273.326666661</v>
      </c>
      <c r="H26" s="32">
        <f t="shared" si="14"/>
        <v>12115273.326666661</v>
      </c>
      <c r="I26" s="32">
        <f>SUM(F26:H26)</f>
        <v>41924792.979999982</v>
      </c>
      <c r="J26" s="32">
        <f>J27+J40</f>
        <v>9860553.3266666606</v>
      </c>
      <c r="K26" s="32">
        <f t="shared" ref="K26:L26" si="15">K27+K40</f>
        <v>7225833.3266666606</v>
      </c>
      <c r="L26" s="32">
        <f t="shared" si="15"/>
        <v>7225833.3266666606</v>
      </c>
      <c r="M26" s="32">
        <f>SUM(J26:L26)</f>
        <v>24312219.979999982</v>
      </c>
      <c r="N26" s="32">
        <f>N27+N40</f>
        <v>7225833.3266666606</v>
      </c>
      <c r="O26" s="32">
        <f t="shared" ref="O26:P26" si="16">O27+O40</f>
        <v>7225833.3266666606</v>
      </c>
      <c r="P26" s="32">
        <f t="shared" si="16"/>
        <v>7212317.3266666606</v>
      </c>
      <c r="Q26" s="32">
        <f>SUM(N26:P26)</f>
        <v>21663983.979999982</v>
      </c>
      <c r="R26" s="61">
        <f>R27+R40</f>
        <v>133694933.85999992</v>
      </c>
      <c r="S26" s="40"/>
      <c r="T26" s="40"/>
    </row>
    <row r="27" spans="1:20" s="35" customFormat="1" ht="31.2" hidden="1" outlineLevel="1">
      <c r="A27" s="31" t="s">
        <v>210</v>
      </c>
      <c r="B27" s="32">
        <f>B28+B31</f>
        <v>15969153.326666661</v>
      </c>
      <c r="C27" s="32">
        <f>C28+C31</f>
        <v>12205315.326666661</v>
      </c>
      <c r="D27" s="32">
        <f>D28+D31</f>
        <v>16746628.726666661</v>
      </c>
      <c r="E27" s="32">
        <f>SUM(B27:D27)</f>
        <v>44921097.37999998</v>
      </c>
      <c r="F27" s="32">
        <f>F28+F31</f>
        <v>16590273.326666661</v>
      </c>
      <c r="G27" s="32">
        <f>G28+G31</f>
        <v>13090273.326666661</v>
      </c>
      <c r="H27" s="32">
        <f>H28+H31</f>
        <v>12090273.326666661</v>
      </c>
      <c r="I27" s="32">
        <f>SUM(F27:H27)</f>
        <v>41770819.979999982</v>
      </c>
      <c r="J27" s="32">
        <f>J28+J31</f>
        <v>9835553.3266666606</v>
      </c>
      <c r="K27" s="32">
        <f>K28+K31</f>
        <v>7200833.3266666606</v>
      </c>
      <c r="L27" s="32">
        <f>L28+L31</f>
        <v>7200833.3266666606</v>
      </c>
      <c r="M27" s="32">
        <f>SUM(J27:L27)</f>
        <v>24237219.979999982</v>
      </c>
      <c r="N27" s="32">
        <f>N28+N31</f>
        <v>7200833.3266666606</v>
      </c>
      <c r="O27" s="32">
        <f>O28+O31</f>
        <v>7200833.3266666606</v>
      </c>
      <c r="P27" s="32">
        <f>P28+P31</f>
        <v>7200833.3266666606</v>
      </c>
      <c r="Q27" s="32">
        <f>SUM(N27:P27)</f>
        <v>21602499.979999982</v>
      </c>
      <c r="R27" s="33">
        <f>R28+R31</f>
        <v>132531637.31999992</v>
      </c>
      <c r="S27" s="34"/>
    </row>
    <row r="28" spans="1:20" ht="18" hidden="1" outlineLevel="1">
      <c r="A28" s="36" t="s">
        <v>197</v>
      </c>
      <c r="B28" s="41">
        <f>SUM(B29:B30)</f>
        <v>13261653.33</v>
      </c>
      <c r="C28" s="41">
        <f>SUM(C29:C30)</f>
        <v>9497815.3300000001</v>
      </c>
      <c r="D28" s="41">
        <f>SUM(D29:D30)</f>
        <v>14039128.73</v>
      </c>
      <c r="E28" s="41">
        <f t="shared" si="8"/>
        <v>36798597.390000001</v>
      </c>
      <c r="F28" s="41">
        <f>SUM(F29:F30)</f>
        <v>13982773.33</v>
      </c>
      <c r="G28" s="41">
        <f>SUM(G29:G30)</f>
        <v>10482773.33</v>
      </c>
      <c r="H28" s="41">
        <f>SUM(H29:H30)</f>
        <v>9482773.3300000001</v>
      </c>
      <c r="I28" s="41">
        <f t="shared" si="9"/>
        <v>33948319.990000002</v>
      </c>
      <c r="J28" s="41">
        <f>SUM(J29:J30)</f>
        <v>7348053.3300000001</v>
      </c>
      <c r="K28" s="41">
        <f>SUM(K29:K30)</f>
        <v>4713333.33</v>
      </c>
      <c r="L28" s="41">
        <f>SUM(L29:L30)</f>
        <v>4713333.33</v>
      </c>
      <c r="M28" s="41">
        <f t="shared" si="10"/>
        <v>16774719.99</v>
      </c>
      <c r="N28" s="41">
        <f>SUM(N29:N30)</f>
        <v>4713333.33</v>
      </c>
      <c r="O28" s="41">
        <f>SUM(O29:O30)</f>
        <v>4713333.33</v>
      </c>
      <c r="P28" s="41">
        <f>SUM(P29:P30)</f>
        <v>4713333.33</v>
      </c>
      <c r="Q28" s="41">
        <f t="shared" si="11"/>
        <v>14139999.99</v>
      </c>
      <c r="R28" s="41">
        <f>SUM(R29:R30)</f>
        <v>101661637.36</v>
      </c>
    </row>
    <row r="29" spans="1:20" ht="18" hidden="1" outlineLevel="1">
      <c r="A29" s="38" t="s">
        <v>198</v>
      </c>
      <c r="B29" s="39">
        <f>-'[36]Budget 2022'!V7</f>
        <v>8728320</v>
      </c>
      <c r="C29" s="39">
        <f>-'[36]Budget 2022'!W7</f>
        <v>4964482</v>
      </c>
      <c r="D29" s="39">
        <f>-'[36]Budget 2022'!X7</f>
        <v>10325795.4</v>
      </c>
      <c r="E29" s="39">
        <f t="shared" si="8"/>
        <v>24018597.399999999</v>
      </c>
      <c r="F29" s="39">
        <f>-'[36]Budget 2022'!Z7</f>
        <v>8769440</v>
      </c>
      <c r="G29" s="39">
        <f>-'[36]Budget 2022'!AA7</f>
        <v>5769440</v>
      </c>
      <c r="H29" s="39">
        <f>-'[36]Budget 2022'!AB7</f>
        <v>4769440</v>
      </c>
      <c r="I29" s="39">
        <f>SUM(F29:H29)</f>
        <v>19308320</v>
      </c>
      <c r="J29" s="39">
        <f>-'[36]Budget 2022'!AD7</f>
        <v>2134720</v>
      </c>
      <c r="K29" s="39">
        <f>-'[36]Budget 2022'!AE7</f>
        <v>0</v>
      </c>
      <c r="L29" s="39">
        <f>-'[36]Budget 2022'!AF7</f>
        <v>0</v>
      </c>
      <c r="M29" s="39">
        <f t="shared" si="10"/>
        <v>2134720</v>
      </c>
      <c r="N29" s="39">
        <f>-'[36]Budget 2022'!AH7</f>
        <v>0</v>
      </c>
      <c r="O29" s="39">
        <f>-'[36]Budget 2022'!AI7</f>
        <v>0</v>
      </c>
      <c r="P29" s="39">
        <f>-'[36]Budget 2022'!AJ7</f>
        <v>0</v>
      </c>
      <c r="Q29" s="39">
        <f t="shared" si="11"/>
        <v>0</v>
      </c>
      <c r="R29" s="39">
        <f>SUM(E29,I29,M29,Q29)</f>
        <v>45461637.399999999</v>
      </c>
    </row>
    <row r="30" spans="1:20" ht="18" hidden="1" outlineLevel="1">
      <c r="A30" s="38" t="s">
        <v>199</v>
      </c>
      <c r="B30" s="39">
        <f>-'[36]Budget 2022'!V17</f>
        <v>4533333.33</v>
      </c>
      <c r="C30" s="39">
        <f>-'[36]Budget 2022'!W17</f>
        <v>4533333.33</v>
      </c>
      <c r="D30" s="39">
        <f>-'[36]Budget 2022'!X17</f>
        <v>3713333.33</v>
      </c>
      <c r="E30" s="39">
        <f t="shared" si="8"/>
        <v>12779999.99</v>
      </c>
      <c r="F30" s="39">
        <f>-'[36]Budget 2022'!Z17</f>
        <v>5213333.33</v>
      </c>
      <c r="G30" s="39">
        <f>-'[36]Budget 2022'!AA17</f>
        <v>4713333.33</v>
      </c>
      <c r="H30" s="39">
        <f>-'[36]Budget 2022'!AB17</f>
        <v>4713333.33</v>
      </c>
      <c r="I30" s="39">
        <f t="shared" si="9"/>
        <v>14639999.99</v>
      </c>
      <c r="J30" s="39">
        <f>-'[36]Budget 2022'!AD17</f>
        <v>5213333.33</v>
      </c>
      <c r="K30" s="39">
        <f>-'[36]Budget 2022'!AE17</f>
        <v>4713333.33</v>
      </c>
      <c r="L30" s="39">
        <f>-'[36]Budget 2022'!AF17</f>
        <v>4713333.33</v>
      </c>
      <c r="M30" s="39">
        <f t="shared" si="10"/>
        <v>14639999.99</v>
      </c>
      <c r="N30" s="39">
        <f>-'[36]Budget 2022'!AH17</f>
        <v>4713333.33</v>
      </c>
      <c r="O30" s="39">
        <f>-'[36]Budget 2022'!AI17</f>
        <v>4713333.33</v>
      </c>
      <c r="P30" s="39">
        <f>-'[36]Budget 2022'!AJ17</f>
        <v>4713333.33</v>
      </c>
      <c r="Q30" s="39">
        <f t="shared" si="11"/>
        <v>14139999.99</v>
      </c>
      <c r="R30" s="39">
        <f>SUM(E30,I30,M30,Q30)</f>
        <v>56199999.960000001</v>
      </c>
    </row>
    <row r="31" spans="1:20" ht="18" hidden="1" outlineLevel="1">
      <c r="A31" s="36" t="s">
        <v>200</v>
      </c>
      <c r="B31" s="41">
        <f>SUM(B32:B39)</f>
        <v>2707499.9966666601</v>
      </c>
      <c r="C31" s="41">
        <f>SUM(C32:C39)</f>
        <v>2707499.9966666601</v>
      </c>
      <c r="D31" s="41">
        <f>SUM(D32:D39)</f>
        <v>2707499.9966666601</v>
      </c>
      <c r="E31" s="41">
        <f t="shared" si="8"/>
        <v>8122499.9899999797</v>
      </c>
      <c r="F31" s="41">
        <f>SUM(F32:F39)</f>
        <v>2607499.9966666601</v>
      </c>
      <c r="G31" s="41">
        <f>SUM(G32:G39)</f>
        <v>2607499.9966666601</v>
      </c>
      <c r="H31" s="41">
        <f>SUM(H32:H39)</f>
        <v>2607499.9966666601</v>
      </c>
      <c r="I31" s="41">
        <f t="shared" si="9"/>
        <v>7822499.9899999797</v>
      </c>
      <c r="J31" s="41">
        <f>SUM(J32:J39)</f>
        <v>2487499.9966666601</v>
      </c>
      <c r="K31" s="41">
        <f>SUM(K32:K39)</f>
        <v>2487499.9966666601</v>
      </c>
      <c r="L31" s="41">
        <f>SUM(L32:L39)</f>
        <v>2487499.9966666601</v>
      </c>
      <c r="M31" s="41">
        <f t="shared" si="10"/>
        <v>7462499.9899999797</v>
      </c>
      <c r="N31" s="41">
        <f>SUM(N32:N39)</f>
        <v>2487499.9966666601</v>
      </c>
      <c r="O31" s="41">
        <f>SUM(O32:O39)</f>
        <v>2487499.9966666601</v>
      </c>
      <c r="P31" s="41">
        <f>SUM(P32:P39)</f>
        <v>2487499.9966666601</v>
      </c>
      <c r="Q31" s="41">
        <f t="shared" si="11"/>
        <v>7462499.9899999797</v>
      </c>
      <c r="R31" s="41">
        <f>SUM(R32:R39)</f>
        <v>30869999.959999919</v>
      </c>
      <c r="S31" s="16"/>
    </row>
    <row r="32" spans="1:20" ht="18" hidden="1" outlineLevel="1">
      <c r="A32" s="38" t="s">
        <v>201</v>
      </c>
      <c r="B32" s="39">
        <f>-'[36]Budget 2022'!V24</f>
        <v>220000</v>
      </c>
      <c r="C32" s="39">
        <f>-'[36]Budget 2022'!W24</f>
        <v>220000</v>
      </c>
      <c r="D32" s="39">
        <f>-'[36]Budget 2022'!X24</f>
        <v>220000</v>
      </c>
      <c r="E32" s="39">
        <f t="shared" si="8"/>
        <v>660000</v>
      </c>
      <c r="F32" s="39">
        <f>-'[36]Budget 2022'!Z24</f>
        <v>120000</v>
      </c>
      <c r="G32" s="39">
        <f>-'[36]Budget 2022'!AA24</f>
        <v>120000</v>
      </c>
      <c r="H32" s="39">
        <f>-'[36]Budget 2022'!AB24</f>
        <v>120000</v>
      </c>
      <c r="I32" s="39">
        <f t="shared" si="9"/>
        <v>360000</v>
      </c>
      <c r="J32" s="39">
        <f>-'[36]Budget 2022'!AD24</f>
        <v>0</v>
      </c>
      <c r="K32" s="39">
        <f>-'[36]Budget 2022'!AE24</f>
        <v>0</v>
      </c>
      <c r="L32" s="39">
        <f>-'[36]Budget 2022'!AF24</f>
        <v>0</v>
      </c>
      <c r="M32" s="39">
        <f t="shared" si="10"/>
        <v>0</v>
      </c>
      <c r="N32" s="39">
        <f>-'[36]Budget 2022'!AH24</f>
        <v>0</v>
      </c>
      <c r="O32" s="39">
        <f>-'[36]Budget 2022'!AI24</f>
        <v>0</v>
      </c>
      <c r="P32" s="39">
        <f>-'[36]Budget 2022'!AJ24</f>
        <v>0</v>
      </c>
      <c r="Q32" s="39">
        <f t="shared" si="11"/>
        <v>0</v>
      </c>
      <c r="R32" s="39">
        <f t="shared" ref="R32:R39" si="17">SUM(E32,I32,M32,Q32)</f>
        <v>1020000</v>
      </c>
    </row>
    <row r="33" spans="1:19" ht="18" hidden="1" outlineLevel="1">
      <c r="A33" s="38" t="s">
        <v>202</v>
      </c>
      <c r="B33" s="39">
        <f>-'[36]Budget 2022'!V30</f>
        <v>0</v>
      </c>
      <c r="C33" s="39">
        <f>-'[36]Budget 2022'!W30</f>
        <v>0</v>
      </c>
      <c r="D33" s="39">
        <f>-'[36]Budget 2022'!X30</f>
        <v>0</v>
      </c>
      <c r="E33" s="39">
        <f t="shared" si="8"/>
        <v>0</v>
      </c>
      <c r="F33" s="39">
        <f>-'[36]Budget 2022'!Z30</f>
        <v>0</v>
      </c>
      <c r="G33" s="39">
        <f>-'[36]Budget 2022'!AA30</f>
        <v>0</v>
      </c>
      <c r="H33" s="39">
        <f>-'[36]Budget 2022'!AB30</f>
        <v>0</v>
      </c>
      <c r="I33" s="39">
        <f t="shared" si="9"/>
        <v>0</v>
      </c>
      <c r="J33" s="39">
        <f>-'[36]Budget 2022'!AD30</f>
        <v>0</v>
      </c>
      <c r="K33" s="39">
        <f>-'[36]Budget 2022'!AE30</f>
        <v>0</v>
      </c>
      <c r="L33" s="39">
        <f>-'[36]Budget 2022'!AF30</f>
        <v>0</v>
      </c>
      <c r="M33" s="39">
        <f t="shared" si="10"/>
        <v>0</v>
      </c>
      <c r="N33" s="39">
        <f>-'[36]Budget 2022'!AH30</f>
        <v>0</v>
      </c>
      <c r="O33" s="39">
        <f>-'[36]Budget 2022'!AI30</f>
        <v>0</v>
      </c>
      <c r="P33" s="39">
        <f>-'[36]Budget 2022'!AJ30</f>
        <v>0</v>
      </c>
      <c r="Q33" s="39">
        <f t="shared" si="11"/>
        <v>0</v>
      </c>
      <c r="R33" s="39">
        <f t="shared" si="17"/>
        <v>0</v>
      </c>
    </row>
    <row r="34" spans="1:19" ht="18" hidden="1" outlineLevel="1">
      <c r="A34" s="38" t="s">
        <v>203</v>
      </c>
      <c r="B34" s="39">
        <f>-'[36]Budget 2022'!V37</f>
        <v>0</v>
      </c>
      <c r="C34" s="39">
        <f>-'[36]Budget 2022'!W37</f>
        <v>0</v>
      </c>
      <c r="D34" s="39">
        <f>-'[36]Budget 2022'!X37</f>
        <v>0</v>
      </c>
      <c r="E34" s="39">
        <f t="shared" si="8"/>
        <v>0</v>
      </c>
      <c r="F34" s="39">
        <f>-'[36]Budget 2022'!Z37</f>
        <v>0</v>
      </c>
      <c r="G34" s="39">
        <f>-'[36]Budget 2022'!AA37</f>
        <v>0</v>
      </c>
      <c r="H34" s="39">
        <f>-'[36]Budget 2022'!AB37</f>
        <v>0</v>
      </c>
      <c r="I34" s="39">
        <f t="shared" si="9"/>
        <v>0</v>
      </c>
      <c r="J34" s="39">
        <f>-'[36]Budget 2022'!AD37</f>
        <v>0</v>
      </c>
      <c r="K34" s="39">
        <f>-'[36]Budget 2022'!AE37</f>
        <v>0</v>
      </c>
      <c r="L34" s="39">
        <f>-'[36]Budget 2022'!AF37</f>
        <v>0</v>
      </c>
      <c r="M34" s="39">
        <f t="shared" si="10"/>
        <v>0</v>
      </c>
      <c r="N34" s="39">
        <f>-'[36]Budget 2022'!AH37</f>
        <v>0</v>
      </c>
      <c r="O34" s="39">
        <f>-'[36]Budget 2022'!AI37</f>
        <v>0</v>
      </c>
      <c r="P34" s="39">
        <f>-'[36]Budget 2022'!AJ37</f>
        <v>0</v>
      </c>
      <c r="Q34" s="39">
        <f t="shared" si="11"/>
        <v>0</v>
      </c>
      <c r="R34" s="39">
        <f t="shared" si="17"/>
        <v>0</v>
      </c>
    </row>
    <row r="35" spans="1:19" ht="18" hidden="1" outlineLevel="1">
      <c r="A35" s="38" t="s">
        <v>204</v>
      </c>
      <c r="B35" s="39">
        <f>-'[36]Budget 2022'!V48</f>
        <v>112500</v>
      </c>
      <c r="C35" s="39">
        <f>-'[36]Budget 2022'!W48</f>
        <v>112500</v>
      </c>
      <c r="D35" s="39">
        <f>-'[36]Budget 2022'!X48</f>
        <v>112500</v>
      </c>
      <c r="E35" s="39">
        <f t="shared" si="8"/>
        <v>337500</v>
      </c>
      <c r="F35" s="39">
        <f>-'[36]Budget 2022'!Z48</f>
        <v>112500</v>
      </c>
      <c r="G35" s="39">
        <f>-'[36]Budget 2022'!AA48</f>
        <v>112500</v>
      </c>
      <c r="H35" s="39">
        <f>-'[36]Budget 2022'!AB48</f>
        <v>112500</v>
      </c>
      <c r="I35" s="39">
        <f t="shared" si="9"/>
        <v>337500</v>
      </c>
      <c r="J35" s="39">
        <f>-'[36]Budget 2022'!AD48</f>
        <v>112500</v>
      </c>
      <c r="K35" s="39">
        <f>-'[36]Budget 2022'!AE48</f>
        <v>112500</v>
      </c>
      <c r="L35" s="39">
        <f>-'[36]Budget 2022'!AF48</f>
        <v>112500</v>
      </c>
      <c r="M35" s="39">
        <f t="shared" si="10"/>
        <v>337500</v>
      </c>
      <c r="N35" s="39">
        <f>-'[36]Budget 2022'!AH48</f>
        <v>112500</v>
      </c>
      <c r="O35" s="39">
        <f>-'[36]Budget 2022'!AI48</f>
        <v>112500</v>
      </c>
      <c r="P35" s="39">
        <f>-'[36]Budget 2022'!AJ48</f>
        <v>112500</v>
      </c>
      <c r="Q35" s="39">
        <f t="shared" si="11"/>
        <v>337500</v>
      </c>
      <c r="R35" s="39">
        <f t="shared" si="17"/>
        <v>1350000</v>
      </c>
    </row>
    <row r="36" spans="1:19" ht="18" hidden="1" outlineLevel="1">
      <c r="A36" s="38" t="s">
        <v>205</v>
      </c>
      <c r="B36" s="39">
        <f>-'[36]Budget 2022'!V50</f>
        <v>0</v>
      </c>
      <c r="C36" s="39">
        <f>-'[36]Budget 2022'!W50</f>
        <v>0</v>
      </c>
      <c r="D36" s="39">
        <f>-'[36]Budget 2022'!X50</f>
        <v>0</v>
      </c>
      <c r="E36" s="39">
        <f t="shared" si="8"/>
        <v>0</v>
      </c>
      <c r="F36" s="39">
        <f>-'[36]Budget 2022'!Z50</f>
        <v>0</v>
      </c>
      <c r="G36" s="39">
        <f>-'[36]Budget 2022'!AA50</f>
        <v>0</v>
      </c>
      <c r="H36" s="39">
        <f>-'[36]Budget 2022'!AB50</f>
        <v>0</v>
      </c>
      <c r="I36" s="39">
        <f t="shared" si="9"/>
        <v>0</v>
      </c>
      <c r="J36" s="39">
        <f>-'[36]Budget 2022'!AD50</f>
        <v>0</v>
      </c>
      <c r="K36" s="39">
        <f>-'[36]Budget 2022'!AE50</f>
        <v>0</v>
      </c>
      <c r="L36" s="39">
        <f>-'[36]Budget 2022'!AF50</f>
        <v>0</v>
      </c>
      <c r="M36" s="39">
        <f t="shared" si="10"/>
        <v>0</v>
      </c>
      <c r="N36" s="39">
        <f>-'[36]Budget 2022'!AH50</f>
        <v>0</v>
      </c>
      <c r="O36" s="39">
        <f>-'[36]Budget 2022'!AI50</f>
        <v>0</v>
      </c>
      <c r="P36" s="39">
        <f>-'[36]Budget 2022'!AJ50</f>
        <v>0</v>
      </c>
      <c r="Q36" s="39">
        <f t="shared" si="11"/>
        <v>0</v>
      </c>
      <c r="R36" s="39">
        <f t="shared" si="17"/>
        <v>0</v>
      </c>
    </row>
    <row r="37" spans="1:19" ht="18" hidden="1" outlineLevel="1">
      <c r="A37" s="38" t="s">
        <v>206</v>
      </c>
      <c r="B37" s="39">
        <f>-'[36]Budget 2022'!V61</f>
        <v>83333.33</v>
      </c>
      <c r="C37" s="39">
        <f>-'[36]Budget 2022'!W61</f>
        <v>83333.33</v>
      </c>
      <c r="D37" s="39">
        <f>-'[36]Budget 2022'!X61</f>
        <v>83333.33</v>
      </c>
      <c r="E37" s="39">
        <f t="shared" si="8"/>
        <v>249999.99</v>
      </c>
      <c r="F37" s="39">
        <f>-'[36]Budget 2022'!Z61</f>
        <v>83333.33</v>
      </c>
      <c r="G37" s="39">
        <f>-'[36]Budget 2022'!AA61</f>
        <v>83333.33</v>
      </c>
      <c r="H37" s="39">
        <f>-'[36]Budget 2022'!AB61</f>
        <v>83333.33</v>
      </c>
      <c r="I37" s="39">
        <f t="shared" si="9"/>
        <v>249999.99</v>
      </c>
      <c r="J37" s="39">
        <f>-'[36]Budget 2022'!AD61</f>
        <v>83333.33</v>
      </c>
      <c r="K37" s="39">
        <f>-'[36]Budget 2022'!AE61</f>
        <v>83333.33</v>
      </c>
      <c r="L37" s="39">
        <f>-'[36]Budget 2022'!AF61</f>
        <v>83333.33</v>
      </c>
      <c r="M37" s="39">
        <f t="shared" si="10"/>
        <v>249999.99</v>
      </c>
      <c r="N37" s="39">
        <f>-'[36]Budget 2022'!AH61</f>
        <v>83333.33</v>
      </c>
      <c r="O37" s="39">
        <f>-'[36]Budget 2022'!AI61</f>
        <v>83333.33</v>
      </c>
      <c r="P37" s="39">
        <f>-'[36]Budget 2022'!AJ61</f>
        <v>83333.33</v>
      </c>
      <c r="Q37" s="39">
        <f t="shared" si="11"/>
        <v>249999.99</v>
      </c>
      <c r="R37" s="39">
        <f t="shared" si="17"/>
        <v>999999.96</v>
      </c>
    </row>
    <row r="38" spans="1:19" ht="18" hidden="1" outlineLevel="1">
      <c r="A38" s="38" t="s">
        <v>207</v>
      </c>
      <c r="B38" s="39">
        <f>-'[36]Budget 2022'!V63</f>
        <v>0</v>
      </c>
      <c r="C38" s="39">
        <f>-'[36]Budget 2022'!W63</f>
        <v>0</v>
      </c>
      <c r="D38" s="39">
        <f>-'[36]Budget 2022'!X63</f>
        <v>0</v>
      </c>
      <c r="E38" s="39">
        <f t="shared" si="8"/>
        <v>0</v>
      </c>
      <c r="F38" s="39">
        <f>-'[36]Budget 2022'!Z63</f>
        <v>0</v>
      </c>
      <c r="G38" s="39">
        <f>-'[36]Budget 2022'!AA63</f>
        <v>0</v>
      </c>
      <c r="H38" s="39">
        <f>-'[36]Budget 2022'!AB63</f>
        <v>0</v>
      </c>
      <c r="I38" s="39">
        <f t="shared" si="9"/>
        <v>0</v>
      </c>
      <c r="J38" s="39">
        <f>-'[36]Budget 2022'!AD63</f>
        <v>0</v>
      </c>
      <c r="K38" s="39">
        <f>-'[36]Budget 2022'!AE63</f>
        <v>0</v>
      </c>
      <c r="L38" s="39">
        <f>-'[36]Budget 2022'!AF63</f>
        <v>0</v>
      </c>
      <c r="M38" s="39">
        <f t="shared" si="10"/>
        <v>0</v>
      </c>
      <c r="N38" s="39">
        <f>-'[36]Budget 2022'!AH63</f>
        <v>0</v>
      </c>
      <c r="O38" s="39">
        <f>-'[36]Budget 2022'!AI63</f>
        <v>0</v>
      </c>
      <c r="P38" s="39">
        <f>-'[36]Budget 2022'!AJ63</f>
        <v>0</v>
      </c>
      <c r="Q38" s="39">
        <f t="shared" si="11"/>
        <v>0</v>
      </c>
      <c r="R38" s="39">
        <f t="shared" si="17"/>
        <v>0</v>
      </c>
    </row>
    <row r="39" spans="1:19" ht="18" hidden="1" outlineLevel="1">
      <c r="A39" s="38" t="s">
        <v>208</v>
      </c>
      <c r="B39" s="39">
        <f>-'[36]Budget 2022'!V74</f>
        <v>2291666.66666666</v>
      </c>
      <c r="C39" s="39">
        <f>-'[36]Budget 2022'!W74</f>
        <v>2291666.66666666</v>
      </c>
      <c r="D39" s="39">
        <f>-'[36]Budget 2022'!X74</f>
        <v>2291666.66666666</v>
      </c>
      <c r="E39" s="39">
        <f t="shared" si="8"/>
        <v>6874999.9999999795</v>
      </c>
      <c r="F39" s="39">
        <f>-'[36]Budget 2022'!Z74</f>
        <v>2291666.66666666</v>
      </c>
      <c r="G39" s="39">
        <f>-'[36]Budget 2022'!AA74</f>
        <v>2291666.66666666</v>
      </c>
      <c r="H39" s="39">
        <f>-'[36]Budget 2022'!AB74</f>
        <v>2291666.66666666</v>
      </c>
      <c r="I39" s="39">
        <f t="shared" si="9"/>
        <v>6874999.9999999795</v>
      </c>
      <c r="J39" s="39">
        <f>-'[36]Budget 2022'!AD74</f>
        <v>2291666.66666666</v>
      </c>
      <c r="K39" s="39">
        <f>-'[36]Budget 2022'!AE74</f>
        <v>2291666.66666666</v>
      </c>
      <c r="L39" s="39">
        <f>-'[36]Budget 2022'!AF74</f>
        <v>2291666.66666666</v>
      </c>
      <c r="M39" s="39">
        <f t="shared" si="10"/>
        <v>6874999.9999999795</v>
      </c>
      <c r="N39" s="39">
        <f>-'[36]Budget 2022'!AH74</f>
        <v>2291666.66666666</v>
      </c>
      <c r="O39" s="39">
        <f>-'[36]Budget 2022'!AI74</f>
        <v>2291666.66666666</v>
      </c>
      <c r="P39" s="39">
        <f>-'[36]Budget 2022'!AJ74</f>
        <v>2291666.66666666</v>
      </c>
      <c r="Q39" s="39">
        <f t="shared" si="11"/>
        <v>6874999.9999999795</v>
      </c>
      <c r="R39" s="39">
        <f t="shared" si="17"/>
        <v>27499999.999999918</v>
      </c>
    </row>
    <row r="40" spans="1:19" s="35" customFormat="1" ht="31.2" hidden="1" outlineLevel="1">
      <c r="A40" s="31" t="s">
        <v>211</v>
      </c>
      <c r="B40" s="32">
        <f>B41+B44</f>
        <v>320625</v>
      </c>
      <c r="C40" s="32">
        <f t="shared" ref="C40:D40" si="18">C41+C44</f>
        <v>339200</v>
      </c>
      <c r="D40" s="32">
        <f t="shared" si="18"/>
        <v>213014.53999999998</v>
      </c>
      <c r="E40" s="32">
        <f>SUM(B40:D40)</f>
        <v>872839.54</v>
      </c>
      <c r="F40" s="32">
        <f>F41+F44</f>
        <v>103973</v>
      </c>
      <c r="G40" s="32">
        <f t="shared" ref="G40:H40" si="19">G41+G44</f>
        <v>25000</v>
      </c>
      <c r="H40" s="32">
        <f t="shared" si="19"/>
        <v>25000</v>
      </c>
      <c r="I40" s="32">
        <f>SUM(F40:H40)</f>
        <v>153973</v>
      </c>
      <c r="J40" s="32">
        <f>J41+J44</f>
        <v>25000</v>
      </c>
      <c r="K40" s="32">
        <f t="shared" ref="K40:L40" si="20">K41+K44</f>
        <v>25000</v>
      </c>
      <c r="L40" s="32">
        <f t="shared" si="20"/>
        <v>25000</v>
      </c>
      <c r="M40" s="32">
        <f>SUM(J40:L40)</f>
        <v>75000</v>
      </c>
      <c r="N40" s="32">
        <f>N41+N44</f>
        <v>25000</v>
      </c>
      <c r="O40" s="32">
        <f t="shared" ref="O40:P40" si="21">O41+O44</f>
        <v>25000</v>
      </c>
      <c r="P40" s="32">
        <f t="shared" si="21"/>
        <v>11484</v>
      </c>
      <c r="Q40" s="32">
        <f>SUM(N40:P40)</f>
        <v>61484</v>
      </c>
      <c r="R40" s="33">
        <f>R41+R44</f>
        <v>1163296.54</v>
      </c>
      <c r="S40" s="34"/>
    </row>
    <row r="41" spans="1:19" ht="18" hidden="1" outlineLevel="1">
      <c r="A41" s="36" t="s">
        <v>197</v>
      </c>
      <c r="B41" s="41">
        <f>SUM(B42:B43)</f>
        <v>315625</v>
      </c>
      <c r="C41" s="41">
        <f>SUM(C42:C43)</f>
        <v>334200</v>
      </c>
      <c r="D41" s="41">
        <f>SUM(D42:D43)</f>
        <v>208014.53999999998</v>
      </c>
      <c r="E41" s="41">
        <f t="shared" si="8"/>
        <v>857839.54</v>
      </c>
      <c r="F41" s="41">
        <f>SUM(F42:F43)</f>
        <v>98973</v>
      </c>
      <c r="G41" s="41">
        <f>SUM(G42:G43)</f>
        <v>20000</v>
      </c>
      <c r="H41" s="41">
        <f>SUM(H42:H43)</f>
        <v>20000</v>
      </c>
      <c r="I41" s="41">
        <f t="shared" si="9"/>
        <v>138973</v>
      </c>
      <c r="J41" s="41">
        <f>SUM(J42:J43)</f>
        <v>20000</v>
      </c>
      <c r="K41" s="41">
        <f>SUM(K42:K43)</f>
        <v>20000</v>
      </c>
      <c r="L41" s="41">
        <f>SUM(L42:L43)</f>
        <v>20000</v>
      </c>
      <c r="M41" s="41">
        <f t="shared" si="10"/>
        <v>60000</v>
      </c>
      <c r="N41" s="41">
        <f>SUM(N42:N43)</f>
        <v>20000</v>
      </c>
      <c r="O41" s="41">
        <f>SUM(O42:O43)</f>
        <v>20000</v>
      </c>
      <c r="P41" s="41">
        <f>SUM(P42:P43)</f>
        <v>6484</v>
      </c>
      <c r="Q41" s="41">
        <f t="shared" si="11"/>
        <v>46484</v>
      </c>
      <c r="R41" s="42">
        <f>SUM(R42:R43)</f>
        <v>1103296.54</v>
      </c>
      <c r="S41" s="1"/>
    </row>
    <row r="42" spans="1:19" ht="18" hidden="1" outlineLevel="1">
      <c r="A42" s="38" t="s">
        <v>198</v>
      </c>
      <c r="B42" s="39">
        <f>-'[36]Budget 2022'!AM7</f>
        <v>315625</v>
      </c>
      <c r="C42" s="39">
        <f>-'[36]Budget 2022'!AN7</f>
        <v>334200</v>
      </c>
      <c r="D42" s="39">
        <f>-'[36]Budget 2022'!AO7</f>
        <v>208014.53999999998</v>
      </c>
      <c r="E42" s="39">
        <f t="shared" si="8"/>
        <v>857839.54</v>
      </c>
      <c r="F42" s="39">
        <f>-'[36]Budget 2022'!AQ7</f>
        <v>98973</v>
      </c>
      <c r="G42" s="39">
        <f>-'[36]Budget 2022'!AR7</f>
        <v>20000</v>
      </c>
      <c r="H42" s="39">
        <f>-'[36]Budget 2022'!AS7</f>
        <v>20000</v>
      </c>
      <c r="I42" s="39">
        <f t="shared" si="9"/>
        <v>138973</v>
      </c>
      <c r="J42" s="39">
        <f>-'[36]Budget 2022'!AU7</f>
        <v>20000</v>
      </c>
      <c r="K42" s="39">
        <f>-'[36]Budget 2022'!AV7</f>
        <v>20000</v>
      </c>
      <c r="L42" s="39">
        <f>-'[36]Budget 2022'!AW7</f>
        <v>20000</v>
      </c>
      <c r="M42" s="39">
        <f t="shared" si="10"/>
        <v>60000</v>
      </c>
      <c r="N42" s="39">
        <f>-'[36]Budget 2022'!AY7</f>
        <v>20000</v>
      </c>
      <c r="O42" s="39">
        <f>-'[36]Budget 2022'!AZ7</f>
        <v>20000</v>
      </c>
      <c r="P42" s="39">
        <f>-'[36]Budget 2022'!BA7</f>
        <v>6484</v>
      </c>
      <c r="Q42" s="39">
        <f t="shared" si="11"/>
        <v>46484</v>
      </c>
      <c r="R42" s="39">
        <f>SUM(E42,I42,M42,Q42)</f>
        <v>1103296.54</v>
      </c>
      <c r="S42" s="15"/>
    </row>
    <row r="43" spans="1:19" ht="18" hidden="1" outlineLevel="1">
      <c r="A43" s="38" t="s">
        <v>199</v>
      </c>
      <c r="B43" s="39">
        <f>-'[36]Budget 2022'!AM17</f>
        <v>0</v>
      </c>
      <c r="C43" s="39">
        <f>-'[36]Budget 2022'!AN17</f>
        <v>0</v>
      </c>
      <c r="D43" s="39">
        <f>-'[36]Budget 2022'!AO17</f>
        <v>0</v>
      </c>
      <c r="E43" s="39">
        <f t="shared" si="8"/>
        <v>0</v>
      </c>
      <c r="F43" s="39">
        <f>-'[36]Budget 2022'!AQ17</f>
        <v>0</v>
      </c>
      <c r="G43" s="39">
        <f>-'[36]Budget 2022'!AR17</f>
        <v>0</v>
      </c>
      <c r="H43" s="39">
        <f>-'[36]Budget 2022'!AS17</f>
        <v>0</v>
      </c>
      <c r="I43" s="39">
        <f t="shared" si="9"/>
        <v>0</v>
      </c>
      <c r="J43" s="39">
        <f>-'[36]Budget 2022'!AU17</f>
        <v>0</v>
      </c>
      <c r="K43" s="39">
        <f>-'[36]Budget 2022'!AV17</f>
        <v>0</v>
      </c>
      <c r="L43" s="39">
        <f>-'[36]Budget 2022'!AW17</f>
        <v>0</v>
      </c>
      <c r="M43" s="39">
        <f t="shared" si="10"/>
        <v>0</v>
      </c>
      <c r="N43" s="39">
        <f>-'[36]Budget 2022'!AY17</f>
        <v>0</v>
      </c>
      <c r="O43" s="39">
        <f>-'[36]Budget 2022'!AZ17</f>
        <v>0</v>
      </c>
      <c r="P43" s="39">
        <f>-'[36]Budget 2022'!BA17</f>
        <v>0</v>
      </c>
      <c r="Q43" s="39">
        <f t="shared" si="11"/>
        <v>0</v>
      </c>
      <c r="R43" s="39">
        <f>SUM(E43,I43,M43,Q43)</f>
        <v>0</v>
      </c>
      <c r="S43" s="15"/>
    </row>
    <row r="44" spans="1:19" ht="18" hidden="1" outlineLevel="1">
      <c r="A44" s="36" t="s">
        <v>200</v>
      </c>
      <c r="B44" s="41">
        <f>SUM(B45:B52)</f>
        <v>5000</v>
      </c>
      <c r="C44" s="41">
        <f t="shared" ref="C44:D44" si="22">SUM(C45:C52)</f>
        <v>5000</v>
      </c>
      <c r="D44" s="41">
        <f t="shared" si="22"/>
        <v>5000</v>
      </c>
      <c r="E44" s="41">
        <f t="shared" si="8"/>
        <v>15000</v>
      </c>
      <c r="F44" s="41">
        <f>SUM(F45:F52)</f>
        <v>5000</v>
      </c>
      <c r="G44" s="41">
        <f t="shared" ref="G44:H44" si="23">SUM(G45:G52)</f>
        <v>5000</v>
      </c>
      <c r="H44" s="41">
        <f t="shared" si="23"/>
        <v>5000</v>
      </c>
      <c r="I44" s="41">
        <f t="shared" si="9"/>
        <v>15000</v>
      </c>
      <c r="J44" s="41">
        <f>SUM(J45:J52)</f>
        <v>5000</v>
      </c>
      <c r="K44" s="41">
        <f t="shared" ref="K44:L44" si="24">SUM(K45:K52)</f>
        <v>5000</v>
      </c>
      <c r="L44" s="41">
        <f t="shared" si="24"/>
        <v>5000</v>
      </c>
      <c r="M44" s="41">
        <f t="shared" si="10"/>
        <v>15000</v>
      </c>
      <c r="N44" s="41">
        <f>SUM(N45:N52)</f>
        <v>5000</v>
      </c>
      <c r="O44" s="41">
        <f t="shared" ref="O44:P44" si="25">SUM(O45:O52)</f>
        <v>5000</v>
      </c>
      <c r="P44" s="41">
        <f t="shared" si="25"/>
        <v>5000</v>
      </c>
      <c r="Q44" s="41">
        <f t="shared" si="11"/>
        <v>15000</v>
      </c>
      <c r="R44" s="42">
        <f>SUM(R45:R52)</f>
        <v>60000</v>
      </c>
    </row>
    <row r="45" spans="1:19" ht="18" hidden="1" outlineLevel="1">
      <c r="A45" s="38" t="s">
        <v>201</v>
      </c>
      <c r="B45" s="39">
        <f>-'[36]Budget 2022'!AM24</f>
        <v>0</v>
      </c>
      <c r="C45" s="39">
        <f>-'[36]Budget 2022'!AN24</f>
        <v>0</v>
      </c>
      <c r="D45" s="39">
        <f>-'[36]Budget 2022'!AO24</f>
        <v>0</v>
      </c>
      <c r="E45" s="39">
        <f t="shared" si="8"/>
        <v>0</v>
      </c>
      <c r="F45" s="39">
        <f>-'[36]Budget 2022'!AQ24</f>
        <v>0</v>
      </c>
      <c r="G45" s="39">
        <f>-'[36]Budget 2022'!AR24</f>
        <v>0</v>
      </c>
      <c r="H45" s="39">
        <f>-'[36]Budget 2022'!AS24</f>
        <v>0</v>
      </c>
      <c r="I45" s="39">
        <f t="shared" si="9"/>
        <v>0</v>
      </c>
      <c r="J45" s="39">
        <f>-'[36]Budget 2022'!AU24</f>
        <v>0</v>
      </c>
      <c r="K45" s="39">
        <f>-'[36]Budget 2022'!AV24</f>
        <v>0</v>
      </c>
      <c r="L45" s="39">
        <f>-'[36]Budget 2022'!AW24</f>
        <v>0</v>
      </c>
      <c r="M45" s="39">
        <f t="shared" si="10"/>
        <v>0</v>
      </c>
      <c r="N45" s="39">
        <f>-'[36]Budget 2022'!AZ24</f>
        <v>0</v>
      </c>
      <c r="O45" s="39">
        <f>-'[36]Budget 2022'!BA24</f>
        <v>0</v>
      </c>
      <c r="P45" s="39">
        <f>-'[36]Budget 2022'!BB24</f>
        <v>0</v>
      </c>
      <c r="Q45" s="39">
        <f t="shared" si="11"/>
        <v>0</v>
      </c>
      <c r="R45" s="39">
        <f>SUM(E45,I45,M45,Q45)</f>
        <v>0</v>
      </c>
    </row>
    <row r="46" spans="1:19" ht="18" hidden="1" outlineLevel="1">
      <c r="A46" s="38" t="s">
        <v>202</v>
      </c>
      <c r="B46" s="39">
        <f>-'[36]Budget 2022'!AM30</f>
        <v>0</v>
      </c>
      <c r="C46" s="39">
        <f>-'[36]Budget 2022'!AN30</f>
        <v>0</v>
      </c>
      <c r="D46" s="39">
        <f>-'[36]Budget 2022'!AO30</f>
        <v>0</v>
      </c>
      <c r="E46" s="39">
        <f t="shared" si="8"/>
        <v>0</v>
      </c>
      <c r="F46" s="39">
        <f>-'[36]Budget 2022'!AQ30</f>
        <v>0</v>
      </c>
      <c r="G46" s="39">
        <f>-'[36]Budget 2022'!AR30</f>
        <v>0</v>
      </c>
      <c r="H46" s="39">
        <f>-'[36]Budget 2022'!AS30</f>
        <v>0</v>
      </c>
      <c r="I46" s="39">
        <f t="shared" si="9"/>
        <v>0</v>
      </c>
      <c r="J46" s="39">
        <f>-'[36]Budget 2022'!AU30</f>
        <v>0</v>
      </c>
      <c r="K46" s="39">
        <f>-'[36]Budget 2022'!AV30</f>
        <v>0</v>
      </c>
      <c r="L46" s="39">
        <f>-'[36]Budget 2022'!AW30</f>
        <v>0</v>
      </c>
      <c r="M46" s="39">
        <f t="shared" si="10"/>
        <v>0</v>
      </c>
      <c r="N46" s="39">
        <f>-'[36]Budget 2022'!AZ30</f>
        <v>0</v>
      </c>
      <c r="O46" s="39">
        <f>-'[36]Budget 2022'!BA30</f>
        <v>0</v>
      </c>
      <c r="P46" s="39">
        <f>-'[36]Budget 2022'!BB30</f>
        <v>0</v>
      </c>
      <c r="Q46" s="39">
        <f t="shared" si="11"/>
        <v>0</v>
      </c>
      <c r="R46" s="39">
        <f t="shared" ref="R46:R52" si="26">SUM(E46,I46,M46,Q46)</f>
        <v>0</v>
      </c>
    </row>
    <row r="47" spans="1:19" ht="18" hidden="1" outlineLevel="1">
      <c r="A47" s="38" t="s">
        <v>203</v>
      </c>
      <c r="B47" s="39">
        <f>-'[36]Budget 2022'!AM37</f>
        <v>0</v>
      </c>
      <c r="C47" s="39">
        <f>-'[36]Budget 2022'!AN37</f>
        <v>0</v>
      </c>
      <c r="D47" s="39">
        <f>-'[36]Budget 2022'!AO37</f>
        <v>0</v>
      </c>
      <c r="E47" s="39">
        <f t="shared" si="8"/>
        <v>0</v>
      </c>
      <c r="F47" s="39">
        <f>-'[36]Budget 2022'!AQ37</f>
        <v>0</v>
      </c>
      <c r="G47" s="39">
        <f>-'[36]Budget 2022'!AR37</f>
        <v>0</v>
      </c>
      <c r="H47" s="39">
        <f>-'[36]Budget 2022'!AS37</f>
        <v>0</v>
      </c>
      <c r="I47" s="39">
        <f t="shared" si="9"/>
        <v>0</v>
      </c>
      <c r="J47" s="39">
        <f>-'[36]Budget 2022'!AU37</f>
        <v>0</v>
      </c>
      <c r="K47" s="39">
        <f>-'[36]Budget 2022'!AV37</f>
        <v>0</v>
      </c>
      <c r="L47" s="39">
        <f>-'[36]Budget 2022'!AW37</f>
        <v>0</v>
      </c>
      <c r="M47" s="39">
        <f t="shared" si="10"/>
        <v>0</v>
      </c>
      <c r="N47" s="39">
        <f>-'[36]Budget 2022'!AZ37</f>
        <v>0</v>
      </c>
      <c r="O47" s="39">
        <f>-'[36]Budget 2022'!BA37</f>
        <v>0</v>
      </c>
      <c r="P47" s="39">
        <f>-'[36]Budget 2022'!BB37</f>
        <v>0</v>
      </c>
      <c r="Q47" s="39">
        <f t="shared" si="11"/>
        <v>0</v>
      </c>
      <c r="R47" s="39">
        <f t="shared" si="26"/>
        <v>0</v>
      </c>
    </row>
    <row r="48" spans="1:19" ht="18" hidden="1" outlineLevel="1">
      <c r="A48" s="38" t="s">
        <v>204</v>
      </c>
      <c r="B48" s="39">
        <f>-'[36]Budget 2022'!AM48</f>
        <v>0</v>
      </c>
      <c r="C48" s="39">
        <f>-'[36]Budget 2022'!AN48</f>
        <v>0</v>
      </c>
      <c r="D48" s="39">
        <f>-'[36]Budget 2022'!AO48</f>
        <v>0</v>
      </c>
      <c r="E48" s="39">
        <f t="shared" si="8"/>
        <v>0</v>
      </c>
      <c r="F48" s="39">
        <f>-'[36]Budget 2022'!AQ48</f>
        <v>0</v>
      </c>
      <c r="G48" s="39">
        <f>-'[36]Budget 2022'!AR48</f>
        <v>0</v>
      </c>
      <c r="H48" s="39">
        <f>-'[36]Budget 2022'!AS48</f>
        <v>0</v>
      </c>
      <c r="I48" s="39">
        <f t="shared" si="9"/>
        <v>0</v>
      </c>
      <c r="J48" s="39">
        <f>-'[36]Budget 2022'!AU48</f>
        <v>0</v>
      </c>
      <c r="K48" s="39">
        <f>-'[36]Budget 2022'!AV48</f>
        <v>0</v>
      </c>
      <c r="L48" s="39">
        <f>-'[36]Budget 2022'!AW48</f>
        <v>0</v>
      </c>
      <c r="M48" s="39">
        <f t="shared" si="10"/>
        <v>0</v>
      </c>
      <c r="N48" s="39">
        <f>-'[36]Budget 2022'!AZ48</f>
        <v>0</v>
      </c>
      <c r="O48" s="39">
        <f>-'[36]Budget 2022'!BA48</f>
        <v>0</v>
      </c>
      <c r="P48" s="39">
        <f>-'[36]Budget 2022'!BB48</f>
        <v>0</v>
      </c>
      <c r="Q48" s="39">
        <f t="shared" si="11"/>
        <v>0</v>
      </c>
      <c r="R48" s="39">
        <f t="shared" si="26"/>
        <v>0</v>
      </c>
    </row>
    <row r="49" spans="1:19" ht="18" hidden="1" outlineLevel="1">
      <c r="A49" s="38" t="s">
        <v>205</v>
      </c>
      <c r="B49" s="39">
        <f>-'[36]Budget 2022'!AM50</f>
        <v>0</v>
      </c>
      <c r="C49" s="39">
        <f>-'[36]Budget 2022'!AN50</f>
        <v>0</v>
      </c>
      <c r="D49" s="39">
        <f>-'[36]Budget 2022'!AO50</f>
        <v>0</v>
      </c>
      <c r="E49" s="39">
        <f t="shared" si="8"/>
        <v>0</v>
      </c>
      <c r="F49" s="39">
        <f>-'[36]Budget 2022'!AQ50</f>
        <v>0</v>
      </c>
      <c r="G49" s="39">
        <f>-'[36]Budget 2022'!AR50</f>
        <v>0</v>
      </c>
      <c r="H49" s="39">
        <f>-'[36]Budget 2022'!AS50</f>
        <v>0</v>
      </c>
      <c r="I49" s="39">
        <f t="shared" si="9"/>
        <v>0</v>
      </c>
      <c r="J49" s="39">
        <f>-'[36]Budget 2022'!AU50</f>
        <v>0</v>
      </c>
      <c r="K49" s="39">
        <f>-'[36]Budget 2022'!AV50</f>
        <v>0</v>
      </c>
      <c r="L49" s="39">
        <f>-'[36]Budget 2022'!AW50</f>
        <v>0</v>
      </c>
      <c r="M49" s="39">
        <f t="shared" si="10"/>
        <v>0</v>
      </c>
      <c r="N49" s="39">
        <f>-'[36]Budget 2022'!AZ50</f>
        <v>0</v>
      </c>
      <c r="O49" s="39">
        <f>-'[36]Budget 2022'!BA50</f>
        <v>0</v>
      </c>
      <c r="P49" s="39">
        <f>-'[36]Budget 2022'!BB50</f>
        <v>0</v>
      </c>
      <c r="Q49" s="39">
        <f t="shared" si="11"/>
        <v>0</v>
      </c>
      <c r="R49" s="39">
        <f t="shared" si="26"/>
        <v>0</v>
      </c>
    </row>
    <row r="50" spans="1:19" ht="18" hidden="1" outlineLevel="1">
      <c r="A50" s="38" t="s">
        <v>206</v>
      </c>
      <c r="B50" s="39">
        <f>-'[36]Budget 2022'!AM61</f>
        <v>5000</v>
      </c>
      <c r="C50" s="39">
        <f>-'[36]Budget 2022'!AN61</f>
        <v>5000</v>
      </c>
      <c r="D50" s="39">
        <f>-'[36]Budget 2022'!AO61</f>
        <v>5000</v>
      </c>
      <c r="E50" s="39">
        <f t="shared" si="8"/>
        <v>15000</v>
      </c>
      <c r="F50" s="39">
        <f>-'[36]Budget 2022'!AQ61</f>
        <v>5000</v>
      </c>
      <c r="G50" s="39">
        <f>-'[36]Budget 2022'!AR61</f>
        <v>5000</v>
      </c>
      <c r="H50" s="39">
        <f>-'[36]Budget 2022'!AS61</f>
        <v>5000</v>
      </c>
      <c r="I50" s="39">
        <f t="shared" si="9"/>
        <v>15000</v>
      </c>
      <c r="J50" s="39">
        <f>-'[36]Budget 2022'!AU61</f>
        <v>5000</v>
      </c>
      <c r="K50" s="39">
        <f>-'[36]Budget 2022'!AV61</f>
        <v>5000</v>
      </c>
      <c r="L50" s="39">
        <f>-'[36]Budget 2022'!AW61</f>
        <v>5000</v>
      </c>
      <c r="M50" s="39">
        <f t="shared" si="10"/>
        <v>15000</v>
      </c>
      <c r="N50" s="39">
        <f>-'[36]Budget 2022'!AY61</f>
        <v>5000</v>
      </c>
      <c r="O50" s="39">
        <f>-'[36]Budget 2022'!AZ61</f>
        <v>5000</v>
      </c>
      <c r="P50" s="39">
        <f>-'[36]Budget 2022'!BA61</f>
        <v>5000</v>
      </c>
      <c r="Q50" s="39">
        <f t="shared" si="11"/>
        <v>15000</v>
      </c>
      <c r="R50" s="39">
        <f t="shared" si="26"/>
        <v>60000</v>
      </c>
    </row>
    <row r="51" spans="1:19" ht="18" hidden="1" outlineLevel="1">
      <c r="A51" s="38" t="s">
        <v>207</v>
      </c>
      <c r="B51" s="39">
        <f>-'[36]Budget 2022'!AM63</f>
        <v>0</v>
      </c>
      <c r="C51" s="39">
        <f>-'[36]Budget 2022'!AN63</f>
        <v>0</v>
      </c>
      <c r="D51" s="39">
        <f>-'[36]Budget 2022'!AO63</f>
        <v>0</v>
      </c>
      <c r="E51" s="39">
        <f t="shared" si="8"/>
        <v>0</v>
      </c>
      <c r="F51" s="39">
        <f>-'[36]Budget 2022'!AQ63</f>
        <v>0</v>
      </c>
      <c r="G51" s="39">
        <f>-'[36]Budget 2022'!AR63</f>
        <v>0</v>
      </c>
      <c r="H51" s="39">
        <f>-'[36]Budget 2022'!AS63</f>
        <v>0</v>
      </c>
      <c r="I51" s="39">
        <f t="shared" si="9"/>
        <v>0</v>
      </c>
      <c r="J51" s="39">
        <f>-'[36]Budget 2022'!AU63</f>
        <v>0</v>
      </c>
      <c r="K51" s="39">
        <f>-'[36]Budget 2022'!AV63</f>
        <v>0</v>
      </c>
      <c r="L51" s="39">
        <f>-'[36]Budget 2022'!AW63</f>
        <v>0</v>
      </c>
      <c r="M51" s="39">
        <f t="shared" si="10"/>
        <v>0</v>
      </c>
      <c r="N51" s="39">
        <f>-'[36]Budget 2022'!AZ63</f>
        <v>0</v>
      </c>
      <c r="O51" s="39">
        <f>-'[36]Budget 2022'!BA63</f>
        <v>0</v>
      </c>
      <c r="P51" s="39">
        <f>-'[36]Budget 2022'!BB63</f>
        <v>0</v>
      </c>
      <c r="Q51" s="39">
        <f t="shared" si="11"/>
        <v>0</v>
      </c>
      <c r="R51" s="39">
        <f t="shared" si="26"/>
        <v>0</v>
      </c>
    </row>
    <row r="52" spans="1:19" ht="18" hidden="1" outlineLevel="1">
      <c r="A52" s="38" t="s">
        <v>208</v>
      </c>
      <c r="B52" s="39">
        <f>-'[36]Budget 2022'!AM74</f>
        <v>0</v>
      </c>
      <c r="C52" s="39">
        <f>-'[36]Budget 2022'!AN74</f>
        <v>0</v>
      </c>
      <c r="D52" s="39">
        <f>-'[36]Budget 2022'!AO74</f>
        <v>0</v>
      </c>
      <c r="E52" s="39">
        <f t="shared" si="8"/>
        <v>0</v>
      </c>
      <c r="F52" s="39">
        <f>-'[36]Budget 2022'!AQ74</f>
        <v>0</v>
      </c>
      <c r="G52" s="39">
        <f>-'[36]Budget 2022'!AR74</f>
        <v>0</v>
      </c>
      <c r="H52" s="39">
        <f>-'[36]Budget 2022'!AS74</f>
        <v>0</v>
      </c>
      <c r="I52" s="39">
        <f t="shared" si="9"/>
        <v>0</v>
      </c>
      <c r="J52" s="39">
        <f>-'[36]Budget 2022'!AU74</f>
        <v>0</v>
      </c>
      <c r="K52" s="39">
        <f>-'[36]Budget 2022'!AV74</f>
        <v>0</v>
      </c>
      <c r="L52" s="39">
        <f>-'[36]Budget 2022'!AW74</f>
        <v>0</v>
      </c>
      <c r="M52" s="39">
        <f t="shared" si="10"/>
        <v>0</v>
      </c>
      <c r="N52" s="39">
        <f>-'[36]Budget 2022'!AZ74</f>
        <v>0</v>
      </c>
      <c r="O52" s="39">
        <f>-'[36]Budget 2022'!BA74</f>
        <v>0</v>
      </c>
      <c r="P52" s="39">
        <f>-'[36]Budget 2022'!BB74</f>
        <v>0</v>
      </c>
      <c r="Q52" s="39">
        <f t="shared" si="11"/>
        <v>0</v>
      </c>
      <c r="R52" s="39">
        <f t="shared" si="26"/>
        <v>0</v>
      </c>
    </row>
    <row r="53" spans="1:19" s="35" customFormat="1" ht="31.2" collapsed="1">
      <c r="A53" s="31" t="s">
        <v>212</v>
      </c>
      <c r="B53" s="32">
        <f>SUM(B54,B67)</f>
        <v>4230142.0600000005</v>
      </c>
      <c r="C53" s="32">
        <f>SUM(C54,C67)</f>
        <v>7852287.3999999994</v>
      </c>
      <c r="D53" s="32">
        <f>SUM(D54,D67)</f>
        <v>6372431.5199999996</v>
      </c>
      <c r="E53" s="32">
        <f t="shared" si="8"/>
        <v>18454860.98</v>
      </c>
      <c r="F53" s="32">
        <f>SUM(F54,F67)</f>
        <v>6330560.5</v>
      </c>
      <c r="G53" s="32">
        <f>SUM(G54,G67)</f>
        <v>6330560.5</v>
      </c>
      <c r="H53" s="32">
        <f>SUM(H54,H67)</f>
        <v>6330560.5</v>
      </c>
      <c r="I53" s="32">
        <f t="shared" si="9"/>
        <v>18991681.5</v>
      </c>
      <c r="J53" s="32">
        <f>SUM(J54,J67)</f>
        <v>5899023.8599999994</v>
      </c>
      <c r="K53" s="32">
        <f>SUM(K54,K67)</f>
        <v>5899023.8599999994</v>
      </c>
      <c r="L53" s="32">
        <f>SUM(L54,L67)</f>
        <v>4093336.32</v>
      </c>
      <c r="M53" s="32">
        <f t="shared" si="10"/>
        <v>15891384.039999999</v>
      </c>
      <c r="N53" s="32">
        <f>SUM(N54,N67)</f>
        <v>4097523.42</v>
      </c>
      <c r="O53" s="32">
        <f>SUM(O54,O67)</f>
        <v>2569976.6100000003</v>
      </c>
      <c r="P53" s="32">
        <f>SUM(P54,P67)</f>
        <v>2569976.6100000003</v>
      </c>
      <c r="Q53" s="32">
        <f t="shared" si="11"/>
        <v>9237476.6400000006</v>
      </c>
      <c r="R53" s="61">
        <f>SUM(R54,R67)</f>
        <v>62575403.159999996</v>
      </c>
      <c r="S53" s="40"/>
    </row>
    <row r="54" spans="1:19" s="35" customFormat="1" ht="31.2" hidden="1" outlineLevel="1">
      <c r="A54" s="31" t="s">
        <v>213</v>
      </c>
      <c r="B54" s="32">
        <f>B55+B58</f>
        <v>4230142.0600000005</v>
      </c>
      <c r="C54" s="32">
        <f>C55+C58</f>
        <v>7852287.3999999994</v>
      </c>
      <c r="D54" s="32">
        <f>D55+D58</f>
        <v>6372431.5199999996</v>
      </c>
      <c r="E54" s="32">
        <f>SUM(B54:D54)</f>
        <v>18454860.98</v>
      </c>
      <c r="F54" s="32">
        <f>F55+F58</f>
        <v>6330560.5</v>
      </c>
      <c r="G54" s="32">
        <f>G55+G58</f>
        <v>6330560.5</v>
      </c>
      <c r="H54" s="32">
        <f>H55+H58</f>
        <v>6330560.5</v>
      </c>
      <c r="I54" s="32">
        <f>SUM(F54:H54)</f>
        <v>18991681.5</v>
      </c>
      <c r="J54" s="32">
        <f>J55+J58</f>
        <v>5899023.8599999994</v>
      </c>
      <c r="K54" s="32">
        <f>K55+K58</f>
        <v>5899023.8599999994</v>
      </c>
      <c r="L54" s="32">
        <f>L55+L58</f>
        <v>4093336.32</v>
      </c>
      <c r="M54" s="32">
        <f>SUM(J54:L54)</f>
        <v>15891384.039999999</v>
      </c>
      <c r="N54" s="32">
        <f>N55+N58</f>
        <v>4097523.42</v>
      </c>
      <c r="O54" s="32">
        <f>O55+O58</f>
        <v>2569976.6100000003</v>
      </c>
      <c r="P54" s="32">
        <f>P55+P58</f>
        <v>2569976.6100000003</v>
      </c>
      <c r="Q54" s="32">
        <f>SUM(N54:P54)</f>
        <v>9237476.6400000006</v>
      </c>
      <c r="R54" s="33">
        <f>R55+R58</f>
        <v>62575403.159999996</v>
      </c>
      <c r="S54" s="34"/>
    </row>
    <row r="55" spans="1:19" ht="18" hidden="1" outlineLevel="1">
      <c r="A55" s="43" t="s">
        <v>197</v>
      </c>
      <c r="B55" s="42">
        <f>SUM(B56:B57)</f>
        <v>2196483.6800000002</v>
      </c>
      <c r="C55" s="42">
        <f>SUM(C56:C57)</f>
        <v>5818629.0199999996</v>
      </c>
      <c r="D55" s="42">
        <f>SUM(D56:D57)</f>
        <v>4338773.1399999997</v>
      </c>
      <c r="E55" s="42">
        <f t="shared" si="8"/>
        <v>12353885.84</v>
      </c>
      <c r="F55" s="42">
        <f>SUM(F56:F57)</f>
        <v>4338773.1399999997</v>
      </c>
      <c r="G55" s="42">
        <f>SUM(G56:G57)</f>
        <v>4338773.1399999997</v>
      </c>
      <c r="H55" s="42">
        <f>SUM(H56:H57)</f>
        <v>4338773.1399999997</v>
      </c>
      <c r="I55" s="42">
        <f t="shared" si="9"/>
        <v>13016319.419999998</v>
      </c>
      <c r="J55" s="42">
        <f>SUM(J56:J57)</f>
        <v>4094525.55</v>
      </c>
      <c r="K55" s="42">
        <f>SUM(K56:K57)</f>
        <v>4094525.55</v>
      </c>
      <c r="L55" s="42">
        <f>SUM(L56:L57)</f>
        <v>2288838.0099999998</v>
      </c>
      <c r="M55" s="42">
        <f t="shared" si="10"/>
        <v>10477889.109999999</v>
      </c>
      <c r="N55" s="42">
        <f>SUM(N56:N57)</f>
        <v>2288838.0099999998</v>
      </c>
      <c r="O55" s="42">
        <f>SUM(O56:O57)</f>
        <v>761291.2</v>
      </c>
      <c r="P55" s="42">
        <f>SUM(P56:P57)</f>
        <v>761291.2</v>
      </c>
      <c r="Q55" s="42">
        <f t="shared" si="11"/>
        <v>3811420.41</v>
      </c>
      <c r="R55" s="42">
        <f>SUM(R56:R57)</f>
        <v>39659514.779999994</v>
      </c>
    </row>
    <row r="56" spans="1:19" ht="18" hidden="1" outlineLevel="1">
      <c r="A56" s="38" t="s">
        <v>198</v>
      </c>
      <c r="B56" s="39">
        <f>-'[36]Budget 2022'!BD7</f>
        <v>390796.14</v>
      </c>
      <c r="C56" s="39">
        <f>-'[36]Budget 2022'!BE7</f>
        <v>3251650.28</v>
      </c>
      <c r="D56" s="39">
        <f>-'[36]Budget 2022'!BF7</f>
        <v>1771794.4</v>
      </c>
      <c r="E56" s="39">
        <f t="shared" si="8"/>
        <v>5414240.8200000003</v>
      </c>
      <c r="F56" s="39">
        <f>-'[36]Budget 2022'!BH7</f>
        <v>1771794.4</v>
      </c>
      <c r="G56" s="39">
        <f>-'[36]Budget 2022'!BI7</f>
        <v>1771794.4</v>
      </c>
      <c r="H56" s="39">
        <f>-'[36]Budget 2022'!BJ7</f>
        <v>1771794.4</v>
      </c>
      <c r="I56" s="39">
        <f t="shared" si="9"/>
        <v>5315383.1999999993</v>
      </c>
      <c r="J56" s="39">
        <f>-'[36]Budget 2022'!BL7</f>
        <v>1527546.81</v>
      </c>
      <c r="K56" s="39">
        <f>-'[36]Budget 2022'!BM7</f>
        <v>1527546.81</v>
      </c>
      <c r="L56" s="39">
        <f>-'[36]Budget 2022'!BN7</f>
        <v>1527546.81</v>
      </c>
      <c r="M56" s="39">
        <f t="shared" si="10"/>
        <v>4582640.43</v>
      </c>
      <c r="N56" s="39">
        <f>-'[36]Budget 2022'!BP7</f>
        <v>1527546.81</v>
      </c>
      <c r="O56" s="39">
        <f>-'[36]Budget 2022'!BQ7</f>
        <v>0</v>
      </c>
      <c r="P56" s="39">
        <f>-'[36]Budget 2022'!BR7</f>
        <v>0</v>
      </c>
      <c r="Q56" s="39">
        <f t="shared" si="11"/>
        <v>1527546.81</v>
      </c>
      <c r="R56" s="39">
        <f>SUM(E56,I56,M56,Q56)</f>
        <v>16839811.259999998</v>
      </c>
    </row>
    <row r="57" spans="1:19" ht="18" hidden="1" outlineLevel="1">
      <c r="A57" s="38" t="s">
        <v>199</v>
      </c>
      <c r="B57" s="39">
        <f>-'[36]Budget 2022'!BD17</f>
        <v>1805687.54</v>
      </c>
      <c r="C57" s="39">
        <f>-'[36]Budget 2022'!BE17</f>
        <v>2566978.7399999998</v>
      </c>
      <c r="D57" s="39">
        <f>-'[36]Budget 2022'!BF17</f>
        <v>2566978.7399999998</v>
      </c>
      <c r="E57" s="39">
        <f t="shared" si="8"/>
        <v>6939645.0199999996</v>
      </c>
      <c r="F57" s="39">
        <f>-'[36]Budget 2022'!BH17</f>
        <v>2566978.7399999998</v>
      </c>
      <c r="G57" s="39">
        <f>-'[36]Budget 2022'!BI17</f>
        <v>2566978.7399999998</v>
      </c>
      <c r="H57" s="39">
        <f>-'[36]Budget 2022'!BJ17</f>
        <v>2566978.7399999998</v>
      </c>
      <c r="I57" s="39">
        <f t="shared" si="9"/>
        <v>7700936.2199999988</v>
      </c>
      <c r="J57" s="39">
        <f>-'[36]Budget 2022'!BL17</f>
        <v>2566978.7399999998</v>
      </c>
      <c r="K57" s="39">
        <f>-'[36]Budget 2022'!BM17</f>
        <v>2566978.7399999998</v>
      </c>
      <c r="L57" s="39">
        <f>-'[36]Budget 2022'!BN17</f>
        <v>761291.2</v>
      </c>
      <c r="M57" s="39">
        <f t="shared" si="10"/>
        <v>5895248.6799999997</v>
      </c>
      <c r="N57" s="39">
        <f>-'[36]Budget 2022'!BP17</f>
        <v>761291.2</v>
      </c>
      <c r="O57" s="39">
        <f>-'[36]Budget 2022'!BQ17</f>
        <v>761291.2</v>
      </c>
      <c r="P57" s="39">
        <f>-'[36]Budget 2022'!BR17</f>
        <v>761291.2</v>
      </c>
      <c r="Q57" s="39">
        <f t="shared" si="11"/>
        <v>2283873.5999999996</v>
      </c>
      <c r="R57" s="39">
        <f>SUM(E57,I57,M57,Q57)</f>
        <v>22819703.519999996</v>
      </c>
    </row>
    <row r="58" spans="1:19" ht="18" hidden="1" outlineLevel="1">
      <c r="A58" s="36" t="s">
        <v>200</v>
      </c>
      <c r="B58" s="41">
        <f>SUM(B59:B66)</f>
        <v>2033658.3800000001</v>
      </c>
      <c r="C58" s="41">
        <f t="shared" ref="C58:D58" si="27">SUM(C59:C66)</f>
        <v>2033658.3800000001</v>
      </c>
      <c r="D58" s="41">
        <f t="shared" si="27"/>
        <v>2033658.3800000001</v>
      </c>
      <c r="E58" s="41">
        <f t="shared" si="8"/>
        <v>6100975.1400000006</v>
      </c>
      <c r="F58" s="41">
        <f>SUM(F59:F66)</f>
        <v>1991787.36</v>
      </c>
      <c r="G58" s="41">
        <f t="shared" ref="G58:H58" si="28">SUM(G59:G66)</f>
        <v>1991787.36</v>
      </c>
      <c r="H58" s="41">
        <f t="shared" si="28"/>
        <v>1991787.36</v>
      </c>
      <c r="I58" s="41">
        <f t="shared" si="9"/>
        <v>5975362.0800000001</v>
      </c>
      <c r="J58" s="41">
        <f>SUM(J59:J66)</f>
        <v>1804498.31</v>
      </c>
      <c r="K58" s="41">
        <f t="shared" ref="K58:L58" si="29">SUM(K59:K66)</f>
        <v>1804498.31</v>
      </c>
      <c r="L58" s="41">
        <f t="shared" si="29"/>
        <v>1804498.31</v>
      </c>
      <c r="M58" s="41">
        <f t="shared" si="10"/>
        <v>5413494.9299999997</v>
      </c>
      <c r="N58" s="41">
        <f>SUM(N59:N66)</f>
        <v>1808685.4100000001</v>
      </c>
      <c r="O58" s="41">
        <f t="shared" ref="O58:P58" si="30">SUM(O59:O66)</f>
        <v>1808685.4100000001</v>
      </c>
      <c r="P58" s="41">
        <f t="shared" si="30"/>
        <v>1808685.4100000001</v>
      </c>
      <c r="Q58" s="41">
        <f t="shared" si="11"/>
        <v>5426056.2300000004</v>
      </c>
      <c r="R58" s="42">
        <f>SUM(R59:R66)</f>
        <v>22915888.379999999</v>
      </c>
    </row>
    <row r="59" spans="1:19" ht="18" hidden="1" outlineLevel="1">
      <c r="A59" s="38" t="s">
        <v>201</v>
      </c>
      <c r="B59" s="39">
        <f>-'[36]Budget 2022'!BD24</f>
        <v>410119.47</v>
      </c>
      <c r="C59" s="39">
        <f>-'[36]Budget 2022'!BE24</f>
        <v>410119.47</v>
      </c>
      <c r="D59" s="39">
        <f>-'[36]Budget 2022'!BF24</f>
        <v>410119.47</v>
      </c>
      <c r="E59" s="39">
        <f t="shared" si="8"/>
        <v>1230358.4099999999</v>
      </c>
      <c r="F59" s="39">
        <f>-'[36]Budget 2022'!BH24</f>
        <v>368248.44999999995</v>
      </c>
      <c r="G59" s="39">
        <f>-'[36]Budget 2022'!BI24</f>
        <v>368248.44999999995</v>
      </c>
      <c r="H59" s="39">
        <f>-'[36]Budget 2022'!BJ24</f>
        <v>368248.44999999995</v>
      </c>
      <c r="I59" s="39">
        <f t="shared" si="9"/>
        <v>1104745.3499999999</v>
      </c>
      <c r="J59" s="39">
        <f>-'[36]Budget 2022'!BL24</f>
        <v>180959.4</v>
      </c>
      <c r="K59" s="39">
        <f>-'[36]Budget 2022'!BM24</f>
        <v>180959.4</v>
      </c>
      <c r="L59" s="39">
        <f>-'[36]Budget 2022'!BN24</f>
        <v>180959.4</v>
      </c>
      <c r="M59" s="39">
        <f t="shared" si="10"/>
        <v>542878.19999999995</v>
      </c>
      <c r="N59" s="39">
        <f>-'[36]Budget 2022'!BP24</f>
        <v>94209.78</v>
      </c>
      <c r="O59" s="39">
        <f>-'[36]Budget 2022'!BQ24</f>
        <v>94209.78</v>
      </c>
      <c r="P59" s="39">
        <f>-'[36]Budget 2022'!BR24</f>
        <v>94209.78</v>
      </c>
      <c r="Q59" s="39">
        <f t="shared" si="11"/>
        <v>282629.33999999997</v>
      </c>
      <c r="R59" s="39">
        <f>SUM(E59,I59,M59,Q59)</f>
        <v>3160611.3</v>
      </c>
    </row>
    <row r="60" spans="1:19" ht="18" hidden="1" outlineLevel="1">
      <c r="A60" s="38" t="s">
        <v>202</v>
      </c>
      <c r="B60" s="39">
        <f>-'[36]Budget 2022'!BD30</f>
        <v>751226.09</v>
      </c>
      <c r="C60" s="39">
        <f>-'[36]Budget 2022'!BE30</f>
        <v>751226.09</v>
      </c>
      <c r="D60" s="39">
        <f>-'[36]Budget 2022'!BF30</f>
        <v>751226.09</v>
      </c>
      <c r="E60" s="39">
        <f t="shared" si="8"/>
        <v>2253678.27</v>
      </c>
      <c r="F60" s="39">
        <f>-'[36]Budget 2022'!BH30</f>
        <v>751226.09</v>
      </c>
      <c r="G60" s="39">
        <f>-'[36]Budget 2022'!BI30</f>
        <v>751226.09</v>
      </c>
      <c r="H60" s="39">
        <f>-'[36]Budget 2022'!BJ30</f>
        <v>751226.09</v>
      </c>
      <c r="I60" s="39">
        <f t="shared" si="9"/>
        <v>2253678.27</v>
      </c>
      <c r="J60" s="39">
        <f>-'[36]Budget 2022'!BL30</f>
        <v>751226.09</v>
      </c>
      <c r="K60" s="39">
        <f>-'[36]Budget 2022'!BM30</f>
        <v>751226.09</v>
      </c>
      <c r="L60" s="39">
        <f>-'[36]Budget 2022'!BN30</f>
        <v>751226.09</v>
      </c>
      <c r="M60" s="39">
        <f t="shared" si="10"/>
        <v>2253678.27</v>
      </c>
      <c r="N60" s="39">
        <f>-'[36]Budget 2022'!BP30</f>
        <v>842162.81</v>
      </c>
      <c r="O60" s="39">
        <f>-'[36]Budget 2022'!BQ30</f>
        <v>842162.81</v>
      </c>
      <c r="P60" s="39">
        <f>-'[36]Budget 2022'!BR30</f>
        <v>842162.81</v>
      </c>
      <c r="Q60" s="39">
        <f t="shared" si="11"/>
        <v>2526488.4300000002</v>
      </c>
      <c r="R60" s="39">
        <f t="shared" ref="R60:R66" si="31">SUM(E60,I60,M60,Q60)</f>
        <v>9287523.2400000002</v>
      </c>
    </row>
    <row r="61" spans="1:19" ht="18" hidden="1" outlineLevel="1">
      <c r="A61" s="38" t="s">
        <v>203</v>
      </c>
      <c r="B61" s="39">
        <f>-'[36]Budget 2022'!BD37</f>
        <v>0</v>
      </c>
      <c r="C61" s="39">
        <f>-'[36]Budget 2022'!BE37</f>
        <v>0</v>
      </c>
      <c r="D61" s="39">
        <f>-'[36]Budget 2022'!BF37</f>
        <v>0</v>
      </c>
      <c r="E61" s="39">
        <f t="shared" si="8"/>
        <v>0</v>
      </c>
      <c r="F61" s="39">
        <f>-'[36]Budget 2022'!BH37</f>
        <v>0</v>
      </c>
      <c r="G61" s="39">
        <f>-'[36]Budget 2022'!BI37</f>
        <v>0</v>
      </c>
      <c r="H61" s="39">
        <f>-'[36]Budget 2022'!BJ37</f>
        <v>0</v>
      </c>
      <c r="I61" s="39">
        <f t="shared" si="9"/>
        <v>0</v>
      </c>
      <c r="J61" s="39">
        <f>-'[36]Budget 2022'!BL37</f>
        <v>0</v>
      </c>
      <c r="K61" s="39">
        <f>-'[36]Budget 2022'!BM37</f>
        <v>0</v>
      </c>
      <c r="L61" s="39">
        <f>-'[36]Budget 2022'!BN37</f>
        <v>0</v>
      </c>
      <c r="M61" s="39">
        <f t="shared" si="10"/>
        <v>0</v>
      </c>
      <c r="N61" s="39">
        <f>-'[36]Budget 2022'!BP37</f>
        <v>0</v>
      </c>
      <c r="O61" s="39">
        <f>-'[36]Budget 2022'!BQ37</f>
        <v>0</v>
      </c>
      <c r="P61" s="39">
        <f>-'[36]Budget 2022'!BR37</f>
        <v>0</v>
      </c>
      <c r="Q61" s="39">
        <f t="shared" si="11"/>
        <v>0</v>
      </c>
      <c r="R61" s="39">
        <f t="shared" si="31"/>
        <v>0</v>
      </c>
    </row>
    <row r="62" spans="1:19" ht="18" hidden="1" outlineLevel="1">
      <c r="A62" s="38" t="s">
        <v>204</v>
      </c>
      <c r="B62" s="39">
        <f>-'[36]Budget 2022'!BD48</f>
        <v>87231.28</v>
      </c>
      <c r="C62" s="39">
        <f>-'[36]Budget 2022'!BE48</f>
        <v>87231.28</v>
      </c>
      <c r="D62" s="39">
        <f>-'[36]Budget 2022'!BF48</f>
        <v>87231.28</v>
      </c>
      <c r="E62" s="39">
        <f t="shared" si="8"/>
        <v>261693.84</v>
      </c>
      <c r="F62" s="39">
        <f>-'[36]Budget 2022'!BH48</f>
        <v>87231.28</v>
      </c>
      <c r="G62" s="39">
        <f>-'[36]Budget 2022'!BI48</f>
        <v>87231.28</v>
      </c>
      <c r="H62" s="39">
        <f>-'[36]Budget 2022'!BJ48</f>
        <v>87231.28</v>
      </c>
      <c r="I62" s="39">
        <f t="shared" si="9"/>
        <v>261693.84</v>
      </c>
      <c r="J62" s="39">
        <f>-'[36]Budget 2022'!BL48</f>
        <v>87231.28</v>
      </c>
      <c r="K62" s="39">
        <f>-'[36]Budget 2022'!BM48</f>
        <v>87231.28</v>
      </c>
      <c r="L62" s="39">
        <f>-'[36]Budget 2022'!BN48</f>
        <v>87231.28</v>
      </c>
      <c r="M62" s="39">
        <f t="shared" si="10"/>
        <v>261693.84</v>
      </c>
      <c r="N62" s="39">
        <f>-'[36]Budget 2022'!BP48</f>
        <v>87231.28</v>
      </c>
      <c r="O62" s="39">
        <f>-'[36]Budget 2022'!BQ48</f>
        <v>87231.28</v>
      </c>
      <c r="P62" s="39">
        <f>-'[36]Budget 2022'!BR48</f>
        <v>87231.28</v>
      </c>
      <c r="Q62" s="39">
        <f t="shared" si="11"/>
        <v>261693.84</v>
      </c>
      <c r="R62" s="39">
        <f t="shared" si="31"/>
        <v>1046775.36</v>
      </c>
    </row>
    <row r="63" spans="1:19" ht="18" hidden="1" outlineLevel="1">
      <c r="A63" s="38" t="s">
        <v>205</v>
      </c>
      <c r="B63" s="39">
        <f>-'[36]Budget 2022'!BD50</f>
        <v>0</v>
      </c>
      <c r="C63" s="39">
        <f>-'[36]Budget 2022'!BE50</f>
        <v>0</v>
      </c>
      <c r="D63" s="39">
        <f>-'[36]Budget 2022'!BF50</f>
        <v>0</v>
      </c>
      <c r="E63" s="39">
        <f t="shared" si="8"/>
        <v>0</v>
      </c>
      <c r="F63" s="39">
        <f>-'[36]Budget 2022'!BH50</f>
        <v>0</v>
      </c>
      <c r="G63" s="39">
        <f>-'[36]Budget 2022'!BI50</f>
        <v>0</v>
      </c>
      <c r="H63" s="39">
        <f>-'[36]Budget 2022'!BJ50</f>
        <v>0</v>
      </c>
      <c r="I63" s="39">
        <f t="shared" si="9"/>
        <v>0</v>
      </c>
      <c r="J63" s="39">
        <f>-'[36]Budget 2022'!BL50</f>
        <v>0</v>
      </c>
      <c r="K63" s="39">
        <f>-'[36]Budget 2022'!BM50</f>
        <v>0</v>
      </c>
      <c r="L63" s="39">
        <f>-'[36]Budget 2022'!BN50</f>
        <v>0</v>
      </c>
      <c r="M63" s="39">
        <f t="shared" si="10"/>
        <v>0</v>
      </c>
      <c r="N63" s="39">
        <f>-'[36]Budget 2022'!BP50</f>
        <v>0</v>
      </c>
      <c r="O63" s="39">
        <f>-'[36]Budget 2022'!BQ50</f>
        <v>0</v>
      </c>
      <c r="P63" s="39">
        <f>-'[36]Budget 2022'!BR50</f>
        <v>0</v>
      </c>
      <c r="Q63" s="39">
        <f t="shared" si="11"/>
        <v>0</v>
      </c>
      <c r="R63" s="39">
        <f t="shared" si="31"/>
        <v>0</v>
      </c>
    </row>
    <row r="64" spans="1:19" ht="18" hidden="1" outlineLevel="1">
      <c r="A64" s="38" t="s">
        <v>206</v>
      </c>
      <c r="B64" s="39">
        <f>-'[36]Budget 2022'!BD61</f>
        <v>87231.28</v>
      </c>
      <c r="C64" s="39">
        <f>-'[36]Budget 2022'!BE61</f>
        <v>87231.28</v>
      </c>
      <c r="D64" s="39">
        <f>-'[36]Budget 2022'!BF61</f>
        <v>87231.28</v>
      </c>
      <c r="E64" s="39">
        <f t="shared" si="8"/>
        <v>261693.84</v>
      </c>
      <c r="F64" s="39">
        <f>-'[36]Budget 2022'!BH61</f>
        <v>87231.28</v>
      </c>
      <c r="G64" s="39">
        <f>-'[36]Budget 2022'!BI61</f>
        <v>87231.28</v>
      </c>
      <c r="H64" s="39">
        <f>-'[36]Budget 2022'!BJ61</f>
        <v>87231.28</v>
      </c>
      <c r="I64" s="39">
        <f t="shared" si="9"/>
        <v>261693.84</v>
      </c>
      <c r="J64" s="39">
        <f>-'[36]Budget 2022'!BL61</f>
        <v>87231.28</v>
      </c>
      <c r="K64" s="39">
        <f>-'[36]Budget 2022'!BM61</f>
        <v>87231.28</v>
      </c>
      <c r="L64" s="39">
        <f>-'[36]Budget 2022'!BN61</f>
        <v>87231.28</v>
      </c>
      <c r="M64" s="39">
        <f t="shared" si="10"/>
        <v>261693.84</v>
      </c>
      <c r="N64" s="39">
        <f>-'[36]Budget 2022'!BP61</f>
        <v>87231.28</v>
      </c>
      <c r="O64" s="39">
        <f>-'[36]Budget 2022'!BQ61</f>
        <v>87231.28</v>
      </c>
      <c r="P64" s="39">
        <f>-'[36]Budget 2022'!BR61</f>
        <v>87231.28</v>
      </c>
      <c r="Q64" s="39">
        <f t="shared" si="11"/>
        <v>261693.84</v>
      </c>
      <c r="R64" s="39">
        <f t="shared" si="31"/>
        <v>1046775.36</v>
      </c>
    </row>
    <row r="65" spans="1:19" ht="18" hidden="1" outlineLevel="1">
      <c r="A65" s="38" t="s">
        <v>207</v>
      </c>
      <c r="B65" s="39">
        <f>-'[36]Budget 2022'!BD63</f>
        <v>0</v>
      </c>
      <c r="C65" s="39">
        <f>-'[36]Budget 2022'!BE63</f>
        <v>0</v>
      </c>
      <c r="D65" s="39">
        <f>-'[36]Budget 2022'!BF63</f>
        <v>0</v>
      </c>
      <c r="E65" s="39">
        <f t="shared" si="8"/>
        <v>0</v>
      </c>
      <c r="F65" s="39">
        <f>-'[36]Budget 2022'!BH63</f>
        <v>0</v>
      </c>
      <c r="G65" s="39">
        <f>-'[36]Budget 2022'!BI63</f>
        <v>0</v>
      </c>
      <c r="H65" s="39">
        <f>-'[36]Budget 2022'!BJ63</f>
        <v>0</v>
      </c>
      <c r="I65" s="39">
        <f t="shared" si="9"/>
        <v>0</v>
      </c>
      <c r="J65" s="39">
        <f>-'[36]Budget 2022'!BL63</f>
        <v>0</v>
      </c>
      <c r="K65" s="39">
        <f>-'[36]Budget 2022'!BM63</f>
        <v>0</v>
      </c>
      <c r="L65" s="39">
        <f>-'[36]Budget 2022'!BN63</f>
        <v>0</v>
      </c>
      <c r="M65" s="39">
        <f t="shared" si="10"/>
        <v>0</v>
      </c>
      <c r="N65" s="39">
        <f>-'[36]Budget 2022'!BP63</f>
        <v>0</v>
      </c>
      <c r="O65" s="39">
        <f>-'[36]Budget 2022'!BQ63</f>
        <v>0</v>
      </c>
      <c r="P65" s="39">
        <f>-'[36]Budget 2022'!BR63</f>
        <v>0</v>
      </c>
      <c r="Q65" s="39">
        <f t="shared" si="11"/>
        <v>0</v>
      </c>
      <c r="R65" s="39">
        <f t="shared" si="31"/>
        <v>0</v>
      </c>
    </row>
    <row r="66" spans="1:19" ht="18" hidden="1" outlineLevel="1">
      <c r="A66" s="38" t="s">
        <v>208</v>
      </c>
      <c r="B66" s="39">
        <f>-'[36]Budget 2022'!BD74</f>
        <v>697850.26</v>
      </c>
      <c r="C66" s="39">
        <f>-'[36]Budget 2022'!BE74</f>
        <v>697850.26</v>
      </c>
      <c r="D66" s="39">
        <f>-'[36]Budget 2022'!BF74</f>
        <v>697850.26</v>
      </c>
      <c r="E66" s="39">
        <f t="shared" si="8"/>
        <v>2093550.78</v>
      </c>
      <c r="F66" s="39">
        <f>-'[36]Budget 2022'!BH74</f>
        <v>697850.26</v>
      </c>
      <c r="G66" s="39">
        <f>-'[36]Budget 2022'!BI74</f>
        <v>697850.26</v>
      </c>
      <c r="H66" s="39">
        <f>-'[36]Budget 2022'!BJ74</f>
        <v>697850.26</v>
      </c>
      <c r="I66" s="39">
        <f t="shared" si="9"/>
        <v>2093550.78</v>
      </c>
      <c r="J66" s="39">
        <f>-'[36]Budget 2022'!BL74</f>
        <v>697850.26</v>
      </c>
      <c r="K66" s="39">
        <f>-'[36]Budget 2022'!BM74</f>
        <v>697850.26</v>
      </c>
      <c r="L66" s="39">
        <f>-'[36]Budget 2022'!BN74</f>
        <v>697850.26</v>
      </c>
      <c r="M66" s="39">
        <f t="shared" si="10"/>
        <v>2093550.78</v>
      </c>
      <c r="N66" s="39">
        <f>-'[36]Budget 2022'!BP74</f>
        <v>697850.26</v>
      </c>
      <c r="O66" s="39">
        <f>-'[36]Budget 2022'!BQ74</f>
        <v>697850.26</v>
      </c>
      <c r="P66" s="39">
        <f>-'[36]Budget 2022'!BR74</f>
        <v>697850.26</v>
      </c>
      <c r="Q66" s="39">
        <f t="shared" si="11"/>
        <v>2093550.78</v>
      </c>
      <c r="R66" s="39">
        <f t="shared" si="31"/>
        <v>8374203.1200000001</v>
      </c>
    </row>
    <row r="67" spans="1:19" s="35" customFormat="1" ht="31.2" hidden="1" outlineLevel="1">
      <c r="A67" s="31" t="s">
        <v>214</v>
      </c>
      <c r="B67" s="32">
        <f>B68+B71</f>
        <v>0</v>
      </c>
      <c r="C67" s="32">
        <f>C68+C71</f>
        <v>0</v>
      </c>
      <c r="D67" s="32">
        <f>D68+D71</f>
        <v>0</v>
      </c>
      <c r="E67" s="32">
        <f>SUM(B67:D67)</f>
        <v>0</v>
      </c>
      <c r="F67" s="32">
        <f>F68+F71</f>
        <v>0</v>
      </c>
      <c r="G67" s="32">
        <f>G68+G71</f>
        <v>0</v>
      </c>
      <c r="H67" s="32">
        <f>H68+H71</f>
        <v>0</v>
      </c>
      <c r="I67" s="32">
        <f>SUM(F67:H67)</f>
        <v>0</v>
      </c>
      <c r="J67" s="32">
        <f>J68+J71</f>
        <v>0</v>
      </c>
      <c r="K67" s="32">
        <f>K68+K71</f>
        <v>0</v>
      </c>
      <c r="L67" s="32">
        <f>L68+L71</f>
        <v>0</v>
      </c>
      <c r="M67" s="32">
        <f>SUM(J67:L67)</f>
        <v>0</v>
      </c>
      <c r="N67" s="32">
        <f>N68+N71</f>
        <v>0</v>
      </c>
      <c r="O67" s="32">
        <f>O68+O71</f>
        <v>0</v>
      </c>
      <c r="P67" s="32">
        <f>P68+P71</f>
        <v>0</v>
      </c>
      <c r="Q67" s="32">
        <f>SUM(N67:P67)</f>
        <v>0</v>
      </c>
      <c r="R67" s="33">
        <f>R68+R71</f>
        <v>0</v>
      </c>
      <c r="S67" s="34"/>
    </row>
    <row r="68" spans="1:19" ht="18" hidden="1" outlineLevel="1">
      <c r="A68" s="43" t="s">
        <v>197</v>
      </c>
      <c r="B68" s="42">
        <f>SUM(B69:B70)</f>
        <v>0</v>
      </c>
      <c r="C68" s="42">
        <f>SUM(C69:C70)</f>
        <v>0</v>
      </c>
      <c r="D68" s="42">
        <f>SUM(D69:D70)</f>
        <v>0</v>
      </c>
      <c r="E68" s="42">
        <f t="shared" ref="E68:E80" si="32">SUM(B68:D68)</f>
        <v>0</v>
      </c>
      <c r="F68" s="42">
        <f>SUM(F69:F70)</f>
        <v>0</v>
      </c>
      <c r="G68" s="42">
        <f>SUM(G69:G70)</f>
        <v>0</v>
      </c>
      <c r="H68" s="42">
        <f>SUM(H69:H70)</f>
        <v>0</v>
      </c>
      <c r="I68" s="42">
        <f t="shared" ref="I68:I80" si="33">SUM(F68:H68)</f>
        <v>0</v>
      </c>
      <c r="J68" s="42">
        <f>SUM(J69:J70)</f>
        <v>0</v>
      </c>
      <c r="K68" s="42">
        <f>SUM(K69:K70)</f>
        <v>0</v>
      </c>
      <c r="L68" s="42">
        <f>SUM(L69:L70)</f>
        <v>0</v>
      </c>
      <c r="M68" s="42">
        <f t="shared" ref="M68:M80" si="34">SUM(J68:L68)</f>
        <v>0</v>
      </c>
      <c r="N68" s="42">
        <f>SUM(N69:N70)</f>
        <v>0</v>
      </c>
      <c r="O68" s="42">
        <f>SUM(O69:O70)</f>
        <v>0</v>
      </c>
      <c r="P68" s="42">
        <f>SUM(P69:P70)</f>
        <v>0</v>
      </c>
      <c r="Q68" s="42">
        <f t="shared" ref="Q68:Q80" si="35">SUM(N68:P68)</f>
        <v>0</v>
      </c>
      <c r="R68" s="42">
        <f>SUM(R69:R70)</f>
        <v>0</v>
      </c>
    </row>
    <row r="69" spans="1:19" ht="18" hidden="1" outlineLevel="1">
      <c r="A69" s="38" t="s">
        <v>198</v>
      </c>
      <c r="B69" s="39">
        <f>-'[36]Budget 2022'!BU7</f>
        <v>0</v>
      </c>
      <c r="C69" s="39">
        <f>-'[36]Budget 2022'!BV7</f>
        <v>0</v>
      </c>
      <c r="D69" s="39">
        <f>-'[36]Budget 2022'!BW7</f>
        <v>0</v>
      </c>
      <c r="E69" s="39">
        <f t="shared" si="32"/>
        <v>0</v>
      </c>
      <c r="F69" s="39">
        <f>-'[36]Budget 2022'!BY7</f>
        <v>0</v>
      </c>
      <c r="G69" s="39">
        <f>-'[36]Budget 2022'!BZ7</f>
        <v>0</v>
      </c>
      <c r="H69" s="39">
        <f>-'[36]Budget 2022'!CA7</f>
        <v>0</v>
      </c>
      <c r="I69" s="39">
        <f t="shared" si="33"/>
        <v>0</v>
      </c>
      <c r="J69" s="39">
        <f>-'[36]Budget 2022'!CC7</f>
        <v>0</v>
      </c>
      <c r="K69" s="39">
        <f>-'[36]Budget 2022'!CD7</f>
        <v>0</v>
      </c>
      <c r="L69" s="39">
        <f>-'[36]Budget 2022'!CE7</f>
        <v>0</v>
      </c>
      <c r="M69" s="39">
        <f t="shared" si="34"/>
        <v>0</v>
      </c>
      <c r="N69" s="39">
        <f>-'[36]Budget 2022'!CG7</f>
        <v>0</v>
      </c>
      <c r="O69" s="39">
        <f>-'[36]Budget 2022'!CH7</f>
        <v>0</v>
      </c>
      <c r="P69" s="39">
        <f>-'[36]Budget 2022'!CI7</f>
        <v>0</v>
      </c>
      <c r="Q69" s="39">
        <f t="shared" si="35"/>
        <v>0</v>
      </c>
      <c r="R69" s="39">
        <f>SUM(E69,I69,M69,Q69)</f>
        <v>0</v>
      </c>
    </row>
    <row r="70" spans="1:19" ht="18" hidden="1" outlineLevel="1">
      <c r="A70" s="38" t="s">
        <v>199</v>
      </c>
      <c r="B70" s="39">
        <f>-'[36]Budget 2022'!BU17</f>
        <v>0</v>
      </c>
      <c r="C70" s="39">
        <f>-'[36]Budget 2022'!BV17</f>
        <v>0</v>
      </c>
      <c r="D70" s="39">
        <f>-'[36]Budget 2022'!BW17</f>
        <v>0</v>
      </c>
      <c r="E70" s="39">
        <f t="shared" si="32"/>
        <v>0</v>
      </c>
      <c r="F70" s="39">
        <f>-'[36]Budget 2022'!BY17</f>
        <v>0</v>
      </c>
      <c r="G70" s="39">
        <f>-'[36]Budget 2022'!BZ17</f>
        <v>0</v>
      </c>
      <c r="H70" s="39">
        <f>-'[36]Budget 2022'!CA17</f>
        <v>0</v>
      </c>
      <c r="I70" s="39">
        <f t="shared" si="33"/>
        <v>0</v>
      </c>
      <c r="J70" s="39">
        <f>-'[36]Budget 2022'!CC17</f>
        <v>0</v>
      </c>
      <c r="K70" s="39">
        <f>-'[36]Budget 2022'!CD17</f>
        <v>0</v>
      </c>
      <c r="L70" s="39">
        <f>-'[36]Budget 2022'!CE17</f>
        <v>0</v>
      </c>
      <c r="M70" s="39">
        <f t="shared" si="34"/>
        <v>0</v>
      </c>
      <c r="N70" s="39">
        <f>-'[36]Budget 2022'!CG17</f>
        <v>0</v>
      </c>
      <c r="O70" s="39">
        <f>-'[36]Budget 2022'!CH17</f>
        <v>0</v>
      </c>
      <c r="P70" s="39">
        <f>-'[36]Budget 2022'!CI17</f>
        <v>0</v>
      </c>
      <c r="Q70" s="39">
        <f t="shared" si="35"/>
        <v>0</v>
      </c>
      <c r="R70" s="39">
        <f>SUM(E70,I70,M70,Q70)</f>
        <v>0</v>
      </c>
    </row>
    <row r="71" spans="1:19" ht="18" hidden="1" outlineLevel="1">
      <c r="A71" s="36" t="s">
        <v>200</v>
      </c>
      <c r="B71" s="41">
        <f>SUM(B72:B79)</f>
        <v>0</v>
      </c>
      <c r="C71" s="41">
        <f t="shared" ref="C71:D71" si="36">SUM(C72:C79)</f>
        <v>0</v>
      </c>
      <c r="D71" s="41">
        <f t="shared" si="36"/>
        <v>0</v>
      </c>
      <c r="E71" s="41">
        <f t="shared" si="32"/>
        <v>0</v>
      </c>
      <c r="F71" s="41">
        <f>SUM(F72:F79)</f>
        <v>0</v>
      </c>
      <c r="G71" s="41">
        <f t="shared" ref="G71:H71" si="37">SUM(G72:G79)</f>
        <v>0</v>
      </c>
      <c r="H71" s="41">
        <f t="shared" si="37"/>
        <v>0</v>
      </c>
      <c r="I71" s="41">
        <f t="shared" si="33"/>
        <v>0</v>
      </c>
      <c r="J71" s="41">
        <f>SUM(J72:J79)</f>
        <v>0</v>
      </c>
      <c r="K71" s="41">
        <f t="shared" ref="K71:L71" si="38">SUM(K72:K79)</f>
        <v>0</v>
      </c>
      <c r="L71" s="41">
        <f t="shared" si="38"/>
        <v>0</v>
      </c>
      <c r="M71" s="41">
        <f t="shared" si="34"/>
        <v>0</v>
      </c>
      <c r="N71" s="41">
        <f>SUM(N72:N79)</f>
        <v>0</v>
      </c>
      <c r="O71" s="41">
        <f t="shared" ref="O71:P71" si="39">SUM(O72:O79)</f>
        <v>0</v>
      </c>
      <c r="P71" s="41">
        <f t="shared" si="39"/>
        <v>0</v>
      </c>
      <c r="Q71" s="41">
        <f t="shared" si="35"/>
        <v>0</v>
      </c>
      <c r="R71" s="42">
        <f>SUM(R72:R79)</f>
        <v>0</v>
      </c>
    </row>
    <row r="72" spans="1:19" ht="18" hidden="1" outlineLevel="1">
      <c r="A72" s="38" t="s">
        <v>201</v>
      </c>
      <c r="B72" s="39">
        <f>-'[36]Budget 2022'!BU24</f>
        <v>0</v>
      </c>
      <c r="C72" s="39">
        <f>-'[36]Budget 2022'!BV24</f>
        <v>0</v>
      </c>
      <c r="D72" s="39">
        <f>-'[36]Budget 2022'!BW24</f>
        <v>0</v>
      </c>
      <c r="E72" s="39">
        <f t="shared" si="32"/>
        <v>0</v>
      </c>
      <c r="F72" s="39">
        <f>-'[36]Budget 2022'!BY24</f>
        <v>0</v>
      </c>
      <c r="G72" s="39">
        <f>-'[36]Budget 2022'!BZ24</f>
        <v>0</v>
      </c>
      <c r="H72" s="39">
        <f>-'[36]Budget 2022'!CA24</f>
        <v>0</v>
      </c>
      <c r="I72" s="39">
        <f t="shared" si="33"/>
        <v>0</v>
      </c>
      <c r="J72" s="39">
        <f>-'[36]Budget 2022'!CC24</f>
        <v>0</v>
      </c>
      <c r="K72" s="39">
        <f>-'[36]Budget 2022'!CD24</f>
        <v>0</v>
      </c>
      <c r="L72" s="39">
        <f>-'[36]Budget 2022'!CE24</f>
        <v>0</v>
      </c>
      <c r="M72" s="39">
        <f t="shared" si="34"/>
        <v>0</v>
      </c>
      <c r="N72" s="39">
        <f>-'[36]Budget 2022'!CG24</f>
        <v>0</v>
      </c>
      <c r="O72" s="39">
        <f>-'[36]Budget 2022'!CH24</f>
        <v>0</v>
      </c>
      <c r="P72" s="39">
        <f>-'[36]Budget 2022'!CI24</f>
        <v>0</v>
      </c>
      <c r="Q72" s="39">
        <f t="shared" si="35"/>
        <v>0</v>
      </c>
      <c r="R72" s="39">
        <f>SUM(E72,I72,M72,Q72)</f>
        <v>0</v>
      </c>
    </row>
    <row r="73" spans="1:19" ht="18" hidden="1" outlineLevel="1">
      <c r="A73" s="38" t="s">
        <v>202</v>
      </c>
      <c r="B73" s="39">
        <f>-'[36]Budget 2022'!BU30</f>
        <v>0</v>
      </c>
      <c r="C73" s="39">
        <f>-'[36]Budget 2022'!BV30</f>
        <v>0</v>
      </c>
      <c r="D73" s="39">
        <f>-'[36]Budget 2022'!BW30</f>
        <v>0</v>
      </c>
      <c r="E73" s="39">
        <f t="shared" si="32"/>
        <v>0</v>
      </c>
      <c r="F73" s="39">
        <f>-'[36]Budget 2022'!BY30</f>
        <v>0</v>
      </c>
      <c r="G73" s="39">
        <f>-'[36]Budget 2022'!BZ30</f>
        <v>0</v>
      </c>
      <c r="H73" s="39">
        <f>-'[36]Budget 2022'!CA30</f>
        <v>0</v>
      </c>
      <c r="I73" s="39">
        <f t="shared" si="33"/>
        <v>0</v>
      </c>
      <c r="J73" s="39">
        <f>-'[36]Budget 2022'!CC30</f>
        <v>0</v>
      </c>
      <c r="K73" s="39">
        <f>-'[36]Budget 2022'!CD30</f>
        <v>0</v>
      </c>
      <c r="L73" s="39">
        <f>-'[36]Budget 2022'!CE30</f>
        <v>0</v>
      </c>
      <c r="M73" s="39">
        <f t="shared" si="34"/>
        <v>0</v>
      </c>
      <c r="N73" s="39">
        <f>-'[36]Budget 2022'!CG30</f>
        <v>0</v>
      </c>
      <c r="O73" s="39">
        <f>-'[36]Budget 2022'!CH30</f>
        <v>0</v>
      </c>
      <c r="P73" s="39">
        <f>-'[36]Budget 2022'!CI30</f>
        <v>0</v>
      </c>
      <c r="Q73" s="39">
        <f t="shared" si="35"/>
        <v>0</v>
      </c>
      <c r="R73" s="39">
        <f t="shared" ref="R73:R79" si="40">SUM(E73,I73,M73,Q73)</f>
        <v>0</v>
      </c>
    </row>
    <row r="74" spans="1:19" ht="18" hidden="1" outlineLevel="1">
      <c r="A74" s="38" t="s">
        <v>203</v>
      </c>
      <c r="B74" s="39">
        <f>-'[36]Budget 2022'!BU37</f>
        <v>0</v>
      </c>
      <c r="C74" s="39">
        <f>-'[36]Budget 2022'!BV37</f>
        <v>0</v>
      </c>
      <c r="D74" s="39">
        <f>-'[36]Budget 2022'!BW37</f>
        <v>0</v>
      </c>
      <c r="E74" s="39">
        <f t="shared" si="32"/>
        <v>0</v>
      </c>
      <c r="F74" s="39">
        <f>-'[36]Budget 2022'!BY37</f>
        <v>0</v>
      </c>
      <c r="G74" s="39">
        <f>-'[36]Budget 2022'!BZ37</f>
        <v>0</v>
      </c>
      <c r="H74" s="39">
        <f>-'[36]Budget 2022'!CA37</f>
        <v>0</v>
      </c>
      <c r="I74" s="39">
        <f t="shared" si="33"/>
        <v>0</v>
      </c>
      <c r="J74" s="39">
        <f>-'[36]Budget 2022'!CC37</f>
        <v>0</v>
      </c>
      <c r="K74" s="39">
        <f>-'[36]Budget 2022'!CD37</f>
        <v>0</v>
      </c>
      <c r="L74" s="39">
        <f>-'[36]Budget 2022'!CE37</f>
        <v>0</v>
      </c>
      <c r="M74" s="39">
        <f t="shared" si="34"/>
        <v>0</v>
      </c>
      <c r="N74" s="39">
        <f>-'[36]Budget 2022'!CG37</f>
        <v>0</v>
      </c>
      <c r="O74" s="39">
        <f>-'[36]Budget 2022'!CH37</f>
        <v>0</v>
      </c>
      <c r="P74" s="39">
        <f>-'[36]Budget 2022'!CI37</f>
        <v>0</v>
      </c>
      <c r="Q74" s="39">
        <f t="shared" si="35"/>
        <v>0</v>
      </c>
      <c r="R74" s="39">
        <f t="shared" si="40"/>
        <v>0</v>
      </c>
    </row>
    <row r="75" spans="1:19" ht="18" hidden="1" outlineLevel="1">
      <c r="A75" s="38" t="s">
        <v>204</v>
      </c>
      <c r="B75" s="39">
        <f>-'[36]Budget 2022'!BU48</f>
        <v>0</v>
      </c>
      <c r="C75" s="39">
        <f>-'[36]Budget 2022'!BV48</f>
        <v>0</v>
      </c>
      <c r="D75" s="39">
        <f>-'[36]Budget 2022'!BW48</f>
        <v>0</v>
      </c>
      <c r="E75" s="39">
        <f t="shared" si="32"/>
        <v>0</v>
      </c>
      <c r="F75" s="39">
        <f>-'[36]Budget 2022'!BY48</f>
        <v>0</v>
      </c>
      <c r="G75" s="39">
        <f>-'[36]Budget 2022'!BZ48</f>
        <v>0</v>
      </c>
      <c r="H75" s="39">
        <f>-'[36]Budget 2022'!CA48</f>
        <v>0</v>
      </c>
      <c r="I75" s="39">
        <f t="shared" si="33"/>
        <v>0</v>
      </c>
      <c r="J75" s="39">
        <f>-'[36]Budget 2022'!CC48</f>
        <v>0</v>
      </c>
      <c r="K75" s="39">
        <f>-'[36]Budget 2022'!CD48</f>
        <v>0</v>
      </c>
      <c r="L75" s="39">
        <f>-'[36]Budget 2022'!CE48</f>
        <v>0</v>
      </c>
      <c r="M75" s="39">
        <f t="shared" si="34"/>
        <v>0</v>
      </c>
      <c r="N75" s="39">
        <f>-'[36]Budget 2022'!CG48</f>
        <v>0</v>
      </c>
      <c r="O75" s="39">
        <f>-'[36]Budget 2022'!CH48</f>
        <v>0</v>
      </c>
      <c r="P75" s="39">
        <f>-'[36]Budget 2022'!CI48</f>
        <v>0</v>
      </c>
      <c r="Q75" s="39">
        <f t="shared" si="35"/>
        <v>0</v>
      </c>
      <c r="R75" s="39">
        <f t="shared" si="40"/>
        <v>0</v>
      </c>
    </row>
    <row r="76" spans="1:19" ht="18" hidden="1" outlineLevel="1">
      <c r="A76" s="38" t="s">
        <v>205</v>
      </c>
      <c r="B76" s="39">
        <f>-'[36]Budget 2022'!BU50</f>
        <v>0</v>
      </c>
      <c r="C76" s="39">
        <f>-'[36]Budget 2022'!BV50</f>
        <v>0</v>
      </c>
      <c r="D76" s="39">
        <f>-'[36]Budget 2022'!BW50</f>
        <v>0</v>
      </c>
      <c r="E76" s="39">
        <f t="shared" si="32"/>
        <v>0</v>
      </c>
      <c r="F76" s="39">
        <f>-'[36]Budget 2022'!BY50</f>
        <v>0</v>
      </c>
      <c r="G76" s="39">
        <f>-'[36]Budget 2022'!BZ50</f>
        <v>0</v>
      </c>
      <c r="H76" s="39">
        <f>-'[36]Budget 2022'!CA50</f>
        <v>0</v>
      </c>
      <c r="I76" s="39">
        <f t="shared" si="33"/>
        <v>0</v>
      </c>
      <c r="J76" s="39">
        <f>-'[36]Budget 2022'!CC50</f>
        <v>0</v>
      </c>
      <c r="K76" s="39">
        <f>-'[36]Budget 2022'!CD50</f>
        <v>0</v>
      </c>
      <c r="L76" s="39">
        <f>-'[36]Budget 2022'!CE50</f>
        <v>0</v>
      </c>
      <c r="M76" s="39">
        <f t="shared" si="34"/>
        <v>0</v>
      </c>
      <c r="N76" s="39">
        <f>-'[36]Budget 2022'!CG50</f>
        <v>0</v>
      </c>
      <c r="O76" s="39">
        <f>-'[36]Budget 2022'!CH50</f>
        <v>0</v>
      </c>
      <c r="P76" s="39">
        <f>-'[36]Budget 2022'!CI50</f>
        <v>0</v>
      </c>
      <c r="Q76" s="39">
        <f t="shared" si="35"/>
        <v>0</v>
      </c>
      <c r="R76" s="39">
        <f t="shared" si="40"/>
        <v>0</v>
      </c>
    </row>
    <row r="77" spans="1:19" ht="18" hidden="1" outlineLevel="1">
      <c r="A77" s="38" t="s">
        <v>206</v>
      </c>
      <c r="B77" s="39">
        <f>-'[36]Budget 2022'!BU61</f>
        <v>0</v>
      </c>
      <c r="C77" s="39">
        <f>-'[36]Budget 2022'!BV61</f>
        <v>0</v>
      </c>
      <c r="D77" s="39">
        <f>-'[36]Budget 2022'!BW61</f>
        <v>0</v>
      </c>
      <c r="E77" s="39">
        <f t="shared" si="32"/>
        <v>0</v>
      </c>
      <c r="F77" s="39">
        <f>-'[36]Budget 2022'!BY61</f>
        <v>0</v>
      </c>
      <c r="G77" s="39">
        <f>-'[36]Budget 2022'!BZ61</f>
        <v>0</v>
      </c>
      <c r="H77" s="39">
        <f>-'[36]Budget 2022'!CA61</f>
        <v>0</v>
      </c>
      <c r="I77" s="39">
        <f t="shared" si="33"/>
        <v>0</v>
      </c>
      <c r="J77" s="39">
        <f>-'[36]Budget 2022'!CC61</f>
        <v>0</v>
      </c>
      <c r="K77" s="39">
        <f>-'[36]Budget 2022'!CD61</f>
        <v>0</v>
      </c>
      <c r="L77" s="39">
        <f>-'[36]Budget 2022'!CE61</f>
        <v>0</v>
      </c>
      <c r="M77" s="39">
        <f t="shared" si="34"/>
        <v>0</v>
      </c>
      <c r="N77" s="39">
        <f>-'[36]Budget 2022'!CG61</f>
        <v>0</v>
      </c>
      <c r="O77" s="39">
        <f>-'[36]Budget 2022'!CH61</f>
        <v>0</v>
      </c>
      <c r="P77" s="39">
        <f>-'[36]Budget 2022'!CI61</f>
        <v>0</v>
      </c>
      <c r="Q77" s="39">
        <f t="shared" si="35"/>
        <v>0</v>
      </c>
      <c r="R77" s="39">
        <f t="shared" si="40"/>
        <v>0</v>
      </c>
    </row>
    <row r="78" spans="1:19" ht="18" hidden="1" outlineLevel="1">
      <c r="A78" s="38" t="s">
        <v>207</v>
      </c>
      <c r="B78" s="39">
        <f>-'[36]Budget 2022'!BU63</f>
        <v>0</v>
      </c>
      <c r="C78" s="39">
        <f>-'[36]Budget 2022'!BV63</f>
        <v>0</v>
      </c>
      <c r="D78" s="39">
        <f>-'[36]Budget 2022'!BW63</f>
        <v>0</v>
      </c>
      <c r="E78" s="39">
        <f t="shared" si="32"/>
        <v>0</v>
      </c>
      <c r="F78" s="39">
        <f>-'[36]Budget 2022'!BY63</f>
        <v>0</v>
      </c>
      <c r="G78" s="39">
        <f>-'[36]Budget 2022'!BZ63</f>
        <v>0</v>
      </c>
      <c r="H78" s="39">
        <f>-'[36]Budget 2022'!CA63</f>
        <v>0</v>
      </c>
      <c r="I78" s="39">
        <f t="shared" si="33"/>
        <v>0</v>
      </c>
      <c r="J78" s="39">
        <f>-'[36]Budget 2022'!CC63</f>
        <v>0</v>
      </c>
      <c r="K78" s="39">
        <f>-'[36]Budget 2022'!CD63</f>
        <v>0</v>
      </c>
      <c r="L78" s="39">
        <f>-'[36]Budget 2022'!CE63</f>
        <v>0</v>
      </c>
      <c r="M78" s="39">
        <f t="shared" si="34"/>
        <v>0</v>
      </c>
      <c r="N78" s="39">
        <f>-'[36]Budget 2022'!CG63</f>
        <v>0</v>
      </c>
      <c r="O78" s="39">
        <f>-'[36]Budget 2022'!CH63</f>
        <v>0</v>
      </c>
      <c r="P78" s="39">
        <f>-'[36]Budget 2022'!CI63</f>
        <v>0</v>
      </c>
      <c r="Q78" s="39">
        <f t="shared" si="35"/>
        <v>0</v>
      </c>
      <c r="R78" s="39">
        <f t="shared" si="40"/>
        <v>0</v>
      </c>
    </row>
    <row r="79" spans="1:19" ht="18" hidden="1" outlineLevel="1">
      <c r="A79" s="38" t="s">
        <v>208</v>
      </c>
      <c r="B79" s="39">
        <f>-'[36]Budget 2022'!BU74</f>
        <v>0</v>
      </c>
      <c r="C79" s="39">
        <f>-'[36]Budget 2022'!BV74</f>
        <v>0</v>
      </c>
      <c r="D79" s="39">
        <f>-'[36]Budget 2022'!BW74</f>
        <v>0</v>
      </c>
      <c r="E79" s="39">
        <f t="shared" si="32"/>
        <v>0</v>
      </c>
      <c r="F79" s="39">
        <f>-'[36]Budget 2022'!BY74</f>
        <v>0</v>
      </c>
      <c r="G79" s="39">
        <f>-'[36]Budget 2022'!BZ74</f>
        <v>0</v>
      </c>
      <c r="H79" s="39">
        <f>-'[36]Budget 2022'!CA74</f>
        <v>0</v>
      </c>
      <c r="I79" s="39">
        <f t="shared" si="33"/>
        <v>0</v>
      </c>
      <c r="J79" s="39">
        <f>-'[36]Budget 2022'!CC74</f>
        <v>0</v>
      </c>
      <c r="K79" s="39">
        <f>-'[36]Budget 2022'!CD74</f>
        <v>0</v>
      </c>
      <c r="L79" s="39">
        <f>-'[36]Budget 2022'!CE74</f>
        <v>0</v>
      </c>
      <c r="M79" s="39">
        <f t="shared" si="34"/>
        <v>0</v>
      </c>
      <c r="N79" s="39">
        <f>-'[36]Budget 2022'!CG74</f>
        <v>0</v>
      </c>
      <c r="O79" s="39">
        <f>-'[36]Budget 2022'!CH74</f>
        <v>0</v>
      </c>
      <c r="P79" s="39">
        <f>-'[36]Budget 2022'!CI74</f>
        <v>0</v>
      </c>
      <c r="Q79" s="39">
        <f t="shared" si="35"/>
        <v>0</v>
      </c>
      <c r="R79" s="39">
        <f t="shared" si="40"/>
        <v>0</v>
      </c>
    </row>
    <row r="80" spans="1:19" s="35" customFormat="1" ht="31.2" collapsed="1">
      <c r="A80" s="31" t="s">
        <v>215</v>
      </c>
      <c r="B80" s="32">
        <f>SUM(B81,B84)</f>
        <v>2016666.67</v>
      </c>
      <c r="C80" s="32">
        <f>SUM(C81,C84)</f>
        <v>1678287.47</v>
      </c>
      <c r="D80" s="32">
        <f>SUM(D81,D84)</f>
        <v>1610611.63</v>
      </c>
      <c r="E80" s="32">
        <f t="shared" si="32"/>
        <v>5305565.7699999996</v>
      </c>
      <c r="F80" s="32">
        <f>SUM(F81,F84)</f>
        <v>1610611.63</v>
      </c>
      <c r="G80" s="32">
        <f>SUM(G81,G84)</f>
        <v>1610611.63</v>
      </c>
      <c r="H80" s="32">
        <f>SUM(H81,H84)</f>
        <v>1642935.79</v>
      </c>
      <c r="I80" s="32">
        <f t="shared" si="33"/>
        <v>4864159.05</v>
      </c>
      <c r="J80" s="32">
        <f>SUM(J81,J84)</f>
        <v>976269.12</v>
      </c>
      <c r="K80" s="32">
        <f>SUM(K81,K84)</f>
        <v>976269.12</v>
      </c>
      <c r="L80" s="32">
        <f>SUM(L81,L84)</f>
        <v>976269.12</v>
      </c>
      <c r="M80" s="32">
        <f t="shared" si="34"/>
        <v>2928807.36</v>
      </c>
      <c r="N80" s="32">
        <f>SUM(N81,N84)</f>
        <v>907522.87</v>
      </c>
      <c r="O80" s="32">
        <f>SUM(O81,O84)</f>
        <v>846972.48</v>
      </c>
      <c r="P80" s="32">
        <f>SUM(P81,P84)</f>
        <v>846972.48</v>
      </c>
      <c r="Q80" s="32">
        <f t="shared" si="35"/>
        <v>2601467.83</v>
      </c>
      <c r="R80" s="61">
        <f>SUM(R81,R84)</f>
        <v>15700000.01</v>
      </c>
    </row>
    <row r="81" spans="1:18" ht="18" hidden="1" outlineLevel="1">
      <c r="A81" s="36" t="s">
        <v>197</v>
      </c>
      <c r="B81" s="42">
        <f>SUM(B82:B83)</f>
        <v>2016666.67</v>
      </c>
      <c r="C81" s="42">
        <f>SUM(C82:C83)</f>
        <v>1678287.47</v>
      </c>
      <c r="D81" s="42">
        <f>SUM(D82:D83)</f>
        <v>1610611.63</v>
      </c>
      <c r="E81" s="42">
        <f t="shared" si="8"/>
        <v>5305565.7699999996</v>
      </c>
      <c r="F81" s="42">
        <f>SUM(F82:F83)</f>
        <v>1610611.63</v>
      </c>
      <c r="G81" s="42">
        <f>SUM(G82:G83)</f>
        <v>1610611.63</v>
      </c>
      <c r="H81" s="42">
        <f>SUM(H82:H83)</f>
        <v>1642935.79</v>
      </c>
      <c r="I81" s="42">
        <f t="shared" si="9"/>
        <v>4864159.05</v>
      </c>
      <c r="J81" s="42">
        <f>SUM(J82:J83)</f>
        <v>976269.12</v>
      </c>
      <c r="K81" s="42">
        <f>SUM(K82:K83)</f>
        <v>976269.12</v>
      </c>
      <c r="L81" s="42">
        <f>SUM(L82:L83)</f>
        <v>976269.12</v>
      </c>
      <c r="M81" s="42">
        <f t="shared" si="10"/>
        <v>2928807.36</v>
      </c>
      <c r="N81" s="42">
        <f>SUM(N82:N83)</f>
        <v>907522.87</v>
      </c>
      <c r="O81" s="42">
        <f>SUM(O82:O83)</f>
        <v>846972.48</v>
      </c>
      <c r="P81" s="42">
        <f>SUM(P82:P83)</f>
        <v>846972.48</v>
      </c>
      <c r="Q81" s="42">
        <f t="shared" si="11"/>
        <v>2601467.83</v>
      </c>
      <c r="R81" s="42">
        <f>SUM(R82:R83)</f>
        <v>15700000.01</v>
      </c>
    </row>
    <row r="82" spans="1:18" ht="18" hidden="1" outlineLevel="1">
      <c r="A82" s="38" t="s">
        <v>198</v>
      </c>
      <c r="B82" s="39">
        <f>-'[36]Budget 2022'!DC7</f>
        <v>1266666.67</v>
      </c>
      <c r="C82" s="39">
        <f>-'[36]Budget 2022'!DD7</f>
        <v>928287.47</v>
      </c>
      <c r="D82" s="39">
        <f>-'[36]Budget 2022'!DE7</f>
        <v>860611.63</v>
      </c>
      <c r="E82" s="39">
        <f t="shared" si="8"/>
        <v>3055565.7699999996</v>
      </c>
      <c r="F82" s="39">
        <f>-'[36]Budget 2022'!DG7</f>
        <v>860611.63</v>
      </c>
      <c r="G82" s="39">
        <f>-'[36]Budget 2022'!DH7</f>
        <v>860611.63</v>
      </c>
      <c r="H82" s="39">
        <f>-'[36]Budget 2022'!DI7</f>
        <v>892935.79</v>
      </c>
      <c r="I82" s="39">
        <f t="shared" si="9"/>
        <v>2614159.0499999998</v>
      </c>
      <c r="J82" s="39">
        <f>-'[36]Budget 2022'!DK7</f>
        <v>226269.12</v>
      </c>
      <c r="K82" s="39">
        <f>-'[36]Budget 2022'!DL7</f>
        <v>226269.12</v>
      </c>
      <c r="L82" s="39">
        <f>-'[36]Budget 2022'!DM7</f>
        <v>226269.12</v>
      </c>
      <c r="M82" s="39">
        <f t="shared" si="10"/>
        <v>678807.36</v>
      </c>
      <c r="N82" s="39">
        <f>-'[36]Budget 2022'!DO7</f>
        <v>157522.87</v>
      </c>
      <c r="O82" s="39">
        <f>-'[36]Budget 2022'!DP7</f>
        <v>96972.479999999996</v>
      </c>
      <c r="P82" s="39">
        <f>-'[36]Budget 2022'!DQ7</f>
        <v>96972.479999999996</v>
      </c>
      <c r="Q82" s="39">
        <f t="shared" si="11"/>
        <v>351467.82999999996</v>
      </c>
      <c r="R82" s="39">
        <f t="shared" ref="R82:R92" si="41">SUM(E82,I82,M82,Q82)</f>
        <v>6700000.0099999998</v>
      </c>
    </row>
    <row r="83" spans="1:18" ht="18" hidden="1" outlineLevel="1">
      <c r="A83" s="38" t="s">
        <v>199</v>
      </c>
      <c r="B83" s="39">
        <f>-'[36]Budget 2022'!DC17</f>
        <v>750000</v>
      </c>
      <c r="C83" s="39">
        <f>-'[36]Budget 2022'!DD17</f>
        <v>750000</v>
      </c>
      <c r="D83" s="39">
        <f>-'[36]Budget 2022'!DE17</f>
        <v>750000</v>
      </c>
      <c r="E83" s="39">
        <f>SUM(B83:D83)</f>
        <v>2250000</v>
      </c>
      <c r="F83" s="39">
        <f>-'[36]Budget 2022'!DG17</f>
        <v>750000</v>
      </c>
      <c r="G83" s="39">
        <f>-'[36]Budget 2022'!DH17</f>
        <v>750000</v>
      </c>
      <c r="H83" s="39">
        <f>-'[36]Budget 2022'!DI17</f>
        <v>750000</v>
      </c>
      <c r="I83" s="39">
        <f t="shared" si="9"/>
        <v>2250000</v>
      </c>
      <c r="J83" s="39">
        <f>-'[36]Budget 2022'!DK17</f>
        <v>750000</v>
      </c>
      <c r="K83" s="39">
        <f>-'[36]Budget 2022'!DL17</f>
        <v>750000</v>
      </c>
      <c r="L83" s="39">
        <f>-'[36]Budget 2022'!DM17</f>
        <v>750000</v>
      </c>
      <c r="M83" s="39">
        <f t="shared" si="10"/>
        <v>2250000</v>
      </c>
      <c r="N83" s="39">
        <f>-'[36]Budget 2022'!DO17</f>
        <v>750000</v>
      </c>
      <c r="O83" s="39">
        <f>-'[36]Budget 2022'!DP17</f>
        <v>750000</v>
      </c>
      <c r="P83" s="39">
        <f>-'[36]Budget 2022'!DQ17</f>
        <v>750000</v>
      </c>
      <c r="Q83" s="39">
        <f t="shared" si="11"/>
        <v>2250000</v>
      </c>
      <c r="R83" s="39">
        <f t="shared" si="41"/>
        <v>9000000</v>
      </c>
    </row>
    <row r="84" spans="1:18" ht="18" hidden="1" outlineLevel="1">
      <c r="A84" s="36" t="s">
        <v>200</v>
      </c>
      <c r="B84" s="42">
        <f>SUM(B85:B92)</f>
        <v>0</v>
      </c>
      <c r="C84" s="42">
        <f>SUM(C85:C92)</f>
        <v>0</v>
      </c>
      <c r="D84" s="42">
        <f>SUM(D85:D92)</f>
        <v>0</v>
      </c>
      <c r="E84" s="42">
        <f t="shared" si="8"/>
        <v>0</v>
      </c>
      <c r="F84" s="42">
        <f>SUM(F85:F92)</f>
        <v>0</v>
      </c>
      <c r="G84" s="42">
        <f>SUM(G85:G92)</f>
        <v>0</v>
      </c>
      <c r="H84" s="42">
        <f>SUM(H85:H92)</f>
        <v>0</v>
      </c>
      <c r="I84" s="42">
        <f t="shared" si="9"/>
        <v>0</v>
      </c>
      <c r="J84" s="42">
        <f>SUM(J85:J92)</f>
        <v>0</v>
      </c>
      <c r="K84" s="42">
        <f>SUM(K85:K92)</f>
        <v>0</v>
      </c>
      <c r="L84" s="42">
        <f>SUM(L85:L92)</f>
        <v>0</v>
      </c>
      <c r="M84" s="42">
        <f t="shared" si="10"/>
        <v>0</v>
      </c>
      <c r="N84" s="42">
        <f>SUM(N85:N92)</f>
        <v>0</v>
      </c>
      <c r="O84" s="42">
        <f>SUM(O85:O92)</f>
        <v>0</v>
      </c>
      <c r="P84" s="42">
        <f>SUM(P85:P92)</f>
        <v>0</v>
      </c>
      <c r="Q84" s="42">
        <f t="shared" si="11"/>
        <v>0</v>
      </c>
      <c r="R84" s="42">
        <f>SUM(R85:R92)</f>
        <v>0</v>
      </c>
    </row>
    <row r="85" spans="1:18" ht="18" hidden="1" outlineLevel="1">
      <c r="A85" s="38" t="s">
        <v>201</v>
      </c>
      <c r="B85" s="39">
        <f>-'[36]Budget 2022'!DC24</f>
        <v>0</v>
      </c>
      <c r="C85" s="39">
        <f>-'[36]Budget 2022'!DD24</f>
        <v>0</v>
      </c>
      <c r="D85" s="39">
        <f>-'[36]Budget 2022'!DE24</f>
        <v>0</v>
      </c>
      <c r="E85" s="39">
        <f t="shared" si="8"/>
        <v>0</v>
      </c>
      <c r="F85" s="39">
        <f>-'[36]Budget 2022'!DG24</f>
        <v>0</v>
      </c>
      <c r="G85" s="39">
        <f>-'[36]Budget 2022'!DH24</f>
        <v>0</v>
      </c>
      <c r="H85" s="39">
        <f>-'[36]Budget 2022'!DI24</f>
        <v>0</v>
      </c>
      <c r="I85" s="39">
        <f t="shared" si="9"/>
        <v>0</v>
      </c>
      <c r="J85" s="39">
        <f>-'[36]Budget 2022'!DK24</f>
        <v>0</v>
      </c>
      <c r="K85" s="39">
        <f>-'[36]Budget 2022'!DL24</f>
        <v>0</v>
      </c>
      <c r="L85" s="39">
        <f>-'[36]Budget 2022'!DM24</f>
        <v>0</v>
      </c>
      <c r="M85" s="39">
        <f t="shared" si="10"/>
        <v>0</v>
      </c>
      <c r="N85" s="39">
        <f>-'[36]Budget 2022'!DO24</f>
        <v>0</v>
      </c>
      <c r="O85" s="39">
        <f>-'[36]Budget 2022'!DP24</f>
        <v>0</v>
      </c>
      <c r="P85" s="39">
        <f>-'[36]Budget 2022'!DQ24</f>
        <v>0</v>
      </c>
      <c r="Q85" s="39">
        <f t="shared" si="11"/>
        <v>0</v>
      </c>
      <c r="R85" s="39">
        <f t="shared" si="41"/>
        <v>0</v>
      </c>
    </row>
    <row r="86" spans="1:18" ht="18" hidden="1" outlineLevel="1">
      <c r="A86" s="38" t="s">
        <v>202</v>
      </c>
      <c r="B86" s="39">
        <f>-'[36]Budget 2022'!DC30</f>
        <v>0</v>
      </c>
      <c r="C86" s="39">
        <f>-'[36]Budget 2022'!DD30</f>
        <v>0</v>
      </c>
      <c r="D86" s="39">
        <f>-'[36]Budget 2022'!DE30</f>
        <v>0</v>
      </c>
      <c r="E86" s="39">
        <f t="shared" si="8"/>
        <v>0</v>
      </c>
      <c r="F86" s="39">
        <f>-'[36]Budget 2022'!DG30</f>
        <v>0</v>
      </c>
      <c r="G86" s="39">
        <f>-'[36]Budget 2022'!DH30</f>
        <v>0</v>
      </c>
      <c r="H86" s="39">
        <f>-'[36]Budget 2022'!DI30</f>
        <v>0</v>
      </c>
      <c r="I86" s="39">
        <f t="shared" si="9"/>
        <v>0</v>
      </c>
      <c r="J86" s="39">
        <f>-'[36]Budget 2022'!DK30</f>
        <v>0</v>
      </c>
      <c r="K86" s="39">
        <f>-'[36]Budget 2022'!DL30</f>
        <v>0</v>
      </c>
      <c r="L86" s="39">
        <f>-'[36]Budget 2022'!DM30</f>
        <v>0</v>
      </c>
      <c r="M86" s="39">
        <f t="shared" si="10"/>
        <v>0</v>
      </c>
      <c r="N86" s="39">
        <f>-'[36]Budget 2022'!DO30</f>
        <v>0</v>
      </c>
      <c r="O86" s="39">
        <f>-'[36]Budget 2022'!DP30</f>
        <v>0</v>
      </c>
      <c r="P86" s="39">
        <f>-'[36]Budget 2022'!DQ30</f>
        <v>0</v>
      </c>
      <c r="Q86" s="39">
        <f t="shared" si="11"/>
        <v>0</v>
      </c>
      <c r="R86" s="39">
        <f t="shared" si="41"/>
        <v>0</v>
      </c>
    </row>
    <row r="87" spans="1:18" ht="18" hidden="1" outlineLevel="1">
      <c r="A87" s="38" t="s">
        <v>203</v>
      </c>
      <c r="B87" s="39">
        <f>-'[36]Budget 2022'!DC37</f>
        <v>0</v>
      </c>
      <c r="C87" s="39">
        <f>-'[36]Budget 2022'!DD37</f>
        <v>0</v>
      </c>
      <c r="D87" s="39">
        <f>-'[36]Budget 2022'!DE37</f>
        <v>0</v>
      </c>
      <c r="E87" s="39">
        <f t="shared" si="8"/>
        <v>0</v>
      </c>
      <c r="F87" s="39">
        <f>-'[36]Budget 2022'!DG37</f>
        <v>0</v>
      </c>
      <c r="G87" s="39">
        <f>-'[36]Budget 2022'!DH37</f>
        <v>0</v>
      </c>
      <c r="H87" s="39">
        <f>-'[36]Budget 2022'!DI37</f>
        <v>0</v>
      </c>
      <c r="I87" s="39">
        <f t="shared" si="9"/>
        <v>0</v>
      </c>
      <c r="J87" s="39">
        <f>-'[36]Budget 2022'!DK37</f>
        <v>0</v>
      </c>
      <c r="K87" s="39">
        <f>-'[36]Budget 2022'!DL37</f>
        <v>0</v>
      </c>
      <c r="L87" s="39">
        <f>-'[36]Budget 2022'!DM37</f>
        <v>0</v>
      </c>
      <c r="M87" s="39">
        <f t="shared" si="10"/>
        <v>0</v>
      </c>
      <c r="N87" s="39">
        <f>-'[36]Budget 2022'!DO37</f>
        <v>0</v>
      </c>
      <c r="O87" s="39">
        <f>-'[36]Budget 2022'!DP37</f>
        <v>0</v>
      </c>
      <c r="P87" s="39">
        <f>-'[36]Budget 2022'!DQ37</f>
        <v>0</v>
      </c>
      <c r="Q87" s="39">
        <f t="shared" si="11"/>
        <v>0</v>
      </c>
      <c r="R87" s="39">
        <f t="shared" si="41"/>
        <v>0</v>
      </c>
    </row>
    <row r="88" spans="1:18" ht="18" hidden="1" outlineLevel="1">
      <c r="A88" s="38" t="s">
        <v>204</v>
      </c>
      <c r="B88" s="39">
        <f>-'[36]Budget 2022'!DC48</f>
        <v>0</v>
      </c>
      <c r="C88" s="39">
        <f>-'[36]Budget 2022'!DD48</f>
        <v>0</v>
      </c>
      <c r="D88" s="39">
        <f>-'[36]Budget 2022'!DE48</f>
        <v>0</v>
      </c>
      <c r="E88" s="39">
        <f t="shared" si="8"/>
        <v>0</v>
      </c>
      <c r="F88" s="39">
        <f>-'[36]Budget 2022'!DG48</f>
        <v>0</v>
      </c>
      <c r="G88" s="39">
        <f>-'[36]Budget 2022'!DH48</f>
        <v>0</v>
      </c>
      <c r="H88" s="39">
        <f>-'[36]Budget 2022'!DI48</f>
        <v>0</v>
      </c>
      <c r="I88" s="39">
        <f t="shared" si="9"/>
        <v>0</v>
      </c>
      <c r="J88" s="39">
        <f>-'[36]Budget 2022'!DK48</f>
        <v>0</v>
      </c>
      <c r="K88" s="39">
        <f>-'[36]Budget 2022'!DL48</f>
        <v>0</v>
      </c>
      <c r="L88" s="39">
        <f>-'[36]Budget 2022'!DM48</f>
        <v>0</v>
      </c>
      <c r="M88" s="39">
        <f t="shared" si="10"/>
        <v>0</v>
      </c>
      <c r="N88" s="39">
        <f>-'[36]Budget 2022'!DO48</f>
        <v>0</v>
      </c>
      <c r="O88" s="39">
        <f>-'[36]Budget 2022'!DP48</f>
        <v>0</v>
      </c>
      <c r="P88" s="39">
        <f>-'[36]Budget 2022'!DQ48</f>
        <v>0</v>
      </c>
      <c r="Q88" s="39">
        <f t="shared" si="11"/>
        <v>0</v>
      </c>
      <c r="R88" s="39">
        <f t="shared" si="41"/>
        <v>0</v>
      </c>
    </row>
    <row r="89" spans="1:18" ht="18" hidden="1" outlineLevel="1">
      <c r="A89" s="38" t="s">
        <v>205</v>
      </c>
      <c r="B89" s="39">
        <f>-'[36]Budget 2022'!DC50</f>
        <v>0</v>
      </c>
      <c r="C89" s="39">
        <f>-'[36]Budget 2022'!DD50</f>
        <v>0</v>
      </c>
      <c r="D89" s="39">
        <f>-'[36]Budget 2022'!DE50</f>
        <v>0</v>
      </c>
      <c r="E89" s="39">
        <f t="shared" si="8"/>
        <v>0</v>
      </c>
      <c r="F89" s="39">
        <f>-'[36]Budget 2022'!DG50</f>
        <v>0</v>
      </c>
      <c r="G89" s="39">
        <f>-'[36]Budget 2022'!DH50</f>
        <v>0</v>
      </c>
      <c r="H89" s="39">
        <f>-'[36]Budget 2022'!DI50</f>
        <v>0</v>
      </c>
      <c r="I89" s="39">
        <f t="shared" si="9"/>
        <v>0</v>
      </c>
      <c r="J89" s="39">
        <f>-'[36]Budget 2022'!DK50</f>
        <v>0</v>
      </c>
      <c r="K89" s="39">
        <f>-'[36]Budget 2022'!DL50</f>
        <v>0</v>
      </c>
      <c r="L89" s="39">
        <f>-'[36]Budget 2022'!DM50</f>
        <v>0</v>
      </c>
      <c r="M89" s="39">
        <f t="shared" si="10"/>
        <v>0</v>
      </c>
      <c r="N89" s="39">
        <f>-'[36]Budget 2022'!DO50</f>
        <v>0</v>
      </c>
      <c r="O89" s="39">
        <f>-'[36]Budget 2022'!DP50</f>
        <v>0</v>
      </c>
      <c r="P89" s="39">
        <f>-'[36]Budget 2022'!DQ50</f>
        <v>0</v>
      </c>
      <c r="Q89" s="39">
        <f t="shared" si="11"/>
        <v>0</v>
      </c>
      <c r="R89" s="39">
        <f t="shared" si="41"/>
        <v>0</v>
      </c>
    </row>
    <row r="90" spans="1:18" ht="18" hidden="1" outlineLevel="1">
      <c r="A90" s="38" t="s">
        <v>206</v>
      </c>
      <c r="B90" s="39">
        <f>-'[36]Budget 2022'!DC61</f>
        <v>0</v>
      </c>
      <c r="C90" s="39">
        <f>-'[36]Budget 2022'!DD61</f>
        <v>0</v>
      </c>
      <c r="D90" s="39">
        <f>-'[36]Budget 2022'!DE61</f>
        <v>0</v>
      </c>
      <c r="E90" s="39">
        <f t="shared" si="8"/>
        <v>0</v>
      </c>
      <c r="F90" s="39">
        <f>-'[36]Budget 2022'!DG61</f>
        <v>0</v>
      </c>
      <c r="G90" s="39">
        <f>-'[36]Budget 2022'!DH61</f>
        <v>0</v>
      </c>
      <c r="H90" s="39">
        <f>-'[36]Budget 2022'!DI61</f>
        <v>0</v>
      </c>
      <c r="I90" s="39">
        <f t="shared" si="9"/>
        <v>0</v>
      </c>
      <c r="J90" s="39">
        <f>-'[36]Budget 2022'!DK61</f>
        <v>0</v>
      </c>
      <c r="K90" s="39">
        <f>-'[36]Budget 2022'!DL61</f>
        <v>0</v>
      </c>
      <c r="L90" s="39">
        <f>-'[36]Budget 2022'!DM61</f>
        <v>0</v>
      </c>
      <c r="M90" s="39">
        <f t="shared" si="10"/>
        <v>0</v>
      </c>
      <c r="N90" s="39">
        <f>-'[36]Budget 2022'!DO61</f>
        <v>0</v>
      </c>
      <c r="O90" s="39">
        <f>-'[36]Budget 2022'!DP61</f>
        <v>0</v>
      </c>
      <c r="P90" s="39">
        <f>-'[36]Budget 2022'!DQ61</f>
        <v>0</v>
      </c>
      <c r="Q90" s="39">
        <f t="shared" si="11"/>
        <v>0</v>
      </c>
      <c r="R90" s="39">
        <f t="shared" si="41"/>
        <v>0</v>
      </c>
    </row>
    <row r="91" spans="1:18" ht="18" hidden="1" outlineLevel="1">
      <c r="A91" s="38" t="s">
        <v>207</v>
      </c>
      <c r="B91" s="39">
        <f>-'[36]Budget 2022'!DC63</f>
        <v>0</v>
      </c>
      <c r="C91" s="39">
        <f>-'[36]Budget 2022'!DD63</f>
        <v>0</v>
      </c>
      <c r="D91" s="39">
        <f>-'[36]Budget 2022'!DE63</f>
        <v>0</v>
      </c>
      <c r="E91" s="39">
        <f t="shared" si="8"/>
        <v>0</v>
      </c>
      <c r="F91" s="39">
        <f>-'[36]Budget 2022'!DG63</f>
        <v>0</v>
      </c>
      <c r="G91" s="39">
        <f>-'[36]Budget 2022'!DH63</f>
        <v>0</v>
      </c>
      <c r="H91" s="39">
        <f>-'[36]Budget 2022'!DI63</f>
        <v>0</v>
      </c>
      <c r="I91" s="39">
        <f t="shared" si="9"/>
        <v>0</v>
      </c>
      <c r="J91" s="39">
        <f>-'[36]Budget 2022'!DK63</f>
        <v>0</v>
      </c>
      <c r="K91" s="39">
        <f>-'[36]Budget 2022'!DL63</f>
        <v>0</v>
      </c>
      <c r="L91" s="39">
        <f>-'[36]Budget 2022'!DM63</f>
        <v>0</v>
      </c>
      <c r="M91" s="39">
        <f t="shared" si="10"/>
        <v>0</v>
      </c>
      <c r="N91" s="39">
        <f>-'[36]Budget 2022'!DO63</f>
        <v>0</v>
      </c>
      <c r="O91" s="39">
        <f>-'[36]Budget 2022'!DP63</f>
        <v>0</v>
      </c>
      <c r="P91" s="39">
        <f>-'[36]Budget 2022'!DQ63</f>
        <v>0</v>
      </c>
      <c r="Q91" s="39">
        <f t="shared" si="11"/>
        <v>0</v>
      </c>
      <c r="R91" s="39">
        <f t="shared" si="41"/>
        <v>0</v>
      </c>
    </row>
    <row r="92" spans="1:18" ht="18" hidden="1" outlineLevel="1">
      <c r="A92" s="38" t="s">
        <v>208</v>
      </c>
      <c r="B92" s="39">
        <f>-'[36]Budget 2022'!DC74</f>
        <v>0</v>
      </c>
      <c r="C92" s="39">
        <f>-'[36]Budget 2022'!DD74</f>
        <v>0</v>
      </c>
      <c r="D92" s="39">
        <f>-'[36]Budget 2022'!DE74</f>
        <v>0</v>
      </c>
      <c r="E92" s="39">
        <f t="shared" si="8"/>
        <v>0</v>
      </c>
      <c r="F92" s="39">
        <f>-'[36]Budget 2022'!DG74</f>
        <v>0</v>
      </c>
      <c r="G92" s="39">
        <f>-'[36]Budget 2022'!DH74</f>
        <v>0</v>
      </c>
      <c r="H92" s="39">
        <f>-'[36]Budget 2022'!DI74</f>
        <v>0</v>
      </c>
      <c r="I92" s="39">
        <f t="shared" si="9"/>
        <v>0</v>
      </c>
      <c r="J92" s="39">
        <f>-'[36]Budget 2022'!DK74</f>
        <v>0</v>
      </c>
      <c r="K92" s="39">
        <f>-'[36]Budget 2022'!DL74</f>
        <v>0</v>
      </c>
      <c r="L92" s="39">
        <f>-'[36]Budget 2022'!DM74</f>
        <v>0</v>
      </c>
      <c r="M92" s="39">
        <f t="shared" si="10"/>
        <v>0</v>
      </c>
      <c r="N92" s="39">
        <f>-'[36]Budget 2022'!DO74</f>
        <v>0</v>
      </c>
      <c r="O92" s="39">
        <f>-'[36]Budget 2022'!DP74</f>
        <v>0</v>
      </c>
      <c r="P92" s="39">
        <f>-'[36]Budget 2022'!DQ74</f>
        <v>0</v>
      </c>
      <c r="Q92" s="39">
        <f t="shared" si="11"/>
        <v>0</v>
      </c>
      <c r="R92" s="39">
        <f t="shared" si="41"/>
        <v>0</v>
      </c>
    </row>
    <row r="93" spans="1:18" s="35" customFormat="1" ht="31.2" collapsed="1">
      <c r="A93" s="31" t="s">
        <v>216</v>
      </c>
      <c r="B93" s="32">
        <f>SUM(B94,B97)</f>
        <v>503125.29000000004</v>
      </c>
      <c r="C93" s="32">
        <f>SUM(C94,C97)</f>
        <v>503125.29000000004</v>
      </c>
      <c r="D93" s="32">
        <f>SUM(D94,D97)</f>
        <v>560674.29</v>
      </c>
      <c r="E93" s="32">
        <f t="shared" si="8"/>
        <v>1566924.87</v>
      </c>
      <c r="F93" s="32">
        <f>SUM(F94,F97)</f>
        <v>428559.38</v>
      </c>
      <c r="G93" s="32">
        <f>SUM(G94,G97)</f>
        <v>418559.35</v>
      </c>
      <c r="H93" s="32">
        <f>SUM(H94,H97)</f>
        <v>466108.35</v>
      </c>
      <c r="I93" s="32">
        <f t="shared" si="9"/>
        <v>1313227.08</v>
      </c>
      <c r="J93" s="32">
        <f>SUM(J94,J97)</f>
        <v>288582.34999999998</v>
      </c>
      <c r="K93" s="32">
        <f>SUM(K94,K97)</f>
        <v>288582.34999999998</v>
      </c>
      <c r="L93" s="32">
        <f>SUM(L94,L97)</f>
        <v>336131.35</v>
      </c>
      <c r="M93" s="32">
        <f t="shared" si="10"/>
        <v>913296.04999999993</v>
      </c>
      <c r="N93" s="32">
        <f>SUM(N94,N97)</f>
        <v>288582.34999999998</v>
      </c>
      <c r="O93" s="32">
        <f>SUM(O94,O97)</f>
        <v>288582.34999999998</v>
      </c>
      <c r="P93" s="32">
        <f>SUM(P94,P97)</f>
        <v>336131.35</v>
      </c>
      <c r="Q93" s="32">
        <f t="shared" si="11"/>
        <v>913296.04999999993</v>
      </c>
      <c r="R93" s="61">
        <f>SUM(R94,R97)</f>
        <v>4706744.05</v>
      </c>
    </row>
    <row r="94" spans="1:18" ht="18" hidden="1" outlineLevel="1">
      <c r="A94" s="36" t="s">
        <v>197</v>
      </c>
      <c r="B94" s="42">
        <f>SUM(B95:B96)</f>
        <v>301941.29000000004</v>
      </c>
      <c r="C94" s="42">
        <f>SUM(C95:C96)</f>
        <v>301941.29000000004</v>
      </c>
      <c r="D94" s="42">
        <f>SUM(D95:D96)</f>
        <v>311941.29000000004</v>
      </c>
      <c r="E94" s="42">
        <f t="shared" si="8"/>
        <v>915823.87000000011</v>
      </c>
      <c r="F94" s="42">
        <f>SUM(F95:F96)</f>
        <v>253457.38</v>
      </c>
      <c r="G94" s="42">
        <f>SUM(G95:G96)</f>
        <v>243457.35</v>
      </c>
      <c r="H94" s="42">
        <f>SUM(H95:H96)</f>
        <v>243457.35</v>
      </c>
      <c r="I94" s="42">
        <f t="shared" si="9"/>
        <v>740372.08</v>
      </c>
      <c r="J94" s="42">
        <f>SUM(J95:J96)</f>
        <v>233457.35</v>
      </c>
      <c r="K94" s="42">
        <f>SUM(K95:K96)</f>
        <v>233457.35</v>
      </c>
      <c r="L94" s="42">
        <f>SUM(L95:L96)</f>
        <v>233457.35</v>
      </c>
      <c r="M94" s="42">
        <f t="shared" si="10"/>
        <v>700372.05</v>
      </c>
      <c r="N94" s="42">
        <f>SUM(N95:N96)</f>
        <v>233457.35</v>
      </c>
      <c r="O94" s="42">
        <f>SUM(O95:O96)</f>
        <v>233457.35</v>
      </c>
      <c r="P94" s="42">
        <f>SUM(P95:P96)</f>
        <v>233457.35</v>
      </c>
      <c r="Q94" s="42">
        <f t="shared" si="11"/>
        <v>700372.05</v>
      </c>
      <c r="R94" s="42">
        <f>SUM(R95:R96)</f>
        <v>3056940.05</v>
      </c>
    </row>
    <row r="95" spans="1:18" ht="18" hidden="1" outlineLevel="1">
      <c r="A95" s="38" t="s">
        <v>198</v>
      </c>
      <c r="B95" s="39">
        <f>-'[36]Budget 2022'!DT7</f>
        <v>281941.30000000005</v>
      </c>
      <c r="C95" s="39">
        <f>-'[36]Budget 2022'!DU7</f>
        <v>281941.30000000005</v>
      </c>
      <c r="D95" s="39">
        <f>-'[36]Budget 2022'!DV7</f>
        <v>281941.30000000005</v>
      </c>
      <c r="E95" s="39">
        <f t="shared" si="8"/>
        <v>845823.90000000014</v>
      </c>
      <c r="F95" s="39">
        <f>-'[36]Budget 2022'!DX7</f>
        <v>223457.35</v>
      </c>
      <c r="G95" s="39">
        <f>-'[36]Budget 2022'!DY7</f>
        <v>223457.35</v>
      </c>
      <c r="H95" s="39">
        <f>-'[36]Budget 2022'!DZ7</f>
        <v>223457.35</v>
      </c>
      <c r="I95" s="39">
        <f t="shared" si="9"/>
        <v>670372.05000000005</v>
      </c>
      <c r="J95" s="39">
        <f>-'[36]Budget 2022'!EB7</f>
        <v>223457.35</v>
      </c>
      <c r="K95" s="39">
        <f>-'[36]Budget 2022'!EC7</f>
        <v>223457.35</v>
      </c>
      <c r="L95" s="39">
        <f>-'[36]Budget 2022'!ED7</f>
        <v>223457.35</v>
      </c>
      <c r="M95" s="39">
        <f t="shared" si="10"/>
        <v>670372.05000000005</v>
      </c>
      <c r="N95" s="39">
        <f>-'[36]Budget 2022'!EF7</f>
        <v>223457.35</v>
      </c>
      <c r="O95" s="39">
        <f>-'[36]Budget 2022'!EG7</f>
        <v>223457.35</v>
      </c>
      <c r="P95" s="39">
        <f>-'[36]Budget 2022'!EH7</f>
        <v>223457.35</v>
      </c>
      <c r="Q95" s="39">
        <f t="shared" si="11"/>
        <v>670372.05000000005</v>
      </c>
      <c r="R95" s="39">
        <f t="shared" ref="R95:R96" si="42">SUM(E95,I95,M95,Q95)</f>
        <v>2856940.05</v>
      </c>
    </row>
    <row r="96" spans="1:18" ht="18" hidden="1" outlineLevel="1">
      <c r="A96" s="38" t="s">
        <v>199</v>
      </c>
      <c r="B96" s="39">
        <f>-'[36]Budget 2022'!DT17</f>
        <v>19999.989999999998</v>
      </c>
      <c r="C96" s="39">
        <f>-'[36]Budget 2022'!DU17</f>
        <v>19999.989999999998</v>
      </c>
      <c r="D96" s="39">
        <f>-'[36]Budget 2022'!DV17</f>
        <v>29999.989999999998</v>
      </c>
      <c r="E96" s="39">
        <f>SUM(B96:D96)</f>
        <v>69999.97</v>
      </c>
      <c r="F96" s="39">
        <f>-'[36]Budget 2022'!DX17</f>
        <v>30000.030000000002</v>
      </c>
      <c r="G96" s="39">
        <f>-'[36]Budget 2022'!DY17</f>
        <v>20000</v>
      </c>
      <c r="H96" s="39">
        <f>-'[36]Budget 2022'!DZ17</f>
        <v>20000</v>
      </c>
      <c r="I96" s="39">
        <f t="shared" si="9"/>
        <v>70000.03</v>
      </c>
      <c r="J96" s="39">
        <f>-'[36]Budget 2022'!EB17</f>
        <v>10000</v>
      </c>
      <c r="K96" s="39">
        <f>-'[36]Budget 2022'!EC17</f>
        <v>10000</v>
      </c>
      <c r="L96" s="39">
        <f>-'[36]Budget 2022'!ED17</f>
        <v>10000</v>
      </c>
      <c r="M96" s="39">
        <f t="shared" si="10"/>
        <v>30000</v>
      </c>
      <c r="N96" s="39">
        <f>-'[36]Budget 2022'!EF17</f>
        <v>10000</v>
      </c>
      <c r="O96" s="39">
        <f>-'[36]Budget 2022'!EG17</f>
        <v>10000</v>
      </c>
      <c r="P96" s="39">
        <f>-'[36]Budget 2022'!EH17</f>
        <v>10000</v>
      </c>
      <c r="Q96" s="39">
        <f t="shared" si="11"/>
        <v>30000</v>
      </c>
      <c r="R96" s="39">
        <f t="shared" si="42"/>
        <v>200000</v>
      </c>
    </row>
    <row r="97" spans="1:19" ht="18" hidden="1" outlineLevel="1">
      <c r="A97" s="36" t="s">
        <v>200</v>
      </c>
      <c r="B97" s="42">
        <f>SUM(B98:B105)</f>
        <v>201184</v>
      </c>
      <c r="C97" s="42">
        <f>SUM(C98:C105)</f>
        <v>201184</v>
      </c>
      <c r="D97" s="42">
        <f>SUM(D98:D105)</f>
        <v>248733</v>
      </c>
      <c r="E97" s="42">
        <f t="shared" ref="E97:E105" si="43">SUM(B97:D97)</f>
        <v>651101</v>
      </c>
      <c r="F97" s="42">
        <f>SUM(F98:F105)</f>
        <v>175102</v>
      </c>
      <c r="G97" s="42">
        <f>SUM(G98:G105)</f>
        <v>175102</v>
      </c>
      <c r="H97" s="42">
        <f>SUM(H98:H105)</f>
        <v>222651</v>
      </c>
      <c r="I97" s="42">
        <f t="shared" si="9"/>
        <v>572855</v>
      </c>
      <c r="J97" s="42">
        <f>SUM(J98:J105)</f>
        <v>55125</v>
      </c>
      <c r="K97" s="42">
        <f>SUM(K98:K105)</f>
        <v>55125</v>
      </c>
      <c r="L97" s="42">
        <f>SUM(L98:L105)</f>
        <v>102674</v>
      </c>
      <c r="M97" s="42">
        <f t="shared" si="10"/>
        <v>212924</v>
      </c>
      <c r="N97" s="42">
        <f>SUM(N98:N105)</f>
        <v>55125</v>
      </c>
      <c r="O97" s="42">
        <f>SUM(O98:O105)</f>
        <v>55125</v>
      </c>
      <c r="P97" s="42">
        <f>SUM(P98:P105)</f>
        <v>102674</v>
      </c>
      <c r="Q97" s="42">
        <f t="shared" si="11"/>
        <v>212924</v>
      </c>
      <c r="R97" s="42">
        <f>SUM(R98:R105)</f>
        <v>1649804</v>
      </c>
    </row>
    <row r="98" spans="1:19" ht="18" hidden="1" outlineLevel="1">
      <c r="A98" s="38" t="s">
        <v>201</v>
      </c>
      <c r="B98" s="39">
        <f>-'[36]Budget 2022'!DT24</f>
        <v>146059</v>
      </c>
      <c r="C98" s="39">
        <f>-'[36]Budget 2022'!DU24</f>
        <v>146059</v>
      </c>
      <c r="D98" s="39">
        <f>-'[36]Budget 2022'!DV24</f>
        <v>193608</v>
      </c>
      <c r="E98" s="39">
        <f t="shared" si="43"/>
        <v>485726</v>
      </c>
      <c r="F98" s="39">
        <f>-'[36]Budget 2022'!DX24</f>
        <v>119977</v>
      </c>
      <c r="G98" s="39">
        <f>-'[36]Budget 2022'!DY24</f>
        <v>119977</v>
      </c>
      <c r="H98" s="39">
        <f>-'[36]Budget 2022'!DZ24</f>
        <v>167526</v>
      </c>
      <c r="I98" s="39">
        <f t="shared" si="9"/>
        <v>407480</v>
      </c>
      <c r="J98" s="39">
        <f>-'[36]Budget 2022'!EB24</f>
        <v>0</v>
      </c>
      <c r="K98" s="39">
        <f>-'[36]Budget 2022'!EC24</f>
        <v>0</v>
      </c>
      <c r="L98" s="39">
        <f>-'[36]Budget 2022'!ED24</f>
        <v>0</v>
      </c>
      <c r="M98" s="39">
        <f t="shared" si="10"/>
        <v>0</v>
      </c>
      <c r="N98" s="39">
        <f>-'[36]Budget 2022'!EF24</f>
        <v>0</v>
      </c>
      <c r="O98" s="39">
        <f>-'[36]Budget 2022'!EG24</f>
        <v>0</v>
      </c>
      <c r="P98" s="39">
        <f>-'[36]Budget 2022'!EH24</f>
        <v>0</v>
      </c>
      <c r="Q98" s="39">
        <f t="shared" si="11"/>
        <v>0</v>
      </c>
      <c r="R98" s="39">
        <f t="shared" ref="R98:R105" si="44">SUM(E98,I98,M98,Q98)</f>
        <v>893206</v>
      </c>
    </row>
    <row r="99" spans="1:19" ht="18" hidden="1" outlineLevel="1">
      <c r="A99" s="38" t="s">
        <v>202</v>
      </c>
      <c r="B99" s="39">
        <f>-'[36]Budget 2022'!DT30</f>
        <v>30000</v>
      </c>
      <c r="C99" s="39">
        <f>-'[36]Budget 2022'!DU30</f>
        <v>30000</v>
      </c>
      <c r="D99" s="39">
        <f>-'[36]Budget 2022'!DV30</f>
        <v>30000</v>
      </c>
      <c r="E99" s="39">
        <f t="shared" si="43"/>
        <v>90000</v>
      </c>
      <c r="F99" s="39">
        <f>-'[36]Budget 2022'!DX30</f>
        <v>30000</v>
      </c>
      <c r="G99" s="39">
        <f>-'[36]Budget 2022'!DY30</f>
        <v>30000</v>
      </c>
      <c r="H99" s="39">
        <f>-'[36]Budget 2022'!DZ30</f>
        <v>30000</v>
      </c>
      <c r="I99" s="39">
        <f t="shared" si="9"/>
        <v>90000</v>
      </c>
      <c r="J99" s="39">
        <f>-'[36]Budget 2022'!EB30</f>
        <v>30000</v>
      </c>
      <c r="K99" s="39">
        <f>-'[36]Budget 2022'!EC30</f>
        <v>30000</v>
      </c>
      <c r="L99" s="39">
        <f>-'[36]Budget 2022'!ED30</f>
        <v>77549</v>
      </c>
      <c r="M99" s="39">
        <f t="shared" si="10"/>
        <v>137549</v>
      </c>
      <c r="N99" s="39">
        <f>-'[36]Budget 2022'!EF30</f>
        <v>30000</v>
      </c>
      <c r="O99" s="39">
        <f>-'[36]Budget 2022'!EG30</f>
        <v>30000</v>
      </c>
      <c r="P99" s="39">
        <f>-'[36]Budget 2022'!EH30</f>
        <v>77549</v>
      </c>
      <c r="Q99" s="39">
        <f t="shared" si="11"/>
        <v>137549</v>
      </c>
      <c r="R99" s="39">
        <f t="shared" si="44"/>
        <v>455098</v>
      </c>
    </row>
    <row r="100" spans="1:19" ht="18" hidden="1" outlineLevel="1">
      <c r="A100" s="38" t="s">
        <v>203</v>
      </c>
      <c r="B100" s="39">
        <f>-'[36]Budget 2022'!DT37</f>
        <v>0</v>
      </c>
      <c r="C100" s="39">
        <f>-'[36]Budget 2022'!DU37</f>
        <v>0</v>
      </c>
      <c r="D100" s="39">
        <f>-'[36]Budget 2022'!DV37</f>
        <v>0</v>
      </c>
      <c r="E100" s="39">
        <f t="shared" si="43"/>
        <v>0</v>
      </c>
      <c r="F100" s="39">
        <f>-'[36]Budget 2022'!DX37</f>
        <v>0</v>
      </c>
      <c r="G100" s="39">
        <f>-'[36]Budget 2022'!DY37</f>
        <v>0</v>
      </c>
      <c r="H100" s="39">
        <f>-'[36]Budget 2022'!DZ37</f>
        <v>0</v>
      </c>
      <c r="I100" s="39">
        <f t="shared" si="9"/>
        <v>0</v>
      </c>
      <c r="J100" s="39">
        <f>-'[36]Budget 2022'!EB37</f>
        <v>0</v>
      </c>
      <c r="K100" s="39">
        <f>-'[36]Budget 2022'!EC37</f>
        <v>0</v>
      </c>
      <c r="L100" s="39">
        <f>-'[36]Budget 2022'!ED37</f>
        <v>0</v>
      </c>
      <c r="M100" s="39">
        <f t="shared" si="10"/>
        <v>0</v>
      </c>
      <c r="N100" s="39">
        <f>-'[36]Budget 2022'!EF37</f>
        <v>0</v>
      </c>
      <c r="O100" s="39">
        <f>-'[36]Budget 2022'!EG37</f>
        <v>0</v>
      </c>
      <c r="P100" s="39">
        <f>-'[36]Budget 2022'!EH37</f>
        <v>0</v>
      </c>
      <c r="Q100" s="39">
        <f t="shared" si="11"/>
        <v>0</v>
      </c>
      <c r="R100" s="39">
        <f t="shared" si="44"/>
        <v>0</v>
      </c>
    </row>
    <row r="101" spans="1:19" ht="18" hidden="1" outlineLevel="1">
      <c r="A101" s="38" t="s">
        <v>204</v>
      </c>
      <c r="B101" s="39">
        <f>-'[36]Budget 2022'!DT48</f>
        <v>0</v>
      </c>
      <c r="C101" s="39">
        <f>-'[36]Budget 2022'!DU48</f>
        <v>0</v>
      </c>
      <c r="D101" s="39">
        <f>-'[36]Budget 2022'!DV48</f>
        <v>0</v>
      </c>
      <c r="E101" s="39">
        <f t="shared" si="43"/>
        <v>0</v>
      </c>
      <c r="F101" s="39">
        <f>-'[36]Budget 2022'!DX48</f>
        <v>0</v>
      </c>
      <c r="G101" s="39">
        <f>-'[36]Budget 2022'!DY48</f>
        <v>0</v>
      </c>
      <c r="H101" s="39">
        <f>-'[36]Budget 2022'!DZ48</f>
        <v>0</v>
      </c>
      <c r="I101" s="39">
        <f t="shared" si="9"/>
        <v>0</v>
      </c>
      <c r="J101" s="39">
        <f>-'[36]Budget 2022'!EB48</f>
        <v>0</v>
      </c>
      <c r="K101" s="39">
        <f>-'[36]Budget 2022'!EC48</f>
        <v>0</v>
      </c>
      <c r="L101" s="39">
        <f>-'[36]Budget 2022'!ED48</f>
        <v>0</v>
      </c>
      <c r="M101" s="39">
        <f t="shared" si="10"/>
        <v>0</v>
      </c>
      <c r="N101" s="39">
        <f>-'[36]Budget 2022'!EF48</f>
        <v>0</v>
      </c>
      <c r="O101" s="39">
        <f>-'[36]Budget 2022'!EG48</f>
        <v>0</v>
      </c>
      <c r="P101" s="39">
        <f>-'[36]Budget 2022'!EH48</f>
        <v>0</v>
      </c>
      <c r="Q101" s="39">
        <f t="shared" si="11"/>
        <v>0</v>
      </c>
      <c r="R101" s="39">
        <f t="shared" si="44"/>
        <v>0</v>
      </c>
    </row>
    <row r="102" spans="1:19" ht="18" hidden="1" outlineLevel="1">
      <c r="A102" s="38" t="s">
        <v>205</v>
      </c>
      <c r="B102" s="39">
        <f>-'[36]Budget 2022'!DT50</f>
        <v>0</v>
      </c>
      <c r="C102" s="39">
        <f>-'[36]Budget 2022'!DU50</f>
        <v>0</v>
      </c>
      <c r="D102" s="39">
        <f>-'[36]Budget 2022'!DV50</f>
        <v>0</v>
      </c>
      <c r="E102" s="39">
        <f t="shared" si="43"/>
        <v>0</v>
      </c>
      <c r="F102" s="39">
        <f>-'[36]Budget 2022'!DX50</f>
        <v>0</v>
      </c>
      <c r="G102" s="39">
        <f>-'[36]Budget 2022'!DY50</f>
        <v>0</v>
      </c>
      <c r="H102" s="39">
        <f>-'[36]Budget 2022'!DZ50</f>
        <v>0</v>
      </c>
      <c r="I102" s="39">
        <f t="shared" si="9"/>
        <v>0</v>
      </c>
      <c r="J102" s="39">
        <f>-'[36]Budget 2022'!EB50</f>
        <v>0</v>
      </c>
      <c r="K102" s="39">
        <f>-'[36]Budget 2022'!EC50</f>
        <v>0</v>
      </c>
      <c r="L102" s="39">
        <f>-'[36]Budget 2022'!ED50</f>
        <v>0</v>
      </c>
      <c r="M102" s="39">
        <f t="shared" si="10"/>
        <v>0</v>
      </c>
      <c r="N102" s="39">
        <f>-'[36]Budget 2022'!EF50</f>
        <v>0</v>
      </c>
      <c r="O102" s="39">
        <f>-'[36]Budget 2022'!EG50</f>
        <v>0</v>
      </c>
      <c r="P102" s="39">
        <f>-'[36]Budget 2022'!EH50</f>
        <v>0</v>
      </c>
      <c r="Q102" s="39">
        <f t="shared" si="11"/>
        <v>0</v>
      </c>
      <c r="R102" s="39">
        <f t="shared" si="44"/>
        <v>0</v>
      </c>
    </row>
    <row r="103" spans="1:19" ht="18" hidden="1" outlineLevel="1">
      <c r="A103" s="38" t="s">
        <v>206</v>
      </c>
      <c r="B103" s="39">
        <f>-'[36]Budget 2022'!DT61</f>
        <v>25125</v>
      </c>
      <c r="C103" s="39">
        <f>-'[36]Budget 2022'!DU61</f>
        <v>25125</v>
      </c>
      <c r="D103" s="39">
        <f>-'[36]Budget 2022'!DV61</f>
        <v>25125</v>
      </c>
      <c r="E103" s="39">
        <f t="shared" si="43"/>
        <v>75375</v>
      </c>
      <c r="F103" s="39">
        <f>-'[36]Budget 2022'!DX61</f>
        <v>25125</v>
      </c>
      <c r="G103" s="39">
        <f>-'[36]Budget 2022'!DY61</f>
        <v>25125</v>
      </c>
      <c r="H103" s="39">
        <f>-'[36]Budget 2022'!DZ61</f>
        <v>25125</v>
      </c>
      <c r="I103" s="39">
        <f t="shared" si="9"/>
        <v>75375</v>
      </c>
      <c r="J103" s="39">
        <f>-'[36]Budget 2022'!EB61</f>
        <v>25125</v>
      </c>
      <c r="K103" s="39">
        <f>-'[36]Budget 2022'!EC61</f>
        <v>25125</v>
      </c>
      <c r="L103" s="39">
        <f>-'[36]Budget 2022'!ED61</f>
        <v>25125</v>
      </c>
      <c r="M103" s="39">
        <f t="shared" si="10"/>
        <v>75375</v>
      </c>
      <c r="N103" s="39">
        <f>-'[36]Budget 2022'!EF61</f>
        <v>25125</v>
      </c>
      <c r="O103" s="39">
        <f>-'[36]Budget 2022'!EG61</f>
        <v>25125</v>
      </c>
      <c r="P103" s="39">
        <f>-'[36]Budget 2022'!EH61</f>
        <v>25125</v>
      </c>
      <c r="Q103" s="39">
        <f t="shared" si="11"/>
        <v>75375</v>
      </c>
      <c r="R103" s="39">
        <f t="shared" si="44"/>
        <v>301500</v>
      </c>
    </row>
    <row r="104" spans="1:19" ht="18" hidden="1" outlineLevel="1">
      <c r="A104" s="38" t="s">
        <v>207</v>
      </c>
      <c r="B104" s="39">
        <f>-'[36]Budget 2022'!DT63</f>
        <v>0</v>
      </c>
      <c r="C104" s="39">
        <f>-'[36]Budget 2022'!DU63</f>
        <v>0</v>
      </c>
      <c r="D104" s="39">
        <f>-'[36]Budget 2022'!DV63</f>
        <v>0</v>
      </c>
      <c r="E104" s="39">
        <f t="shared" si="43"/>
        <v>0</v>
      </c>
      <c r="F104" s="39">
        <f>-'[36]Budget 2022'!DX63</f>
        <v>0</v>
      </c>
      <c r="G104" s="39">
        <f>-'[36]Budget 2022'!DY63</f>
        <v>0</v>
      </c>
      <c r="H104" s="39">
        <f>-'[36]Budget 2022'!DZ63</f>
        <v>0</v>
      </c>
      <c r="I104" s="39">
        <f t="shared" si="9"/>
        <v>0</v>
      </c>
      <c r="J104" s="39">
        <f>-'[36]Budget 2022'!EB63</f>
        <v>0</v>
      </c>
      <c r="K104" s="39">
        <f>-'[36]Budget 2022'!EC63</f>
        <v>0</v>
      </c>
      <c r="L104" s="39">
        <f>-'[36]Budget 2022'!ED63</f>
        <v>0</v>
      </c>
      <c r="M104" s="39">
        <f t="shared" si="10"/>
        <v>0</v>
      </c>
      <c r="N104" s="39">
        <f>-'[36]Budget 2022'!EF63</f>
        <v>0</v>
      </c>
      <c r="O104" s="39">
        <f>-'[36]Budget 2022'!EG63</f>
        <v>0</v>
      </c>
      <c r="P104" s="39">
        <f>-'[36]Budget 2022'!EH63</f>
        <v>0</v>
      </c>
      <c r="Q104" s="39">
        <f t="shared" si="11"/>
        <v>0</v>
      </c>
      <c r="R104" s="39">
        <f t="shared" si="44"/>
        <v>0</v>
      </c>
    </row>
    <row r="105" spans="1:19" ht="18" hidden="1" outlineLevel="1">
      <c r="A105" s="38" t="s">
        <v>208</v>
      </c>
      <c r="B105" s="39">
        <f>-'[36]Budget 2022'!DT74</f>
        <v>0</v>
      </c>
      <c r="C105" s="39">
        <f>-'[36]Budget 2022'!DU74</f>
        <v>0</v>
      </c>
      <c r="D105" s="39">
        <f>-'[36]Budget 2022'!DV74</f>
        <v>0</v>
      </c>
      <c r="E105" s="39">
        <f t="shared" si="43"/>
        <v>0</v>
      </c>
      <c r="F105" s="39">
        <f>-'[36]Budget 2022'!DX74</f>
        <v>0</v>
      </c>
      <c r="G105" s="39">
        <f>-'[36]Budget 2022'!DY74</f>
        <v>0</v>
      </c>
      <c r="H105" s="39">
        <f>-'[36]Budget 2022'!DZ74</f>
        <v>0</v>
      </c>
      <c r="I105" s="39">
        <f t="shared" si="9"/>
        <v>0</v>
      </c>
      <c r="J105" s="39">
        <f>-'[36]Budget 2022'!EB74</f>
        <v>0</v>
      </c>
      <c r="K105" s="39">
        <f>-'[36]Budget 2022'!EC74</f>
        <v>0</v>
      </c>
      <c r="L105" s="39">
        <f>-'[36]Budget 2022'!ED74</f>
        <v>0</v>
      </c>
      <c r="M105" s="39">
        <f t="shared" si="10"/>
        <v>0</v>
      </c>
      <c r="N105" s="39">
        <f>-'[36]Budget 2022'!EF74</f>
        <v>0</v>
      </c>
      <c r="O105" s="39">
        <f>-'[36]Budget 2022'!EG74</f>
        <v>0</v>
      </c>
      <c r="P105" s="39">
        <f>-'[36]Budget 2022'!EH74</f>
        <v>0</v>
      </c>
      <c r="Q105" s="39">
        <f t="shared" si="11"/>
        <v>0</v>
      </c>
      <c r="R105" s="39">
        <f t="shared" si="44"/>
        <v>0</v>
      </c>
    </row>
    <row r="106" spans="1:19" s="35" customFormat="1" ht="31.8" collapsed="1" thickBot="1">
      <c r="A106" s="31" t="s">
        <v>217</v>
      </c>
      <c r="B106" s="32">
        <f>SUM(B107,B110)</f>
        <v>1009808.49</v>
      </c>
      <c r="C106" s="32">
        <f>SUM(C107,C110)</f>
        <v>1868999.61</v>
      </c>
      <c r="D106" s="32">
        <f>SUM(D107,D110)</f>
        <v>1517970.35</v>
      </c>
      <c r="E106" s="32">
        <f t="shared" si="8"/>
        <v>4396778.45</v>
      </c>
      <c r="F106" s="32">
        <f>SUM(F107,F110)</f>
        <v>1508038.33</v>
      </c>
      <c r="G106" s="32">
        <f>SUM(G107,G110)</f>
        <v>1508038.33</v>
      </c>
      <c r="H106" s="32">
        <f>SUM(H107,H110)</f>
        <v>1508038.33</v>
      </c>
      <c r="I106" s="32">
        <f t="shared" si="9"/>
        <v>4524114.99</v>
      </c>
      <c r="J106" s="32">
        <f>SUM(J107,J110)</f>
        <v>1405675.6600000001</v>
      </c>
      <c r="K106" s="32">
        <f>SUM(K107,K110)</f>
        <v>1405675.6600000001</v>
      </c>
      <c r="L106" s="32">
        <f>SUM(L107,L110)</f>
        <v>977357.49</v>
      </c>
      <c r="M106" s="32">
        <f t="shared" si="10"/>
        <v>3788708.8100000005</v>
      </c>
      <c r="N106" s="32">
        <f>SUM(N107,N110)</f>
        <v>978350.69000000006</v>
      </c>
      <c r="O106" s="32">
        <f>SUM(O107,O110)</f>
        <v>616008.9</v>
      </c>
      <c r="P106" s="32">
        <f>SUM(P107,P110)</f>
        <v>616008.9</v>
      </c>
      <c r="Q106" s="32">
        <f t="shared" si="11"/>
        <v>2210368.4900000002</v>
      </c>
      <c r="R106" s="61">
        <f>SUM(R107,R110)</f>
        <v>14919970.74</v>
      </c>
      <c r="S106" s="34"/>
    </row>
    <row r="107" spans="1:19" ht="18.75" hidden="1" customHeight="1" outlineLevel="1">
      <c r="A107" s="36" t="s">
        <v>197</v>
      </c>
      <c r="B107" s="42">
        <f>SUM(B108:B109)</f>
        <v>521016.98</v>
      </c>
      <c r="C107" s="42">
        <f t="shared" ref="C107:D107" si="45">SUM(C108:C109)</f>
        <v>1380208.1</v>
      </c>
      <c r="D107" s="42">
        <f t="shared" si="45"/>
        <v>1029178.8400000001</v>
      </c>
      <c r="E107" s="42">
        <f t="shared" si="8"/>
        <v>2930403.92</v>
      </c>
      <c r="F107" s="42">
        <f>SUM(F108:F109)</f>
        <v>1029178.8400000001</v>
      </c>
      <c r="G107" s="42">
        <f>SUM(G108:G109)</f>
        <v>1029178.8400000001</v>
      </c>
      <c r="H107" s="42">
        <f>SUM(H108:H109)</f>
        <v>1029178.8400000001</v>
      </c>
      <c r="I107" s="42">
        <f t="shared" si="9"/>
        <v>3087536.5200000005</v>
      </c>
      <c r="J107" s="42">
        <f>SUM(J108:J109)</f>
        <v>971242.08000000007</v>
      </c>
      <c r="K107" s="42">
        <f>SUM(K108:K109)</f>
        <v>971242.08000000007</v>
      </c>
      <c r="L107" s="42">
        <f>SUM(L108:L109)</f>
        <v>542923.91</v>
      </c>
      <c r="M107" s="42">
        <f t="shared" si="10"/>
        <v>2485408.0700000003</v>
      </c>
      <c r="N107" s="42">
        <f>SUM(N108:N109)</f>
        <v>542923.91</v>
      </c>
      <c r="O107" s="42">
        <f>SUM(O108:O109)</f>
        <v>180582.12</v>
      </c>
      <c r="P107" s="42">
        <f>SUM(P108:P109)</f>
        <v>180582.12</v>
      </c>
      <c r="Q107" s="42">
        <f t="shared" si="11"/>
        <v>904088.15</v>
      </c>
      <c r="R107" s="42">
        <f>SUM(R108:R109)</f>
        <v>9407436.6600000001</v>
      </c>
    </row>
    <row r="108" spans="1:19" ht="18.75" hidden="1" customHeight="1" outlineLevel="1">
      <c r="A108" s="38" t="s">
        <v>198</v>
      </c>
      <c r="B108" s="39">
        <f>-'[36]Budget 2022'!CL7</f>
        <v>92698.81</v>
      </c>
      <c r="C108" s="39">
        <f>-'[36]Budget 2022'!CM7</f>
        <v>771307.81</v>
      </c>
      <c r="D108" s="39">
        <f>-'[36]Budget 2022'!CN7</f>
        <v>420278.55000000005</v>
      </c>
      <c r="E108" s="39">
        <f t="shared" si="8"/>
        <v>1284285.1700000002</v>
      </c>
      <c r="F108" s="39">
        <f>-'[36]Budget 2022'!CP7</f>
        <v>420278.55000000005</v>
      </c>
      <c r="G108" s="39">
        <f>-'[36]Budget 2022'!CQ7</f>
        <v>420278.55000000005</v>
      </c>
      <c r="H108" s="39">
        <f>-'[36]Budget 2022'!CR7</f>
        <v>420278.55000000005</v>
      </c>
      <c r="I108" s="39">
        <f t="shared" si="9"/>
        <v>1260835.6500000001</v>
      </c>
      <c r="J108" s="39">
        <f>-'[36]Budget 2022'!CT7</f>
        <v>362341.79000000004</v>
      </c>
      <c r="K108" s="39">
        <f>-'[36]Budget 2022'!CU7</f>
        <v>362341.79000000004</v>
      </c>
      <c r="L108" s="39">
        <f>-'[36]Budget 2022'!CV7</f>
        <v>362341.79000000004</v>
      </c>
      <c r="M108" s="39">
        <f t="shared" si="10"/>
        <v>1087025.3700000001</v>
      </c>
      <c r="N108" s="39">
        <f>-'[36]Budget 2022'!CX7</f>
        <v>362341.79000000004</v>
      </c>
      <c r="O108" s="39">
        <f>-'[36]Budget 2022'!CY7</f>
        <v>0</v>
      </c>
      <c r="P108" s="39">
        <f>-'[36]Budget 2022'!CZ7</f>
        <v>0</v>
      </c>
      <c r="Q108" s="39">
        <f t="shared" si="11"/>
        <v>362341.79000000004</v>
      </c>
      <c r="R108" s="39">
        <f>SUM(E108,I108,M108,Q108)</f>
        <v>3994487.9800000004</v>
      </c>
    </row>
    <row r="109" spans="1:19" ht="18.75" hidden="1" customHeight="1" outlineLevel="1">
      <c r="A109" s="38" t="s">
        <v>199</v>
      </c>
      <c r="B109" s="39">
        <f>-'[36]Budget 2022'!CL17</f>
        <v>428318.17</v>
      </c>
      <c r="C109" s="39">
        <f>-'[36]Budget 2022'!CM17</f>
        <v>608900.29</v>
      </c>
      <c r="D109" s="39">
        <f>-'[36]Budget 2022'!CN17</f>
        <v>608900.29</v>
      </c>
      <c r="E109" s="39">
        <f t="shared" si="8"/>
        <v>1646118.75</v>
      </c>
      <c r="F109" s="39">
        <f>-'[36]Budget 2022'!CP17</f>
        <v>608900.29</v>
      </c>
      <c r="G109" s="39">
        <f>-'[36]Budget 2022'!CQ17</f>
        <v>608900.29</v>
      </c>
      <c r="H109" s="39">
        <f>-'[36]Budget 2022'!CR17</f>
        <v>608900.29</v>
      </c>
      <c r="I109" s="39">
        <f t="shared" si="9"/>
        <v>1826700.87</v>
      </c>
      <c r="J109" s="39">
        <f>-'[36]Budget 2022'!CT17</f>
        <v>608900.29</v>
      </c>
      <c r="K109" s="39">
        <f>-'[36]Budget 2022'!CU17</f>
        <v>608900.29</v>
      </c>
      <c r="L109" s="39">
        <f>-'[36]Budget 2022'!CV17</f>
        <v>180582.12</v>
      </c>
      <c r="M109" s="39">
        <f t="shared" si="10"/>
        <v>1398382.7000000002</v>
      </c>
      <c r="N109" s="39">
        <f>-'[36]Budget 2022'!CX17</f>
        <v>180582.12</v>
      </c>
      <c r="O109" s="39">
        <f>-'[36]Budget 2022'!CY17</f>
        <v>180582.12</v>
      </c>
      <c r="P109" s="39">
        <f>-'[36]Budget 2022'!CZ17</f>
        <v>180582.12</v>
      </c>
      <c r="Q109" s="39">
        <f t="shared" si="11"/>
        <v>541746.36</v>
      </c>
      <c r="R109" s="39">
        <f>SUM(E109,I109,M109,Q109)</f>
        <v>5412948.6800000006</v>
      </c>
    </row>
    <row r="110" spans="1:19" ht="18.75" hidden="1" customHeight="1" outlineLevel="1">
      <c r="A110" s="36" t="s">
        <v>200</v>
      </c>
      <c r="B110" s="42">
        <f>SUM(B111:B118)</f>
        <v>488791.51</v>
      </c>
      <c r="C110" s="42">
        <f>SUM(C111:C118)</f>
        <v>488791.51</v>
      </c>
      <c r="D110" s="42">
        <f>SUM(D111:D118)</f>
        <v>488791.51</v>
      </c>
      <c r="E110" s="42">
        <f t="shared" si="8"/>
        <v>1466374.53</v>
      </c>
      <c r="F110" s="42">
        <f>SUM(F111:F118)</f>
        <v>478859.49</v>
      </c>
      <c r="G110" s="42">
        <f>SUM(G111:G118)</f>
        <v>478859.49</v>
      </c>
      <c r="H110" s="42">
        <f>SUM(H111:H118)</f>
        <v>478859.49</v>
      </c>
      <c r="I110" s="42">
        <f t="shared" si="9"/>
        <v>1436578.47</v>
      </c>
      <c r="J110" s="42">
        <f>SUM(J111:J118)</f>
        <v>434433.57999999996</v>
      </c>
      <c r="K110" s="42">
        <f>SUM(K111:K118)</f>
        <v>434433.57999999996</v>
      </c>
      <c r="L110" s="42">
        <f>SUM(L111:L118)</f>
        <v>434433.57999999996</v>
      </c>
      <c r="M110" s="42">
        <f t="shared" si="10"/>
        <v>1303300.7399999998</v>
      </c>
      <c r="N110" s="42">
        <f>SUM(N111:N118)</f>
        <v>435426.78</v>
      </c>
      <c r="O110" s="42">
        <f>SUM(O111:O118)</f>
        <v>435426.78</v>
      </c>
      <c r="P110" s="42">
        <f>SUM(P111:P118)</f>
        <v>435426.78</v>
      </c>
      <c r="Q110" s="42">
        <f t="shared" si="11"/>
        <v>1306280.3400000001</v>
      </c>
      <c r="R110" s="42">
        <f>SUM(R111:R118)</f>
        <v>5512534.0800000001</v>
      </c>
    </row>
    <row r="111" spans="1:19" ht="18.75" hidden="1" customHeight="1" outlineLevel="1">
      <c r="A111" s="38" t="s">
        <v>201</v>
      </c>
      <c r="B111" s="39">
        <f>-'[36]Budget 2022'!CL24</f>
        <v>97282.420000000013</v>
      </c>
      <c r="C111" s="39">
        <f>-'[36]Budget 2022'!CM24</f>
        <v>97282.420000000013</v>
      </c>
      <c r="D111" s="39">
        <f>-'[36]Budget 2022'!CN24</f>
        <v>97282.420000000013</v>
      </c>
      <c r="E111" s="39">
        <f t="shared" si="8"/>
        <v>291847.26</v>
      </c>
      <c r="F111" s="39">
        <f>-'[36]Budget 2022'!CP24</f>
        <v>87350.399999999994</v>
      </c>
      <c r="G111" s="39">
        <f>-'[36]Budget 2022'!CQ24</f>
        <v>87350.399999999994</v>
      </c>
      <c r="H111" s="39">
        <f>-'[36]Budget 2022'!CR24</f>
        <v>87350.399999999994</v>
      </c>
      <c r="I111" s="39">
        <f t="shared" si="9"/>
        <v>262051.19999999998</v>
      </c>
      <c r="J111" s="39">
        <f>-'[36]Budget 2022'!CT24</f>
        <v>42924.490000000005</v>
      </c>
      <c r="K111" s="39">
        <f>-'[36]Budget 2022'!CU24</f>
        <v>42924.490000000005</v>
      </c>
      <c r="L111" s="39">
        <f>-'[36]Budget 2022'!CV24</f>
        <v>42924.490000000005</v>
      </c>
      <c r="M111" s="39">
        <f t="shared" si="10"/>
        <v>128773.47000000002</v>
      </c>
      <c r="N111" s="39">
        <f>-'[36]Budget 2022'!CX24</f>
        <v>22347.040000000001</v>
      </c>
      <c r="O111" s="39">
        <f>-'[36]Budget 2022'!CY24</f>
        <v>22347.040000000001</v>
      </c>
      <c r="P111" s="39">
        <f>-'[36]Budget 2022'!CZ24</f>
        <v>22347.040000000001</v>
      </c>
      <c r="Q111" s="39">
        <f t="shared" si="11"/>
        <v>67041.119999999995</v>
      </c>
      <c r="R111" s="39">
        <f>SUM(E111,I111,M111,Q111)</f>
        <v>749713.04999999993</v>
      </c>
    </row>
    <row r="112" spans="1:19" ht="18.75" hidden="1" customHeight="1" outlineLevel="1">
      <c r="A112" s="38" t="s">
        <v>202</v>
      </c>
      <c r="B112" s="39">
        <f>-'[36]Budget 2022'!CL30</f>
        <v>184592.09999999998</v>
      </c>
      <c r="C112" s="39">
        <f>-'[36]Budget 2022'!CM30</f>
        <v>184592.09999999998</v>
      </c>
      <c r="D112" s="39">
        <f>-'[36]Budget 2022'!CN30</f>
        <v>184592.09999999998</v>
      </c>
      <c r="E112" s="39">
        <f t="shared" si="8"/>
        <v>553776.29999999993</v>
      </c>
      <c r="F112" s="39">
        <f>-'[36]Budget 2022'!CP30</f>
        <v>184592.09999999998</v>
      </c>
      <c r="G112" s="39">
        <f>-'[36]Budget 2022'!CQ30</f>
        <v>184592.09999999998</v>
      </c>
      <c r="H112" s="39">
        <f>-'[36]Budget 2022'!CR30</f>
        <v>184592.09999999998</v>
      </c>
      <c r="I112" s="39">
        <f t="shared" si="9"/>
        <v>553776.29999999993</v>
      </c>
      <c r="J112" s="39">
        <f>-'[36]Budget 2022'!CT30</f>
        <v>184592.09999999998</v>
      </c>
      <c r="K112" s="39">
        <f>-'[36]Budget 2022'!CU30</f>
        <v>184592.09999999998</v>
      </c>
      <c r="L112" s="39">
        <f>-'[36]Budget 2022'!CV30</f>
        <v>184592.09999999998</v>
      </c>
      <c r="M112" s="39">
        <f t="shared" si="10"/>
        <v>553776.29999999993</v>
      </c>
      <c r="N112" s="39">
        <f>-'[36]Budget 2022'!CX30</f>
        <v>206162.75</v>
      </c>
      <c r="O112" s="39">
        <f>-'[36]Budget 2022'!CY30</f>
        <v>206162.75</v>
      </c>
      <c r="P112" s="39">
        <f>-'[36]Budget 2022'!CZ30</f>
        <v>206162.75</v>
      </c>
      <c r="Q112" s="39">
        <f t="shared" si="11"/>
        <v>618488.25</v>
      </c>
      <c r="R112" s="39">
        <f t="shared" ref="R112:R113" si="46">SUM(E112,I112,M112,Q112)</f>
        <v>2279817.15</v>
      </c>
    </row>
    <row r="113" spans="1:28" ht="18.75" hidden="1" customHeight="1" outlineLevel="1">
      <c r="A113" s="38" t="s">
        <v>203</v>
      </c>
      <c r="B113" s="39">
        <f>-'[36]Budget 2022'!CL37</f>
        <v>0</v>
      </c>
      <c r="C113" s="39">
        <f>-'[36]Budget 2022'!CM37</f>
        <v>0</v>
      </c>
      <c r="D113" s="39">
        <f>-'[36]Budget 2022'!CN37</f>
        <v>0</v>
      </c>
      <c r="E113" s="39">
        <f t="shared" si="8"/>
        <v>0</v>
      </c>
      <c r="F113" s="39">
        <f>-'[36]Budget 2022'!CP37</f>
        <v>0</v>
      </c>
      <c r="G113" s="39">
        <f>-'[36]Budget 2022'!CQ37</f>
        <v>0</v>
      </c>
      <c r="H113" s="39">
        <f>-'[36]Budget 2022'!CR37</f>
        <v>0</v>
      </c>
      <c r="I113" s="39">
        <f t="shared" si="9"/>
        <v>0</v>
      </c>
      <c r="J113" s="39">
        <f>-'[36]Budget 2022'!CT37</f>
        <v>0</v>
      </c>
      <c r="K113" s="39">
        <f>-'[36]Budget 2022'!CU37</f>
        <v>0</v>
      </c>
      <c r="L113" s="39">
        <f>-'[36]Budget 2022'!CV37</f>
        <v>0</v>
      </c>
      <c r="M113" s="39">
        <f t="shared" si="10"/>
        <v>0</v>
      </c>
      <c r="N113" s="39">
        <f>-'[36]Budget 2022'!CX37</f>
        <v>0</v>
      </c>
      <c r="O113" s="39">
        <f>-'[36]Budget 2022'!CY37</f>
        <v>0</v>
      </c>
      <c r="P113" s="39">
        <f>-'[36]Budget 2022'!CZ37</f>
        <v>0</v>
      </c>
      <c r="Q113" s="39">
        <f t="shared" si="11"/>
        <v>0</v>
      </c>
      <c r="R113" s="39">
        <f t="shared" si="46"/>
        <v>0</v>
      </c>
    </row>
    <row r="114" spans="1:28" ht="18.75" hidden="1" customHeight="1" outlineLevel="1">
      <c r="A114" s="38" t="s">
        <v>204</v>
      </c>
      <c r="B114" s="39">
        <f>-'[36]Budget 2022'!CL48</f>
        <v>20691.7</v>
      </c>
      <c r="C114" s="39">
        <f>-'[36]Budget 2022'!CM48</f>
        <v>20691.7</v>
      </c>
      <c r="D114" s="39">
        <f>-'[36]Budget 2022'!CN48</f>
        <v>20691.7</v>
      </c>
      <c r="E114" s="39">
        <f t="shared" si="8"/>
        <v>62075.100000000006</v>
      </c>
      <c r="F114" s="39">
        <f>-'[36]Budget 2022'!CP48</f>
        <v>20691.7</v>
      </c>
      <c r="G114" s="39">
        <f>-'[36]Budget 2022'!CQ48</f>
        <v>20691.7</v>
      </c>
      <c r="H114" s="39">
        <f>-'[36]Budget 2022'!CR48</f>
        <v>20691.7</v>
      </c>
      <c r="I114" s="39">
        <f t="shared" si="9"/>
        <v>62075.100000000006</v>
      </c>
      <c r="J114" s="39">
        <f>-'[36]Budget 2022'!CT48</f>
        <v>20691.7</v>
      </c>
      <c r="K114" s="39">
        <f>-'[36]Budget 2022'!CU48</f>
        <v>20691.7</v>
      </c>
      <c r="L114" s="39">
        <f>-'[36]Budget 2022'!CV48</f>
        <v>20691.7</v>
      </c>
      <c r="M114" s="39">
        <f t="shared" si="10"/>
        <v>62075.100000000006</v>
      </c>
      <c r="N114" s="39">
        <f>-'[36]Budget 2022'!CX48</f>
        <v>20691.7</v>
      </c>
      <c r="O114" s="39">
        <f>-'[36]Budget 2022'!CY48</f>
        <v>20691.7</v>
      </c>
      <c r="P114" s="39">
        <f>-'[36]Budget 2022'!CZ48</f>
        <v>20691.7</v>
      </c>
      <c r="Q114" s="39">
        <f t="shared" si="11"/>
        <v>62075.100000000006</v>
      </c>
      <c r="R114" s="39">
        <f>SUM(E114,I114,M114,Q114)</f>
        <v>248300.40000000002</v>
      </c>
    </row>
    <row r="115" spans="1:28" ht="18.75" hidden="1" customHeight="1" outlineLevel="1">
      <c r="A115" s="38" t="s">
        <v>205</v>
      </c>
      <c r="B115" s="39">
        <f>-'[36]Budget 2022'!CL50</f>
        <v>0</v>
      </c>
      <c r="C115" s="39">
        <f>-'[36]Budget 2022'!CM50</f>
        <v>0</v>
      </c>
      <c r="D115" s="39">
        <f>-'[36]Budget 2022'!CN50</f>
        <v>0</v>
      </c>
      <c r="E115" s="39">
        <f t="shared" si="8"/>
        <v>0</v>
      </c>
      <c r="F115" s="39">
        <f>-'[36]Budget 2022'!CP50</f>
        <v>0</v>
      </c>
      <c r="G115" s="39">
        <f>-'[36]Budget 2022'!CQ50</f>
        <v>0</v>
      </c>
      <c r="H115" s="39">
        <f>-'[36]Budget 2022'!CR50</f>
        <v>0</v>
      </c>
      <c r="I115" s="39">
        <f t="shared" si="9"/>
        <v>0</v>
      </c>
      <c r="J115" s="39">
        <f>-'[36]Budget 2022'!CT50</f>
        <v>0</v>
      </c>
      <c r="K115" s="39">
        <f>-'[36]Budget 2022'!CU50</f>
        <v>0</v>
      </c>
      <c r="L115" s="39">
        <f>-'[36]Budget 2022'!CV50</f>
        <v>0</v>
      </c>
      <c r="M115" s="39">
        <f t="shared" si="10"/>
        <v>0</v>
      </c>
      <c r="N115" s="39">
        <f>-'[36]Budget 2022'!CX50</f>
        <v>0</v>
      </c>
      <c r="O115" s="39">
        <f>-'[36]Budget 2022'!CY50</f>
        <v>0</v>
      </c>
      <c r="P115" s="39">
        <f>-'[36]Budget 2022'!CZ50</f>
        <v>0</v>
      </c>
      <c r="Q115" s="39">
        <f t="shared" si="11"/>
        <v>0</v>
      </c>
      <c r="R115" s="39">
        <f>SUM(E115,I115,M115,Q115)</f>
        <v>0</v>
      </c>
    </row>
    <row r="116" spans="1:28" ht="18.75" hidden="1" customHeight="1" outlineLevel="1">
      <c r="A116" s="38" t="s">
        <v>206</v>
      </c>
      <c r="B116" s="39">
        <f>-'[36]Budget 2022'!CL61</f>
        <v>20691.7</v>
      </c>
      <c r="C116" s="39">
        <f>-'[36]Budget 2022'!CM61</f>
        <v>20691.7</v>
      </c>
      <c r="D116" s="39">
        <f>-'[36]Budget 2022'!CN61</f>
        <v>20691.7</v>
      </c>
      <c r="E116" s="39">
        <f t="shared" si="8"/>
        <v>62075.100000000006</v>
      </c>
      <c r="F116" s="39">
        <f>-'[36]Budget 2022'!CP61</f>
        <v>20691.7</v>
      </c>
      <c r="G116" s="39">
        <f>-'[36]Budget 2022'!CQ61</f>
        <v>20691.7</v>
      </c>
      <c r="H116" s="39">
        <f>-'[36]Budget 2022'!CR61</f>
        <v>20691.7</v>
      </c>
      <c r="I116" s="39">
        <f t="shared" si="9"/>
        <v>62075.100000000006</v>
      </c>
      <c r="J116" s="39">
        <f>-'[36]Budget 2022'!CT61</f>
        <v>20691.7</v>
      </c>
      <c r="K116" s="39">
        <f>-'[36]Budget 2022'!CU61</f>
        <v>20691.7</v>
      </c>
      <c r="L116" s="39">
        <f>-'[36]Budget 2022'!CV61</f>
        <v>20691.7</v>
      </c>
      <c r="M116" s="39">
        <f t="shared" si="10"/>
        <v>62075.100000000006</v>
      </c>
      <c r="N116" s="39">
        <f>-'[36]Budget 2022'!CX61</f>
        <v>20691.7</v>
      </c>
      <c r="O116" s="39">
        <f>-'[36]Budget 2022'!CY61</f>
        <v>20691.7</v>
      </c>
      <c r="P116" s="39">
        <f>-'[36]Budget 2022'!CZ61</f>
        <v>20691.7</v>
      </c>
      <c r="Q116" s="39">
        <f t="shared" si="11"/>
        <v>62075.100000000006</v>
      </c>
      <c r="R116" s="39">
        <f>SUM(E116,I116,M116,Q116)</f>
        <v>248300.40000000002</v>
      </c>
    </row>
    <row r="117" spans="1:28" ht="18.75" hidden="1" customHeight="1" outlineLevel="1">
      <c r="A117" s="38" t="s">
        <v>207</v>
      </c>
      <c r="B117" s="39">
        <f>-'[36]Budget 2022'!CL63</f>
        <v>0</v>
      </c>
      <c r="C117" s="39">
        <f>-'[36]Budget 2022'!CM63</f>
        <v>0</v>
      </c>
      <c r="D117" s="39">
        <f>-'[36]Budget 2022'!CN63</f>
        <v>0</v>
      </c>
      <c r="E117" s="39">
        <f t="shared" si="8"/>
        <v>0</v>
      </c>
      <c r="F117" s="39">
        <f>-'[36]Budget 2022'!CP63</f>
        <v>0</v>
      </c>
      <c r="G117" s="39">
        <f>-'[36]Budget 2022'!CQ63</f>
        <v>0</v>
      </c>
      <c r="H117" s="39">
        <f>-'[36]Budget 2022'!CR63</f>
        <v>0</v>
      </c>
      <c r="I117" s="39">
        <f t="shared" si="9"/>
        <v>0</v>
      </c>
      <c r="J117" s="39">
        <f>-'[36]Budget 2022'!CT63</f>
        <v>0</v>
      </c>
      <c r="K117" s="39">
        <f>-'[36]Budget 2022'!CU63</f>
        <v>0</v>
      </c>
      <c r="L117" s="39">
        <f>-'[36]Budget 2022'!CV63</f>
        <v>0</v>
      </c>
      <c r="M117" s="39">
        <f t="shared" si="10"/>
        <v>0</v>
      </c>
      <c r="N117" s="39">
        <f>-'[36]Budget 2022'!CX63</f>
        <v>0</v>
      </c>
      <c r="O117" s="39">
        <f>-'[36]Budget 2022'!CY63</f>
        <v>0</v>
      </c>
      <c r="P117" s="39">
        <f>-'[36]Budget 2022'!CZ63</f>
        <v>0</v>
      </c>
      <c r="Q117" s="39">
        <f t="shared" si="11"/>
        <v>0</v>
      </c>
      <c r="R117" s="39">
        <f>SUM(E117,I117,M117,Q117)</f>
        <v>0</v>
      </c>
    </row>
    <row r="118" spans="1:28" ht="19.5" hidden="1" customHeight="1" outlineLevel="1" thickBot="1">
      <c r="A118" s="38" t="s">
        <v>208</v>
      </c>
      <c r="B118" s="39">
        <f>-'[36]Budget 2022'!CL74</f>
        <v>165533.59</v>
      </c>
      <c r="C118" s="39">
        <f>-'[36]Budget 2022'!CM74</f>
        <v>165533.59</v>
      </c>
      <c r="D118" s="39">
        <f>-'[36]Budget 2022'!CN74</f>
        <v>165533.59</v>
      </c>
      <c r="E118" s="39">
        <f>SUM(B118:D118)</f>
        <v>496600.77</v>
      </c>
      <c r="F118" s="39">
        <f>-'[36]Budget 2022'!CP74</f>
        <v>165533.59</v>
      </c>
      <c r="G118" s="39">
        <f>-'[36]Budget 2022'!CQ74</f>
        <v>165533.59</v>
      </c>
      <c r="H118" s="39">
        <f>-'[36]Budget 2022'!CR74</f>
        <v>165533.59</v>
      </c>
      <c r="I118" s="39">
        <f t="shared" si="9"/>
        <v>496600.77</v>
      </c>
      <c r="J118" s="39">
        <f>-'[36]Budget 2022'!CT74</f>
        <v>165533.59</v>
      </c>
      <c r="K118" s="39">
        <f>-'[36]Budget 2022'!CU74</f>
        <v>165533.59</v>
      </c>
      <c r="L118" s="39">
        <f>-'[36]Budget 2022'!CV74</f>
        <v>165533.59</v>
      </c>
      <c r="M118" s="39">
        <f t="shared" si="10"/>
        <v>496600.77</v>
      </c>
      <c r="N118" s="39">
        <f>-'[36]Budget 2022'!CX74</f>
        <v>165533.59</v>
      </c>
      <c r="O118" s="39">
        <f>-'[36]Budget 2022'!CY74</f>
        <v>165533.59</v>
      </c>
      <c r="P118" s="39">
        <f>-'[36]Budget 2022'!CZ74</f>
        <v>165533.59</v>
      </c>
      <c r="Q118" s="39">
        <f t="shared" si="11"/>
        <v>496600.77</v>
      </c>
      <c r="R118" s="39">
        <f>SUM(E118,I118,M118,Q118)</f>
        <v>1986403.08</v>
      </c>
    </row>
    <row r="119" spans="1:28" ht="24.6" collapsed="1" thickTop="1" thickBot="1">
      <c r="A119" s="44" t="s">
        <v>218</v>
      </c>
      <c r="B119" s="45">
        <f>SUM(B26,B53,B80,B93,B106)</f>
        <v>24049520.836666662</v>
      </c>
      <c r="C119" s="45">
        <f t="shared" ref="C119" si="47">SUM(C26,C53,C80,C93,C106)</f>
        <v>24447215.096666656</v>
      </c>
      <c r="D119" s="45">
        <f>SUM(D26,D53,D80,D93,D106)</f>
        <v>27021331.056666661</v>
      </c>
      <c r="E119" s="45">
        <f t="shared" si="8"/>
        <v>75518066.98999998</v>
      </c>
      <c r="F119" s="45">
        <f>SUM(F26,F53,F80,F93,F106)</f>
        <v>26572016.166666657</v>
      </c>
      <c r="G119" s="45">
        <f t="shared" ref="G119:H119" si="48">SUM(G26,G53,G80,G93,G106)</f>
        <v>22983043.136666663</v>
      </c>
      <c r="H119" s="45">
        <f t="shared" si="48"/>
        <v>22062916.296666659</v>
      </c>
      <c r="I119" s="45">
        <f t="shared" si="9"/>
        <v>71617975.599999979</v>
      </c>
      <c r="J119" s="45">
        <f>SUM(J26,J53,J80,J93,J106)</f>
        <v>18430104.316666659</v>
      </c>
      <c r="K119" s="45">
        <f t="shared" ref="K119:L119" si="49">SUM(K26,K53,K80,K93,K106)</f>
        <v>15795384.316666659</v>
      </c>
      <c r="L119" s="45">
        <f t="shared" si="49"/>
        <v>13608927.60666666</v>
      </c>
      <c r="M119" s="45">
        <f t="shared" si="10"/>
        <v>47834416.23999998</v>
      </c>
      <c r="N119" s="45">
        <f>SUM(N26,N53,N80,N93,N106)</f>
        <v>13497812.656666659</v>
      </c>
      <c r="O119" s="45">
        <f>SUM(O26,O53,O80,O93,O106)</f>
        <v>11547373.66666666</v>
      </c>
      <c r="P119" s="45">
        <f t="shared" ref="P119" si="50">SUM(P26,P53,P80,P93,P106)</f>
        <v>11581406.66666666</v>
      </c>
      <c r="Q119" s="45">
        <f t="shared" si="11"/>
        <v>36626592.98999998</v>
      </c>
      <c r="R119" s="45">
        <f>SUM(R26,R53,R80,R93,R106)</f>
        <v>231597051.81999993</v>
      </c>
    </row>
    <row r="120" spans="1:28" ht="30" thickTop="1" thickBot="1">
      <c r="A120" s="46" t="s">
        <v>219</v>
      </c>
      <c r="B120" s="47">
        <f>B13-B119</f>
        <v>1948003.4866666608</v>
      </c>
      <c r="C120" s="47">
        <f>C13-C119</f>
        <v>3300309.2266666666</v>
      </c>
      <c r="D120" s="47">
        <f>D13-D119</f>
        <v>2586193.2666666619</v>
      </c>
      <c r="E120" s="47">
        <f t="shared" si="8"/>
        <v>7834505.9799999893</v>
      </c>
      <c r="F120" s="47">
        <f>F13-F119</f>
        <v>2277562.4833333418</v>
      </c>
      <c r="G120" s="47">
        <f>G13-G119</f>
        <v>5097252.5133333355</v>
      </c>
      <c r="H120" s="47">
        <f>H13-H119</f>
        <v>6508423.3533333391</v>
      </c>
      <c r="I120" s="47">
        <f t="shared" si="9"/>
        <v>13883238.350000016</v>
      </c>
      <c r="J120" s="47">
        <f>J13-J119</f>
        <v>1467595.0000000075</v>
      </c>
      <c r="K120" s="47">
        <f>K13-K119</f>
        <v>4102315.0000000075</v>
      </c>
      <c r="L120" s="47">
        <f>L13-L119</f>
        <v>6288771.7100000065</v>
      </c>
      <c r="M120" s="47">
        <f t="shared" si="10"/>
        <v>11858681.710000021</v>
      </c>
      <c r="N120" s="47">
        <f>N13-N119</f>
        <v>5356498.6600000076</v>
      </c>
      <c r="O120" s="47">
        <f>O13-O119</f>
        <v>6370325.650000006</v>
      </c>
      <c r="P120" s="47">
        <f>P13-P119</f>
        <v>6336292.650000006</v>
      </c>
      <c r="Q120" s="47">
        <f t="shared" si="11"/>
        <v>18063116.96000002</v>
      </c>
      <c r="R120" s="47">
        <f>R13-R119</f>
        <v>51639543.00000006</v>
      </c>
    </row>
    <row r="121" spans="1:28" ht="30" thickTop="1" thickBot="1">
      <c r="A121" s="46" t="s">
        <v>220</v>
      </c>
      <c r="B121" s="48">
        <f t="shared" ref="B121:Q121" si="51">B120/B13</f>
        <v>7.4930345768280976E-2</v>
      </c>
      <c r="C121" s="48">
        <f t="shared" si="51"/>
        <v>0.1189406733447346</v>
      </c>
      <c r="D121" s="48">
        <f t="shared" si="51"/>
        <v>8.734918997021697E-2</v>
      </c>
      <c r="E121" s="48">
        <f t="shared" si="51"/>
        <v>9.3992371211141415E-2</v>
      </c>
      <c r="F121" s="48">
        <f t="shared" si="51"/>
        <v>7.8946126422312302E-2</v>
      </c>
      <c r="G121" s="48">
        <f t="shared" si="51"/>
        <v>0.1815241754170539</v>
      </c>
      <c r="H121" s="48">
        <f t="shared" si="51"/>
        <v>0.22779552632329367</v>
      </c>
      <c r="I121" s="48">
        <f t="shared" si="51"/>
        <v>0.16237475128854609</v>
      </c>
      <c r="J121" s="48">
        <f t="shared" si="51"/>
        <v>7.3757019675672941E-2</v>
      </c>
      <c r="K121" s="48">
        <f t="shared" si="51"/>
        <v>0.20617031822185772</v>
      </c>
      <c r="L121" s="48">
        <f t="shared" si="51"/>
        <v>0.3160552187424211</v>
      </c>
      <c r="M121" s="48">
        <f t="shared" si="51"/>
        <v>0.19866085221331725</v>
      </c>
      <c r="N121" s="48">
        <f t="shared" si="51"/>
        <v>0.28409940676353518</v>
      </c>
      <c r="O121" s="48">
        <f t="shared" si="51"/>
        <v>0.35553256796057869</v>
      </c>
      <c r="P121" s="48">
        <f t="shared" si="51"/>
        <v>0.35363316115624954</v>
      </c>
      <c r="Q121" s="48">
        <f t="shared" si="51"/>
        <v>0.33028364890788781</v>
      </c>
      <c r="R121" s="49">
        <f>R120/R13</f>
        <v>0.18231945993001916</v>
      </c>
    </row>
    <row r="122" spans="1:28" ht="24" thickTop="1">
      <c r="A122" s="50" t="str">
        <f>A176</f>
        <v>GA,  SM , OSS , DMCC and Depreciation</v>
      </c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1"/>
      <c r="T122" s="1"/>
      <c r="U122" s="1"/>
      <c r="V122" s="1"/>
      <c r="W122" s="1"/>
      <c r="X122" s="1"/>
      <c r="Y122" s="1"/>
      <c r="Z122" s="1"/>
      <c r="AA122" s="15"/>
      <c r="AB122" s="15"/>
    </row>
    <row r="123" spans="1:28" ht="31.2">
      <c r="A123" s="51" t="s">
        <v>221</v>
      </c>
      <c r="B123" s="42">
        <f>SUM(B124,B128,B132,B136,B140)</f>
        <v>999625.77</v>
      </c>
      <c r="C123" s="42">
        <f>SUM(C124,C128,C132,C136,C140)</f>
        <v>1025225.77</v>
      </c>
      <c r="D123" s="42">
        <f>SUM(D124,D128,D132,D136,D140)</f>
        <v>999625.77</v>
      </c>
      <c r="E123" s="42">
        <f t="shared" si="8"/>
        <v>3024477.31</v>
      </c>
      <c r="F123" s="42">
        <f>SUM(F124,F128,F132,F136,F140)</f>
        <v>974025.77</v>
      </c>
      <c r="G123" s="42">
        <f>SUM(G124,G128,G132,G136,G140)</f>
        <v>999625.77</v>
      </c>
      <c r="H123" s="42">
        <f>SUM(H124,H128,H132,H136,H140)</f>
        <v>941200.77</v>
      </c>
      <c r="I123" s="42">
        <f t="shared" si="9"/>
        <v>2914852.31</v>
      </c>
      <c r="J123" s="42">
        <f>SUM(J124,J128,J132,J136,J140)</f>
        <v>1058050.77</v>
      </c>
      <c r="K123" s="42">
        <f>SUM(K124,K128,K132,K136,K140)</f>
        <v>999625.77</v>
      </c>
      <c r="L123" s="42">
        <f>SUM(L124,L128,L132,L136,L140)</f>
        <v>999625.77</v>
      </c>
      <c r="M123" s="42">
        <f t="shared" si="10"/>
        <v>3057302.31</v>
      </c>
      <c r="N123" s="42">
        <f>SUM(N124,N128,N132,N136,N140)</f>
        <v>999625.77</v>
      </c>
      <c r="O123" s="42">
        <f>SUM(O124,O128,O132,O136,O140)</f>
        <v>999625.77</v>
      </c>
      <c r="P123" s="42">
        <f>SUM(P124,P128,P132,P136,P140)</f>
        <v>999625.77</v>
      </c>
      <c r="Q123" s="42">
        <f t="shared" si="11"/>
        <v>2998877.31</v>
      </c>
      <c r="R123" s="42">
        <f t="shared" ref="R123:R142" si="52">SUM(E123,I123,M123,Q123)</f>
        <v>11995509.24</v>
      </c>
      <c r="S123" s="34" t="s">
        <v>275</v>
      </c>
      <c r="T123" s="15"/>
      <c r="U123" s="15"/>
      <c r="V123" s="15"/>
      <c r="W123" s="15"/>
      <c r="X123" s="15"/>
      <c r="Y123" s="15"/>
      <c r="Z123" s="15"/>
      <c r="AA123" s="15"/>
      <c r="AB123" s="15"/>
    </row>
    <row r="124" spans="1:28" s="35" customFormat="1" ht="31.2" hidden="1" outlineLevel="1">
      <c r="A124" s="31" t="s">
        <v>222</v>
      </c>
      <c r="B124" s="32">
        <f>SUM(B125:B127)</f>
        <v>999625.77</v>
      </c>
      <c r="C124" s="32">
        <f>SUM(C125:C127)</f>
        <v>1025225.77</v>
      </c>
      <c r="D124" s="32">
        <f>SUM(D125:D127)</f>
        <v>999625.77</v>
      </c>
      <c r="E124" s="32">
        <f t="shared" si="8"/>
        <v>3024477.31</v>
      </c>
      <c r="F124" s="32">
        <f>SUM(F125:F127)</f>
        <v>974025.77</v>
      </c>
      <c r="G124" s="32">
        <f>SUM(G125:G127)</f>
        <v>999625.77</v>
      </c>
      <c r="H124" s="32">
        <f>SUM(H125:H127)</f>
        <v>941200.77</v>
      </c>
      <c r="I124" s="32">
        <f t="shared" si="9"/>
        <v>2914852.31</v>
      </c>
      <c r="J124" s="32">
        <f>SUM(J125:J127)</f>
        <v>1058050.77</v>
      </c>
      <c r="K124" s="32">
        <f>SUM(K125:K127)</f>
        <v>999625.77</v>
      </c>
      <c r="L124" s="32">
        <f>SUM(L125:L127)</f>
        <v>999625.77</v>
      </c>
      <c r="M124" s="32">
        <f t="shared" si="10"/>
        <v>3057302.31</v>
      </c>
      <c r="N124" s="32">
        <f>SUM(N125:N127)</f>
        <v>999625.77</v>
      </c>
      <c r="O124" s="32">
        <f>SUM(O125:O127)</f>
        <v>999625.77</v>
      </c>
      <c r="P124" s="32">
        <f>SUM(P125:P127)</f>
        <v>999625.77</v>
      </c>
      <c r="Q124" s="32">
        <f t="shared" si="11"/>
        <v>2998877.31</v>
      </c>
      <c r="R124" s="33">
        <f t="shared" si="52"/>
        <v>11995509.24</v>
      </c>
    </row>
    <row r="125" spans="1:28" ht="21" hidden="1" outlineLevel="1">
      <c r="A125" s="52" t="s">
        <v>212</v>
      </c>
      <c r="B125" s="39">
        <f>'[36]Budget Forms'!E289</f>
        <v>620875.11</v>
      </c>
      <c r="C125" s="39">
        <f>'[36]Budget Forms'!F289</f>
        <v>646475.11</v>
      </c>
      <c r="D125" s="39">
        <f>'[36]Budget Forms'!G289</f>
        <v>620875.11</v>
      </c>
      <c r="E125" s="39">
        <f t="shared" si="8"/>
        <v>1888225.33</v>
      </c>
      <c r="F125" s="39">
        <f>'[36]Budget Forms'!H289</f>
        <v>595275.11</v>
      </c>
      <c r="G125" s="39">
        <f>'[36]Budget Forms'!I289</f>
        <v>620875.11</v>
      </c>
      <c r="H125" s="39">
        <f>'[36]Budget Forms'!J289</f>
        <v>562450.11</v>
      </c>
      <c r="I125" s="39">
        <f t="shared" si="9"/>
        <v>1778600.33</v>
      </c>
      <c r="J125" s="39">
        <f>'[36]Budget Forms'!K289</f>
        <v>679300.11</v>
      </c>
      <c r="K125" s="39">
        <f>'[36]Budget Forms'!L289</f>
        <v>620875.11</v>
      </c>
      <c r="L125" s="39">
        <f>'[36]Budget Forms'!M289</f>
        <v>620875.11</v>
      </c>
      <c r="M125" s="39">
        <f t="shared" si="10"/>
        <v>1921050.33</v>
      </c>
      <c r="N125" s="39">
        <f>'[36]Budget Forms'!N289</f>
        <v>620875.11</v>
      </c>
      <c r="O125" s="39">
        <f>'[36]Budget Forms'!O289</f>
        <v>620875.11</v>
      </c>
      <c r="P125" s="39">
        <f>'[36]Budget Forms'!P289</f>
        <v>620875.11</v>
      </c>
      <c r="Q125" s="39">
        <f t="shared" si="11"/>
        <v>1862625.33</v>
      </c>
      <c r="R125" s="39">
        <f t="shared" si="52"/>
        <v>7450501.3200000003</v>
      </c>
      <c r="S125" s="16"/>
      <c r="T125" s="16"/>
      <c r="U125" s="16"/>
      <c r="V125" s="16"/>
      <c r="W125" s="16"/>
      <c r="X125" s="16"/>
      <c r="Y125" s="16"/>
      <c r="Z125" s="16"/>
    </row>
    <row r="126" spans="1:28" ht="21" hidden="1" outlineLevel="1">
      <c r="A126" s="52" t="s">
        <v>216</v>
      </c>
      <c r="B126" s="39">
        <f>'[36]Budget Forms'!E290</f>
        <v>22500</v>
      </c>
      <c r="C126" s="39">
        <f>'[36]Budget Forms'!F290</f>
        <v>22500</v>
      </c>
      <c r="D126" s="39">
        <f>'[36]Budget Forms'!G290</f>
        <v>22500</v>
      </c>
      <c r="E126" s="39">
        <f t="shared" ref="E126:E144" si="53">SUM(B126:D126)</f>
        <v>67500</v>
      </c>
      <c r="F126" s="39">
        <f>'[36]Budget Forms'!H290</f>
        <v>22500</v>
      </c>
      <c r="G126" s="39">
        <f>'[36]Budget Forms'!I290</f>
        <v>22500</v>
      </c>
      <c r="H126" s="39">
        <f>'[36]Budget Forms'!J290</f>
        <v>22500</v>
      </c>
      <c r="I126" s="39">
        <f t="shared" ref="I126:I144" si="54">SUM(F126:H126)</f>
        <v>67500</v>
      </c>
      <c r="J126" s="39">
        <f>'[36]Budget Forms'!K290</f>
        <v>22500</v>
      </c>
      <c r="K126" s="39">
        <f>'[36]Budget Forms'!L290</f>
        <v>22500</v>
      </c>
      <c r="L126" s="39">
        <f>'[36]Budget Forms'!M290</f>
        <v>22500</v>
      </c>
      <c r="M126" s="39">
        <f t="shared" ref="M126:M144" si="55">SUM(J126:L126)</f>
        <v>67500</v>
      </c>
      <c r="N126" s="39">
        <f>'[36]Budget Forms'!N290</f>
        <v>22500</v>
      </c>
      <c r="O126" s="39">
        <f>'[36]Budget Forms'!O290</f>
        <v>22500</v>
      </c>
      <c r="P126" s="39">
        <f>'[36]Budget Forms'!P290</f>
        <v>22500</v>
      </c>
      <c r="Q126" s="39">
        <f t="shared" ref="Q126:Q144" si="56">SUM(N126:P126)</f>
        <v>67500</v>
      </c>
      <c r="R126" s="39">
        <f t="shared" si="52"/>
        <v>270000</v>
      </c>
      <c r="S126" s="16"/>
      <c r="T126" s="16"/>
      <c r="U126" s="16"/>
      <c r="V126" s="16"/>
      <c r="W126" s="16"/>
      <c r="X126" s="16"/>
      <c r="Y126" s="16"/>
      <c r="Z126" s="16"/>
    </row>
    <row r="127" spans="1:28" ht="21" hidden="1" outlineLevel="1">
      <c r="A127" s="52" t="s">
        <v>112</v>
      </c>
      <c r="B127" s="39">
        <f>'[36]Budget Forms'!E291</f>
        <v>356250.66</v>
      </c>
      <c r="C127" s="39">
        <f>'[36]Budget Forms'!F291</f>
        <v>356250.66</v>
      </c>
      <c r="D127" s="39">
        <f>'[36]Budget Forms'!G291</f>
        <v>356250.66</v>
      </c>
      <c r="E127" s="39">
        <f t="shared" si="53"/>
        <v>1068751.98</v>
      </c>
      <c r="F127" s="39">
        <f>'[36]Budget Forms'!H291</f>
        <v>356250.66</v>
      </c>
      <c r="G127" s="39">
        <f>'[36]Budget Forms'!I291</f>
        <v>356250.66</v>
      </c>
      <c r="H127" s="39">
        <f>'[36]Budget Forms'!J291</f>
        <v>356250.66</v>
      </c>
      <c r="I127" s="39">
        <f t="shared" si="54"/>
        <v>1068751.98</v>
      </c>
      <c r="J127" s="39">
        <f>'[36]Budget Forms'!K291</f>
        <v>356250.66</v>
      </c>
      <c r="K127" s="39">
        <f>'[36]Budget Forms'!L291</f>
        <v>356250.66</v>
      </c>
      <c r="L127" s="39">
        <f>'[36]Budget Forms'!M291</f>
        <v>356250.66</v>
      </c>
      <c r="M127" s="39">
        <f t="shared" si="55"/>
        <v>1068751.98</v>
      </c>
      <c r="N127" s="39">
        <f>'[36]Budget Forms'!N291</f>
        <v>356250.66</v>
      </c>
      <c r="O127" s="39">
        <f>'[36]Budget Forms'!O291</f>
        <v>356250.66</v>
      </c>
      <c r="P127" s="39">
        <f>'[36]Budget Forms'!P291</f>
        <v>356250.66</v>
      </c>
      <c r="Q127" s="39">
        <f t="shared" si="56"/>
        <v>1068751.98</v>
      </c>
      <c r="R127" s="39">
        <f>SUM(E127,I127,M127,Q127)</f>
        <v>4275007.92</v>
      </c>
      <c r="S127" s="16"/>
      <c r="T127" s="16"/>
      <c r="U127" s="16"/>
      <c r="V127" s="16"/>
      <c r="W127" s="16"/>
      <c r="X127" s="16"/>
      <c r="Y127" s="16"/>
      <c r="Z127" s="16"/>
    </row>
    <row r="128" spans="1:28" s="35" customFormat="1" ht="31.2" hidden="1" outlineLevel="1">
      <c r="A128" s="31" t="s">
        <v>223</v>
      </c>
      <c r="B128" s="32">
        <f>SUM(B129:B131)</f>
        <v>0</v>
      </c>
      <c r="C128" s="32">
        <f>SUM(C129:C131)</f>
        <v>0</v>
      </c>
      <c r="D128" s="32">
        <f>SUM(D129:D131)</f>
        <v>0</v>
      </c>
      <c r="E128" s="32">
        <f t="shared" si="53"/>
        <v>0</v>
      </c>
      <c r="F128" s="32">
        <f>SUM(F129:F131)</f>
        <v>0</v>
      </c>
      <c r="G128" s="32">
        <f>SUM(G129:G131)</f>
        <v>0</v>
      </c>
      <c r="H128" s="32">
        <f>SUM(H129:H131)</f>
        <v>0</v>
      </c>
      <c r="I128" s="32">
        <f t="shared" si="54"/>
        <v>0</v>
      </c>
      <c r="J128" s="32">
        <f>SUM(J129:J131)</f>
        <v>0</v>
      </c>
      <c r="K128" s="32">
        <f>SUM(K129:K131)</f>
        <v>0</v>
      </c>
      <c r="L128" s="32">
        <f>SUM(L129:L131)</f>
        <v>0</v>
      </c>
      <c r="M128" s="32">
        <f t="shared" si="55"/>
        <v>0</v>
      </c>
      <c r="N128" s="32">
        <f>SUM(N129:N131)</f>
        <v>0</v>
      </c>
      <c r="O128" s="32">
        <f>SUM(O129:O131)</f>
        <v>0</v>
      </c>
      <c r="P128" s="32">
        <f>SUM(P129:P131)</f>
        <v>0</v>
      </c>
      <c r="Q128" s="32">
        <f t="shared" si="56"/>
        <v>0</v>
      </c>
      <c r="R128" s="33">
        <f t="shared" si="52"/>
        <v>0</v>
      </c>
    </row>
    <row r="129" spans="1:28" ht="21" hidden="1" outlineLevel="1">
      <c r="A129" s="52" t="s">
        <v>212</v>
      </c>
      <c r="B129" s="39">
        <f>'[36]Budget Forms'!E292</f>
        <v>0</v>
      </c>
      <c r="C129" s="39">
        <f>'[36]Budget Forms'!F292</f>
        <v>0</v>
      </c>
      <c r="D129" s="39">
        <f>'[36]Budget Forms'!G292</f>
        <v>0</v>
      </c>
      <c r="E129" s="39">
        <f t="shared" si="53"/>
        <v>0</v>
      </c>
      <c r="F129" s="39">
        <f>'[36]Budget Forms'!H293</f>
        <v>0</v>
      </c>
      <c r="G129" s="39">
        <f>'[36]Budget Forms'!I293</f>
        <v>0</v>
      </c>
      <c r="H129" s="39">
        <f>'[36]Budget Forms'!J293</f>
        <v>0</v>
      </c>
      <c r="I129" s="39">
        <f t="shared" si="54"/>
        <v>0</v>
      </c>
      <c r="J129" s="39">
        <f>'[36]Budget Forms'!K293</f>
        <v>0</v>
      </c>
      <c r="K129" s="39">
        <f>'[36]Budget Forms'!L293</f>
        <v>0</v>
      </c>
      <c r="L129" s="39">
        <f>'[36]Budget Forms'!M293</f>
        <v>0</v>
      </c>
      <c r="M129" s="39">
        <f t="shared" si="55"/>
        <v>0</v>
      </c>
      <c r="N129" s="39">
        <f>'[36]Budget Forms'!N293</f>
        <v>0</v>
      </c>
      <c r="O129" s="39">
        <f>'[36]Budget Forms'!O293</f>
        <v>0</v>
      </c>
      <c r="P129" s="39">
        <f>'[36]Budget Forms'!P293</f>
        <v>0</v>
      </c>
      <c r="Q129" s="39">
        <f t="shared" si="56"/>
        <v>0</v>
      </c>
      <c r="R129" s="39">
        <f t="shared" si="52"/>
        <v>0</v>
      </c>
      <c r="S129" s="16"/>
      <c r="T129" s="16"/>
      <c r="U129" s="16"/>
      <c r="V129" s="16"/>
      <c r="W129" s="16"/>
      <c r="X129" s="16"/>
      <c r="Y129" s="16"/>
      <c r="Z129" s="16"/>
    </row>
    <row r="130" spans="1:28" ht="21" hidden="1" outlineLevel="1">
      <c r="A130" s="52" t="s">
        <v>216</v>
      </c>
      <c r="B130" s="39">
        <f>'[36]Budget Forms'!E293</f>
        <v>0</v>
      </c>
      <c r="C130" s="39">
        <f>'[36]Budget Forms'!F293</f>
        <v>0</v>
      </c>
      <c r="D130" s="39">
        <f>'[36]Budget Forms'!G293</f>
        <v>0</v>
      </c>
      <c r="E130" s="39">
        <f t="shared" si="53"/>
        <v>0</v>
      </c>
      <c r="F130" s="39">
        <f>'[36]Budget Forms'!H294</f>
        <v>0</v>
      </c>
      <c r="G130" s="39">
        <f>'[36]Budget Forms'!I294</f>
        <v>0</v>
      </c>
      <c r="H130" s="39">
        <f>'[36]Budget Forms'!J294</f>
        <v>0</v>
      </c>
      <c r="I130" s="39">
        <f t="shared" si="54"/>
        <v>0</v>
      </c>
      <c r="J130" s="39">
        <f>'[36]Budget Forms'!K294</f>
        <v>0</v>
      </c>
      <c r="K130" s="39">
        <f>'[36]Budget Forms'!L294</f>
        <v>0</v>
      </c>
      <c r="L130" s="39">
        <f>'[36]Budget Forms'!M294</f>
        <v>0</v>
      </c>
      <c r="M130" s="39">
        <f t="shared" si="55"/>
        <v>0</v>
      </c>
      <c r="N130" s="39">
        <f>'[36]Budget Forms'!N294</f>
        <v>0</v>
      </c>
      <c r="O130" s="39">
        <f>'[36]Budget Forms'!O294</f>
        <v>0</v>
      </c>
      <c r="P130" s="39">
        <f>'[36]Budget Forms'!P294</f>
        <v>0</v>
      </c>
      <c r="Q130" s="39">
        <f t="shared" si="56"/>
        <v>0</v>
      </c>
      <c r="R130" s="39">
        <f t="shared" si="52"/>
        <v>0</v>
      </c>
      <c r="S130" s="16"/>
      <c r="T130" s="16"/>
      <c r="U130" s="16"/>
      <c r="V130" s="16"/>
      <c r="W130" s="16"/>
      <c r="X130" s="16"/>
      <c r="Y130" s="16"/>
      <c r="Z130" s="16"/>
    </row>
    <row r="131" spans="1:28" ht="21" hidden="1" outlineLevel="1">
      <c r="A131" s="52" t="s">
        <v>112</v>
      </c>
      <c r="B131" s="39">
        <f>'[36]Budget Forms'!E294</f>
        <v>0</v>
      </c>
      <c r="C131" s="39">
        <f>'[36]Budget Forms'!F294</f>
        <v>0</v>
      </c>
      <c r="D131" s="39">
        <f>'[36]Budget Forms'!G294</f>
        <v>0</v>
      </c>
      <c r="E131" s="39">
        <f t="shared" si="53"/>
        <v>0</v>
      </c>
      <c r="F131" s="39">
        <f>'[36]Budget Forms'!H295</f>
        <v>0</v>
      </c>
      <c r="G131" s="39">
        <f>'[36]Budget Forms'!I295</f>
        <v>0</v>
      </c>
      <c r="H131" s="39">
        <f>'[36]Budget Forms'!J295</f>
        <v>0</v>
      </c>
      <c r="I131" s="39">
        <f t="shared" si="54"/>
        <v>0</v>
      </c>
      <c r="J131" s="39">
        <f>'[36]Budget Forms'!K295</f>
        <v>0</v>
      </c>
      <c r="K131" s="39">
        <f>'[36]Budget Forms'!L295</f>
        <v>0</v>
      </c>
      <c r="L131" s="39">
        <f>'[36]Budget Forms'!M295</f>
        <v>0</v>
      </c>
      <c r="M131" s="39">
        <f t="shared" si="55"/>
        <v>0</v>
      </c>
      <c r="N131" s="39">
        <f>'[36]Budget Forms'!N295</f>
        <v>0</v>
      </c>
      <c r="O131" s="39">
        <f>'[36]Budget Forms'!O295</f>
        <v>0</v>
      </c>
      <c r="P131" s="39">
        <f>'[36]Budget Forms'!P295</f>
        <v>0</v>
      </c>
      <c r="Q131" s="39">
        <f t="shared" si="56"/>
        <v>0</v>
      </c>
      <c r="R131" s="39"/>
      <c r="S131" s="16"/>
      <c r="T131" s="16"/>
      <c r="U131" s="16"/>
      <c r="V131" s="16"/>
      <c r="W131" s="16"/>
      <c r="X131" s="16"/>
      <c r="Y131" s="16"/>
      <c r="Z131" s="16"/>
    </row>
    <row r="132" spans="1:28" s="35" customFormat="1" ht="31.2" hidden="1" outlineLevel="1">
      <c r="A132" s="31" t="s">
        <v>224</v>
      </c>
      <c r="B132" s="32">
        <f>SUM(B133:B135)</f>
        <v>0</v>
      </c>
      <c r="C132" s="32">
        <f>SUM(C133:C135)</f>
        <v>0</v>
      </c>
      <c r="D132" s="32">
        <f>SUM(D133:D135)</f>
        <v>0</v>
      </c>
      <c r="E132" s="32">
        <f t="shared" si="53"/>
        <v>0</v>
      </c>
      <c r="F132" s="32">
        <f>SUM(F133:F135)</f>
        <v>0</v>
      </c>
      <c r="G132" s="32">
        <f>SUM(G133:G135)</f>
        <v>0</v>
      </c>
      <c r="H132" s="32">
        <f>SUM(H133:H135)</f>
        <v>0</v>
      </c>
      <c r="I132" s="32">
        <f t="shared" si="54"/>
        <v>0</v>
      </c>
      <c r="J132" s="32">
        <f>SUM(J133:J135)</f>
        <v>0</v>
      </c>
      <c r="K132" s="32">
        <f>SUM(K133:K135)</f>
        <v>0</v>
      </c>
      <c r="L132" s="32">
        <f>SUM(L133:L135)</f>
        <v>0</v>
      </c>
      <c r="M132" s="32">
        <f t="shared" si="55"/>
        <v>0</v>
      </c>
      <c r="N132" s="32">
        <f>SUM(N133:N135)</f>
        <v>0</v>
      </c>
      <c r="O132" s="32">
        <f>SUM(O133:O135)</f>
        <v>0</v>
      </c>
      <c r="P132" s="32">
        <f>SUM(P133:P135)</f>
        <v>0</v>
      </c>
      <c r="Q132" s="32">
        <f t="shared" si="56"/>
        <v>0</v>
      </c>
      <c r="R132" s="33">
        <f t="shared" ref="R132" si="57">SUM(E132,I132,M132,Q132)</f>
        <v>0</v>
      </c>
    </row>
    <row r="133" spans="1:28" ht="21" hidden="1" outlineLevel="1">
      <c r="A133" s="52" t="s">
        <v>212</v>
      </c>
      <c r="B133" s="39">
        <f>'[36]Budget Forms'!E296</f>
        <v>0</v>
      </c>
      <c r="C133" s="39">
        <f>'[36]Budget Forms'!F296</f>
        <v>0</v>
      </c>
      <c r="D133" s="39">
        <f>'[36]Budget Forms'!G296</f>
        <v>0</v>
      </c>
      <c r="E133" s="39">
        <f t="shared" si="53"/>
        <v>0</v>
      </c>
      <c r="F133" s="39">
        <f>'[36]Budget Forms'!H297</f>
        <v>0</v>
      </c>
      <c r="G133" s="39">
        <f>'[36]Budget Forms'!I297</f>
        <v>0</v>
      </c>
      <c r="H133" s="39">
        <f>'[36]Budget Forms'!J297</f>
        <v>0</v>
      </c>
      <c r="I133" s="39">
        <f t="shared" si="54"/>
        <v>0</v>
      </c>
      <c r="J133" s="39">
        <f>'[36]Budget Forms'!K297</f>
        <v>0</v>
      </c>
      <c r="K133" s="39">
        <f>'[36]Budget Forms'!L297</f>
        <v>0</v>
      </c>
      <c r="L133" s="39">
        <f>'[36]Budget Forms'!M297</f>
        <v>0</v>
      </c>
      <c r="M133" s="39">
        <f t="shared" si="55"/>
        <v>0</v>
      </c>
      <c r="N133" s="39">
        <f>'[36]Budget Forms'!N297</f>
        <v>0</v>
      </c>
      <c r="O133" s="39">
        <f>'[36]Budget Forms'!O297</f>
        <v>0</v>
      </c>
      <c r="P133" s="39">
        <f>'[36]Budget Forms'!P297</f>
        <v>0</v>
      </c>
      <c r="Q133" s="39">
        <f t="shared" si="56"/>
        <v>0</v>
      </c>
      <c r="R133" s="39"/>
      <c r="S133" s="16"/>
      <c r="T133" s="16"/>
      <c r="U133" s="16"/>
      <c r="V133" s="16"/>
      <c r="W133" s="16"/>
      <c r="X133" s="16"/>
      <c r="Y133" s="16"/>
      <c r="Z133" s="16"/>
    </row>
    <row r="134" spans="1:28" ht="21" hidden="1" outlineLevel="1">
      <c r="A134" s="52" t="s">
        <v>216</v>
      </c>
      <c r="B134" s="39">
        <f>'[36]Budget Forms'!E297</f>
        <v>0</v>
      </c>
      <c r="C134" s="39">
        <f>'[36]Budget Forms'!F297</f>
        <v>0</v>
      </c>
      <c r="D134" s="39">
        <f>'[36]Budget Forms'!G297</f>
        <v>0</v>
      </c>
      <c r="E134" s="39">
        <f t="shared" si="53"/>
        <v>0</v>
      </c>
      <c r="F134" s="39">
        <f>'[36]Budget Forms'!H298</f>
        <v>0</v>
      </c>
      <c r="G134" s="39">
        <f>'[36]Budget Forms'!I298</f>
        <v>0</v>
      </c>
      <c r="H134" s="39">
        <f>'[36]Budget Forms'!J298</f>
        <v>0</v>
      </c>
      <c r="I134" s="39">
        <f t="shared" si="54"/>
        <v>0</v>
      </c>
      <c r="J134" s="39">
        <f>'[36]Budget Forms'!K298</f>
        <v>0</v>
      </c>
      <c r="K134" s="39">
        <f>'[36]Budget Forms'!L298</f>
        <v>0</v>
      </c>
      <c r="L134" s="39">
        <f>'[36]Budget Forms'!M298</f>
        <v>0</v>
      </c>
      <c r="M134" s="39">
        <f t="shared" si="55"/>
        <v>0</v>
      </c>
      <c r="N134" s="39">
        <f>'[36]Budget Forms'!N298</f>
        <v>0</v>
      </c>
      <c r="O134" s="39">
        <f>'[36]Budget Forms'!O298</f>
        <v>0</v>
      </c>
      <c r="P134" s="39">
        <f>'[36]Budget Forms'!P298</f>
        <v>0</v>
      </c>
      <c r="Q134" s="39">
        <f t="shared" si="56"/>
        <v>0</v>
      </c>
      <c r="R134" s="39"/>
      <c r="S134" s="16"/>
      <c r="T134" s="16"/>
      <c r="U134" s="16"/>
      <c r="V134" s="16"/>
      <c r="W134" s="16"/>
      <c r="X134" s="16"/>
      <c r="Y134" s="16"/>
      <c r="Z134" s="16"/>
    </row>
    <row r="135" spans="1:28" ht="21" hidden="1" outlineLevel="1">
      <c r="A135" s="52" t="s">
        <v>112</v>
      </c>
      <c r="B135" s="39">
        <f>'[36]Budget Forms'!E298</f>
        <v>0</v>
      </c>
      <c r="C135" s="39">
        <f>'[36]Budget Forms'!F298</f>
        <v>0</v>
      </c>
      <c r="D135" s="39">
        <f>'[36]Budget Forms'!G298</f>
        <v>0</v>
      </c>
      <c r="E135" s="39">
        <f t="shared" si="53"/>
        <v>0</v>
      </c>
      <c r="F135" s="39">
        <f>'[36]Budget Forms'!H299</f>
        <v>0</v>
      </c>
      <c r="G135" s="39">
        <f>'[36]Budget Forms'!I299</f>
        <v>0</v>
      </c>
      <c r="H135" s="39">
        <f>'[36]Budget Forms'!J299</f>
        <v>0</v>
      </c>
      <c r="I135" s="39">
        <f t="shared" si="54"/>
        <v>0</v>
      </c>
      <c r="J135" s="39">
        <f>'[36]Budget Forms'!K299</f>
        <v>0</v>
      </c>
      <c r="K135" s="39">
        <f>'[36]Budget Forms'!L299</f>
        <v>0</v>
      </c>
      <c r="L135" s="39">
        <f>'[36]Budget Forms'!M299</f>
        <v>0</v>
      </c>
      <c r="M135" s="39">
        <f t="shared" si="55"/>
        <v>0</v>
      </c>
      <c r="N135" s="39">
        <f>'[36]Budget Forms'!N299</f>
        <v>0</v>
      </c>
      <c r="O135" s="39">
        <f>'[36]Budget Forms'!O299</f>
        <v>0</v>
      </c>
      <c r="P135" s="39">
        <f>'[36]Budget Forms'!P299</f>
        <v>0</v>
      </c>
      <c r="Q135" s="39">
        <f t="shared" si="56"/>
        <v>0</v>
      </c>
      <c r="R135" s="39"/>
      <c r="S135" s="16"/>
      <c r="T135" s="16"/>
      <c r="U135" s="16"/>
      <c r="V135" s="16"/>
      <c r="W135" s="16"/>
      <c r="X135" s="16"/>
      <c r="Y135" s="16"/>
      <c r="Z135" s="16"/>
    </row>
    <row r="136" spans="1:28" s="35" customFormat="1" ht="31.2" hidden="1" outlineLevel="1">
      <c r="A136" s="31" t="s">
        <v>225</v>
      </c>
      <c r="B136" s="32">
        <f>SUM(B137:B139)</f>
        <v>0</v>
      </c>
      <c r="C136" s="32">
        <f>SUM(C137:C139)</f>
        <v>0</v>
      </c>
      <c r="D136" s="32">
        <f>SUM(D137:D139)</f>
        <v>0</v>
      </c>
      <c r="E136" s="32">
        <f t="shared" si="53"/>
        <v>0</v>
      </c>
      <c r="F136" s="32">
        <f>SUM(F137:F139)</f>
        <v>0</v>
      </c>
      <c r="G136" s="32">
        <f>SUM(G137:G139)</f>
        <v>0</v>
      </c>
      <c r="H136" s="32">
        <f>SUM(H137:H139)</f>
        <v>0</v>
      </c>
      <c r="I136" s="32">
        <f t="shared" si="54"/>
        <v>0</v>
      </c>
      <c r="J136" s="32">
        <f>SUM(J137:J139)</f>
        <v>0</v>
      </c>
      <c r="K136" s="32">
        <f>SUM(K137:K139)</f>
        <v>0</v>
      </c>
      <c r="L136" s="32">
        <f>SUM(L137:L139)</f>
        <v>0</v>
      </c>
      <c r="M136" s="32">
        <f t="shared" si="55"/>
        <v>0</v>
      </c>
      <c r="N136" s="32">
        <f>SUM(N137:N139)</f>
        <v>0</v>
      </c>
      <c r="O136" s="32">
        <f>SUM(O137:O139)</f>
        <v>0</v>
      </c>
      <c r="P136" s="32">
        <f>SUM(P137:P139)</f>
        <v>0</v>
      </c>
      <c r="Q136" s="32">
        <f t="shared" si="56"/>
        <v>0</v>
      </c>
      <c r="R136" s="33">
        <f t="shared" ref="R136" si="58">SUM(E136,I136,M136,Q136)</f>
        <v>0</v>
      </c>
    </row>
    <row r="137" spans="1:28" ht="21" hidden="1" outlineLevel="1">
      <c r="A137" s="52" t="s">
        <v>212</v>
      </c>
      <c r="B137" s="39">
        <f>'[36]Budget Forms'!E300</f>
        <v>0</v>
      </c>
      <c r="C137" s="39">
        <f>'[36]Budget Forms'!F300</f>
        <v>0</v>
      </c>
      <c r="D137" s="39">
        <f>'[36]Budget Forms'!G300</f>
        <v>0</v>
      </c>
      <c r="E137" s="39">
        <f t="shared" si="53"/>
        <v>0</v>
      </c>
      <c r="F137" s="39">
        <f>'[36]Budget Forms'!H301</f>
        <v>0</v>
      </c>
      <c r="G137" s="39">
        <f>'[36]Budget Forms'!I301</f>
        <v>0</v>
      </c>
      <c r="H137" s="39">
        <f>'[36]Budget Forms'!J301</f>
        <v>0</v>
      </c>
      <c r="I137" s="39">
        <f t="shared" si="54"/>
        <v>0</v>
      </c>
      <c r="J137" s="39">
        <f>'[36]Budget Forms'!K301</f>
        <v>0</v>
      </c>
      <c r="K137" s="39">
        <f>'[36]Budget Forms'!L301</f>
        <v>0</v>
      </c>
      <c r="L137" s="39">
        <f>'[36]Budget Forms'!M301</f>
        <v>0</v>
      </c>
      <c r="M137" s="39">
        <f t="shared" si="55"/>
        <v>0</v>
      </c>
      <c r="N137" s="39">
        <f>'[36]Budget Forms'!N301</f>
        <v>0</v>
      </c>
      <c r="O137" s="39">
        <f>'[36]Budget Forms'!O301</f>
        <v>0</v>
      </c>
      <c r="P137" s="39">
        <f>'[36]Budget Forms'!P301</f>
        <v>0</v>
      </c>
      <c r="Q137" s="39">
        <f t="shared" si="56"/>
        <v>0</v>
      </c>
      <c r="R137" s="39">
        <f t="shared" si="52"/>
        <v>0</v>
      </c>
      <c r="S137" s="16"/>
      <c r="T137" s="16"/>
      <c r="U137" s="16"/>
      <c r="V137" s="16"/>
      <c r="W137" s="16"/>
      <c r="X137" s="16"/>
      <c r="Y137" s="16"/>
      <c r="Z137" s="16"/>
    </row>
    <row r="138" spans="1:28" ht="21" hidden="1" outlineLevel="1">
      <c r="A138" s="52" t="s">
        <v>216</v>
      </c>
      <c r="B138" s="39">
        <f>'[36]Budget Forms'!E301</f>
        <v>0</v>
      </c>
      <c r="C138" s="39">
        <f>'[36]Budget Forms'!F301</f>
        <v>0</v>
      </c>
      <c r="D138" s="39">
        <f>'[36]Budget Forms'!G301</f>
        <v>0</v>
      </c>
      <c r="E138" s="39">
        <f t="shared" si="53"/>
        <v>0</v>
      </c>
      <c r="F138" s="39">
        <f>'[36]Budget Forms'!H302</f>
        <v>0</v>
      </c>
      <c r="G138" s="39">
        <f>'[36]Budget Forms'!I302</f>
        <v>0</v>
      </c>
      <c r="H138" s="39">
        <f>'[36]Budget Forms'!J302</f>
        <v>0</v>
      </c>
      <c r="I138" s="39">
        <f t="shared" si="54"/>
        <v>0</v>
      </c>
      <c r="J138" s="39">
        <f>'[36]Budget Forms'!K302</f>
        <v>0</v>
      </c>
      <c r="K138" s="39">
        <f>'[36]Budget Forms'!L302</f>
        <v>0</v>
      </c>
      <c r="L138" s="39">
        <f>'[36]Budget Forms'!M302</f>
        <v>0</v>
      </c>
      <c r="M138" s="39">
        <f t="shared" si="55"/>
        <v>0</v>
      </c>
      <c r="N138" s="39">
        <f>'[36]Budget Forms'!N302</f>
        <v>0</v>
      </c>
      <c r="O138" s="39">
        <f>'[36]Budget Forms'!O302</f>
        <v>0</v>
      </c>
      <c r="P138" s="39">
        <f>'[36]Budget Forms'!P302</f>
        <v>0</v>
      </c>
      <c r="Q138" s="39">
        <f t="shared" si="56"/>
        <v>0</v>
      </c>
      <c r="R138" s="39">
        <f t="shared" si="52"/>
        <v>0</v>
      </c>
      <c r="S138" s="16"/>
      <c r="T138" s="16"/>
      <c r="U138" s="16"/>
      <c r="V138" s="16"/>
      <c r="W138" s="16"/>
      <c r="X138" s="16"/>
      <c r="Y138" s="16"/>
      <c r="Z138" s="16"/>
    </row>
    <row r="139" spans="1:28" ht="21" hidden="1" outlineLevel="1">
      <c r="A139" s="52" t="s">
        <v>112</v>
      </c>
      <c r="B139" s="39">
        <f>'[36]Budget Forms'!E302</f>
        <v>0</v>
      </c>
      <c r="C139" s="39">
        <f>'[36]Budget Forms'!F302</f>
        <v>0</v>
      </c>
      <c r="D139" s="39">
        <f>'[36]Budget Forms'!G302</f>
        <v>0</v>
      </c>
      <c r="E139" s="39">
        <f t="shared" si="53"/>
        <v>0</v>
      </c>
      <c r="F139" s="39">
        <f>'[36]Budget Forms'!H303</f>
        <v>0</v>
      </c>
      <c r="G139" s="39">
        <f>'[36]Budget Forms'!I303</f>
        <v>0</v>
      </c>
      <c r="H139" s="39">
        <f>'[36]Budget Forms'!J303</f>
        <v>0</v>
      </c>
      <c r="I139" s="39">
        <f t="shared" si="54"/>
        <v>0</v>
      </c>
      <c r="J139" s="39">
        <f>'[36]Budget Forms'!K303</f>
        <v>0</v>
      </c>
      <c r="K139" s="39">
        <f>'[36]Budget Forms'!L303</f>
        <v>0</v>
      </c>
      <c r="L139" s="39">
        <f>'[36]Budget Forms'!M303</f>
        <v>0</v>
      </c>
      <c r="M139" s="39">
        <f t="shared" si="55"/>
        <v>0</v>
      </c>
      <c r="N139" s="39">
        <f>'[36]Budget Forms'!N303</f>
        <v>0</v>
      </c>
      <c r="O139" s="39">
        <f>'[36]Budget Forms'!O303</f>
        <v>0</v>
      </c>
      <c r="P139" s="39">
        <f>'[36]Budget Forms'!P303</f>
        <v>0</v>
      </c>
      <c r="Q139" s="39">
        <f t="shared" si="56"/>
        <v>0</v>
      </c>
      <c r="R139" s="39">
        <f t="shared" si="52"/>
        <v>0</v>
      </c>
      <c r="S139" s="16"/>
      <c r="T139" s="16"/>
      <c r="U139" s="16"/>
      <c r="V139" s="16"/>
      <c r="W139" s="16"/>
      <c r="X139" s="16"/>
      <c r="Y139" s="16"/>
      <c r="Z139" s="16"/>
    </row>
    <row r="140" spans="1:28" s="35" customFormat="1" ht="31.2" hidden="1" outlineLevel="1">
      <c r="A140" s="31" t="s">
        <v>226</v>
      </c>
      <c r="B140" s="32">
        <f>SUM(B141:B143)</f>
        <v>0</v>
      </c>
      <c r="C140" s="32">
        <f>SUM(C141:C143)</f>
        <v>0</v>
      </c>
      <c r="D140" s="32">
        <f>SUM(D141:D143)</f>
        <v>0</v>
      </c>
      <c r="E140" s="32">
        <f t="shared" si="53"/>
        <v>0</v>
      </c>
      <c r="F140" s="32">
        <f>SUM(F141:F143)</f>
        <v>0</v>
      </c>
      <c r="G140" s="32">
        <f>SUM(G141:G143)</f>
        <v>0</v>
      </c>
      <c r="H140" s="32">
        <f>SUM(H141:H143)</f>
        <v>0</v>
      </c>
      <c r="I140" s="32">
        <f t="shared" si="54"/>
        <v>0</v>
      </c>
      <c r="J140" s="32">
        <f>SUM(J141:J143)</f>
        <v>0</v>
      </c>
      <c r="K140" s="32">
        <f>SUM(K141:K143)</f>
        <v>0</v>
      </c>
      <c r="L140" s="32">
        <f>SUM(L141:L143)</f>
        <v>0</v>
      </c>
      <c r="M140" s="32">
        <f t="shared" si="55"/>
        <v>0</v>
      </c>
      <c r="N140" s="32">
        <f>SUM(N141:N143)</f>
        <v>0</v>
      </c>
      <c r="O140" s="32">
        <f>SUM(O141:O143)</f>
        <v>0</v>
      </c>
      <c r="P140" s="32">
        <f>SUM(P141:P143)</f>
        <v>0</v>
      </c>
      <c r="Q140" s="32">
        <f t="shared" si="56"/>
        <v>0</v>
      </c>
      <c r="R140" s="33">
        <f t="shared" si="52"/>
        <v>0</v>
      </c>
    </row>
    <row r="141" spans="1:28" ht="21" hidden="1" outlineLevel="1">
      <c r="A141" s="52" t="s">
        <v>212</v>
      </c>
      <c r="B141" s="39">
        <f>'[36]Budget Forms'!E304</f>
        <v>0</v>
      </c>
      <c r="C141" s="39">
        <f>'[36]Budget Forms'!F304</f>
        <v>0</v>
      </c>
      <c r="D141" s="39">
        <f>'[36]Budget Forms'!G304</f>
        <v>0</v>
      </c>
      <c r="E141" s="39">
        <f t="shared" si="53"/>
        <v>0</v>
      </c>
      <c r="F141" s="39">
        <f>'[36]Budget Forms'!H305</f>
        <v>0</v>
      </c>
      <c r="G141" s="39">
        <f>'[36]Budget Forms'!I305</f>
        <v>0</v>
      </c>
      <c r="H141" s="39">
        <f>'[36]Budget Forms'!J305</f>
        <v>0</v>
      </c>
      <c r="I141" s="39">
        <f t="shared" si="54"/>
        <v>0</v>
      </c>
      <c r="J141" s="39">
        <f>'[36]Budget Forms'!K305</f>
        <v>0</v>
      </c>
      <c r="K141" s="39">
        <f>'[36]Budget Forms'!L305</f>
        <v>0</v>
      </c>
      <c r="L141" s="39">
        <f>'[36]Budget Forms'!M305</f>
        <v>0</v>
      </c>
      <c r="M141" s="39">
        <f t="shared" si="55"/>
        <v>0</v>
      </c>
      <c r="N141" s="39">
        <f>'[36]Budget Forms'!N305</f>
        <v>0</v>
      </c>
      <c r="O141" s="39">
        <f>'[36]Budget Forms'!O305</f>
        <v>0</v>
      </c>
      <c r="P141" s="39">
        <f>'[36]Budget Forms'!P305</f>
        <v>0</v>
      </c>
      <c r="Q141" s="39">
        <f t="shared" si="56"/>
        <v>0</v>
      </c>
      <c r="R141" s="39">
        <f t="shared" si="52"/>
        <v>0</v>
      </c>
      <c r="S141" s="16"/>
      <c r="T141" s="16"/>
      <c r="U141" s="16"/>
      <c r="V141" s="16"/>
      <c r="W141" s="16"/>
      <c r="X141" s="16"/>
      <c r="Y141" s="16"/>
      <c r="Z141" s="16"/>
    </row>
    <row r="142" spans="1:28" ht="21" hidden="1" outlineLevel="1">
      <c r="A142" s="52" t="s">
        <v>216</v>
      </c>
      <c r="B142" s="39">
        <f>'[36]Budget Forms'!E305</f>
        <v>0</v>
      </c>
      <c r="C142" s="39">
        <f>'[36]Budget Forms'!F305</f>
        <v>0</v>
      </c>
      <c r="D142" s="39">
        <f>'[36]Budget Forms'!G305</f>
        <v>0</v>
      </c>
      <c r="E142" s="39">
        <f t="shared" si="53"/>
        <v>0</v>
      </c>
      <c r="F142" s="39">
        <f>'[36]Budget Forms'!H306</f>
        <v>0</v>
      </c>
      <c r="G142" s="39">
        <f>'[36]Budget Forms'!I306</f>
        <v>0</v>
      </c>
      <c r="H142" s="39">
        <f>'[36]Budget Forms'!J306</f>
        <v>0</v>
      </c>
      <c r="I142" s="39">
        <f t="shared" si="54"/>
        <v>0</v>
      </c>
      <c r="J142" s="39">
        <f>'[36]Budget Forms'!K306</f>
        <v>0</v>
      </c>
      <c r="K142" s="39">
        <f>'[36]Budget Forms'!L306</f>
        <v>0</v>
      </c>
      <c r="L142" s="39">
        <f>'[36]Budget Forms'!M306</f>
        <v>0</v>
      </c>
      <c r="M142" s="39">
        <f t="shared" si="55"/>
        <v>0</v>
      </c>
      <c r="N142" s="39">
        <f>'[36]Budget Forms'!N306</f>
        <v>0</v>
      </c>
      <c r="O142" s="39">
        <f>'[36]Budget Forms'!O306</f>
        <v>0</v>
      </c>
      <c r="P142" s="39">
        <f>'[36]Budget Forms'!P306</f>
        <v>0</v>
      </c>
      <c r="Q142" s="39">
        <f t="shared" si="56"/>
        <v>0</v>
      </c>
      <c r="R142" s="39">
        <f t="shared" si="52"/>
        <v>0</v>
      </c>
      <c r="S142" s="16"/>
      <c r="T142" s="16"/>
      <c r="U142" s="16"/>
      <c r="V142" s="16"/>
      <c r="W142" s="16"/>
      <c r="X142" s="16"/>
      <c r="Y142" s="16"/>
      <c r="Z142" s="16"/>
    </row>
    <row r="143" spans="1:28" ht="21" hidden="1" outlineLevel="1">
      <c r="A143" s="52" t="s">
        <v>112</v>
      </c>
      <c r="B143" s="39">
        <f>'[36]Budget Forms'!E306</f>
        <v>0</v>
      </c>
      <c r="C143" s="39">
        <f>'[36]Budget Forms'!F306</f>
        <v>0</v>
      </c>
      <c r="D143" s="39">
        <f>'[36]Budget Forms'!G306</f>
        <v>0</v>
      </c>
      <c r="E143" s="39">
        <f t="shared" si="53"/>
        <v>0</v>
      </c>
      <c r="F143" s="39">
        <f>'[36]Budget Forms'!H307</f>
        <v>0</v>
      </c>
      <c r="G143" s="39">
        <f>'[36]Budget Forms'!I307</f>
        <v>0</v>
      </c>
      <c r="H143" s="39">
        <f>'[36]Budget Forms'!J307</f>
        <v>0</v>
      </c>
      <c r="I143" s="39">
        <f t="shared" si="54"/>
        <v>0</v>
      </c>
      <c r="J143" s="39">
        <f>'[36]Budget Forms'!K307</f>
        <v>0</v>
      </c>
      <c r="K143" s="39">
        <f>'[36]Budget Forms'!L307</f>
        <v>0</v>
      </c>
      <c r="L143" s="39">
        <f>'[36]Budget Forms'!M307</f>
        <v>0</v>
      </c>
      <c r="M143" s="39">
        <f t="shared" si="55"/>
        <v>0</v>
      </c>
      <c r="N143" s="39">
        <f>'[36]Budget Forms'!N307</f>
        <v>0</v>
      </c>
      <c r="O143" s="39">
        <f>'[36]Budget Forms'!O307</f>
        <v>0</v>
      </c>
      <c r="P143" s="39">
        <f>'[36]Budget Forms'!P307</f>
        <v>0</v>
      </c>
      <c r="Q143" s="39">
        <f t="shared" si="56"/>
        <v>0</v>
      </c>
      <c r="R143" s="39">
        <f>SUM(E143,I143,M143,Q143)</f>
        <v>0</v>
      </c>
      <c r="S143" s="16"/>
      <c r="T143" s="16"/>
      <c r="U143" s="16"/>
      <c r="V143" s="16"/>
      <c r="W143" s="16"/>
      <c r="X143" s="16"/>
      <c r="Y143" s="16"/>
      <c r="Z143" s="16"/>
    </row>
    <row r="144" spans="1:28" ht="23.4" collapsed="1">
      <c r="A144" s="51" t="s">
        <v>30</v>
      </c>
      <c r="B144" s="42">
        <v>416666.67</v>
      </c>
      <c r="C144" s="42">
        <v>416666.67</v>
      </c>
      <c r="D144" s="42">
        <v>416666.67</v>
      </c>
      <c r="E144" s="42">
        <f t="shared" si="53"/>
        <v>1250000.01</v>
      </c>
      <c r="F144" s="42">
        <v>416666.67</v>
      </c>
      <c r="G144" s="42">
        <v>416666.67</v>
      </c>
      <c r="H144" s="42">
        <v>416666.67</v>
      </c>
      <c r="I144" s="42">
        <f t="shared" si="54"/>
        <v>1250000.01</v>
      </c>
      <c r="J144" s="42">
        <v>416666.67</v>
      </c>
      <c r="K144" s="42">
        <v>416666.67</v>
      </c>
      <c r="L144" s="42">
        <v>416666.67</v>
      </c>
      <c r="M144" s="42">
        <f t="shared" si="55"/>
        <v>1250000.01</v>
      </c>
      <c r="N144" s="42">
        <v>416666.67</v>
      </c>
      <c r="O144" s="42">
        <v>416666.67</v>
      </c>
      <c r="P144" s="42">
        <v>416666.67</v>
      </c>
      <c r="Q144" s="42">
        <f t="shared" si="56"/>
        <v>1250000.01</v>
      </c>
      <c r="R144" s="42">
        <f t="shared" ref="R144:R148" si="59">SUM(E144,I144,M144,Q144)</f>
        <v>5000000.04</v>
      </c>
      <c r="S144" s="15"/>
      <c r="T144" s="15"/>
      <c r="U144" s="15"/>
      <c r="V144" s="15"/>
      <c r="W144" s="15"/>
      <c r="X144" s="15"/>
      <c r="Y144" s="15"/>
      <c r="Z144" s="15"/>
      <c r="AA144" s="15"/>
      <c r="AB144" s="15"/>
    </row>
    <row r="145" spans="1:28" ht="23.4">
      <c r="A145" s="51" t="s">
        <v>227</v>
      </c>
      <c r="B145" s="42">
        <f>SUM(B146,B150,B154)</f>
        <v>422634.27</v>
      </c>
      <c r="C145" s="42">
        <f>SUM(C146,C150,C154)</f>
        <v>397234.27</v>
      </c>
      <c r="D145" s="42">
        <f>SUM(D146,D150,D154)</f>
        <v>492154.27</v>
      </c>
      <c r="E145" s="42">
        <f>SUM(B145:D145)</f>
        <v>1312022.81</v>
      </c>
      <c r="F145" s="42">
        <f>SUM(F146,F150,F154)</f>
        <v>422634.27</v>
      </c>
      <c r="G145" s="42">
        <f>SUM(G146,G150,G154)</f>
        <v>353114.27</v>
      </c>
      <c r="H145" s="42">
        <f>SUM(H146,H150,H154)</f>
        <v>422634.27</v>
      </c>
      <c r="I145" s="42">
        <f>SUM(F145:H145)</f>
        <v>1198382.81</v>
      </c>
      <c r="J145" s="42">
        <f>SUM(J146,J150,J154)</f>
        <v>422634.27</v>
      </c>
      <c r="K145" s="42">
        <f>SUM(K146,K150,K154)</f>
        <v>422634.27</v>
      </c>
      <c r="L145" s="42">
        <f>SUM(L146,L150,L154)</f>
        <v>448034.27</v>
      </c>
      <c r="M145" s="42">
        <f>SUM(J145:L145)</f>
        <v>1293302.81</v>
      </c>
      <c r="N145" s="42">
        <f>SUM(N146,N150,N154)</f>
        <v>422634.27</v>
      </c>
      <c r="O145" s="42">
        <f>SUM(O146,O150,O154)</f>
        <v>422634.27</v>
      </c>
      <c r="P145" s="42">
        <f>SUM(P146,P150,P154)</f>
        <v>422634.27</v>
      </c>
      <c r="Q145" s="42">
        <f>SUM(N145:P145)</f>
        <v>1267902.81</v>
      </c>
      <c r="R145" s="42">
        <f t="shared" si="59"/>
        <v>5071611.24</v>
      </c>
      <c r="S145" s="15"/>
      <c r="T145" s="15"/>
      <c r="U145" s="15"/>
      <c r="V145" s="15"/>
      <c r="W145" s="15"/>
      <c r="X145" s="15"/>
      <c r="Y145" s="15"/>
      <c r="Z145" s="15"/>
      <c r="AA145" s="15"/>
      <c r="AB145" s="15"/>
    </row>
    <row r="146" spans="1:28" s="35" customFormat="1" ht="31.2" hidden="1" outlineLevel="1">
      <c r="A146" s="31" t="s">
        <v>228</v>
      </c>
      <c r="B146" s="32">
        <f>SUM(B147:B149)</f>
        <v>422634.27</v>
      </c>
      <c r="C146" s="32">
        <f>SUM(C147:C149)</f>
        <v>397234.27</v>
      </c>
      <c r="D146" s="32">
        <f>SUM(D147:D149)</f>
        <v>492154.27</v>
      </c>
      <c r="E146" s="32">
        <f t="shared" ref="E146:E174" si="60">SUM(B146:D146)</f>
        <v>1312022.81</v>
      </c>
      <c r="F146" s="32">
        <f>SUM(F147:F149)</f>
        <v>422634.27</v>
      </c>
      <c r="G146" s="32">
        <f>SUM(G147:G149)</f>
        <v>353114.27</v>
      </c>
      <c r="H146" s="32">
        <f>SUM(H147:H149)</f>
        <v>422634.27</v>
      </c>
      <c r="I146" s="32">
        <f t="shared" ref="I146:I192" si="61">SUM(F146:H146)</f>
        <v>1198382.81</v>
      </c>
      <c r="J146" s="32">
        <f>SUM(J147:J149)</f>
        <v>422634.27</v>
      </c>
      <c r="K146" s="32">
        <f>SUM(K147:K149)</f>
        <v>422634.27</v>
      </c>
      <c r="L146" s="32">
        <f>SUM(L147:L149)</f>
        <v>448034.27</v>
      </c>
      <c r="M146" s="32">
        <f t="shared" ref="M146:M192" si="62">SUM(J146:L146)</f>
        <v>1293302.81</v>
      </c>
      <c r="N146" s="32">
        <f>SUM(N147:N149)</f>
        <v>422634.27</v>
      </c>
      <c r="O146" s="32">
        <f>SUM(O147:O149)</f>
        <v>422634.27</v>
      </c>
      <c r="P146" s="32">
        <f>SUM(P147:P149)</f>
        <v>422634.27</v>
      </c>
      <c r="Q146" s="32">
        <f t="shared" ref="Q146:Q192" si="63">SUM(N146:P146)</f>
        <v>1267902.81</v>
      </c>
      <c r="R146" s="33">
        <f t="shared" si="59"/>
        <v>5071611.24</v>
      </c>
    </row>
    <row r="147" spans="1:28" ht="21" hidden="1" outlineLevel="1">
      <c r="A147" s="52" t="s">
        <v>212</v>
      </c>
      <c r="B147" s="39">
        <f>'[36]Budget Forms'!E308</f>
        <v>375459.71</v>
      </c>
      <c r="C147" s="39">
        <f>'[36]Budget Forms'!F308</f>
        <v>350059.71</v>
      </c>
      <c r="D147" s="39">
        <f>'[36]Budget Forms'!G308</f>
        <v>444979.71</v>
      </c>
      <c r="E147" s="39">
        <f t="shared" si="60"/>
        <v>1170499.1300000001</v>
      </c>
      <c r="F147" s="39">
        <f>'[36]Budget Forms'!H308</f>
        <v>375459.71</v>
      </c>
      <c r="G147" s="39">
        <f>'[36]Budget Forms'!I308</f>
        <v>305939.71000000002</v>
      </c>
      <c r="H147" s="39">
        <f>'[36]Budget Forms'!J308</f>
        <v>375459.71</v>
      </c>
      <c r="I147" s="39">
        <f t="shared" si="61"/>
        <v>1056859.1300000001</v>
      </c>
      <c r="J147" s="39">
        <f>'[36]Budget Forms'!K308</f>
        <v>375459.71</v>
      </c>
      <c r="K147" s="39">
        <f>'[36]Budget Forms'!L308</f>
        <v>375459.71</v>
      </c>
      <c r="L147" s="39">
        <f>'[36]Budget Forms'!M308</f>
        <v>400859.71</v>
      </c>
      <c r="M147" s="39">
        <f t="shared" si="62"/>
        <v>1151779.1300000001</v>
      </c>
      <c r="N147" s="39">
        <f>'[36]Budget Forms'!N308</f>
        <v>375459.71</v>
      </c>
      <c r="O147" s="39">
        <f>'[36]Budget Forms'!O308</f>
        <v>375459.71</v>
      </c>
      <c r="P147" s="39">
        <f>'[36]Budget Forms'!P308</f>
        <v>375459.71</v>
      </c>
      <c r="Q147" s="39">
        <f t="shared" si="63"/>
        <v>1126379.1300000001</v>
      </c>
      <c r="R147" s="39">
        <f t="shared" si="59"/>
        <v>4505516.5200000005</v>
      </c>
      <c r="S147" s="16"/>
      <c r="T147" s="16"/>
      <c r="U147" s="16"/>
      <c r="V147" s="16"/>
      <c r="W147" s="16"/>
      <c r="X147" s="16"/>
      <c r="Y147" s="16"/>
      <c r="Z147" s="16"/>
    </row>
    <row r="148" spans="1:28" ht="21" hidden="1" outlineLevel="1">
      <c r="A148" s="52" t="s">
        <v>216</v>
      </c>
      <c r="B148" s="39">
        <f>'[36]Budget Forms'!E309</f>
        <v>0</v>
      </c>
      <c r="C148" s="39">
        <f>'[36]Budget Forms'!F309</f>
        <v>0</v>
      </c>
      <c r="D148" s="39">
        <f>'[36]Budget Forms'!G309</f>
        <v>0</v>
      </c>
      <c r="E148" s="39">
        <f t="shared" si="60"/>
        <v>0</v>
      </c>
      <c r="F148" s="39">
        <f>'[36]Budget Forms'!H309</f>
        <v>0</v>
      </c>
      <c r="G148" s="39">
        <f>'[36]Budget Forms'!I309</f>
        <v>0</v>
      </c>
      <c r="H148" s="39">
        <f>'[36]Budget Forms'!J309</f>
        <v>0</v>
      </c>
      <c r="I148" s="39">
        <f t="shared" si="61"/>
        <v>0</v>
      </c>
      <c r="J148" s="39">
        <f>'[36]Budget Forms'!K309</f>
        <v>0</v>
      </c>
      <c r="K148" s="39">
        <f>'[36]Budget Forms'!L309</f>
        <v>0</v>
      </c>
      <c r="L148" s="39">
        <f>'[36]Budget Forms'!M309</f>
        <v>0</v>
      </c>
      <c r="M148" s="39">
        <f t="shared" si="62"/>
        <v>0</v>
      </c>
      <c r="N148" s="39">
        <f>'[36]Budget Forms'!N309</f>
        <v>0</v>
      </c>
      <c r="O148" s="39">
        <f>'[36]Budget Forms'!O309</f>
        <v>0</v>
      </c>
      <c r="P148" s="39">
        <f>'[36]Budget Forms'!P309</f>
        <v>0</v>
      </c>
      <c r="Q148" s="39">
        <f t="shared" si="63"/>
        <v>0</v>
      </c>
      <c r="R148" s="39">
        <f t="shared" si="59"/>
        <v>0</v>
      </c>
      <c r="S148" s="16"/>
      <c r="T148" s="16"/>
      <c r="U148" s="16"/>
      <c r="V148" s="16"/>
      <c r="W148" s="16"/>
      <c r="X148" s="16"/>
      <c r="Y148" s="16"/>
      <c r="Z148" s="16"/>
    </row>
    <row r="149" spans="1:28" ht="21" hidden="1" outlineLevel="1">
      <c r="A149" s="52" t="s">
        <v>112</v>
      </c>
      <c r="B149" s="39">
        <f>'[36]Budget Forms'!E310</f>
        <v>47174.559999999998</v>
      </c>
      <c r="C149" s="39">
        <f>'[36]Budget Forms'!F310</f>
        <v>47174.559999999998</v>
      </c>
      <c r="D149" s="39">
        <f>'[36]Budget Forms'!G310</f>
        <v>47174.559999999998</v>
      </c>
      <c r="E149" s="39">
        <f t="shared" si="60"/>
        <v>141523.68</v>
      </c>
      <c r="F149" s="39">
        <f>'[36]Budget Forms'!H310</f>
        <v>47174.559999999998</v>
      </c>
      <c r="G149" s="39">
        <f>'[36]Budget Forms'!I310</f>
        <v>47174.559999999998</v>
      </c>
      <c r="H149" s="39">
        <f>'[36]Budget Forms'!J310</f>
        <v>47174.559999999998</v>
      </c>
      <c r="I149" s="39">
        <f t="shared" si="61"/>
        <v>141523.68</v>
      </c>
      <c r="J149" s="39">
        <f>'[36]Budget Forms'!K310</f>
        <v>47174.559999999998</v>
      </c>
      <c r="K149" s="39">
        <f>'[36]Budget Forms'!L310</f>
        <v>47174.559999999998</v>
      </c>
      <c r="L149" s="39">
        <f>'[36]Budget Forms'!M310</f>
        <v>47174.559999999998</v>
      </c>
      <c r="M149" s="39">
        <f t="shared" si="62"/>
        <v>141523.68</v>
      </c>
      <c r="N149" s="39">
        <f>'[36]Budget Forms'!N310</f>
        <v>47174.559999999998</v>
      </c>
      <c r="O149" s="39">
        <f>'[36]Budget Forms'!O310</f>
        <v>47174.559999999998</v>
      </c>
      <c r="P149" s="39">
        <f>'[36]Budget Forms'!P310</f>
        <v>47174.559999999998</v>
      </c>
      <c r="Q149" s="39">
        <f t="shared" si="63"/>
        <v>141523.68</v>
      </c>
      <c r="R149" s="39">
        <f>SUM(E149,I149,M149,Q149)</f>
        <v>566094.72</v>
      </c>
      <c r="S149" s="16"/>
      <c r="T149" s="16"/>
      <c r="U149" s="16"/>
      <c r="V149" s="16"/>
      <c r="W149" s="16"/>
      <c r="X149" s="16"/>
      <c r="Y149" s="16"/>
      <c r="Z149" s="16"/>
    </row>
    <row r="150" spans="1:28" s="35" customFormat="1" ht="31.2" hidden="1" outlineLevel="1">
      <c r="A150" s="31" t="s">
        <v>229</v>
      </c>
      <c r="B150" s="32">
        <f>SUM(B151:B153)</f>
        <v>0</v>
      </c>
      <c r="C150" s="32">
        <f>SUM(C151:C153)</f>
        <v>0</v>
      </c>
      <c r="D150" s="32">
        <f>SUM(D151:D153)</f>
        <v>0</v>
      </c>
      <c r="E150" s="32">
        <f t="shared" si="60"/>
        <v>0</v>
      </c>
      <c r="F150" s="32">
        <f>SUM(F151:F153)</f>
        <v>0</v>
      </c>
      <c r="G150" s="32">
        <f>SUM(G151:G153)</f>
        <v>0</v>
      </c>
      <c r="H150" s="32">
        <f>SUM(H151:H153)</f>
        <v>0</v>
      </c>
      <c r="I150" s="32">
        <f t="shared" si="61"/>
        <v>0</v>
      </c>
      <c r="J150" s="32">
        <f>SUM(J151:J153)</f>
        <v>0</v>
      </c>
      <c r="K150" s="32">
        <f>SUM(K151:K153)</f>
        <v>0</v>
      </c>
      <c r="L150" s="32">
        <f>SUM(L151:L153)</f>
        <v>0</v>
      </c>
      <c r="M150" s="32">
        <f t="shared" si="62"/>
        <v>0</v>
      </c>
      <c r="N150" s="32">
        <f>SUM(N151:N153)</f>
        <v>0</v>
      </c>
      <c r="O150" s="32">
        <f>SUM(O151:O153)</f>
        <v>0</v>
      </c>
      <c r="P150" s="32">
        <f>SUM(P151:P153)</f>
        <v>0</v>
      </c>
      <c r="Q150" s="32">
        <f t="shared" si="63"/>
        <v>0</v>
      </c>
      <c r="R150" s="33">
        <f t="shared" ref="R150:R152" si="64">SUM(E150,I150,M150,Q150)</f>
        <v>0</v>
      </c>
    </row>
    <row r="151" spans="1:28" ht="21" hidden="1" outlineLevel="1">
      <c r="A151" s="52" t="s">
        <v>212</v>
      </c>
      <c r="B151" s="39">
        <f>'[36]Budget Forms'!E312</f>
        <v>0</v>
      </c>
      <c r="C151" s="39">
        <f>'[36]Budget Forms'!F312</f>
        <v>0</v>
      </c>
      <c r="D151" s="39">
        <f>'[36]Budget Forms'!G312</f>
        <v>0</v>
      </c>
      <c r="E151" s="39">
        <f t="shared" si="60"/>
        <v>0</v>
      </c>
      <c r="F151" s="39">
        <f>'[36]Budget Forms'!H312</f>
        <v>0</v>
      </c>
      <c r="G151" s="39">
        <f>'[36]Budget Forms'!I312</f>
        <v>0</v>
      </c>
      <c r="H151" s="39">
        <f>'[36]Budget Forms'!J312</f>
        <v>0</v>
      </c>
      <c r="I151" s="39">
        <f t="shared" si="61"/>
        <v>0</v>
      </c>
      <c r="J151" s="39">
        <f>'[36]Budget Forms'!K312</f>
        <v>0</v>
      </c>
      <c r="K151" s="39">
        <f>'[36]Budget Forms'!L312</f>
        <v>0</v>
      </c>
      <c r="L151" s="39">
        <f>'[36]Budget Forms'!M312</f>
        <v>0</v>
      </c>
      <c r="M151" s="39">
        <f t="shared" si="62"/>
        <v>0</v>
      </c>
      <c r="N151" s="39">
        <f>-'[36]Budget Forms'!N311</f>
        <v>0</v>
      </c>
      <c r="O151" s="39">
        <f>'[36]Budget Forms'!O312</f>
        <v>0</v>
      </c>
      <c r="P151" s="39">
        <f>'[36]Budget Forms'!P312</f>
        <v>0</v>
      </c>
      <c r="Q151" s="39">
        <f t="shared" si="63"/>
        <v>0</v>
      </c>
      <c r="R151" s="39">
        <f t="shared" si="64"/>
        <v>0</v>
      </c>
      <c r="S151" s="16"/>
      <c r="T151" s="16"/>
      <c r="U151" s="16"/>
      <c r="V151" s="16"/>
      <c r="W151" s="16"/>
      <c r="X151" s="16"/>
      <c r="Y151" s="16"/>
      <c r="Z151" s="16"/>
    </row>
    <row r="152" spans="1:28" ht="21" hidden="1" outlineLevel="1">
      <c r="A152" s="52" t="s">
        <v>216</v>
      </c>
      <c r="B152" s="39">
        <f>'[36]Budget Forms'!E313</f>
        <v>0</v>
      </c>
      <c r="C152" s="39">
        <f>'[36]Budget Forms'!F313</f>
        <v>0</v>
      </c>
      <c r="D152" s="39">
        <f>'[36]Budget Forms'!G313</f>
        <v>0</v>
      </c>
      <c r="E152" s="39">
        <f t="shared" si="60"/>
        <v>0</v>
      </c>
      <c r="F152" s="39">
        <f>'[36]Budget Forms'!H313</f>
        <v>0</v>
      </c>
      <c r="G152" s="39">
        <f>'[36]Budget Forms'!I313</f>
        <v>0</v>
      </c>
      <c r="H152" s="39">
        <f>'[36]Budget Forms'!J313</f>
        <v>0</v>
      </c>
      <c r="I152" s="39">
        <f t="shared" si="61"/>
        <v>0</v>
      </c>
      <c r="J152" s="39">
        <f>'[36]Budget Forms'!K313</f>
        <v>0</v>
      </c>
      <c r="K152" s="39">
        <f>'[36]Budget Forms'!L313</f>
        <v>0</v>
      </c>
      <c r="L152" s="39">
        <f>'[36]Budget Forms'!M313</f>
        <v>0</v>
      </c>
      <c r="M152" s="39">
        <f t="shared" si="62"/>
        <v>0</v>
      </c>
      <c r="N152" s="39">
        <f>-'[36]Budget Forms'!N312</f>
        <v>0</v>
      </c>
      <c r="O152" s="39">
        <f>'[36]Budget Forms'!O313</f>
        <v>0</v>
      </c>
      <c r="P152" s="39">
        <f>'[36]Budget Forms'!P313</f>
        <v>0</v>
      </c>
      <c r="Q152" s="39">
        <f t="shared" si="63"/>
        <v>0</v>
      </c>
      <c r="R152" s="39">
        <f t="shared" si="64"/>
        <v>0</v>
      </c>
      <c r="S152" s="16"/>
      <c r="T152" s="16"/>
      <c r="U152" s="16"/>
      <c r="V152" s="16"/>
      <c r="W152" s="16"/>
      <c r="X152" s="16"/>
      <c r="Y152" s="16"/>
      <c r="Z152" s="16"/>
    </row>
    <row r="153" spans="1:28" ht="21" hidden="1" outlineLevel="1">
      <c r="A153" s="52" t="s">
        <v>112</v>
      </c>
      <c r="B153" s="39">
        <f>'[36]Budget Forms'!E314</f>
        <v>0</v>
      </c>
      <c r="C153" s="39">
        <f>'[36]Budget Forms'!F314</f>
        <v>0</v>
      </c>
      <c r="D153" s="39">
        <f>'[36]Budget Forms'!G314</f>
        <v>0</v>
      </c>
      <c r="E153" s="39">
        <f t="shared" si="60"/>
        <v>0</v>
      </c>
      <c r="F153" s="39">
        <f>'[36]Budget Forms'!H314</f>
        <v>0</v>
      </c>
      <c r="G153" s="39">
        <f>'[36]Budget Forms'!I314</f>
        <v>0</v>
      </c>
      <c r="H153" s="39">
        <f>'[36]Budget Forms'!J314</f>
        <v>0</v>
      </c>
      <c r="I153" s="39">
        <f t="shared" si="61"/>
        <v>0</v>
      </c>
      <c r="J153" s="39">
        <f>'[36]Budget Forms'!K314</f>
        <v>0</v>
      </c>
      <c r="K153" s="39">
        <f>'[36]Budget Forms'!L314</f>
        <v>0</v>
      </c>
      <c r="L153" s="39">
        <f>'[36]Budget Forms'!M314</f>
        <v>0</v>
      </c>
      <c r="M153" s="39">
        <f t="shared" si="62"/>
        <v>0</v>
      </c>
      <c r="N153" s="39">
        <f>-'[36]Budget Forms'!N313</f>
        <v>0</v>
      </c>
      <c r="O153" s="39">
        <f>'[36]Budget Forms'!O314</f>
        <v>0</v>
      </c>
      <c r="P153" s="39">
        <f>'[36]Budget Forms'!P314</f>
        <v>0</v>
      </c>
      <c r="Q153" s="39">
        <f t="shared" si="63"/>
        <v>0</v>
      </c>
      <c r="R153" s="39">
        <f>SUM(E153,I153,M153,Q153)</f>
        <v>0</v>
      </c>
      <c r="S153" s="16"/>
      <c r="T153" s="16"/>
      <c r="U153" s="16"/>
      <c r="V153" s="16"/>
      <c r="W153" s="16"/>
      <c r="X153" s="16"/>
      <c r="Y153" s="16"/>
      <c r="Z153" s="16"/>
    </row>
    <row r="154" spans="1:28" s="35" customFormat="1" ht="31.2" hidden="1" outlineLevel="1">
      <c r="A154" s="31" t="s">
        <v>230</v>
      </c>
      <c r="B154" s="32">
        <f>SUM(B155:B157)</f>
        <v>0</v>
      </c>
      <c r="C154" s="32">
        <f>SUM(C155:C157)</f>
        <v>0</v>
      </c>
      <c r="D154" s="32">
        <f>SUM(D155:D157)</f>
        <v>0</v>
      </c>
      <c r="E154" s="32">
        <f t="shared" si="60"/>
        <v>0</v>
      </c>
      <c r="F154" s="32">
        <f>SUM(F155:F157)</f>
        <v>0</v>
      </c>
      <c r="G154" s="32">
        <f>SUM(G155:G157)</f>
        <v>0</v>
      </c>
      <c r="H154" s="32">
        <f>SUM(H155:H157)</f>
        <v>0</v>
      </c>
      <c r="I154" s="32">
        <f t="shared" si="61"/>
        <v>0</v>
      </c>
      <c r="J154" s="32">
        <f>SUM(J155:J157)</f>
        <v>0</v>
      </c>
      <c r="K154" s="32">
        <f>SUM(K155:K157)</f>
        <v>0</v>
      </c>
      <c r="L154" s="32">
        <f>SUM(L155:L157)</f>
        <v>0</v>
      </c>
      <c r="M154" s="32">
        <f t="shared" si="62"/>
        <v>0</v>
      </c>
      <c r="N154" s="32">
        <f>SUM(N155:N157)</f>
        <v>0</v>
      </c>
      <c r="O154" s="32">
        <f>SUM(O155:O157)</f>
        <v>0</v>
      </c>
      <c r="P154" s="32">
        <f>SUM(P155:P157)</f>
        <v>0</v>
      </c>
      <c r="Q154" s="32">
        <f t="shared" si="63"/>
        <v>0</v>
      </c>
      <c r="R154" s="33">
        <f t="shared" ref="R154:R156" si="65">SUM(E154,I154,M154,Q154)</f>
        <v>0</v>
      </c>
    </row>
    <row r="155" spans="1:28" ht="21" hidden="1" outlineLevel="1">
      <c r="A155" s="52" t="s">
        <v>212</v>
      </c>
      <c r="B155" s="39">
        <f>'[36]Budget Forms'!E316</f>
        <v>0</v>
      </c>
      <c r="C155" s="39">
        <f>'[36]Budget Forms'!F316</f>
        <v>0</v>
      </c>
      <c r="D155" s="39">
        <f>'[36]Budget Forms'!G316</f>
        <v>0</v>
      </c>
      <c r="E155" s="39">
        <f t="shared" si="60"/>
        <v>0</v>
      </c>
      <c r="F155" s="39">
        <f>'[36]Budget Forms'!H316</f>
        <v>0</v>
      </c>
      <c r="G155" s="39">
        <f>'[36]Budget Forms'!I316</f>
        <v>0</v>
      </c>
      <c r="H155" s="39">
        <f>'[36]Budget Forms'!J316</f>
        <v>0</v>
      </c>
      <c r="I155" s="39">
        <f t="shared" si="61"/>
        <v>0</v>
      </c>
      <c r="J155" s="39">
        <f>'[36]Budget Forms'!K316</f>
        <v>0</v>
      </c>
      <c r="K155" s="39">
        <f>'[36]Budget Forms'!L316</f>
        <v>0</v>
      </c>
      <c r="L155" s="39">
        <f>'[36]Budget Forms'!M316</f>
        <v>0</v>
      </c>
      <c r="M155" s="39">
        <f t="shared" si="62"/>
        <v>0</v>
      </c>
      <c r="N155" s="39">
        <f>-'[36]Budget Forms'!N314</f>
        <v>0</v>
      </c>
      <c r="O155" s="39">
        <f>'[36]Budget Forms'!O316</f>
        <v>0</v>
      </c>
      <c r="P155" s="39">
        <f>'[36]Budget Forms'!P316</f>
        <v>0</v>
      </c>
      <c r="Q155" s="39">
        <f t="shared" si="63"/>
        <v>0</v>
      </c>
      <c r="R155" s="39">
        <f t="shared" si="65"/>
        <v>0</v>
      </c>
      <c r="S155" s="16"/>
      <c r="T155" s="16"/>
      <c r="U155" s="16"/>
      <c r="V155" s="16"/>
      <c r="W155" s="16"/>
      <c r="X155" s="16"/>
      <c r="Y155" s="16"/>
      <c r="Z155" s="16"/>
    </row>
    <row r="156" spans="1:28" ht="21" hidden="1" outlineLevel="1">
      <c r="A156" s="52" t="s">
        <v>216</v>
      </c>
      <c r="B156" s="39">
        <f>'[36]Budget Forms'!E317</f>
        <v>0</v>
      </c>
      <c r="C156" s="39">
        <f>'[36]Budget Forms'!F317</f>
        <v>0</v>
      </c>
      <c r="D156" s="39">
        <f>'[36]Budget Forms'!G317</f>
        <v>0</v>
      </c>
      <c r="E156" s="39">
        <f t="shared" si="60"/>
        <v>0</v>
      </c>
      <c r="F156" s="39">
        <f>'[36]Budget Forms'!H317</f>
        <v>0</v>
      </c>
      <c r="G156" s="39">
        <f>'[36]Budget Forms'!I317</f>
        <v>0</v>
      </c>
      <c r="H156" s="39">
        <f>'[36]Budget Forms'!J317</f>
        <v>0</v>
      </c>
      <c r="I156" s="39">
        <f t="shared" si="61"/>
        <v>0</v>
      </c>
      <c r="J156" s="39">
        <f>'[36]Budget Forms'!K317</f>
        <v>0</v>
      </c>
      <c r="K156" s="39">
        <f>'[36]Budget Forms'!L317</f>
        <v>0</v>
      </c>
      <c r="L156" s="39">
        <f>'[36]Budget Forms'!M317</f>
        <v>0</v>
      </c>
      <c r="M156" s="39">
        <f t="shared" si="62"/>
        <v>0</v>
      </c>
      <c r="N156" s="39">
        <f>-'[36]Budget Forms'!N315</f>
        <v>0</v>
      </c>
      <c r="O156" s="39">
        <f>'[36]Budget Forms'!O317</f>
        <v>0</v>
      </c>
      <c r="P156" s="39">
        <f>'[36]Budget Forms'!P317</f>
        <v>0</v>
      </c>
      <c r="Q156" s="39">
        <f t="shared" si="63"/>
        <v>0</v>
      </c>
      <c r="R156" s="39">
        <f t="shared" si="65"/>
        <v>0</v>
      </c>
      <c r="S156" s="16"/>
      <c r="T156" s="16"/>
      <c r="U156" s="16"/>
      <c r="V156" s="16"/>
      <c r="W156" s="16"/>
      <c r="X156" s="16"/>
      <c r="Y156" s="16"/>
      <c r="Z156" s="16"/>
    </row>
    <row r="157" spans="1:28" ht="21" hidden="1" outlineLevel="1">
      <c r="A157" s="52" t="s">
        <v>112</v>
      </c>
      <c r="B157" s="39">
        <f>'[36]Budget Forms'!E318</f>
        <v>0</v>
      </c>
      <c r="C157" s="39">
        <f>'[36]Budget Forms'!F318</f>
        <v>0</v>
      </c>
      <c r="D157" s="39">
        <f>'[36]Budget Forms'!G318</f>
        <v>0</v>
      </c>
      <c r="E157" s="39">
        <f t="shared" si="60"/>
        <v>0</v>
      </c>
      <c r="F157" s="39">
        <f>'[36]Budget Forms'!H318</f>
        <v>0</v>
      </c>
      <c r="G157" s="39">
        <f>'[36]Budget Forms'!I318</f>
        <v>0</v>
      </c>
      <c r="H157" s="39">
        <f>'[36]Budget Forms'!J318</f>
        <v>0</v>
      </c>
      <c r="I157" s="39">
        <f t="shared" si="61"/>
        <v>0</v>
      </c>
      <c r="J157" s="39">
        <f>'[36]Budget Forms'!K318</f>
        <v>0</v>
      </c>
      <c r="K157" s="39">
        <f>'[36]Budget Forms'!L318</f>
        <v>0</v>
      </c>
      <c r="L157" s="39">
        <f>'[36]Budget Forms'!M318</f>
        <v>0</v>
      </c>
      <c r="M157" s="39">
        <f t="shared" si="62"/>
        <v>0</v>
      </c>
      <c r="N157" s="39">
        <f>-'[36]Budget Forms'!N316</f>
        <v>0</v>
      </c>
      <c r="O157" s="39">
        <f>'[36]Budget Forms'!O318</f>
        <v>0</v>
      </c>
      <c r="P157" s="39">
        <f>'[36]Budget Forms'!P318</f>
        <v>0</v>
      </c>
      <c r="Q157" s="39">
        <f t="shared" si="63"/>
        <v>0</v>
      </c>
      <c r="R157" s="39">
        <f>SUM(E157,I157,M157,Q157)</f>
        <v>0</v>
      </c>
      <c r="S157" s="16"/>
      <c r="T157" s="16"/>
      <c r="U157" s="16"/>
      <c r="V157" s="16"/>
      <c r="W157" s="16"/>
      <c r="X157" s="16"/>
      <c r="Y157" s="16"/>
      <c r="Z157" s="16"/>
    </row>
    <row r="158" spans="1:28" ht="23.4" hidden="1" collapsed="1">
      <c r="A158" s="51" t="s">
        <v>231</v>
      </c>
      <c r="B158" s="42">
        <f>SUM(B159,B163,B167,B171)</f>
        <v>0</v>
      </c>
      <c r="C158" s="42">
        <f>SUM(C159,C163,C167,C171)</f>
        <v>0</v>
      </c>
      <c r="D158" s="42">
        <f>SUM(D159,D163,D167,D171)</f>
        <v>0</v>
      </c>
      <c r="E158" s="42">
        <f t="shared" si="60"/>
        <v>0</v>
      </c>
      <c r="F158" s="42">
        <f>SUM(F159,F163,F167,F171)</f>
        <v>0</v>
      </c>
      <c r="G158" s="42">
        <f>SUM(G159,G163,G167,G171)</f>
        <v>0</v>
      </c>
      <c r="H158" s="42">
        <f>SUM(H159,H163,H167,H171)</f>
        <v>0</v>
      </c>
      <c r="I158" s="42">
        <f t="shared" si="61"/>
        <v>0</v>
      </c>
      <c r="J158" s="42">
        <f>SUM(J159,J163,J167,J171)</f>
        <v>0</v>
      </c>
      <c r="K158" s="42">
        <f>SUM(K159,K163,K167,K171)</f>
        <v>0</v>
      </c>
      <c r="L158" s="42">
        <f>SUM(L159,L163,L167,L171)</f>
        <v>0</v>
      </c>
      <c r="M158" s="42">
        <f t="shared" si="62"/>
        <v>0</v>
      </c>
      <c r="N158" s="42">
        <f>SUM(N159,N163,N167,N171)</f>
        <v>0</v>
      </c>
      <c r="O158" s="42">
        <f>SUM(O159,O163,O167,O171)</f>
        <v>0</v>
      </c>
      <c r="P158" s="42">
        <f>SUM(P159,P163,P167,P171)</f>
        <v>0</v>
      </c>
      <c r="Q158" s="42">
        <f t="shared" si="63"/>
        <v>0</v>
      </c>
      <c r="R158" s="42">
        <f>SUM(E158,I158,M158,Q158)</f>
        <v>0</v>
      </c>
    </row>
    <row r="159" spans="1:28" s="35" customFormat="1" ht="31.2" hidden="1" outlineLevel="1">
      <c r="A159" s="31" t="s">
        <v>232</v>
      </c>
      <c r="B159" s="32">
        <f>SUM(B160:B162)</f>
        <v>0</v>
      </c>
      <c r="C159" s="32">
        <f>SUM(C160:C162)</f>
        <v>0</v>
      </c>
      <c r="D159" s="32">
        <f>SUM(D160:D162)</f>
        <v>0</v>
      </c>
      <c r="E159" s="32">
        <f t="shared" si="60"/>
        <v>0</v>
      </c>
      <c r="F159" s="32">
        <f>SUM(F160:F162)</f>
        <v>0</v>
      </c>
      <c r="G159" s="32">
        <f>SUM(G160:G162)</f>
        <v>0</v>
      </c>
      <c r="H159" s="32">
        <f>SUM(H160:H162)</f>
        <v>0</v>
      </c>
      <c r="I159" s="32">
        <f t="shared" si="61"/>
        <v>0</v>
      </c>
      <c r="J159" s="32">
        <f>SUM(J160:J162)</f>
        <v>0</v>
      </c>
      <c r="K159" s="32">
        <f>SUM(K160:K162)</f>
        <v>0</v>
      </c>
      <c r="L159" s="32">
        <f>SUM(L160:L162)</f>
        <v>0</v>
      </c>
      <c r="M159" s="32">
        <f t="shared" si="62"/>
        <v>0</v>
      </c>
      <c r="N159" s="32">
        <f>SUM(N160:N162)</f>
        <v>0</v>
      </c>
      <c r="O159" s="32">
        <f>SUM(O160:O162)</f>
        <v>0</v>
      </c>
      <c r="P159" s="32">
        <f>SUM(P160:P162)</f>
        <v>0</v>
      </c>
      <c r="Q159" s="32">
        <f t="shared" si="63"/>
        <v>0</v>
      </c>
      <c r="R159" s="33">
        <f t="shared" ref="R159:R161" si="66">SUM(E159,I159,M159,Q159)</f>
        <v>0</v>
      </c>
    </row>
    <row r="160" spans="1:28" ht="21" hidden="1" outlineLevel="1">
      <c r="A160" s="52" t="s">
        <v>212</v>
      </c>
      <c r="B160" s="39">
        <f>-'[36]Budget Forms'!E318</f>
        <v>0</v>
      </c>
      <c r="C160" s="39">
        <f>-'[36]Budget Forms'!F318</f>
        <v>0</v>
      </c>
      <c r="D160" s="39">
        <f>-'[36]Budget Forms'!G318</f>
        <v>0</v>
      </c>
      <c r="E160" s="39">
        <f t="shared" si="60"/>
        <v>0</v>
      </c>
      <c r="F160" s="39">
        <f>-'[36]Budget Forms'!H318</f>
        <v>0</v>
      </c>
      <c r="G160" s="39">
        <f>-'[36]Budget Forms'!I318</f>
        <v>0</v>
      </c>
      <c r="H160" s="39">
        <f>-'[36]Budget Forms'!J318</f>
        <v>0</v>
      </c>
      <c r="I160" s="39">
        <f t="shared" si="61"/>
        <v>0</v>
      </c>
      <c r="J160" s="39">
        <f>-'[36]Budget Forms'!K318</f>
        <v>0</v>
      </c>
      <c r="K160" s="39">
        <f>-'[36]Budget Forms'!L318</f>
        <v>0</v>
      </c>
      <c r="L160" s="39">
        <f>-'[36]Budget Forms'!M318</f>
        <v>0</v>
      </c>
      <c r="M160" s="39">
        <f t="shared" si="62"/>
        <v>0</v>
      </c>
      <c r="N160" s="39">
        <f>-'[36]Budget Forms'!N318</f>
        <v>0</v>
      </c>
      <c r="O160" s="39">
        <f>-'[36]Budget Forms'!O318</f>
        <v>0</v>
      </c>
      <c r="P160" s="39">
        <f>-'[36]Budget Forms'!P318</f>
        <v>0</v>
      </c>
      <c r="Q160" s="39">
        <f t="shared" si="63"/>
        <v>0</v>
      </c>
      <c r="R160" s="39">
        <f t="shared" si="66"/>
        <v>0</v>
      </c>
      <c r="S160" s="16"/>
      <c r="T160" s="16"/>
      <c r="U160" s="16"/>
      <c r="V160" s="16"/>
      <c r="W160" s="16"/>
      <c r="X160" s="16"/>
      <c r="Y160" s="16"/>
      <c r="Z160" s="16"/>
    </row>
    <row r="161" spans="1:26" ht="21" hidden="1" outlineLevel="1">
      <c r="A161" s="52" t="s">
        <v>216</v>
      </c>
      <c r="B161" s="39">
        <f>-'[36]Budget Forms'!E319</f>
        <v>0</v>
      </c>
      <c r="C161" s="39">
        <f>-'[36]Budget Forms'!F319</f>
        <v>0</v>
      </c>
      <c r="D161" s="39">
        <f>-'[36]Budget Forms'!G319</f>
        <v>0</v>
      </c>
      <c r="E161" s="39">
        <f t="shared" si="60"/>
        <v>0</v>
      </c>
      <c r="F161" s="39">
        <f>-'[36]Budget Forms'!H319</f>
        <v>0</v>
      </c>
      <c r="G161" s="39">
        <f>-'[36]Budget Forms'!I319</f>
        <v>0</v>
      </c>
      <c r="H161" s="39">
        <f>-'[36]Budget Forms'!J319</f>
        <v>0</v>
      </c>
      <c r="I161" s="39">
        <f t="shared" si="61"/>
        <v>0</v>
      </c>
      <c r="J161" s="39">
        <f>-'[36]Budget Forms'!K319</f>
        <v>0</v>
      </c>
      <c r="K161" s="39">
        <f>-'[36]Budget Forms'!L319</f>
        <v>0</v>
      </c>
      <c r="L161" s="39">
        <f>-'[36]Budget Forms'!M319</f>
        <v>0</v>
      </c>
      <c r="M161" s="39">
        <f t="shared" si="62"/>
        <v>0</v>
      </c>
      <c r="N161" s="39">
        <f>-'[36]Budget Forms'!N319</f>
        <v>0</v>
      </c>
      <c r="O161" s="39">
        <f>-'[36]Budget Forms'!O319</f>
        <v>0</v>
      </c>
      <c r="P161" s="39">
        <f>-'[36]Budget Forms'!P319</f>
        <v>0</v>
      </c>
      <c r="Q161" s="39">
        <f t="shared" si="63"/>
        <v>0</v>
      </c>
      <c r="R161" s="39">
        <f t="shared" si="66"/>
        <v>0</v>
      </c>
      <c r="S161" s="16"/>
      <c r="T161" s="16"/>
      <c r="U161" s="16"/>
      <c r="V161" s="16"/>
      <c r="W161" s="16"/>
      <c r="X161" s="16"/>
      <c r="Y161" s="16"/>
      <c r="Z161" s="16"/>
    </row>
    <row r="162" spans="1:26" ht="21" hidden="1" outlineLevel="1">
      <c r="A162" s="52" t="s">
        <v>112</v>
      </c>
      <c r="B162" s="39">
        <f>-'[36]Budget Forms'!E320</f>
        <v>0</v>
      </c>
      <c r="C162" s="39">
        <f>-'[36]Budget Forms'!F320</f>
        <v>0</v>
      </c>
      <c r="D162" s="39">
        <f>-'[36]Budget Forms'!G320</f>
        <v>0</v>
      </c>
      <c r="E162" s="39">
        <f t="shared" si="60"/>
        <v>0</v>
      </c>
      <c r="F162" s="39">
        <f>-'[36]Budget Forms'!H320</f>
        <v>0</v>
      </c>
      <c r="G162" s="39">
        <f>-'[36]Budget Forms'!I320</f>
        <v>0</v>
      </c>
      <c r="H162" s="39">
        <f>-'[36]Budget Forms'!J320</f>
        <v>0</v>
      </c>
      <c r="I162" s="39">
        <f t="shared" si="61"/>
        <v>0</v>
      </c>
      <c r="J162" s="39">
        <f>-'[36]Budget Forms'!K320</f>
        <v>0</v>
      </c>
      <c r="K162" s="39">
        <f>-'[36]Budget Forms'!L320</f>
        <v>0</v>
      </c>
      <c r="L162" s="39">
        <f>-'[36]Budget Forms'!M320</f>
        <v>0</v>
      </c>
      <c r="M162" s="39">
        <f t="shared" si="62"/>
        <v>0</v>
      </c>
      <c r="N162" s="39">
        <f>-'[36]Budget Forms'!N320</f>
        <v>0</v>
      </c>
      <c r="O162" s="39">
        <f>-'[36]Budget Forms'!O320</f>
        <v>0</v>
      </c>
      <c r="P162" s="39">
        <f>-'[36]Budget Forms'!P320</f>
        <v>0</v>
      </c>
      <c r="Q162" s="39">
        <f t="shared" si="63"/>
        <v>0</v>
      </c>
      <c r="R162" s="39">
        <f>SUM(E162,I162,M162,Q162)</f>
        <v>0</v>
      </c>
      <c r="S162" s="16"/>
      <c r="T162" s="16"/>
      <c r="U162" s="16"/>
      <c r="V162" s="16"/>
      <c r="W162" s="16"/>
      <c r="X162" s="16"/>
      <c r="Y162" s="16"/>
      <c r="Z162" s="16"/>
    </row>
    <row r="163" spans="1:26" s="35" customFormat="1" ht="31.2" hidden="1" outlineLevel="1">
      <c r="A163" s="31" t="s">
        <v>233</v>
      </c>
      <c r="B163" s="32">
        <f>SUM(B164:B166)</f>
        <v>0</v>
      </c>
      <c r="C163" s="32">
        <f>SUM(C164:C166)</f>
        <v>0</v>
      </c>
      <c r="D163" s="32">
        <f>SUM(D164:D166)</f>
        <v>0</v>
      </c>
      <c r="E163" s="32">
        <f t="shared" si="60"/>
        <v>0</v>
      </c>
      <c r="F163" s="32">
        <f>SUM(F164:F166)</f>
        <v>0</v>
      </c>
      <c r="G163" s="32">
        <f>SUM(G164:G166)</f>
        <v>0</v>
      </c>
      <c r="H163" s="32">
        <f>SUM(H164:H166)</f>
        <v>0</v>
      </c>
      <c r="I163" s="32">
        <f t="shared" si="61"/>
        <v>0</v>
      </c>
      <c r="J163" s="32">
        <f>SUM(J164:J166)</f>
        <v>0</v>
      </c>
      <c r="K163" s="32">
        <f>SUM(K164:K166)</f>
        <v>0</v>
      </c>
      <c r="L163" s="32">
        <f>SUM(L164:L166)</f>
        <v>0</v>
      </c>
      <c r="M163" s="32">
        <f t="shared" si="62"/>
        <v>0</v>
      </c>
      <c r="N163" s="32">
        <f>SUM(N164:N166)</f>
        <v>0</v>
      </c>
      <c r="O163" s="32">
        <f>SUM(O164:O166)</f>
        <v>0</v>
      </c>
      <c r="P163" s="32">
        <f>SUM(P164:P166)</f>
        <v>0</v>
      </c>
      <c r="Q163" s="32">
        <f t="shared" si="63"/>
        <v>0</v>
      </c>
      <c r="R163" s="33">
        <f t="shared" ref="R163:R165" si="67">SUM(E163,I163,M163,Q163)</f>
        <v>0</v>
      </c>
    </row>
    <row r="164" spans="1:26" ht="21" hidden="1" outlineLevel="1">
      <c r="A164" s="52" t="s">
        <v>212</v>
      </c>
      <c r="B164" s="39">
        <f>-'[36]Budget Forms'!E321</f>
        <v>0</v>
      </c>
      <c r="C164" s="39">
        <f>-'[36]Budget Forms'!F321</f>
        <v>0</v>
      </c>
      <c r="D164" s="39">
        <f>-'[36]Budget Forms'!G321</f>
        <v>0</v>
      </c>
      <c r="E164" s="39">
        <f t="shared" si="60"/>
        <v>0</v>
      </c>
      <c r="F164" s="39">
        <f>-'[36]Budget Forms'!H321</f>
        <v>0</v>
      </c>
      <c r="G164" s="39">
        <f>-'[36]Budget Forms'!I321</f>
        <v>0</v>
      </c>
      <c r="H164" s="39">
        <f>-'[36]Budget Forms'!J321</f>
        <v>0</v>
      </c>
      <c r="I164" s="39">
        <f t="shared" si="61"/>
        <v>0</v>
      </c>
      <c r="J164" s="39">
        <f>-'[36]Budget Forms'!K321</f>
        <v>0</v>
      </c>
      <c r="K164" s="39">
        <f>-'[36]Budget Forms'!L321</f>
        <v>0</v>
      </c>
      <c r="L164" s="39">
        <f>-'[36]Budget Forms'!M321</f>
        <v>0</v>
      </c>
      <c r="M164" s="39">
        <f t="shared" si="62"/>
        <v>0</v>
      </c>
      <c r="N164" s="39">
        <f>-'[36]Budget Forms'!N321</f>
        <v>0</v>
      </c>
      <c r="O164" s="39">
        <f>-'[36]Budget Forms'!O321</f>
        <v>0</v>
      </c>
      <c r="P164" s="39">
        <f>-'[36]Budget Forms'!P321</f>
        <v>0</v>
      </c>
      <c r="Q164" s="39">
        <f t="shared" si="63"/>
        <v>0</v>
      </c>
      <c r="R164" s="39">
        <f t="shared" si="67"/>
        <v>0</v>
      </c>
      <c r="S164" s="16"/>
      <c r="T164" s="16"/>
      <c r="U164" s="16"/>
      <c r="V164" s="16"/>
      <c r="W164" s="16"/>
      <c r="X164" s="16"/>
      <c r="Y164" s="16"/>
      <c r="Z164" s="16"/>
    </row>
    <row r="165" spans="1:26" ht="21" hidden="1" outlineLevel="1">
      <c r="A165" s="52" t="s">
        <v>216</v>
      </c>
      <c r="B165" s="39">
        <f>-'[36]Budget Forms'!E322</f>
        <v>0</v>
      </c>
      <c r="C165" s="39">
        <f>-'[36]Budget Forms'!F322</f>
        <v>0</v>
      </c>
      <c r="D165" s="39">
        <f>-'[36]Budget Forms'!G322</f>
        <v>0</v>
      </c>
      <c r="E165" s="39">
        <f t="shared" si="60"/>
        <v>0</v>
      </c>
      <c r="F165" s="39">
        <f>-'[36]Budget Forms'!H322</f>
        <v>0</v>
      </c>
      <c r="G165" s="39">
        <f>-'[36]Budget Forms'!I322</f>
        <v>0</v>
      </c>
      <c r="H165" s="39">
        <f>-'[36]Budget Forms'!J322</f>
        <v>0</v>
      </c>
      <c r="I165" s="39">
        <f t="shared" si="61"/>
        <v>0</v>
      </c>
      <c r="J165" s="39">
        <f>-'[36]Budget Forms'!K322</f>
        <v>0</v>
      </c>
      <c r="K165" s="39">
        <f>-'[36]Budget Forms'!L322</f>
        <v>0</v>
      </c>
      <c r="L165" s="39">
        <f>-'[36]Budget Forms'!M322</f>
        <v>0</v>
      </c>
      <c r="M165" s="39">
        <f t="shared" si="62"/>
        <v>0</v>
      </c>
      <c r="N165" s="39">
        <f>-'[36]Budget Forms'!N322</f>
        <v>0</v>
      </c>
      <c r="O165" s="39">
        <f>-'[36]Budget Forms'!O322</f>
        <v>0</v>
      </c>
      <c r="P165" s="39">
        <f>-'[36]Budget Forms'!P322</f>
        <v>0</v>
      </c>
      <c r="Q165" s="39">
        <f t="shared" si="63"/>
        <v>0</v>
      </c>
      <c r="R165" s="39">
        <f t="shared" si="67"/>
        <v>0</v>
      </c>
      <c r="S165" s="16"/>
      <c r="T165" s="16"/>
      <c r="U165" s="16"/>
      <c r="V165" s="16"/>
      <c r="W165" s="16"/>
      <c r="X165" s="16"/>
      <c r="Y165" s="16"/>
      <c r="Z165" s="16"/>
    </row>
    <row r="166" spans="1:26" ht="21" hidden="1" outlineLevel="1">
      <c r="A166" s="52" t="s">
        <v>112</v>
      </c>
      <c r="B166" s="39">
        <f>-'[36]Budget Forms'!E323</f>
        <v>0</v>
      </c>
      <c r="C166" s="39">
        <f>-'[36]Budget Forms'!F323</f>
        <v>0</v>
      </c>
      <c r="D166" s="39">
        <f>-'[36]Budget Forms'!G323</f>
        <v>0</v>
      </c>
      <c r="E166" s="39">
        <f t="shared" si="60"/>
        <v>0</v>
      </c>
      <c r="F166" s="39">
        <f>-'[36]Budget Forms'!H323</f>
        <v>0</v>
      </c>
      <c r="G166" s="39">
        <f>-'[36]Budget Forms'!I323</f>
        <v>0</v>
      </c>
      <c r="H166" s="39">
        <f>-'[36]Budget Forms'!J323</f>
        <v>0</v>
      </c>
      <c r="I166" s="39">
        <f t="shared" si="61"/>
        <v>0</v>
      </c>
      <c r="J166" s="39">
        <f>-'[36]Budget Forms'!K323</f>
        <v>0</v>
      </c>
      <c r="K166" s="39">
        <f>-'[36]Budget Forms'!L323</f>
        <v>0</v>
      </c>
      <c r="L166" s="39">
        <f>-'[36]Budget Forms'!M323</f>
        <v>0</v>
      </c>
      <c r="M166" s="39">
        <f t="shared" si="62"/>
        <v>0</v>
      </c>
      <c r="N166" s="39">
        <f>-'[36]Budget Forms'!N323</f>
        <v>0</v>
      </c>
      <c r="O166" s="39">
        <f>-'[36]Budget Forms'!O323</f>
        <v>0</v>
      </c>
      <c r="P166" s="39">
        <f>-'[36]Budget Forms'!P323</f>
        <v>0</v>
      </c>
      <c r="Q166" s="39">
        <f t="shared" si="63"/>
        <v>0</v>
      </c>
      <c r="R166" s="39">
        <f>SUM(E166,I166,M166,Q166)</f>
        <v>0</v>
      </c>
      <c r="S166" s="16"/>
      <c r="T166" s="16"/>
      <c r="U166" s="16"/>
      <c r="V166" s="16"/>
      <c r="W166" s="16"/>
      <c r="X166" s="16"/>
      <c r="Y166" s="16"/>
      <c r="Z166" s="16"/>
    </row>
    <row r="167" spans="1:26" s="35" customFormat="1" ht="31.2" hidden="1" outlineLevel="1">
      <c r="A167" s="31" t="s">
        <v>234</v>
      </c>
      <c r="B167" s="32">
        <f>SUM(B168:B170)</f>
        <v>0</v>
      </c>
      <c r="C167" s="32">
        <f>SUM(C168:C170)</f>
        <v>0</v>
      </c>
      <c r="D167" s="32">
        <f>SUM(D168:D170)</f>
        <v>0</v>
      </c>
      <c r="E167" s="32">
        <f t="shared" si="60"/>
        <v>0</v>
      </c>
      <c r="F167" s="32">
        <f>SUM(F168:F170)</f>
        <v>0</v>
      </c>
      <c r="G167" s="32">
        <f>SUM(G168:G170)</f>
        <v>0</v>
      </c>
      <c r="H167" s="32">
        <f>SUM(H168:H170)</f>
        <v>0</v>
      </c>
      <c r="I167" s="32">
        <f t="shared" si="61"/>
        <v>0</v>
      </c>
      <c r="J167" s="32">
        <f>SUM(J168:J170)</f>
        <v>0</v>
      </c>
      <c r="K167" s="32">
        <f>SUM(K168:K170)</f>
        <v>0</v>
      </c>
      <c r="L167" s="32">
        <f>SUM(L168:L170)</f>
        <v>0</v>
      </c>
      <c r="M167" s="32">
        <f t="shared" si="62"/>
        <v>0</v>
      </c>
      <c r="N167" s="32">
        <f>SUM(N168:N170)</f>
        <v>0</v>
      </c>
      <c r="O167" s="32">
        <f>SUM(O168:O170)</f>
        <v>0</v>
      </c>
      <c r="P167" s="32">
        <f>SUM(P168:P170)</f>
        <v>0</v>
      </c>
      <c r="Q167" s="32">
        <f t="shared" si="63"/>
        <v>0</v>
      </c>
      <c r="R167" s="33">
        <f t="shared" ref="R167:R169" si="68">SUM(E167,I167,M167,Q167)</f>
        <v>0</v>
      </c>
    </row>
    <row r="168" spans="1:26" ht="21" hidden="1" outlineLevel="1">
      <c r="A168" s="52" t="s">
        <v>212</v>
      </c>
      <c r="B168" s="39">
        <f>-'[36]Budget Forms'!E324</f>
        <v>0</v>
      </c>
      <c r="C168" s="39">
        <f>-'[36]Budget Forms'!F324</f>
        <v>0</v>
      </c>
      <c r="D168" s="39">
        <f>-'[36]Budget Forms'!G324</f>
        <v>0</v>
      </c>
      <c r="E168" s="39">
        <f t="shared" si="60"/>
        <v>0</v>
      </c>
      <c r="F168" s="39">
        <f>-'[36]Budget Forms'!H324</f>
        <v>0</v>
      </c>
      <c r="G168" s="39">
        <f>-'[36]Budget Forms'!I324</f>
        <v>0</v>
      </c>
      <c r="H168" s="39">
        <f>-'[36]Budget Forms'!J324</f>
        <v>0</v>
      </c>
      <c r="I168" s="39">
        <f t="shared" si="61"/>
        <v>0</v>
      </c>
      <c r="J168" s="39">
        <f>-'[36]Budget Forms'!K324</f>
        <v>0</v>
      </c>
      <c r="K168" s="39">
        <f>-'[36]Budget Forms'!L324</f>
        <v>0</v>
      </c>
      <c r="L168" s="39">
        <f>-'[36]Budget Forms'!M324</f>
        <v>0</v>
      </c>
      <c r="M168" s="39">
        <f t="shared" si="62"/>
        <v>0</v>
      </c>
      <c r="N168" s="39">
        <f>-'[36]Budget Forms'!N324</f>
        <v>0</v>
      </c>
      <c r="O168" s="39">
        <f>-'[36]Budget Forms'!O324</f>
        <v>0</v>
      </c>
      <c r="P168" s="39">
        <f>-'[36]Budget Forms'!P324</f>
        <v>0</v>
      </c>
      <c r="Q168" s="39">
        <f t="shared" si="63"/>
        <v>0</v>
      </c>
      <c r="R168" s="39">
        <f t="shared" si="68"/>
        <v>0</v>
      </c>
      <c r="S168" s="16"/>
      <c r="T168" s="16"/>
      <c r="U168" s="16"/>
      <c r="V168" s="16"/>
      <c r="W168" s="16"/>
      <c r="X168" s="16"/>
      <c r="Y168" s="16"/>
      <c r="Z168" s="16"/>
    </row>
    <row r="169" spans="1:26" ht="21" hidden="1" outlineLevel="1">
      <c r="A169" s="52" t="s">
        <v>216</v>
      </c>
      <c r="B169" s="39">
        <f>-'[36]Budget Forms'!E325</f>
        <v>0</v>
      </c>
      <c r="C169" s="39">
        <f>-'[36]Budget Forms'!F325</f>
        <v>0</v>
      </c>
      <c r="D169" s="39">
        <f>-'[36]Budget Forms'!G325</f>
        <v>0</v>
      </c>
      <c r="E169" s="39">
        <f t="shared" si="60"/>
        <v>0</v>
      </c>
      <c r="F169" s="39">
        <f>-'[36]Budget Forms'!H325</f>
        <v>0</v>
      </c>
      <c r="G169" s="39">
        <f>-'[36]Budget Forms'!I325</f>
        <v>0</v>
      </c>
      <c r="H169" s="39">
        <f>-'[36]Budget Forms'!J325</f>
        <v>0</v>
      </c>
      <c r="I169" s="39">
        <f t="shared" si="61"/>
        <v>0</v>
      </c>
      <c r="J169" s="39">
        <f>-'[36]Budget Forms'!K325</f>
        <v>0</v>
      </c>
      <c r="K169" s="39">
        <f>-'[36]Budget Forms'!L325</f>
        <v>0</v>
      </c>
      <c r="L169" s="39">
        <f>-'[36]Budget Forms'!M325</f>
        <v>0</v>
      </c>
      <c r="M169" s="39">
        <f t="shared" si="62"/>
        <v>0</v>
      </c>
      <c r="N169" s="39">
        <f>-'[36]Budget Forms'!N325</f>
        <v>0</v>
      </c>
      <c r="O169" s="39">
        <f>-'[36]Budget Forms'!O325</f>
        <v>0</v>
      </c>
      <c r="P169" s="39">
        <f>-'[36]Budget Forms'!P325</f>
        <v>0</v>
      </c>
      <c r="Q169" s="39">
        <f t="shared" si="63"/>
        <v>0</v>
      </c>
      <c r="R169" s="39">
        <f t="shared" si="68"/>
        <v>0</v>
      </c>
      <c r="S169" s="16"/>
      <c r="T169" s="16"/>
      <c r="U169" s="16"/>
      <c r="V169" s="16"/>
      <c r="W169" s="16"/>
      <c r="X169" s="16"/>
      <c r="Y169" s="16"/>
      <c r="Z169" s="16"/>
    </row>
    <row r="170" spans="1:26" ht="21" hidden="1" outlineLevel="1">
      <c r="A170" s="52" t="s">
        <v>112</v>
      </c>
      <c r="B170" s="39">
        <f>-'[36]Budget Forms'!E326</f>
        <v>0</v>
      </c>
      <c r="C170" s="39">
        <f>-'[36]Budget Forms'!F326</f>
        <v>0</v>
      </c>
      <c r="D170" s="39">
        <f>-'[36]Budget Forms'!G326</f>
        <v>0</v>
      </c>
      <c r="E170" s="39">
        <f t="shared" si="60"/>
        <v>0</v>
      </c>
      <c r="F170" s="39">
        <f>-'[36]Budget Forms'!H326</f>
        <v>0</v>
      </c>
      <c r="G170" s="39">
        <f>-'[36]Budget Forms'!I326</f>
        <v>0</v>
      </c>
      <c r="H170" s="39">
        <f>-'[36]Budget Forms'!J326</f>
        <v>0</v>
      </c>
      <c r="I170" s="39">
        <f t="shared" si="61"/>
        <v>0</v>
      </c>
      <c r="J170" s="39">
        <f>-'[36]Budget Forms'!K326</f>
        <v>0</v>
      </c>
      <c r="K170" s="39">
        <f>-'[36]Budget Forms'!L326</f>
        <v>0</v>
      </c>
      <c r="L170" s="39">
        <f>-'[36]Budget Forms'!M326</f>
        <v>0</v>
      </c>
      <c r="M170" s="39">
        <f t="shared" si="62"/>
        <v>0</v>
      </c>
      <c r="N170" s="39">
        <f>-'[36]Budget Forms'!N326</f>
        <v>0</v>
      </c>
      <c r="O170" s="39">
        <f>-'[36]Budget Forms'!O326</f>
        <v>0</v>
      </c>
      <c r="P170" s="39">
        <f>-'[36]Budget Forms'!P326</f>
        <v>0</v>
      </c>
      <c r="Q170" s="39">
        <f t="shared" si="63"/>
        <v>0</v>
      </c>
      <c r="R170" s="39">
        <f>SUM(E170,I170,M170,Q170)</f>
        <v>0</v>
      </c>
      <c r="S170" s="16"/>
      <c r="T170" s="16"/>
      <c r="U170" s="16"/>
      <c r="V170" s="16"/>
      <c r="W170" s="16"/>
      <c r="X170" s="16"/>
      <c r="Y170" s="16"/>
      <c r="Z170" s="16"/>
    </row>
    <row r="171" spans="1:26" s="35" customFormat="1" ht="31.2" hidden="1" outlineLevel="1">
      <c r="A171" s="31" t="s">
        <v>235</v>
      </c>
      <c r="B171" s="32">
        <f>SUM(B172:B174)</f>
        <v>0</v>
      </c>
      <c r="C171" s="32">
        <f>SUM(C172:C174)</f>
        <v>0</v>
      </c>
      <c r="D171" s="32">
        <f>SUM(D172:D174)</f>
        <v>0</v>
      </c>
      <c r="E171" s="32">
        <f t="shared" si="60"/>
        <v>0</v>
      </c>
      <c r="F171" s="32">
        <f>SUM(F172:F174)</f>
        <v>0</v>
      </c>
      <c r="G171" s="32">
        <f>SUM(G172:G174)</f>
        <v>0</v>
      </c>
      <c r="H171" s="32">
        <f>SUM(H172:H174)</f>
        <v>0</v>
      </c>
      <c r="I171" s="32">
        <f t="shared" si="61"/>
        <v>0</v>
      </c>
      <c r="J171" s="32">
        <f>SUM(J172:J174)</f>
        <v>0</v>
      </c>
      <c r="K171" s="32">
        <f>SUM(K172:K174)</f>
        <v>0</v>
      </c>
      <c r="L171" s="32">
        <f>SUM(L172:L174)</f>
        <v>0</v>
      </c>
      <c r="M171" s="32">
        <f t="shared" si="62"/>
        <v>0</v>
      </c>
      <c r="N171" s="32">
        <f>SUM(N172:N174)</f>
        <v>0</v>
      </c>
      <c r="O171" s="32">
        <f>SUM(O172:O174)</f>
        <v>0</v>
      </c>
      <c r="P171" s="32">
        <f>SUM(P172:P174)</f>
        <v>0</v>
      </c>
      <c r="Q171" s="32">
        <f t="shared" si="63"/>
        <v>0</v>
      </c>
      <c r="R171" s="33">
        <f t="shared" ref="R171:R173" si="69">SUM(E171,I171,M171,Q171)</f>
        <v>0</v>
      </c>
    </row>
    <row r="172" spans="1:26" ht="21" hidden="1" outlineLevel="1">
      <c r="A172" s="52" t="s">
        <v>212</v>
      </c>
      <c r="B172" s="39">
        <f>-'[36]Budget Forms'!E327</f>
        <v>0</v>
      </c>
      <c r="C172" s="39">
        <f>-'[36]Budget Forms'!F327</f>
        <v>0</v>
      </c>
      <c r="D172" s="39">
        <f>-'[36]Budget Forms'!G327</f>
        <v>0</v>
      </c>
      <c r="E172" s="39">
        <f t="shared" si="60"/>
        <v>0</v>
      </c>
      <c r="F172" s="39">
        <f>-'[36]Budget Forms'!H327</f>
        <v>0</v>
      </c>
      <c r="G172" s="39">
        <f>-'[36]Budget Forms'!I327</f>
        <v>0</v>
      </c>
      <c r="H172" s="39">
        <f>-'[36]Budget Forms'!J327</f>
        <v>0</v>
      </c>
      <c r="I172" s="39">
        <f t="shared" si="61"/>
        <v>0</v>
      </c>
      <c r="J172" s="39">
        <f>-'[36]Budget Forms'!K327</f>
        <v>0</v>
      </c>
      <c r="K172" s="39">
        <f>-'[36]Budget Forms'!L327</f>
        <v>0</v>
      </c>
      <c r="L172" s="39">
        <f>-'[36]Budget Forms'!M327</f>
        <v>0</v>
      </c>
      <c r="M172" s="39">
        <f t="shared" si="62"/>
        <v>0</v>
      </c>
      <c r="N172" s="39">
        <f>-'[36]Budget Forms'!N327</f>
        <v>0</v>
      </c>
      <c r="O172" s="39">
        <f>-'[36]Budget Forms'!O327</f>
        <v>0</v>
      </c>
      <c r="P172" s="39">
        <f>-'[36]Budget Forms'!P327</f>
        <v>0</v>
      </c>
      <c r="Q172" s="39">
        <f t="shared" si="63"/>
        <v>0</v>
      </c>
      <c r="R172" s="39">
        <f t="shared" si="69"/>
        <v>0</v>
      </c>
      <c r="S172" s="16"/>
      <c r="T172" s="16"/>
      <c r="U172" s="16"/>
      <c r="V172" s="16"/>
      <c r="W172" s="16"/>
      <c r="X172" s="16"/>
      <c r="Y172" s="16"/>
      <c r="Z172" s="16"/>
    </row>
    <row r="173" spans="1:26" ht="21" hidden="1" outlineLevel="1">
      <c r="A173" s="52" t="s">
        <v>216</v>
      </c>
      <c r="B173" s="39">
        <f>-'[36]Budget Forms'!E328</f>
        <v>0</v>
      </c>
      <c r="C173" s="39">
        <f>-'[36]Budget Forms'!F328</f>
        <v>0</v>
      </c>
      <c r="D173" s="39">
        <f>-'[36]Budget Forms'!G328</f>
        <v>0</v>
      </c>
      <c r="E173" s="39">
        <f t="shared" si="60"/>
        <v>0</v>
      </c>
      <c r="F173" s="39">
        <f>-'[36]Budget Forms'!H328</f>
        <v>0</v>
      </c>
      <c r="G173" s="39">
        <f>-'[36]Budget Forms'!I328</f>
        <v>0</v>
      </c>
      <c r="H173" s="39">
        <f>-'[36]Budget Forms'!J328</f>
        <v>0</v>
      </c>
      <c r="I173" s="39">
        <f t="shared" si="61"/>
        <v>0</v>
      </c>
      <c r="J173" s="39">
        <f>-'[36]Budget Forms'!K328</f>
        <v>0</v>
      </c>
      <c r="K173" s="39">
        <f>-'[36]Budget Forms'!L328</f>
        <v>0</v>
      </c>
      <c r="L173" s="39">
        <f>-'[36]Budget Forms'!M328</f>
        <v>0</v>
      </c>
      <c r="M173" s="39">
        <f t="shared" si="62"/>
        <v>0</v>
      </c>
      <c r="N173" s="39">
        <f>-'[36]Budget Forms'!N328</f>
        <v>0</v>
      </c>
      <c r="O173" s="39">
        <f>-'[36]Budget Forms'!O328</f>
        <v>0</v>
      </c>
      <c r="P173" s="39">
        <f>-'[36]Budget Forms'!P328</f>
        <v>0</v>
      </c>
      <c r="Q173" s="39">
        <f t="shared" si="63"/>
        <v>0</v>
      </c>
      <c r="R173" s="39">
        <f t="shared" si="69"/>
        <v>0</v>
      </c>
      <c r="S173" s="16"/>
      <c r="T173" s="16"/>
      <c r="U173" s="16"/>
      <c r="V173" s="16"/>
      <c r="W173" s="16"/>
      <c r="X173" s="16"/>
      <c r="Y173" s="16"/>
      <c r="Z173" s="16"/>
    </row>
    <row r="174" spans="1:26" ht="21" hidden="1" outlineLevel="1">
      <c r="A174" s="52" t="s">
        <v>112</v>
      </c>
      <c r="B174" s="39">
        <f>-'[36]Budget Forms'!E329</f>
        <v>0</v>
      </c>
      <c r="C174" s="39">
        <f>-'[36]Budget Forms'!F329</f>
        <v>0</v>
      </c>
      <c r="D174" s="39">
        <f>-'[36]Budget Forms'!G329</f>
        <v>0</v>
      </c>
      <c r="E174" s="39">
        <f t="shared" si="60"/>
        <v>0</v>
      </c>
      <c r="F174" s="39">
        <f>-'[36]Budget Forms'!H329</f>
        <v>0</v>
      </c>
      <c r="G174" s="39">
        <f>-'[36]Budget Forms'!I329</f>
        <v>0</v>
      </c>
      <c r="H174" s="39">
        <f>-'[36]Budget Forms'!J329</f>
        <v>0</v>
      </c>
      <c r="I174" s="39">
        <f t="shared" si="61"/>
        <v>0</v>
      </c>
      <c r="J174" s="39">
        <f>-'[36]Budget Forms'!K329</f>
        <v>0</v>
      </c>
      <c r="K174" s="39">
        <f>-'[36]Budget Forms'!L329</f>
        <v>0</v>
      </c>
      <c r="L174" s="39">
        <f>-'[36]Budget Forms'!M329</f>
        <v>0</v>
      </c>
      <c r="M174" s="39">
        <f t="shared" si="62"/>
        <v>0</v>
      </c>
      <c r="N174" s="39">
        <f>-'[36]Budget Forms'!N329</f>
        <v>0</v>
      </c>
      <c r="O174" s="39">
        <f>-'[36]Budget Forms'!O329</f>
        <v>0</v>
      </c>
      <c r="P174" s="39">
        <f>-'[36]Budget Forms'!P329</f>
        <v>0</v>
      </c>
      <c r="Q174" s="39">
        <f t="shared" si="63"/>
        <v>0</v>
      </c>
      <c r="R174" s="39">
        <f>SUM(E174,I174,M174,Q174)</f>
        <v>0</v>
      </c>
      <c r="S174" s="16"/>
      <c r="T174" s="16"/>
      <c r="U174" s="16"/>
      <c r="V174" s="16"/>
      <c r="W174" s="16"/>
      <c r="X174" s="16"/>
      <c r="Y174" s="16"/>
      <c r="Z174" s="16"/>
    </row>
    <row r="175" spans="1:26" ht="21.6" collapsed="1" thickBot="1">
      <c r="A175" s="52" t="s">
        <v>236</v>
      </c>
      <c r="B175" s="39">
        <f>'[36]Budget Forms'!E331</f>
        <v>120000</v>
      </c>
      <c r="C175" s="39">
        <f>'[36]Budget Forms'!F331</f>
        <v>120000</v>
      </c>
      <c r="D175" s="39">
        <f>'[36]Budget Forms'!G331</f>
        <v>120000</v>
      </c>
      <c r="E175" s="39">
        <f>SUM(B175:D175)</f>
        <v>360000</v>
      </c>
      <c r="F175" s="39">
        <f>'[36]Budget Forms'!H331</f>
        <v>120000</v>
      </c>
      <c r="G175" s="39">
        <f>'[36]Budget Forms'!I331</f>
        <v>120000</v>
      </c>
      <c r="H175" s="39">
        <f>'[36]Budget Forms'!J331</f>
        <v>120000</v>
      </c>
      <c r="I175" s="39">
        <f>SUM(F175:H175)</f>
        <v>360000</v>
      </c>
      <c r="J175" s="39">
        <f>'[36]Budget Forms'!K331</f>
        <v>120000</v>
      </c>
      <c r="K175" s="39">
        <f>'[36]Budget Forms'!L331</f>
        <v>120000</v>
      </c>
      <c r="L175" s="39">
        <f>'[36]Budget Forms'!M331</f>
        <v>120000</v>
      </c>
      <c r="M175" s="39">
        <f>SUM(J175:L175)</f>
        <v>360000</v>
      </c>
      <c r="N175" s="39">
        <f>'[36]Budget Forms'!N331</f>
        <v>120000</v>
      </c>
      <c r="O175" s="39">
        <f>'[36]Budget Forms'!O331</f>
        <v>120000</v>
      </c>
      <c r="P175" s="39">
        <f>'[36]Budget Forms'!P331</f>
        <v>120000</v>
      </c>
      <c r="Q175" s="39">
        <f>SUM(N175:P175)</f>
        <v>360000</v>
      </c>
      <c r="R175" s="39">
        <f t="shared" ref="R175" si="70">SUM(E175,I175,M175,Q175)</f>
        <v>1440000</v>
      </c>
      <c r="S175" s="16"/>
      <c r="T175" s="16"/>
      <c r="U175" s="16"/>
      <c r="V175" s="16"/>
      <c r="W175" s="16"/>
      <c r="X175" s="16"/>
      <c r="Y175" s="16"/>
      <c r="Z175" s="16"/>
    </row>
    <row r="176" spans="1:26" ht="24.6" thickTop="1" thickBot="1">
      <c r="A176" s="53" t="s">
        <v>237</v>
      </c>
      <c r="B176" s="45">
        <f>SUM(B145,B123,B144,B158,B175)</f>
        <v>1958926.71</v>
      </c>
      <c r="C176" s="45">
        <f>SUM(C145,C123,C144,C158,C175)</f>
        <v>1959126.71</v>
      </c>
      <c r="D176" s="45">
        <f>SUM(D145,D123,D144,D158,D175)</f>
        <v>2028446.71</v>
      </c>
      <c r="E176" s="45">
        <f t="shared" ref="E176:E192" si="71">SUM(B176:D176)</f>
        <v>5946500.1299999999</v>
      </c>
      <c r="F176" s="45">
        <f>SUM(F145,F123,F144,F158,F175)</f>
        <v>1933326.71</v>
      </c>
      <c r="G176" s="45">
        <f>SUM(G145,G123,G144,G158,G175)</f>
        <v>1889406.71</v>
      </c>
      <c r="H176" s="45">
        <f>SUM(H145,H123,H144,H158,H175)</f>
        <v>1900501.71</v>
      </c>
      <c r="I176" s="45">
        <f t="shared" si="61"/>
        <v>5723235.1299999999</v>
      </c>
      <c r="J176" s="45">
        <f>SUM(J145,J123,J144,J158,J175)</f>
        <v>2017351.71</v>
      </c>
      <c r="K176" s="45">
        <f>SUM(K145,K123,K144,K158,K175)</f>
        <v>1958926.71</v>
      </c>
      <c r="L176" s="45">
        <f>SUM(L145,L123,L144,L158,L175)</f>
        <v>1984326.71</v>
      </c>
      <c r="M176" s="45">
        <f t="shared" si="62"/>
        <v>5960605.1299999999</v>
      </c>
      <c r="N176" s="45">
        <f>SUM(N145,N123,N144,N158,N175)</f>
        <v>1958926.71</v>
      </c>
      <c r="O176" s="45">
        <f>SUM(O145,O123,O144,O158,O175)</f>
        <v>1958926.71</v>
      </c>
      <c r="P176" s="45">
        <f>SUM(P145,P123,P144,P158,P175)</f>
        <v>1958926.71</v>
      </c>
      <c r="Q176" s="45">
        <f>SUM(N176:P176)</f>
        <v>5876780.1299999999</v>
      </c>
      <c r="R176" s="45">
        <f>SUM(R145,R123,R144,R158,R175)</f>
        <v>23507120.52</v>
      </c>
    </row>
    <row r="177" spans="1:26" ht="30" thickTop="1" thickBot="1">
      <c r="A177" s="46" t="s">
        <v>128</v>
      </c>
      <c r="B177" s="47">
        <f>B120-B176</f>
        <v>-10923.223333339207</v>
      </c>
      <c r="C177" s="47">
        <f>C120-C176</f>
        <v>1341182.5166666666</v>
      </c>
      <c r="D177" s="47">
        <f>D120-D176</f>
        <v>557746.55666666199</v>
      </c>
      <c r="E177" s="47">
        <f t="shared" si="71"/>
        <v>1888005.8499999894</v>
      </c>
      <c r="F177" s="47">
        <f>F120-F176</f>
        <v>344235.77333334181</v>
      </c>
      <c r="G177" s="47">
        <f>G120-G176</f>
        <v>3207845.8033333356</v>
      </c>
      <c r="H177" s="47">
        <f>H120-H176</f>
        <v>4607921.6433333391</v>
      </c>
      <c r="I177" s="47">
        <f t="shared" si="61"/>
        <v>8160003.2200000165</v>
      </c>
      <c r="J177" s="47">
        <f>J120-J176</f>
        <v>-549756.70999999251</v>
      </c>
      <c r="K177" s="47">
        <f>K120-K176</f>
        <v>2143388.2900000075</v>
      </c>
      <c r="L177" s="47">
        <f>L120-L176</f>
        <v>4304445.0000000065</v>
      </c>
      <c r="M177" s="47">
        <f t="shared" si="62"/>
        <v>5898076.5800000215</v>
      </c>
      <c r="N177" s="47">
        <f>N120-N176</f>
        <v>3397571.9500000076</v>
      </c>
      <c r="O177" s="47">
        <f>O120-O176</f>
        <v>4411398.940000006</v>
      </c>
      <c r="P177" s="47">
        <f>P120-P176</f>
        <v>4377365.940000006</v>
      </c>
      <c r="Q177" s="47">
        <f t="shared" si="63"/>
        <v>12186336.830000021</v>
      </c>
      <c r="R177" s="47">
        <f>R120-R176</f>
        <v>28132422.48000006</v>
      </c>
    </row>
    <row r="178" spans="1:26" ht="30" thickTop="1" thickBot="1">
      <c r="A178" s="46" t="s">
        <v>123</v>
      </c>
      <c r="B178" s="47">
        <f>B177+B175</f>
        <v>109076.77666666079</v>
      </c>
      <c r="C178" s="47">
        <f>C177+C175</f>
        <v>1461182.5166666666</v>
      </c>
      <c r="D178" s="47">
        <f>D177+D175</f>
        <v>677746.55666666199</v>
      </c>
      <c r="E178" s="47">
        <f t="shared" si="71"/>
        <v>2248005.8499999894</v>
      </c>
      <c r="F178" s="47">
        <f>F177+F175</f>
        <v>464235.77333334181</v>
      </c>
      <c r="G178" s="47">
        <f>G177+G175</f>
        <v>3327845.8033333356</v>
      </c>
      <c r="H178" s="47">
        <f>H177+H175</f>
        <v>4727921.6433333391</v>
      </c>
      <c r="I178" s="47">
        <f t="shared" si="61"/>
        <v>8520003.2200000174</v>
      </c>
      <c r="J178" s="47">
        <f>J177+J175</f>
        <v>-429756.70999999251</v>
      </c>
      <c r="K178" s="47">
        <f>K177+K175</f>
        <v>2263388.2900000075</v>
      </c>
      <c r="L178" s="47">
        <f>L177+L175</f>
        <v>4424445.0000000065</v>
      </c>
      <c r="M178" s="47">
        <f t="shared" si="62"/>
        <v>6258076.5800000215</v>
      </c>
      <c r="N178" s="47">
        <f>N177+N175</f>
        <v>3517571.9500000076</v>
      </c>
      <c r="O178" s="47">
        <f>O177+O175</f>
        <v>4531398.940000006</v>
      </c>
      <c r="P178" s="47">
        <f>P177+P175</f>
        <v>4497365.940000006</v>
      </c>
      <c r="Q178" s="47">
        <f t="shared" si="63"/>
        <v>12546336.830000021</v>
      </c>
      <c r="R178" s="47">
        <f>R177+R175</f>
        <v>29572422.48000006</v>
      </c>
      <c r="S178" s="62">
        <v>0.10440000000000001</v>
      </c>
    </row>
    <row r="179" spans="1:26" ht="26.4" thickTop="1">
      <c r="A179" s="54" t="s">
        <v>238</v>
      </c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V179" s="65" t="s">
        <v>260</v>
      </c>
    </row>
    <row r="180" spans="1:26" ht="31.8" thickBot="1">
      <c r="A180" s="52" t="s">
        <v>239</v>
      </c>
      <c r="B180" s="39">
        <f>'[36]Budget Forms'!E333</f>
        <v>1203384.44</v>
      </c>
      <c r="C180" s="39">
        <f>'[36]Budget Forms'!F333</f>
        <v>1289642.58</v>
      </c>
      <c r="D180" s="39">
        <f>'[36]Budget Forms'!G333</f>
        <v>1381322.67</v>
      </c>
      <c r="E180" s="39">
        <f t="shared" si="71"/>
        <v>3874349.69</v>
      </c>
      <c r="F180" s="39">
        <f>'[36]Budget Forms'!H333</f>
        <v>1376823.49</v>
      </c>
      <c r="G180" s="39">
        <f>'[36]Budget Forms'!I333</f>
        <v>1338905.25</v>
      </c>
      <c r="H180" s="39">
        <f>'[36]Budget Forms'!J333</f>
        <v>1363108.99</v>
      </c>
      <c r="I180" s="39">
        <f t="shared" si="61"/>
        <v>4078837.7300000004</v>
      </c>
      <c r="J180" s="39">
        <f>'[36]Budget Forms'!K333</f>
        <v>935582.07</v>
      </c>
      <c r="K180" s="39">
        <f>'[36]Budget Forms'!L333</f>
        <v>935582.07</v>
      </c>
      <c r="L180" s="39">
        <f>'[36]Budget Forms'!M333</f>
        <v>935582.07</v>
      </c>
      <c r="M180" s="39">
        <f t="shared" si="62"/>
        <v>2806746.21</v>
      </c>
      <c r="N180" s="39">
        <f>'[36]Budget Forms'!L333</f>
        <v>935582.07</v>
      </c>
      <c r="O180" s="39">
        <f>'[36]Budget Forms'!M333</f>
        <v>935582.07</v>
      </c>
      <c r="P180" s="39">
        <f>'[36]Budget Forms'!N333</f>
        <v>884153.09</v>
      </c>
      <c r="Q180" s="39">
        <f t="shared" si="63"/>
        <v>2755317.23</v>
      </c>
      <c r="R180" s="39">
        <f t="shared" ref="R180:R191" si="72">SUM(E180,I180,M180,Q180)</f>
        <v>13515250.859999999</v>
      </c>
      <c r="S180" s="34" t="s">
        <v>276</v>
      </c>
      <c r="T180" s="16"/>
      <c r="U180" s="16"/>
      <c r="V180" s="66">
        <v>11</v>
      </c>
      <c r="W180" s="67" t="s">
        <v>261</v>
      </c>
      <c r="X180" s="16"/>
      <c r="Y180" s="16"/>
      <c r="Z180" s="16"/>
    </row>
    <row r="181" spans="1:26" ht="21" hidden="1">
      <c r="A181" s="52" t="s">
        <v>240</v>
      </c>
      <c r="B181" s="39">
        <f>'[36]Budget Forms'!E334</f>
        <v>0</v>
      </c>
      <c r="C181" s="39">
        <f>'[36]Budget Forms'!F334</f>
        <v>0</v>
      </c>
      <c r="D181" s="39">
        <f>'[36]Budget Forms'!G334</f>
        <v>0</v>
      </c>
      <c r="E181" s="39">
        <f t="shared" si="71"/>
        <v>0</v>
      </c>
      <c r="F181" s="39">
        <f>'[36]Budget Forms'!H334</f>
        <v>0</v>
      </c>
      <c r="G181" s="39">
        <f>'[36]Budget Forms'!I334</f>
        <v>0</v>
      </c>
      <c r="H181" s="39">
        <f>'[36]Budget Forms'!J334</f>
        <v>0</v>
      </c>
      <c r="I181" s="39">
        <f t="shared" si="61"/>
        <v>0</v>
      </c>
      <c r="J181" s="39">
        <f>'[36]Budget Forms'!K334</f>
        <v>0</v>
      </c>
      <c r="K181" s="39">
        <f>'[36]Budget Forms'!L334</f>
        <v>0</v>
      </c>
      <c r="L181" s="39">
        <f>'[36]Budget Forms'!M334</f>
        <v>0</v>
      </c>
      <c r="M181" s="39">
        <f t="shared" si="62"/>
        <v>0</v>
      </c>
      <c r="N181" s="39">
        <f>'[36]Budget Forms'!N334</f>
        <v>0</v>
      </c>
      <c r="O181" s="39">
        <f>'[36]Budget Forms'!O334</f>
        <v>0</v>
      </c>
      <c r="P181" s="39">
        <f>'[36]Budget Forms'!P334</f>
        <v>0</v>
      </c>
      <c r="Q181" s="39">
        <f t="shared" si="63"/>
        <v>0</v>
      </c>
      <c r="R181" s="39">
        <f t="shared" si="72"/>
        <v>0</v>
      </c>
      <c r="S181" s="16"/>
      <c r="T181" s="16"/>
      <c r="U181" s="16"/>
      <c r="V181" s="16"/>
      <c r="W181" s="16"/>
      <c r="X181" s="16"/>
      <c r="Y181" s="16"/>
      <c r="Z181" s="16"/>
    </row>
    <row r="182" spans="1:26" ht="21">
      <c r="A182" s="52" t="s">
        <v>241</v>
      </c>
      <c r="B182" s="39">
        <f>'[36]Budget Forms'!E335</f>
        <v>361375.05</v>
      </c>
      <c r="C182" s="39">
        <f>'[36]Budget Forms'!F335</f>
        <v>387278.28</v>
      </c>
      <c r="D182" s="39">
        <f>'[36]Budget Forms'!G335</f>
        <v>414809.71</v>
      </c>
      <c r="E182" s="39">
        <f t="shared" si="71"/>
        <v>1163463.04</v>
      </c>
      <c r="F182" s="39">
        <f>'[36]Budget Forms'!H335</f>
        <v>413458.61</v>
      </c>
      <c r="G182" s="39">
        <f>'[36]Budget Forms'!I335</f>
        <v>402071.81</v>
      </c>
      <c r="H182" s="39">
        <f>'[36]Budget Forms'!J335</f>
        <v>409340.15999999997</v>
      </c>
      <c r="I182" s="39">
        <f t="shared" si="61"/>
        <v>1224870.5799999998</v>
      </c>
      <c r="J182" s="39">
        <f>'[36]Budget Forms'!K335</f>
        <v>280954.28999999998</v>
      </c>
      <c r="K182" s="39">
        <f>'[36]Budget Forms'!L335</f>
        <v>280954.28999999998</v>
      </c>
      <c r="L182" s="39">
        <f>'[36]Budget Forms'!M335</f>
        <v>280954.28999999998</v>
      </c>
      <c r="M182" s="39">
        <f t="shared" si="62"/>
        <v>842862.86999999988</v>
      </c>
      <c r="N182" s="39">
        <f>'[36]Budget Forms'!N335</f>
        <v>265510.21999999997</v>
      </c>
      <c r="O182" s="39">
        <f>'[36]Budget Forms'!O335</f>
        <v>251646.64</v>
      </c>
      <c r="P182" s="39">
        <f>'[36]Budget Forms'!P335</f>
        <v>251646.64</v>
      </c>
      <c r="Q182" s="39">
        <f t="shared" si="63"/>
        <v>768803.5</v>
      </c>
      <c r="R182" s="39">
        <f t="shared" si="72"/>
        <v>3999999.99</v>
      </c>
      <c r="S182" s="16"/>
      <c r="T182" s="16"/>
      <c r="U182" s="16"/>
      <c r="V182" s="16">
        <v>-5.7</v>
      </c>
      <c r="W182" s="67" t="s">
        <v>262</v>
      </c>
      <c r="X182" s="16"/>
      <c r="Y182" s="16"/>
      <c r="Z182" s="16"/>
    </row>
    <row r="183" spans="1:26" ht="21" hidden="1">
      <c r="A183" s="52" t="s">
        <v>116</v>
      </c>
      <c r="B183" s="39">
        <f>'[36]Budget Forms'!E336</f>
        <v>0</v>
      </c>
      <c r="C183" s="39">
        <f>'[36]Budget Forms'!F336</f>
        <v>0</v>
      </c>
      <c r="D183" s="39">
        <f>'[36]Budget Forms'!G336</f>
        <v>0</v>
      </c>
      <c r="E183" s="39">
        <f t="shared" si="71"/>
        <v>0</v>
      </c>
      <c r="F183" s="39">
        <f>'[36]Budget Forms'!H336</f>
        <v>0</v>
      </c>
      <c r="G183" s="39">
        <f>'[36]Budget Forms'!I336</f>
        <v>0</v>
      </c>
      <c r="H183" s="39">
        <f>'[36]Budget Forms'!J336</f>
        <v>0</v>
      </c>
      <c r="I183" s="39">
        <f t="shared" si="61"/>
        <v>0</v>
      </c>
      <c r="J183" s="39">
        <f>'[36]Budget Forms'!K336</f>
        <v>0</v>
      </c>
      <c r="K183" s="39">
        <f>'[36]Budget Forms'!L336</f>
        <v>0</v>
      </c>
      <c r="L183" s="39">
        <f>'[36]Budget Forms'!M336</f>
        <v>0</v>
      </c>
      <c r="M183" s="39">
        <f t="shared" si="62"/>
        <v>0</v>
      </c>
      <c r="N183" s="39">
        <f>'[36]Budget Forms'!N336</f>
        <v>0</v>
      </c>
      <c r="O183" s="39">
        <f>'[36]Budget Forms'!O336</f>
        <v>0</v>
      </c>
      <c r="P183" s="39">
        <f>'[36]Budget Forms'!P336</f>
        <v>0</v>
      </c>
      <c r="Q183" s="39">
        <f t="shared" si="63"/>
        <v>0</v>
      </c>
      <c r="R183" s="39">
        <f t="shared" si="72"/>
        <v>0</v>
      </c>
      <c r="S183" s="16"/>
      <c r="T183" s="16"/>
      <c r="U183" s="16"/>
      <c r="V183" s="16"/>
      <c r="W183" s="67"/>
      <c r="X183" s="16"/>
      <c r="Y183" s="16"/>
      <c r="Z183" s="16"/>
    </row>
    <row r="184" spans="1:26" ht="21">
      <c r="A184" s="52" t="s">
        <v>242</v>
      </c>
      <c r="B184" s="39">
        <f>'[36]Budget Forms'!E337</f>
        <v>233333.33</v>
      </c>
      <c r="C184" s="39">
        <f>'[36]Budget Forms'!F337</f>
        <v>233333.33</v>
      </c>
      <c r="D184" s="39">
        <f>'[36]Budget Forms'!G337</f>
        <v>233333.33</v>
      </c>
      <c r="E184" s="39">
        <f t="shared" si="71"/>
        <v>699999.99</v>
      </c>
      <c r="F184" s="39">
        <f>'[36]Budget Forms'!H337</f>
        <v>233333.33</v>
      </c>
      <c r="G184" s="39">
        <f>'[36]Budget Forms'!I337</f>
        <v>233333.33</v>
      </c>
      <c r="H184" s="39">
        <f>'[36]Budget Forms'!J337</f>
        <v>233333.33</v>
      </c>
      <c r="I184" s="39">
        <f t="shared" si="61"/>
        <v>699999.99</v>
      </c>
      <c r="J184" s="39">
        <f>'[36]Budget Forms'!K337</f>
        <v>233333.33</v>
      </c>
      <c r="K184" s="39">
        <f>'[36]Budget Forms'!L337</f>
        <v>233333.33</v>
      </c>
      <c r="L184" s="39">
        <f>'[36]Budget Forms'!M337</f>
        <v>233333.34</v>
      </c>
      <c r="M184" s="39">
        <f t="shared" si="62"/>
        <v>700000</v>
      </c>
      <c r="N184" s="39">
        <f>'[36]Budget Forms'!N337</f>
        <v>233333.34</v>
      </c>
      <c r="O184" s="39">
        <f>'[36]Budget Forms'!O337</f>
        <v>233333.34</v>
      </c>
      <c r="P184" s="39">
        <f>'[36]Budget Forms'!P337</f>
        <v>233333.34</v>
      </c>
      <c r="Q184" s="39">
        <f t="shared" si="63"/>
        <v>700000.02</v>
      </c>
      <c r="R184" s="39">
        <f t="shared" si="72"/>
        <v>2800000</v>
      </c>
      <c r="S184" s="16"/>
      <c r="T184" s="16"/>
      <c r="U184" s="16"/>
      <c r="V184" s="68">
        <v>-5.3</v>
      </c>
      <c r="W184" s="67" t="s">
        <v>263</v>
      </c>
      <c r="X184" s="16"/>
      <c r="Y184" s="16"/>
      <c r="Z184" s="16"/>
    </row>
    <row r="185" spans="1:26" ht="21.6" thickBot="1">
      <c r="A185" s="52" t="s">
        <v>243</v>
      </c>
      <c r="B185" s="39">
        <f>'[36]Budget Forms'!E338</f>
        <v>342224.63</v>
      </c>
      <c r="C185" s="39">
        <f>'[36]Budget Forms'!F338</f>
        <v>674541.02</v>
      </c>
      <c r="D185" s="39">
        <f>'[36]Budget Forms'!G338</f>
        <v>538770.55000000005</v>
      </c>
      <c r="E185" s="39">
        <f t="shared" si="71"/>
        <v>1555536.2000000002</v>
      </c>
      <c r="F185" s="39">
        <f>'[36]Budget Forms'!H338</f>
        <v>534929.06000000006</v>
      </c>
      <c r="G185" s="39">
        <f>'[36]Budget Forms'!I338</f>
        <v>534929.06000000006</v>
      </c>
      <c r="H185" s="39">
        <f>'[36]Budget Forms'!J338</f>
        <v>534929.06000000006</v>
      </c>
      <c r="I185" s="39">
        <f t="shared" si="61"/>
        <v>1604787.1800000002</v>
      </c>
      <c r="J185" s="39">
        <f>'[36]Budget Forms'!K338</f>
        <v>495337.42</v>
      </c>
      <c r="K185" s="39">
        <f>'[36]Budget Forms'!L338</f>
        <v>495337.42</v>
      </c>
      <c r="L185" s="39">
        <f>'[36]Budget Forms'!M338</f>
        <v>329673.28000000003</v>
      </c>
      <c r="M185" s="39">
        <f t="shared" si="62"/>
        <v>1320348.1200000001</v>
      </c>
      <c r="N185" s="39">
        <f>'[36]Budget Forms'!N338</f>
        <v>330057.43</v>
      </c>
      <c r="O185" s="39">
        <f>'[36]Budget Forms'!O338</f>
        <v>189911.53</v>
      </c>
      <c r="P185" s="39">
        <f>'[36]Budget Forms'!P338</f>
        <v>189911.53</v>
      </c>
      <c r="Q185" s="39">
        <f t="shared" si="63"/>
        <v>709880.49</v>
      </c>
      <c r="R185" s="39">
        <f t="shared" si="72"/>
        <v>5190551.99</v>
      </c>
      <c r="S185" s="16"/>
      <c r="T185" s="16"/>
      <c r="U185" s="16"/>
      <c r="V185" s="16">
        <v>2.85</v>
      </c>
      <c r="W185" s="67" t="s">
        <v>264</v>
      </c>
      <c r="X185" s="16"/>
      <c r="Y185" s="16"/>
      <c r="Z185" s="16"/>
    </row>
    <row r="186" spans="1:26" ht="24.6" thickTop="1" thickBot="1">
      <c r="A186" s="44" t="s">
        <v>238</v>
      </c>
      <c r="B186" s="45">
        <f t="shared" ref="B186:R186" si="73">SUM(B180:B185)</f>
        <v>2140317.4500000002</v>
      </c>
      <c r="C186" s="45">
        <f t="shared" si="73"/>
        <v>2584795.21</v>
      </c>
      <c r="D186" s="45">
        <f t="shared" si="73"/>
        <v>2568236.2599999998</v>
      </c>
      <c r="E186" s="45">
        <f t="shared" si="73"/>
        <v>7293348.9200000009</v>
      </c>
      <c r="F186" s="45">
        <f t="shared" si="73"/>
        <v>2558544.4900000002</v>
      </c>
      <c r="G186" s="45">
        <f t="shared" si="73"/>
        <v>2509239.4500000002</v>
      </c>
      <c r="H186" s="45">
        <f t="shared" si="73"/>
        <v>2540711.54</v>
      </c>
      <c r="I186" s="45">
        <f t="shared" si="73"/>
        <v>7608495.4800000004</v>
      </c>
      <c r="J186" s="45">
        <f t="shared" si="73"/>
        <v>1945207.1099999999</v>
      </c>
      <c r="K186" s="45">
        <f t="shared" si="73"/>
        <v>1945207.1099999999</v>
      </c>
      <c r="L186" s="45">
        <f t="shared" si="73"/>
        <v>1779542.98</v>
      </c>
      <c r="M186" s="45">
        <f t="shared" si="73"/>
        <v>5669957.2000000002</v>
      </c>
      <c r="N186" s="45">
        <f t="shared" si="73"/>
        <v>1764483.06</v>
      </c>
      <c r="O186" s="45">
        <f t="shared" si="73"/>
        <v>1610473.58</v>
      </c>
      <c r="P186" s="45">
        <f t="shared" si="73"/>
        <v>1559044.6</v>
      </c>
      <c r="Q186" s="45">
        <f t="shared" si="73"/>
        <v>4934001.24</v>
      </c>
      <c r="R186" s="45">
        <f t="shared" si="73"/>
        <v>25505802.840000004</v>
      </c>
      <c r="S186" s="21"/>
      <c r="V186" s="16">
        <v>2.85</v>
      </c>
      <c r="W186" s="64" t="s">
        <v>265</v>
      </c>
    </row>
    <row r="187" spans="1:26" ht="30" thickTop="1" thickBot="1">
      <c r="A187" s="46" t="s">
        <v>156</v>
      </c>
      <c r="B187" s="47">
        <f t="shared" ref="B187:Q187" si="74">B177-B186</f>
        <v>-2151240.6733333394</v>
      </c>
      <c r="C187" s="47">
        <f t="shared" si="74"/>
        <v>-1243612.6933333334</v>
      </c>
      <c r="D187" s="47">
        <f t="shared" si="74"/>
        <v>-2010489.7033333378</v>
      </c>
      <c r="E187" s="47">
        <f t="shared" si="74"/>
        <v>-5405343.0700000115</v>
      </c>
      <c r="F187" s="47">
        <f t="shared" si="74"/>
        <v>-2214308.7166666584</v>
      </c>
      <c r="G187" s="47">
        <f t="shared" si="74"/>
        <v>698606.35333333537</v>
      </c>
      <c r="H187" s="47">
        <f t="shared" si="74"/>
        <v>2067210.1033333391</v>
      </c>
      <c r="I187" s="47">
        <f t="shared" si="74"/>
        <v>551507.74000001606</v>
      </c>
      <c r="J187" s="47">
        <f t="shared" si="74"/>
        <v>-2494963.8199999924</v>
      </c>
      <c r="K187" s="47">
        <f t="shared" si="74"/>
        <v>198181.18000000762</v>
      </c>
      <c r="L187" s="47">
        <f t="shared" si="74"/>
        <v>2524902.0200000065</v>
      </c>
      <c r="M187" s="47">
        <f t="shared" si="74"/>
        <v>228119.38000002131</v>
      </c>
      <c r="N187" s="47">
        <f t="shared" si="74"/>
        <v>1633088.8900000076</v>
      </c>
      <c r="O187" s="47">
        <f t="shared" si="74"/>
        <v>2800925.3600000059</v>
      </c>
      <c r="P187" s="47">
        <f t="shared" si="74"/>
        <v>2818321.3400000059</v>
      </c>
      <c r="Q187" s="47">
        <f t="shared" si="74"/>
        <v>7252335.5900000203</v>
      </c>
      <c r="R187" s="47">
        <f>R177-R186</f>
        <v>2626619.6400000565</v>
      </c>
      <c r="S187" s="16"/>
      <c r="V187" s="66">
        <f>SUM(V182:V186)</f>
        <v>-5.3000000000000007</v>
      </c>
      <c r="W187" s="67" t="s">
        <v>266</v>
      </c>
    </row>
    <row r="188" spans="1:26" ht="24.6" thickTop="1" thickBot="1">
      <c r="A188" s="44" t="s">
        <v>244</v>
      </c>
      <c r="B188" s="56">
        <v>0</v>
      </c>
      <c r="C188" s="56">
        <v>0</v>
      </c>
      <c r="D188" s="56">
        <v>0</v>
      </c>
      <c r="E188" s="56">
        <f t="shared" si="71"/>
        <v>0</v>
      </c>
      <c r="F188" s="56"/>
      <c r="G188" s="56"/>
      <c r="H188" s="56"/>
      <c r="I188" s="56">
        <f t="shared" si="61"/>
        <v>0</v>
      </c>
      <c r="J188" s="56"/>
      <c r="K188" s="56"/>
      <c r="L188" s="56"/>
      <c r="M188" s="56">
        <f>SUM(J188:L188)</f>
        <v>0</v>
      </c>
      <c r="N188" s="56">
        <f>N187*0.225</f>
        <v>367445.00025000173</v>
      </c>
      <c r="O188" s="56">
        <f>O187*0.225</f>
        <v>630208.2060000014</v>
      </c>
      <c r="P188" s="56">
        <f>P187*0.225</f>
        <v>634122.30150000134</v>
      </c>
      <c r="Q188" s="56">
        <f>SUM(N188:P188)</f>
        <v>1631775.5077500045</v>
      </c>
      <c r="R188" s="56">
        <f t="shared" si="72"/>
        <v>1631775.5077500045</v>
      </c>
    </row>
    <row r="189" spans="1:26" ht="24.6" hidden="1" thickTop="1" thickBot="1">
      <c r="A189" s="44" t="s">
        <v>160</v>
      </c>
      <c r="B189" s="56">
        <v>0</v>
      </c>
      <c r="C189" s="56">
        <v>0</v>
      </c>
      <c r="D189" s="56">
        <v>0</v>
      </c>
      <c r="E189" s="56">
        <f t="shared" si="71"/>
        <v>0</v>
      </c>
      <c r="F189" s="56">
        <v>0</v>
      </c>
      <c r="G189" s="56">
        <v>0</v>
      </c>
      <c r="H189" s="56">
        <v>0</v>
      </c>
      <c r="I189" s="56">
        <f t="shared" si="61"/>
        <v>0</v>
      </c>
      <c r="J189" s="56">
        <v>0</v>
      </c>
      <c r="K189" s="56">
        <v>0</v>
      </c>
      <c r="L189" s="56">
        <v>0</v>
      </c>
      <c r="M189" s="56">
        <f t="shared" si="62"/>
        <v>0</v>
      </c>
      <c r="N189" s="56">
        <v>0</v>
      </c>
      <c r="O189" s="56">
        <v>0</v>
      </c>
      <c r="P189" s="56">
        <v>0</v>
      </c>
      <c r="Q189" s="56">
        <f t="shared" si="63"/>
        <v>0</v>
      </c>
      <c r="R189" s="56">
        <f t="shared" si="72"/>
        <v>0</v>
      </c>
      <c r="S189" s="16"/>
    </row>
    <row r="190" spans="1:26" ht="24.6" hidden="1" thickTop="1" thickBot="1">
      <c r="A190" s="44" t="s">
        <v>245</v>
      </c>
      <c r="B190" s="57">
        <v>0</v>
      </c>
      <c r="C190" s="57">
        <v>0</v>
      </c>
      <c r="D190" s="57">
        <v>0</v>
      </c>
      <c r="E190" s="57">
        <f t="shared" si="71"/>
        <v>0</v>
      </c>
      <c r="F190" s="56">
        <v>0</v>
      </c>
      <c r="G190" s="56">
        <v>0</v>
      </c>
      <c r="H190" s="56">
        <v>0</v>
      </c>
      <c r="I190" s="57">
        <f t="shared" si="61"/>
        <v>0</v>
      </c>
      <c r="J190" s="56">
        <v>0</v>
      </c>
      <c r="K190" s="56">
        <v>0</v>
      </c>
      <c r="L190" s="56">
        <v>0</v>
      </c>
      <c r="M190" s="57">
        <f t="shared" si="62"/>
        <v>0</v>
      </c>
      <c r="N190" s="56">
        <v>0</v>
      </c>
      <c r="O190" s="56">
        <v>0</v>
      </c>
      <c r="P190" s="56">
        <v>0</v>
      </c>
      <c r="Q190" s="57">
        <f t="shared" si="63"/>
        <v>0</v>
      </c>
      <c r="R190" s="56">
        <f t="shared" si="72"/>
        <v>0</v>
      </c>
    </row>
    <row r="191" spans="1:26" ht="24.6" hidden="1" thickTop="1" thickBot="1">
      <c r="A191" s="44" t="s">
        <v>246</v>
      </c>
      <c r="B191" s="57">
        <v>0</v>
      </c>
      <c r="C191" s="57">
        <v>0</v>
      </c>
      <c r="D191" s="57">
        <v>0</v>
      </c>
      <c r="E191" s="57">
        <f t="shared" si="71"/>
        <v>0</v>
      </c>
      <c r="F191" s="56">
        <v>0</v>
      </c>
      <c r="G191" s="56">
        <v>0</v>
      </c>
      <c r="H191" s="56">
        <v>0</v>
      </c>
      <c r="I191" s="57">
        <f t="shared" si="61"/>
        <v>0</v>
      </c>
      <c r="J191" s="56">
        <v>0</v>
      </c>
      <c r="K191" s="56">
        <v>0</v>
      </c>
      <c r="L191" s="56">
        <v>0</v>
      </c>
      <c r="M191" s="57">
        <f t="shared" si="62"/>
        <v>0</v>
      </c>
      <c r="N191" s="56">
        <v>0</v>
      </c>
      <c r="O191" s="56">
        <v>0</v>
      </c>
      <c r="P191" s="56">
        <v>0</v>
      </c>
      <c r="Q191" s="57">
        <f t="shared" si="63"/>
        <v>0</v>
      </c>
      <c r="R191" s="56">
        <f t="shared" si="72"/>
        <v>0</v>
      </c>
    </row>
    <row r="192" spans="1:26" ht="30" thickTop="1" thickBot="1">
      <c r="A192" s="58" t="s">
        <v>247</v>
      </c>
      <c r="B192" s="59">
        <f>B187-B188-B189-B190-B191</f>
        <v>-2151240.6733333394</v>
      </c>
      <c r="C192" s="59">
        <f>C187-C188-C189-C190-C191</f>
        <v>-1243612.6933333334</v>
      </c>
      <c r="D192" s="59">
        <f>D187-D188-D189-D190-D191</f>
        <v>-2010489.7033333378</v>
      </c>
      <c r="E192" s="59">
        <f t="shared" si="71"/>
        <v>-5405343.0700000105</v>
      </c>
      <c r="F192" s="59">
        <f>F187-F188-F189-F190-F191</f>
        <v>-2214308.7166666584</v>
      </c>
      <c r="G192" s="59">
        <f>G187-G188-G189-G190-G191</f>
        <v>698606.35333333537</v>
      </c>
      <c r="H192" s="59">
        <f>H187-H188-H189-H190-H191</f>
        <v>2067210.1033333391</v>
      </c>
      <c r="I192" s="59">
        <f t="shared" si="61"/>
        <v>551507.74000001606</v>
      </c>
      <c r="J192" s="59">
        <f>J187-J188-J189-J190-J191</f>
        <v>-2494963.8199999924</v>
      </c>
      <c r="K192" s="59">
        <f>K187-K188-K189-K190-K191</f>
        <v>198181.18000000762</v>
      </c>
      <c r="L192" s="59">
        <f>L187-L188-L189-L190-L191</f>
        <v>2524902.0200000065</v>
      </c>
      <c r="M192" s="59">
        <f t="shared" si="62"/>
        <v>228119.38000002177</v>
      </c>
      <c r="N192" s="59">
        <f>N187-N188-N189-N190-N191</f>
        <v>1265643.8897500059</v>
      </c>
      <c r="O192" s="59">
        <f>O187-O188-O189-O190-O191</f>
        <v>2170717.1540000048</v>
      </c>
      <c r="P192" s="59">
        <f>P187-P188-P189-P190-P191</f>
        <v>2184199.0385000044</v>
      </c>
      <c r="Q192" s="59">
        <f t="shared" si="63"/>
        <v>5620560.0822500149</v>
      </c>
      <c r="R192" s="59">
        <f>R187-R188-R189-R190-R191</f>
        <v>994844.13225005195</v>
      </c>
    </row>
    <row r="193" spans="6:18">
      <c r="M193" s="16"/>
      <c r="N193" s="21"/>
      <c r="O193" s="21"/>
      <c r="P193" s="21"/>
      <c r="Q193" s="21"/>
    </row>
    <row r="194" spans="6:18">
      <c r="G194" s="60"/>
      <c r="R194" s="21"/>
    </row>
    <row r="195" spans="6:18">
      <c r="F195" s="12"/>
      <c r="G195" s="12"/>
      <c r="H195" s="12"/>
    </row>
    <row r="196" spans="6:18">
      <c r="H196" s="12"/>
    </row>
    <row r="197" spans="6:18">
      <c r="F197" s="12"/>
      <c r="G197" s="12"/>
      <c r="H197" s="12"/>
    </row>
  </sheetData>
  <printOptions horizontalCentered="1"/>
  <pageMargins left="0" right="0" top="0" bottom="0" header="0" footer="0"/>
  <pageSetup paperSize="9" scale="76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6</vt:i4>
      </vt:variant>
    </vt:vector>
  </HeadingPairs>
  <TitlesOfParts>
    <vt:vector size="20" baseType="lpstr">
      <vt:lpstr>2024 Closing</vt:lpstr>
      <vt:lpstr>KSA IS</vt:lpstr>
      <vt:lpstr>Analysis Dec.23</vt:lpstr>
      <vt:lpstr>Analysis All</vt:lpstr>
      <vt:lpstr>IS Assumption</vt:lpstr>
      <vt:lpstr>B.U</vt:lpstr>
      <vt:lpstr>HC</vt:lpstr>
      <vt:lpstr>Tax Position</vt:lpstr>
      <vt:lpstr>Rev. 2022</vt:lpstr>
      <vt:lpstr>2022 Budget</vt:lpstr>
      <vt:lpstr>Financial Statements</vt:lpstr>
      <vt:lpstr>2020-2021 Closing 2022 Yearly</vt:lpstr>
      <vt:lpstr>2022 Budget V02</vt:lpstr>
      <vt:lpstr>2022 Budget Scenario 1</vt:lpstr>
      <vt:lpstr>'2022 Budget'!Print_Area</vt:lpstr>
      <vt:lpstr>'2022 Budget Scenario 1'!Print_Area</vt:lpstr>
      <vt:lpstr>'2022 Budget V02'!Print_Area</vt:lpstr>
      <vt:lpstr>'Financial Statements'!Print_Area</vt:lpstr>
      <vt:lpstr>'IS Assumption'!Print_Area</vt:lpstr>
      <vt:lpstr>'Rev. 2022'!Print_Area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Alserty</dc:creator>
  <cp:lastModifiedBy>Sami Areez</cp:lastModifiedBy>
  <cp:lastPrinted>2025-01-16T15:40:51Z</cp:lastPrinted>
  <dcterms:created xsi:type="dcterms:W3CDTF">2021-04-11T08:16:52Z</dcterms:created>
  <dcterms:modified xsi:type="dcterms:W3CDTF">2025-07-28T18:42:33Z</dcterms:modified>
</cp:coreProperties>
</file>